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4.xml" ContentType="application/vnd.openxmlformats-officedocument.spreadsheetml.pivot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worksheets/sheet8.xml" ContentType="application/vnd.openxmlformats-officedocument.spreadsheetml.worksheet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3.xml" ContentType="application/vnd.ms-excel.threadedcomments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threadedComments/threadedComment2.xml" ContentType="application/vnd.ms-excel.threadedcomments+xml"/>
  <Override PartName="/xl/comments2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deptagriculture.sharepoint.com/teams/DCCEEW-DSaD/Shared Documents/Web Pubs/Water quality/"/>
    </mc:Choice>
  </mc:AlternateContent>
  <xr:revisionPtr revIDLastSave="0" documentId="8_{19F9DBDC-CC0D-453F-AE48-B2C1F144DE06}" xr6:coauthVersionLast="47" xr6:coauthVersionMax="47" xr10:uidLastSave="{00000000-0000-0000-0000-000000000000}"/>
  <bookViews>
    <workbookView xWindow="1560" yWindow="1560" windowWidth="21600" windowHeight="11295" xr2:uid="{93EF0704-1BF6-470D-A8A5-356B52848D63}"/>
  </bookViews>
  <sheets>
    <sheet name="READ THIS" sheetId="32" r:id="rId1"/>
    <sheet name="Database_All" sheetId="23" r:id="rId2"/>
    <sheet name="Screened_EC10_NOECs" sheetId="39" r:id="rId3"/>
    <sheet name="PassedQA+MeetsMLRrange" sheetId="40" r:id="rId4"/>
    <sheet name="PreferredStat" sheetId="41" r:id="rId5"/>
    <sheet name="Conversion factors" sheetId="8" r:id="rId6"/>
    <sheet name="ForWordDoc" sheetId="42" r:id="rId7"/>
    <sheet name="Stubblefield data" sheetId="11" state="hidden" r:id="rId8"/>
    <sheet name="Sheet1" sheetId="7" state="hidden" r:id="rId9"/>
    <sheet name="Zn conversion" sheetId="3" state="hidden" r:id="rId10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1" hidden="1">Database_All!$A$3:$BJ$1459</definedName>
    <definedName name="_xlnm._FilterDatabase" localSheetId="6" hidden="1">ForWordDoc!$B$1:$M$174</definedName>
    <definedName name="_xlnm._FilterDatabase" localSheetId="3" hidden="1">'PassedQA+MeetsMLRrange'!$A$6:$BE$346</definedName>
    <definedName name="_xlnm._FilterDatabase" localSheetId="4" hidden="1">PreferredStat!$A$3:$BE$165</definedName>
    <definedName name="_xlnm._FilterDatabase" localSheetId="2" hidden="1">Screened_EC10_NOECs!$A$3:$BE$345</definedName>
    <definedName name="Pal_Workbook_GUID" hidden="1">"YBNMPMBINB4V82A4XUUNV8XU"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</definedNames>
  <calcPr calcId="191029"/>
  <pivotCaches>
    <pivotCache cacheId="0" r:id="rId11"/>
    <pivotCache cacheId="1" r:id="rId12"/>
    <pivotCache cacheId="2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6" i="41" l="1"/>
  <c r="T5" i="41"/>
  <c r="R162" i="41"/>
  <c r="Q162" i="41"/>
  <c r="P162" i="41"/>
  <c r="R161" i="41"/>
  <c r="Q161" i="41"/>
  <c r="P161" i="41"/>
  <c r="S161" i="41" s="1"/>
  <c r="R160" i="41"/>
  <c r="Q160" i="41"/>
  <c r="P160" i="41"/>
  <c r="R159" i="41"/>
  <c r="Q159" i="41"/>
  <c r="P159" i="41"/>
  <c r="R158" i="41"/>
  <c r="Q158" i="41"/>
  <c r="P158" i="41"/>
  <c r="R157" i="41"/>
  <c r="Q157" i="41"/>
  <c r="P157" i="41"/>
  <c r="R156" i="41"/>
  <c r="Q156" i="41"/>
  <c r="P156" i="41"/>
  <c r="S156" i="41" s="1"/>
  <c r="R155" i="41"/>
  <c r="Q155" i="41"/>
  <c r="P155" i="41"/>
  <c r="R154" i="41"/>
  <c r="Q154" i="41"/>
  <c r="P154" i="41"/>
  <c r="R153" i="41"/>
  <c r="Q153" i="41"/>
  <c r="P153" i="41"/>
  <c r="S153" i="41" s="1"/>
  <c r="R152" i="41"/>
  <c r="Q152" i="41"/>
  <c r="P152" i="41"/>
  <c r="R151" i="41"/>
  <c r="Q151" i="41"/>
  <c r="P151" i="41"/>
  <c r="S151" i="41" s="1"/>
  <c r="R150" i="41"/>
  <c r="Q150" i="41"/>
  <c r="P150" i="41"/>
  <c r="R149" i="41"/>
  <c r="Q149" i="41"/>
  <c r="P149" i="41"/>
  <c r="R148" i="41"/>
  <c r="Q148" i="41"/>
  <c r="P148" i="41"/>
  <c r="S148" i="41" s="1"/>
  <c r="R147" i="41"/>
  <c r="Q147" i="41"/>
  <c r="P147" i="41"/>
  <c r="R146" i="41"/>
  <c r="Q146" i="41"/>
  <c r="P146" i="41"/>
  <c r="R145" i="41"/>
  <c r="Q145" i="41"/>
  <c r="P145" i="41"/>
  <c r="R144" i="41"/>
  <c r="Q144" i="41"/>
  <c r="P144" i="41"/>
  <c r="R143" i="41"/>
  <c r="Q143" i="41"/>
  <c r="P143" i="41"/>
  <c r="S143" i="41" s="1"/>
  <c r="R142" i="41"/>
  <c r="Q142" i="41"/>
  <c r="P142" i="41"/>
  <c r="R141" i="41"/>
  <c r="Q141" i="41"/>
  <c r="P141" i="41"/>
  <c r="R140" i="41"/>
  <c r="Q140" i="41"/>
  <c r="P140" i="41"/>
  <c r="S140" i="41" s="1"/>
  <c r="R139" i="41"/>
  <c r="Q139" i="41"/>
  <c r="P139" i="41"/>
  <c r="R138" i="41"/>
  <c r="Q138" i="41"/>
  <c r="P138" i="41"/>
  <c r="R137" i="41"/>
  <c r="Q137" i="41"/>
  <c r="P137" i="41"/>
  <c r="R136" i="41"/>
  <c r="Q136" i="41"/>
  <c r="P136" i="41"/>
  <c r="R135" i="41"/>
  <c r="Q135" i="41"/>
  <c r="P135" i="41"/>
  <c r="S135" i="41" s="1"/>
  <c r="R134" i="41"/>
  <c r="Q134" i="41"/>
  <c r="P134" i="41"/>
  <c r="R133" i="41"/>
  <c r="Q133" i="41"/>
  <c r="P133" i="41"/>
  <c r="R132" i="41"/>
  <c r="Q132" i="41"/>
  <c r="P132" i="41"/>
  <c r="R131" i="41"/>
  <c r="Q131" i="41"/>
  <c r="P131" i="41"/>
  <c r="R130" i="41"/>
  <c r="Q130" i="41"/>
  <c r="P130" i="41"/>
  <c r="R129" i="41"/>
  <c r="Q129" i="41"/>
  <c r="P129" i="41"/>
  <c r="R128" i="41"/>
  <c r="Q128" i="41"/>
  <c r="P128" i="41"/>
  <c r="R127" i="41"/>
  <c r="Q127" i="41"/>
  <c r="P127" i="41"/>
  <c r="S127" i="41" s="1"/>
  <c r="R126" i="41"/>
  <c r="Q126" i="41"/>
  <c r="P126" i="41"/>
  <c r="R125" i="41"/>
  <c r="Q125" i="41"/>
  <c r="P125" i="41"/>
  <c r="R124" i="41"/>
  <c r="Q124" i="41"/>
  <c r="P124" i="41"/>
  <c r="R123" i="41"/>
  <c r="Q123" i="41"/>
  <c r="P123" i="41"/>
  <c r="R122" i="41"/>
  <c r="Q122" i="41"/>
  <c r="P122" i="41"/>
  <c r="R121" i="41"/>
  <c r="Q121" i="41"/>
  <c r="P121" i="41"/>
  <c r="S121" i="41" s="1"/>
  <c r="R120" i="41"/>
  <c r="Q120" i="41"/>
  <c r="P120" i="41"/>
  <c r="R119" i="41"/>
  <c r="Q119" i="41"/>
  <c r="P119" i="41"/>
  <c r="R118" i="41"/>
  <c r="Q118" i="41"/>
  <c r="P118" i="41"/>
  <c r="R117" i="41"/>
  <c r="Q117" i="41"/>
  <c r="P117" i="41"/>
  <c r="R116" i="41"/>
  <c r="Q116" i="41"/>
  <c r="P116" i="41"/>
  <c r="R115" i="41"/>
  <c r="Q115" i="41"/>
  <c r="P115" i="41"/>
  <c r="S115" i="41" s="1"/>
  <c r="R114" i="41"/>
  <c r="S114" i="41" s="1"/>
  <c r="Q114" i="41"/>
  <c r="P114" i="41"/>
  <c r="R113" i="41"/>
  <c r="Q113" i="41"/>
  <c r="P113" i="41"/>
  <c r="S113" i="41" s="1"/>
  <c r="R112" i="41"/>
  <c r="Q112" i="41"/>
  <c r="P112" i="41"/>
  <c r="R111" i="41"/>
  <c r="Q111" i="41"/>
  <c r="P111" i="41"/>
  <c r="R110" i="41"/>
  <c r="Q110" i="41"/>
  <c r="P110" i="41"/>
  <c r="R109" i="41"/>
  <c r="S109" i="41" s="1"/>
  <c r="Q109" i="41"/>
  <c r="P109" i="41"/>
  <c r="R108" i="41"/>
  <c r="Q108" i="41"/>
  <c r="P108" i="41"/>
  <c r="R107" i="41"/>
  <c r="Q107" i="41"/>
  <c r="P107" i="41"/>
  <c r="R106" i="41"/>
  <c r="Q106" i="41"/>
  <c r="P106" i="41"/>
  <c r="R105" i="41"/>
  <c r="Q105" i="41"/>
  <c r="P105" i="41"/>
  <c r="R104" i="41"/>
  <c r="Q104" i="41"/>
  <c r="P104" i="41"/>
  <c r="R103" i="41"/>
  <c r="Q103" i="41"/>
  <c r="P103" i="41"/>
  <c r="R102" i="41"/>
  <c r="Q102" i="41"/>
  <c r="P102" i="41"/>
  <c r="R101" i="41"/>
  <c r="S101" i="41" s="1"/>
  <c r="Q101" i="41"/>
  <c r="P101" i="41"/>
  <c r="R100" i="41"/>
  <c r="Q100" i="41"/>
  <c r="P100" i="41"/>
  <c r="S100" i="41" s="1"/>
  <c r="R99" i="41"/>
  <c r="Q99" i="41"/>
  <c r="P99" i="41"/>
  <c r="R98" i="41"/>
  <c r="Q98" i="41"/>
  <c r="P98" i="41"/>
  <c r="R97" i="41"/>
  <c r="Q97" i="41"/>
  <c r="P97" i="41"/>
  <c r="R96" i="41"/>
  <c r="Q96" i="41"/>
  <c r="P96" i="41"/>
  <c r="R95" i="41"/>
  <c r="Q95" i="41"/>
  <c r="P95" i="41"/>
  <c r="R94" i="41"/>
  <c r="S94" i="41" s="1"/>
  <c r="Q94" i="41"/>
  <c r="P94" i="41"/>
  <c r="R93" i="41"/>
  <c r="Q93" i="41"/>
  <c r="P93" i="41"/>
  <c r="R92" i="41"/>
  <c r="Q92" i="41"/>
  <c r="P92" i="41"/>
  <c r="S92" i="41" s="1"/>
  <c r="R91" i="41"/>
  <c r="Q91" i="41"/>
  <c r="P91" i="41"/>
  <c r="S91" i="41" s="1"/>
  <c r="R90" i="41"/>
  <c r="Q90" i="41"/>
  <c r="P90" i="41"/>
  <c r="R89" i="41"/>
  <c r="Q89" i="41"/>
  <c r="P89" i="41"/>
  <c r="R88" i="41"/>
  <c r="Q88" i="41"/>
  <c r="P88" i="41"/>
  <c r="R87" i="41"/>
  <c r="Q87" i="41"/>
  <c r="P87" i="41"/>
  <c r="R86" i="41"/>
  <c r="Q86" i="41"/>
  <c r="P86" i="41"/>
  <c r="R85" i="41"/>
  <c r="Q85" i="41"/>
  <c r="P85" i="41"/>
  <c r="R84" i="41"/>
  <c r="Q84" i="41"/>
  <c r="P84" i="41"/>
  <c r="S84" i="41" s="1"/>
  <c r="R83" i="41"/>
  <c r="Q83" i="41"/>
  <c r="P83" i="41"/>
  <c r="S83" i="41" s="1"/>
  <c r="R82" i="41"/>
  <c r="S82" i="41" s="1"/>
  <c r="Q82" i="41"/>
  <c r="P82" i="41"/>
  <c r="R81" i="41"/>
  <c r="Q81" i="41"/>
  <c r="P81" i="41"/>
  <c r="R80" i="41"/>
  <c r="S80" i="41" s="1"/>
  <c r="Q80" i="41"/>
  <c r="P80" i="41"/>
  <c r="R79" i="41"/>
  <c r="Q79" i="41"/>
  <c r="P79" i="41"/>
  <c r="R78" i="41"/>
  <c r="Q78" i="41"/>
  <c r="P78" i="41"/>
  <c r="R77" i="41"/>
  <c r="Q77" i="41"/>
  <c r="P77" i="41"/>
  <c r="R76" i="41"/>
  <c r="Q76" i="41"/>
  <c r="P76" i="41"/>
  <c r="S76" i="41" s="1"/>
  <c r="R75" i="41"/>
  <c r="Q75" i="41"/>
  <c r="P75" i="41"/>
  <c r="R74" i="41"/>
  <c r="Q74" i="41"/>
  <c r="P74" i="41"/>
  <c r="R73" i="41"/>
  <c r="Q73" i="41"/>
  <c r="P73" i="41"/>
  <c r="R72" i="41"/>
  <c r="Q72" i="41"/>
  <c r="P72" i="41"/>
  <c r="R71" i="41"/>
  <c r="Q71" i="41"/>
  <c r="P71" i="41"/>
  <c r="S71" i="41" s="1"/>
  <c r="R70" i="41"/>
  <c r="Q70" i="41"/>
  <c r="P70" i="41"/>
  <c r="R69" i="41"/>
  <c r="Q69" i="41"/>
  <c r="P69" i="41"/>
  <c r="R68" i="41"/>
  <c r="Q68" i="41"/>
  <c r="P68" i="41"/>
  <c r="S68" i="41" s="1"/>
  <c r="R67" i="41"/>
  <c r="Q67" i="41"/>
  <c r="P67" i="41"/>
  <c r="R66" i="41"/>
  <c r="Q66" i="41"/>
  <c r="P66" i="41"/>
  <c r="R65" i="41"/>
  <c r="Q65" i="41"/>
  <c r="P65" i="41"/>
  <c r="S65" i="41" s="1"/>
  <c r="R64" i="41"/>
  <c r="Q64" i="41"/>
  <c r="P64" i="41"/>
  <c r="R63" i="41"/>
  <c r="Q63" i="41"/>
  <c r="P63" i="41"/>
  <c r="R62" i="41"/>
  <c r="Q62" i="41"/>
  <c r="P62" i="41"/>
  <c r="R61" i="41"/>
  <c r="Q61" i="41"/>
  <c r="P61" i="41"/>
  <c r="R60" i="41"/>
  <c r="Q60" i="41"/>
  <c r="P60" i="41"/>
  <c r="S60" i="41" s="1"/>
  <c r="R59" i="41"/>
  <c r="Q59" i="41"/>
  <c r="P59" i="41"/>
  <c r="R58" i="41"/>
  <c r="Q58" i="41"/>
  <c r="P58" i="41"/>
  <c r="S58" i="41" s="1"/>
  <c r="R57" i="41"/>
  <c r="Q57" i="41"/>
  <c r="P57" i="41"/>
  <c r="R56" i="41"/>
  <c r="Q56" i="41"/>
  <c r="P56" i="41"/>
  <c r="R55" i="41"/>
  <c r="Q55" i="41"/>
  <c r="P55" i="41"/>
  <c r="R54" i="41"/>
  <c r="Q54" i="41"/>
  <c r="P54" i="41"/>
  <c r="R53" i="41"/>
  <c r="Q53" i="41"/>
  <c r="P53" i="41"/>
  <c r="R52" i="41"/>
  <c r="Q52" i="41"/>
  <c r="P52" i="41"/>
  <c r="R51" i="41"/>
  <c r="Q51" i="41"/>
  <c r="P51" i="41"/>
  <c r="S51" i="41" s="1"/>
  <c r="R50" i="41"/>
  <c r="Q50" i="41"/>
  <c r="P50" i="41"/>
  <c r="S50" i="41" s="1"/>
  <c r="R49" i="41"/>
  <c r="Q49" i="41"/>
  <c r="P49" i="41"/>
  <c r="R48" i="41"/>
  <c r="Q48" i="41"/>
  <c r="P48" i="41"/>
  <c r="R47" i="41"/>
  <c r="Q47" i="41"/>
  <c r="P47" i="41"/>
  <c r="R46" i="41"/>
  <c r="Q46" i="41"/>
  <c r="P46" i="41"/>
  <c r="R45" i="41"/>
  <c r="Q45" i="41"/>
  <c r="P45" i="41"/>
  <c r="R44" i="41"/>
  <c r="Q44" i="41"/>
  <c r="P44" i="41"/>
  <c r="R43" i="41"/>
  <c r="Q43" i="41"/>
  <c r="P43" i="41"/>
  <c r="R42" i="41"/>
  <c r="Q42" i="41"/>
  <c r="P42" i="41"/>
  <c r="S42" i="41" s="1"/>
  <c r="R41" i="41"/>
  <c r="Q41" i="41"/>
  <c r="P41" i="41"/>
  <c r="R40" i="41"/>
  <c r="Q40" i="41"/>
  <c r="P40" i="41"/>
  <c r="R39" i="41"/>
  <c r="Q39" i="41"/>
  <c r="P39" i="41"/>
  <c r="R38" i="41"/>
  <c r="Q38" i="41"/>
  <c r="P38" i="41"/>
  <c r="R37" i="41"/>
  <c r="Q37" i="41"/>
  <c r="P37" i="41"/>
  <c r="R36" i="41"/>
  <c r="Q36" i="41"/>
  <c r="P36" i="41"/>
  <c r="R35" i="41"/>
  <c r="Q35" i="41"/>
  <c r="P35" i="41"/>
  <c r="R34" i="41"/>
  <c r="Q34" i="41"/>
  <c r="P34" i="41"/>
  <c r="R33" i="41"/>
  <c r="Q33" i="41"/>
  <c r="P33" i="41"/>
  <c r="R32" i="41"/>
  <c r="Q32" i="41"/>
  <c r="P32" i="41"/>
  <c r="R31" i="41"/>
  <c r="Q31" i="41"/>
  <c r="P31" i="41"/>
  <c r="R30" i="41"/>
  <c r="Q30" i="41"/>
  <c r="P30" i="41"/>
  <c r="R29" i="41"/>
  <c r="Q29" i="41"/>
  <c r="P29" i="41"/>
  <c r="R28" i="41"/>
  <c r="Q28" i="41"/>
  <c r="P28" i="41"/>
  <c r="R27" i="41"/>
  <c r="Q27" i="41"/>
  <c r="P27" i="41"/>
  <c r="S27" i="41" s="1"/>
  <c r="R26" i="41"/>
  <c r="Q26" i="41"/>
  <c r="P26" i="41"/>
  <c r="S26" i="41" s="1"/>
  <c r="R25" i="41"/>
  <c r="Q25" i="41"/>
  <c r="P25" i="41"/>
  <c r="R24" i="41"/>
  <c r="Q24" i="41"/>
  <c r="P24" i="41"/>
  <c r="R23" i="41"/>
  <c r="Q23" i="41"/>
  <c r="P23" i="41"/>
  <c r="R22" i="41"/>
  <c r="Q22" i="41"/>
  <c r="P22" i="41"/>
  <c r="R21" i="41"/>
  <c r="Q21" i="41"/>
  <c r="P21" i="41"/>
  <c r="R20" i="41"/>
  <c r="Q20" i="41"/>
  <c r="P20" i="41"/>
  <c r="R19" i="41"/>
  <c r="Q19" i="41"/>
  <c r="P19" i="41"/>
  <c r="R18" i="41"/>
  <c r="Q18" i="41"/>
  <c r="P18" i="41"/>
  <c r="S18" i="41" s="1"/>
  <c r="R17" i="41"/>
  <c r="Q17" i="41"/>
  <c r="P17" i="41"/>
  <c r="R16" i="41"/>
  <c r="Q16" i="41"/>
  <c r="P16" i="41"/>
  <c r="S16" i="41" s="1"/>
  <c r="R15" i="41"/>
  <c r="Q15" i="41"/>
  <c r="P15" i="41"/>
  <c r="S15" i="41" s="1"/>
  <c r="R14" i="41"/>
  <c r="Q14" i="41"/>
  <c r="P14" i="41"/>
  <c r="S14" i="41" s="1"/>
  <c r="R13" i="41"/>
  <c r="Q13" i="41"/>
  <c r="P13" i="41"/>
  <c r="R12" i="41"/>
  <c r="Q12" i="41"/>
  <c r="P12" i="41"/>
  <c r="R11" i="41"/>
  <c r="Q11" i="41"/>
  <c r="P11" i="41"/>
  <c r="S11" i="41" s="1"/>
  <c r="R10" i="41"/>
  <c r="Q10" i="41"/>
  <c r="P10" i="41"/>
  <c r="R9" i="41"/>
  <c r="Q9" i="41"/>
  <c r="P9" i="41"/>
  <c r="R8" i="41"/>
  <c r="Q8" i="41"/>
  <c r="P8" i="41"/>
  <c r="R7" i="41"/>
  <c r="Q7" i="41"/>
  <c r="P7" i="41"/>
  <c r="R6" i="41"/>
  <c r="Q6" i="41"/>
  <c r="P6" i="41"/>
  <c r="R5" i="41"/>
  <c r="Q5" i="41"/>
  <c r="P5" i="41"/>
  <c r="U4" i="41"/>
  <c r="R4" i="41"/>
  <c r="Q4" i="41"/>
  <c r="P4" i="41"/>
  <c r="R346" i="40"/>
  <c r="S346" i="40" s="1"/>
  <c r="Q346" i="40"/>
  <c r="P346" i="40"/>
  <c r="R345" i="40"/>
  <c r="Q345" i="40"/>
  <c r="P345" i="40"/>
  <c r="R344" i="40"/>
  <c r="Q344" i="40"/>
  <c r="P344" i="40"/>
  <c r="R343" i="40"/>
  <c r="Q343" i="40"/>
  <c r="P343" i="40"/>
  <c r="R342" i="40"/>
  <c r="Q342" i="40"/>
  <c r="P342" i="40"/>
  <c r="R341" i="40"/>
  <c r="Q341" i="40"/>
  <c r="P341" i="40"/>
  <c r="R340" i="40"/>
  <c r="Q340" i="40"/>
  <c r="P340" i="40"/>
  <c r="R339" i="40"/>
  <c r="Q339" i="40"/>
  <c r="P339" i="40"/>
  <c r="R338" i="40"/>
  <c r="Q338" i="40"/>
  <c r="P338" i="40"/>
  <c r="R337" i="40"/>
  <c r="Q337" i="40"/>
  <c r="P337" i="40"/>
  <c r="R336" i="40"/>
  <c r="Q336" i="40"/>
  <c r="P336" i="40"/>
  <c r="R335" i="40"/>
  <c r="Q335" i="40"/>
  <c r="P335" i="40"/>
  <c r="R334" i="40"/>
  <c r="Q334" i="40"/>
  <c r="P334" i="40"/>
  <c r="R333" i="40"/>
  <c r="Q333" i="40"/>
  <c r="P333" i="40"/>
  <c r="R332" i="40"/>
  <c r="Q332" i="40"/>
  <c r="P332" i="40"/>
  <c r="R331" i="40"/>
  <c r="Q331" i="40"/>
  <c r="P331" i="40"/>
  <c r="R330" i="40"/>
  <c r="Q330" i="40"/>
  <c r="P330" i="40"/>
  <c r="R329" i="40"/>
  <c r="Q329" i="40"/>
  <c r="P329" i="40"/>
  <c r="R328" i="40"/>
  <c r="Q328" i="40"/>
  <c r="P328" i="40"/>
  <c r="R327" i="40"/>
  <c r="Q327" i="40"/>
  <c r="P327" i="40"/>
  <c r="R326" i="40"/>
  <c r="Q326" i="40"/>
  <c r="P326" i="40"/>
  <c r="R325" i="40"/>
  <c r="Q325" i="40"/>
  <c r="P325" i="40"/>
  <c r="R324" i="40"/>
  <c r="Q324" i="40"/>
  <c r="P324" i="40"/>
  <c r="R323" i="40"/>
  <c r="Q323" i="40"/>
  <c r="P323" i="40"/>
  <c r="R322" i="40"/>
  <c r="Q322" i="40"/>
  <c r="P322" i="40"/>
  <c r="R321" i="40"/>
  <c r="Q321" i="40"/>
  <c r="P321" i="40"/>
  <c r="R320" i="40"/>
  <c r="Q320" i="40"/>
  <c r="P320" i="40"/>
  <c r="R319" i="40"/>
  <c r="Q319" i="40"/>
  <c r="P319" i="40"/>
  <c r="R318" i="40"/>
  <c r="Q318" i="40"/>
  <c r="P318" i="40"/>
  <c r="R317" i="40"/>
  <c r="Q317" i="40"/>
  <c r="P317" i="40"/>
  <c r="R316" i="40"/>
  <c r="Q316" i="40"/>
  <c r="P316" i="40"/>
  <c r="R315" i="40"/>
  <c r="Q315" i="40"/>
  <c r="P315" i="40"/>
  <c r="R314" i="40"/>
  <c r="Q314" i="40"/>
  <c r="P314" i="40"/>
  <c r="R313" i="40"/>
  <c r="Q313" i="40"/>
  <c r="P313" i="40"/>
  <c r="R312" i="40"/>
  <c r="Q312" i="40"/>
  <c r="P312" i="40"/>
  <c r="R311" i="40"/>
  <c r="Q311" i="40"/>
  <c r="P311" i="40"/>
  <c r="R310" i="40"/>
  <c r="Q310" i="40"/>
  <c r="P310" i="40"/>
  <c r="R309" i="40"/>
  <c r="Q309" i="40"/>
  <c r="P309" i="40"/>
  <c r="R308" i="40"/>
  <c r="Q308" i="40"/>
  <c r="P308" i="40"/>
  <c r="R307" i="40"/>
  <c r="Q307" i="40"/>
  <c r="P307" i="40"/>
  <c r="R306" i="40"/>
  <c r="Q306" i="40"/>
  <c r="P306" i="40"/>
  <c r="R305" i="40"/>
  <c r="Q305" i="40"/>
  <c r="P305" i="40"/>
  <c r="R304" i="40"/>
  <c r="Q304" i="40"/>
  <c r="P304" i="40"/>
  <c r="R303" i="40"/>
  <c r="Q303" i="40"/>
  <c r="P303" i="40"/>
  <c r="R302" i="40"/>
  <c r="Q302" i="40"/>
  <c r="P302" i="40"/>
  <c r="R301" i="40"/>
  <c r="Q301" i="40"/>
  <c r="P301" i="40"/>
  <c r="R300" i="40"/>
  <c r="Q300" i="40"/>
  <c r="P300" i="40"/>
  <c r="R299" i="40"/>
  <c r="Q299" i="40"/>
  <c r="P299" i="40"/>
  <c r="R298" i="40"/>
  <c r="Q298" i="40"/>
  <c r="P298" i="40"/>
  <c r="R297" i="40"/>
  <c r="Q297" i="40"/>
  <c r="P297" i="40"/>
  <c r="R296" i="40"/>
  <c r="Q296" i="40"/>
  <c r="P296" i="40"/>
  <c r="R295" i="40"/>
  <c r="Q295" i="40"/>
  <c r="P295" i="40"/>
  <c r="R294" i="40"/>
  <c r="Q294" i="40"/>
  <c r="P294" i="40"/>
  <c r="R293" i="40"/>
  <c r="Q293" i="40"/>
  <c r="P293" i="40"/>
  <c r="R292" i="40"/>
  <c r="Q292" i="40"/>
  <c r="P292" i="40"/>
  <c r="R291" i="40"/>
  <c r="Q291" i="40"/>
  <c r="P291" i="40"/>
  <c r="R290" i="40"/>
  <c r="Q290" i="40"/>
  <c r="P290" i="40"/>
  <c r="R289" i="40"/>
  <c r="Q289" i="40"/>
  <c r="P289" i="40"/>
  <c r="R288" i="40"/>
  <c r="Q288" i="40"/>
  <c r="P288" i="40"/>
  <c r="R287" i="40"/>
  <c r="Q287" i="40"/>
  <c r="P287" i="40"/>
  <c r="R286" i="40"/>
  <c r="Q286" i="40"/>
  <c r="P286" i="40"/>
  <c r="R285" i="40"/>
  <c r="Q285" i="40"/>
  <c r="P285" i="40"/>
  <c r="R284" i="40"/>
  <c r="Q284" i="40"/>
  <c r="P284" i="40"/>
  <c r="R283" i="40"/>
  <c r="Q283" i="40"/>
  <c r="P283" i="40"/>
  <c r="R282" i="40"/>
  <c r="Q282" i="40"/>
  <c r="P282" i="40"/>
  <c r="R281" i="40"/>
  <c r="Q281" i="40"/>
  <c r="P281" i="40"/>
  <c r="R280" i="40"/>
  <c r="Q280" i="40"/>
  <c r="P280" i="40"/>
  <c r="R279" i="40"/>
  <c r="Q279" i="40"/>
  <c r="P279" i="40"/>
  <c r="R278" i="40"/>
  <c r="Q278" i="40"/>
  <c r="P278" i="40"/>
  <c r="R277" i="40"/>
  <c r="Q277" i="40"/>
  <c r="P277" i="40"/>
  <c r="S277" i="40" s="1"/>
  <c r="R276" i="40"/>
  <c r="Q276" i="40"/>
  <c r="P276" i="40"/>
  <c r="R275" i="40"/>
  <c r="Q275" i="40"/>
  <c r="P275" i="40"/>
  <c r="R274" i="40"/>
  <c r="Q274" i="40"/>
  <c r="P274" i="40"/>
  <c r="R273" i="40"/>
  <c r="Q273" i="40"/>
  <c r="P273" i="40"/>
  <c r="R272" i="40"/>
  <c r="Q272" i="40"/>
  <c r="P272" i="40"/>
  <c r="R271" i="40"/>
  <c r="Q271" i="40"/>
  <c r="P271" i="40"/>
  <c r="R270" i="40"/>
  <c r="Q270" i="40"/>
  <c r="P270" i="40"/>
  <c r="R269" i="40"/>
  <c r="Q269" i="40"/>
  <c r="P269" i="40"/>
  <c r="R268" i="40"/>
  <c r="Q268" i="40"/>
  <c r="P268" i="40"/>
  <c r="R267" i="40"/>
  <c r="Q267" i="40"/>
  <c r="P267" i="40"/>
  <c r="R266" i="40"/>
  <c r="Q266" i="40"/>
  <c r="P266" i="40"/>
  <c r="R265" i="40"/>
  <c r="Q265" i="40"/>
  <c r="P265" i="40"/>
  <c r="R264" i="40"/>
  <c r="Q264" i="40"/>
  <c r="P264" i="40"/>
  <c r="R263" i="40"/>
  <c r="Q263" i="40"/>
  <c r="P263" i="40"/>
  <c r="R262" i="40"/>
  <c r="Q262" i="40"/>
  <c r="P262" i="40"/>
  <c r="R261" i="40"/>
  <c r="Q261" i="40"/>
  <c r="P261" i="40"/>
  <c r="R260" i="40"/>
  <c r="Q260" i="40"/>
  <c r="P260" i="40"/>
  <c r="R259" i="40"/>
  <c r="S259" i="40" s="1"/>
  <c r="Q259" i="40"/>
  <c r="P259" i="40"/>
  <c r="R258" i="40"/>
  <c r="Q258" i="40"/>
  <c r="P258" i="40"/>
  <c r="R257" i="40"/>
  <c r="Q257" i="40"/>
  <c r="P257" i="40"/>
  <c r="R256" i="40"/>
  <c r="Q256" i="40"/>
  <c r="P256" i="40"/>
  <c r="R255" i="40"/>
  <c r="Q255" i="40"/>
  <c r="P255" i="40"/>
  <c r="R254" i="40"/>
  <c r="Q254" i="40"/>
  <c r="P254" i="40"/>
  <c r="R253" i="40"/>
  <c r="Q253" i="40"/>
  <c r="P253" i="40"/>
  <c r="R252" i="40"/>
  <c r="Q252" i="40"/>
  <c r="P252" i="40"/>
  <c r="R251" i="40"/>
  <c r="Q251" i="40"/>
  <c r="P251" i="40"/>
  <c r="R250" i="40"/>
  <c r="Q250" i="40"/>
  <c r="P250" i="40"/>
  <c r="R249" i="40"/>
  <c r="Q249" i="40"/>
  <c r="P249" i="40"/>
  <c r="R248" i="40"/>
  <c r="Q248" i="40"/>
  <c r="P248" i="40"/>
  <c r="R247" i="40"/>
  <c r="Q247" i="40"/>
  <c r="P247" i="40"/>
  <c r="R246" i="40"/>
  <c r="Q246" i="40"/>
  <c r="P246" i="40"/>
  <c r="R245" i="40"/>
  <c r="Q245" i="40"/>
  <c r="P245" i="40"/>
  <c r="R244" i="40"/>
  <c r="Q244" i="40"/>
  <c r="P244" i="40"/>
  <c r="R243" i="40"/>
  <c r="Q243" i="40"/>
  <c r="P243" i="40"/>
  <c r="R242" i="40"/>
  <c r="Q242" i="40"/>
  <c r="P242" i="40"/>
  <c r="R241" i="40"/>
  <c r="Q241" i="40"/>
  <c r="P241" i="40"/>
  <c r="R240" i="40"/>
  <c r="Q240" i="40"/>
  <c r="P240" i="40"/>
  <c r="R239" i="40"/>
  <c r="Q239" i="40"/>
  <c r="P239" i="40"/>
  <c r="R238" i="40"/>
  <c r="Q238" i="40"/>
  <c r="P238" i="40"/>
  <c r="R237" i="40"/>
  <c r="Q237" i="40"/>
  <c r="P237" i="40"/>
  <c r="R236" i="40"/>
  <c r="Q236" i="40"/>
  <c r="P236" i="40"/>
  <c r="R235" i="40"/>
  <c r="Q235" i="40"/>
  <c r="P235" i="40"/>
  <c r="R234" i="40"/>
  <c r="Q234" i="40"/>
  <c r="P234" i="40"/>
  <c r="R233" i="40"/>
  <c r="Q233" i="40"/>
  <c r="P233" i="40"/>
  <c r="R232" i="40"/>
  <c r="Q232" i="40"/>
  <c r="P232" i="40"/>
  <c r="R231" i="40"/>
  <c r="Q231" i="40"/>
  <c r="P231" i="40"/>
  <c r="R230" i="40"/>
  <c r="Q230" i="40"/>
  <c r="P230" i="40"/>
  <c r="R229" i="40"/>
  <c r="Q229" i="40"/>
  <c r="P229" i="40"/>
  <c r="R228" i="40"/>
  <c r="Q228" i="40"/>
  <c r="P228" i="40"/>
  <c r="R227" i="40"/>
  <c r="Q227" i="40"/>
  <c r="P227" i="40"/>
  <c r="R226" i="40"/>
  <c r="Q226" i="40"/>
  <c r="P226" i="40"/>
  <c r="R225" i="40"/>
  <c r="Q225" i="40"/>
  <c r="P225" i="40"/>
  <c r="R224" i="40"/>
  <c r="Q224" i="40"/>
  <c r="P224" i="40"/>
  <c r="R223" i="40"/>
  <c r="Q223" i="40"/>
  <c r="P223" i="40"/>
  <c r="R222" i="40"/>
  <c r="Q222" i="40"/>
  <c r="P222" i="40"/>
  <c r="R221" i="40"/>
  <c r="Q221" i="40"/>
  <c r="P221" i="40"/>
  <c r="R220" i="40"/>
  <c r="Q220" i="40"/>
  <c r="P220" i="40"/>
  <c r="R219" i="40"/>
  <c r="Q219" i="40"/>
  <c r="P219" i="40"/>
  <c r="R218" i="40"/>
  <c r="Q218" i="40"/>
  <c r="P218" i="40"/>
  <c r="R217" i="40"/>
  <c r="Q217" i="40"/>
  <c r="P217" i="40"/>
  <c r="R216" i="40"/>
  <c r="Q216" i="40"/>
  <c r="P216" i="40"/>
  <c r="R215" i="40"/>
  <c r="Q215" i="40"/>
  <c r="P215" i="40"/>
  <c r="R214" i="40"/>
  <c r="Q214" i="40"/>
  <c r="P214" i="40"/>
  <c r="R213" i="40"/>
  <c r="Q213" i="40"/>
  <c r="P213" i="40"/>
  <c r="R212" i="40"/>
  <c r="Q212" i="40"/>
  <c r="P212" i="40"/>
  <c r="R211" i="40"/>
  <c r="Q211" i="40"/>
  <c r="P211" i="40"/>
  <c r="R210" i="40"/>
  <c r="Q210" i="40"/>
  <c r="P210" i="40"/>
  <c r="R209" i="40"/>
  <c r="Q209" i="40"/>
  <c r="P209" i="40"/>
  <c r="R208" i="40"/>
  <c r="Q208" i="40"/>
  <c r="P208" i="40"/>
  <c r="R207" i="40"/>
  <c r="Q207" i="40"/>
  <c r="P207" i="40"/>
  <c r="R206" i="40"/>
  <c r="Q206" i="40"/>
  <c r="P206" i="40"/>
  <c r="R205" i="40"/>
  <c r="Q205" i="40"/>
  <c r="P205" i="40"/>
  <c r="R204" i="40"/>
  <c r="Q204" i="40"/>
  <c r="P204" i="40"/>
  <c r="R203" i="40"/>
  <c r="Q203" i="40"/>
  <c r="P203" i="40"/>
  <c r="R202" i="40"/>
  <c r="Q202" i="40"/>
  <c r="P202" i="40"/>
  <c r="R201" i="40"/>
  <c r="Q201" i="40"/>
  <c r="P201" i="40"/>
  <c r="R200" i="40"/>
  <c r="Q200" i="40"/>
  <c r="P200" i="40"/>
  <c r="R199" i="40"/>
  <c r="Q199" i="40"/>
  <c r="P199" i="40"/>
  <c r="R198" i="40"/>
  <c r="Q198" i="40"/>
  <c r="P198" i="40"/>
  <c r="R197" i="40"/>
  <c r="Q197" i="40"/>
  <c r="P197" i="40"/>
  <c r="R196" i="40"/>
  <c r="Q196" i="40"/>
  <c r="P196" i="40"/>
  <c r="R195" i="40"/>
  <c r="Q195" i="40"/>
  <c r="P195" i="40"/>
  <c r="R194" i="40"/>
  <c r="Q194" i="40"/>
  <c r="P194" i="40"/>
  <c r="R193" i="40"/>
  <c r="Q193" i="40"/>
  <c r="P193" i="40"/>
  <c r="R192" i="40"/>
  <c r="Q192" i="40"/>
  <c r="P192" i="40"/>
  <c r="R191" i="40"/>
  <c r="Q191" i="40"/>
  <c r="P191" i="40"/>
  <c r="R190" i="40"/>
  <c r="Q190" i="40"/>
  <c r="P190" i="40"/>
  <c r="R189" i="40"/>
  <c r="Q189" i="40"/>
  <c r="P189" i="40"/>
  <c r="R188" i="40"/>
  <c r="Q188" i="40"/>
  <c r="P188" i="40"/>
  <c r="R187" i="40"/>
  <c r="Q187" i="40"/>
  <c r="P187" i="40"/>
  <c r="R186" i="40"/>
  <c r="Q186" i="40"/>
  <c r="P186" i="40"/>
  <c r="R185" i="40"/>
  <c r="Q185" i="40"/>
  <c r="P185" i="40"/>
  <c r="R184" i="40"/>
  <c r="Q184" i="40"/>
  <c r="P184" i="40"/>
  <c r="R183" i="40"/>
  <c r="Q183" i="40"/>
  <c r="P183" i="40"/>
  <c r="R182" i="40"/>
  <c r="Q182" i="40"/>
  <c r="P182" i="40"/>
  <c r="R181" i="40"/>
  <c r="Q181" i="40"/>
  <c r="P181" i="40"/>
  <c r="R180" i="40"/>
  <c r="Q180" i="40"/>
  <c r="P180" i="40"/>
  <c r="R179" i="40"/>
  <c r="Q179" i="40"/>
  <c r="P179" i="40"/>
  <c r="R178" i="40"/>
  <c r="Q178" i="40"/>
  <c r="P178" i="40"/>
  <c r="R177" i="40"/>
  <c r="Q177" i="40"/>
  <c r="P177" i="40"/>
  <c r="R176" i="40"/>
  <c r="Q176" i="40"/>
  <c r="P176" i="40"/>
  <c r="R175" i="40"/>
  <c r="Q175" i="40"/>
  <c r="P175" i="40"/>
  <c r="R174" i="40"/>
  <c r="Q174" i="40"/>
  <c r="P174" i="40"/>
  <c r="R173" i="40"/>
  <c r="Q173" i="40"/>
  <c r="P173" i="40"/>
  <c r="R172" i="40"/>
  <c r="Q172" i="40"/>
  <c r="P172" i="40"/>
  <c r="R171" i="40"/>
  <c r="Q171" i="40"/>
  <c r="P171" i="40"/>
  <c r="R170" i="40"/>
  <c r="Q170" i="40"/>
  <c r="P170" i="40"/>
  <c r="R169" i="40"/>
  <c r="Q169" i="40"/>
  <c r="P169" i="40"/>
  <c r="R168" i="40"/>
  <c r="Q168" i="40"/>
  <c r="P168" i="40"/>
  <c r="R167" i="40"/>
  <c r="Q167" i="40"/>
  <c r="P167" i="40"/>
  <c r="R166" i="40"/>
  <c r="Q166" i="40"/>
  <c r="P166" i="40"/>
  <c r="R165" i="40"/>
  <c r="Q165" i="40"/>
  <c r="P165" i="40"/>
  <c r="R164" i="40"/>
  <c r="Q164" i="40"/>
  <c r="P164" i="40"/>
  <c r="R163" i="40"/>
  <c r="Q163" i="40"/>
  <c r="P163" i="40"/>
  <c r="R162" i="40"/>
  <c r="Q162" i="40"/>
  <c r="P162" i="40"/>
  <c r="R161" i="40"/>
  <c r="Q161" i="40"/>
  <c r="P161" i="40"/>
  <c r="R160" i="40"/>
  <c r="Q160" i="40"/>
  <c r="P160" i="40"/>
  <c r="R159" i="40"/>
  <c r="Q159" i="40"/>
  <c r="P159" i="40"/>
  <c r="R158" i="40"/>
  <c r="Q158" i="40"/>
  <c r="P158" i="40"/>
  <c r="R157" i="40"/>
  <c r="Q157" i="40"/>
  <c r="P157" i="40"/>
  <c r="R156" i="40"/>
  <c r="Q156" i="40"/>
  <c r="P156" i="40"/>
  <c r="R155" i="40"/>
  <c r="Q155" i="40"/>
  <c r="P155" i="40"/>
  <c r="R154" i="40"/>
  <c r="Q154" i="40"/>
  <c r="P154" i="40"/>
  <c r="R153" i="40"/>
  <c r="Q153" i="40"/>
  <c r="P153" i="40"/>
  <c r="R152" i="40"/>
  <c r="Q152" i="40"/>
  <c r="P152" i="40"/>
  <c r="R151" i="40"/>
  <c r="Q151" i="40"/>
  <c r="P151" i="40"/>
  <c r="R150" i="40"/>
  <c r="Q150" i="40"/>
  <c r="P150" i="40"/>
  <c r="R149" i="40"/>
  <c r="Q149" i="40"/>
  <c r="P149" i="40"/>
  <c r="R148" i="40"/>
  <c r="Q148" i="40"/>
  <c r="P148" i="40"/>
  <c r="R147" i="40"/>
  <c r="Q147" i="40"/>
  <c r="P147" i="40"/>
  <c r="R146" i="40"/>
  <c r="Q146" i="40"/>
  <c r="P146" i="40"/>
  <c r="R145" i="40"/>
  <c r="Q145" i="40"/>
  <c r="P145" i="40"/>
  <c r="R144" i="40"/>
  <c r="Q144" i="40"/>
  <c r="P144" i="40"/>
  <c r="R143" i="40"/>
  <c r="Q143" i="40"/>
  <c r="P143" i="40"/>
  <c r="R142" i="40"/>
  <c r="Q142" i="40"/>
  <c r="P142" i="40"/>
  <c r="R141" i="40"/>
  <c r="Q141" i="40"/>
  <c r="P141" i="40"/>
  <c r="R140" i="40"/>
  <c r="Q140" i="40"/>
  <c r="P140" i="40"/>
  <c r="R139" i="40"/>
  <c r="Q139" i="40"/>
  <c r="P139" i="40"/>
  <c r="R138" i="40"/>
  <c r="Q138" i="40"/>
  <c r="P138" i="40"/>
  <c r="R137" i="40"/>
  <c r="Q137" i="40"/>
  <c r="P137" i="40"/>
  <c r="R136" i="40"/>
  <c r="Q136" i="40"/>
  <c r="P136" i="40"/>
  <c r="R135" i="40"/>
  <c r="Q135" i="40"/>
  <c r="P135" i="40"/>
  <c r="R134" i="40"/>
  <c r="Q134" i="40"/>
  <c r="P134" i="40"/>
  <c r="R133" i="40"/>
  <c r="Q133" i="40"/>
  <c r="P133" i="40"/>
  <c r="R132" i="40"/>
  <c r="Q132" i="40"/>
  <c r="P132" i="40"/>
  <c r="R131" i="40"/>
  <c r="Q131" i="40"/>
  <c r="P131" i="40"/>
  <c r="R130" i="40"/>
  <c r="Q130" i="40"/>
  <c r="P130" i="40"/>
  <c r="R129" i="40"/>
  <c r="Q129" i="40"/>
  <c r="P129" i="40"/>
  <c r="R128" i="40"/>
  <c r="Q128" i="40"/>
  <c r="P128" i="40"/>
  <c r="R127" i="40"/>
  <c r="Q127" i="40"/>
  <c r="P127" i="40"/>
  <c r="R126" i="40"/>
  <c r="Q126" i="40"/>
  <c r="P126" i="40"/>
  <c r="R125" i="40"/>
  <c r="Q125" i="40"/>
  <c r="P125" i="40"/>
  <c r="R124" i="40"/>
  <c r="Q124" i="40"/>
  <c r="P124" i="40"/>
  <c r="R123" i="40"/>
  <c r="Q123" i="40"/>
  <c r="P123" i="40"/>
  <c r="R122" i="40"/>
  <c r="Q122" i="40"/>
  <c r="P122" i="40"/>
  <c r="R121" i="40"/>
  <c r="Q121" i="40"/>
  <c r="P121" i="40"/>
  <c r="R120" i="40"/>
  <c r="Q120" i="40"/>
  <c r="P120" i="40"/>
  <c r="R119" i="40"/>
  <c r="Q119" i="40"/>
  <c r="P119" i="40"/>
  <c r="R118" i="40"/>
  <c r="Q118" i="40"/>
  <c r="P118" i="40"/>
  <c r="R117" i="40"/>
  <c r="Q117" i="40"/>
  <c r="P117" i="40"/>
  <c r="R116" i="40"/>
  <c r="Q116" i="40"/>
  <c r="P116" i="40"/>
  <c r="R115" i="40"/>
  <c r="Q115" i="40"/>
  <c r="P115" i="40"/>
  <c r="R114" i="40"/>
  <c r="Q114" i="40"/>
  <c r="P114" i="40"/>
  <c r="R113" i="40"/>
  <c r="Q113" i="40"/>
  <c r="P113" i="40"/>
  <c r="R112" i="40"/>
  <c r="Q112" i="40"/>
  <c r="P112" i="40"/>
  <c r="R111" i="40"/>
  <c r="Q111" i="40"/>
  <c r="P111" i="40"/>
  <c r="R110" i="40"/>
  <c r="Q110" i="40"/>
  <c r="P110" i="40"/>
  <c r="R109" i="40"/>
  <c r="Q109" i="40"/>
  <c r="P109" i="40"/>
  <c r="R108" i="40"/>
  <c r="Q108" i="40"/>
  <c r="P108" i="40"/>
  <c r="R107" i="40"/>
  <c r="Q107" i="40"/>
  <c r="P107" i="40"/>
  <c r="R106" i="40"/>
  <c r="Q106" i="40"/>
  <c r="P106" i="40"/>
  <c r="R105" i="40"/>
  <c r="Q105" i="40"/>
  <c r="P105" i="40"/>
  <c r="R104" i="40"/>
  <c r="Q104" i="40"/>
  <c r="P104" i="40"/>
  <c r="R103" i="40"/>
  <c r="Q103" i="40"/>
  <c r="P103" i="40"/>
  <c r="R102" i="40"/>
  <c r="Q102" i="40"/>
  <c r="P102" i="40"/>
  <c r="R101" i="40"/>
  <c r="Q101" i="40"/>
  <c r="P101" i="40"/>
  <c r="R100" i="40"/>
  <c r="Q100" i="40"/>
  <c r="P100" i="40"/>
  <c r="R99" i="40"/>
  <c r="Q99" i="40"/>
  <c r="P99" i="40"/>
  <c r="R98" i="40"/>
  <c r="Q98" i="40"/>
  <c r="P98" i="40"/>
  <c r="R97" i="40"/>
  <c r="Q97" i="40"/>
  <c r="P97" i="40"/>
  <c r="R96" i="40"/>
  <c r="Q96" i="40"/>
  <c r="P96" i="40"/>
  <c r="R95" i="40"/>
  <c r="Q95" i="40"/>
  <c r="P95" i="40"/>
  <c r="R94" i="40"/>
  <c r="Q94" i="40"/>
  <c r="P94" i="40"/>
  <c r="R93" i="40"/>
  <c r="Q93" i="40"/>
  <c r="P93" i="40"/>
  <c r="R92" i="40"/>
  <c r="Q92" i="40"/>
  <c r="P92" i="40"/>
  <c r="R91" i="40"/>
  <c r="Q91" i="40"/>
  <c r="P91" i="40"/>
  <c r="R90" i="40"/>
  <c r="Q90" i="40"/>
  <c r="P90" i="40"/>
  <c r="R89" i="40"/>
  <c r="Q89" i="40"/>
  <c r="P89" i="40"/>
  <c r="R88" i="40"/>
  <c r="Q88" i="40"/>
  <c r="P88" i="40"/>
  <c r="R87" i="40"/>
  <c r="Q87" i="40"/>
  <c r="P87" i="40"/>
  <c r="R86" i="40"/>
  <c r="Q86" i="40"/>
  <c r="P86" i="40"/>
  <c r="R85" i="40"/>
  <c r="Q85" i="40"/>
  <c r="P85" i="40"/>
  <c r="R84" i="40"/>
  <c r="Q84" i="40"/>
  <c r="P84" i="40"/>
  <c r="R83" i="40"/>
  <c r="Q83" i="40"/>
  <c r="P83" i="40"/>
  <c r="R82" i="40"/>
  <c r="Q82" i="40"/>
  <c r="P82" i="40"/>
  <c r="R81" i="40"/>
  <c r="Q81" i="40"/>
  <c r="P81" i="40"/>
  <c r="R80" i="40"/>
  <c r="Q80" i="40"/>
  <c r="P80" i="40"/>
  <c r="R79" i="40"/>
  <c r="Q79" i="40"/>
  <c r="P79" i="40"/>
  <c r="R78" i="40"/>
  <c r="Q78" i="40"/>
  <c r="P78" i="40"/>
  <c r="R77" i="40"/>
  <c r="Q77" i="40"/>
  <c r="P77" i="40"/>
  <c r="R76" i="40"/>
  <c r="Q76" i="40"/>
  <c r="P76" i="40"/>
  <c r="R75" i="40"/>
  <c r="Q75" i="40"/>
  <c r="P75" i="40"/>
  <c r="R74" i="40"/>
  <c r="Q74" i="40"/>
  <c r="P74" i="40"/>
  <c r="R73" i="40"/>
  <c r="Q73" i="40"/>
  <c r="P73" i="40"/>
  <c r="R72" i="40"/>
  <c r="Q72" i="40"/>
  <c r="P72" i="40"/>
  <c r="R71" i="40"/>
  <c r="Q71" i="40"/>
  <c r="P71" i="40"/>
  <c r="R70" i="40"/>
  <c r="Q70" i="40"/>
  <c r="P70" i="40"/>
  <c r="R69" i="40"/>
  <c r="Q69" i="40"/>
  <c r="P69" i="40"/>
  <c r="R68" i="40"/>
  <c r="Q68" i="40"/>
  <c r="P68" i="40"/>
  <c r="R67" i="40"/>
  <c r="Q67" i="40"/>
  <c r="P67" i="40"/>
  <c r="R66" i="40"/>
  <c r="Q66" i="40"/>
  <c r="P66" i="40"/>
  <c r="R65" i="40"/>
  <c r="Q65" i="40"/>
  <c r="P65" i="40"/>
  <c r="R64" i="40"/>
  <c r="Q64" i="40"/>
  <c r="P64" i="40"/>
  <c r="R63" i="40"/>
  <c r="Q63" i="40"/>
  <c r="P63" i="40"/>
  <c r="R62" i="40"/>
  <c r="Q62" i="40"/>
  <c r="P62" i="40"/>
  <c r="R61" i="40"/>
  <c r="Q61" i="40"/>
  <c r="P61" i="40"/>
  <c r="R60" i="40"/>
  <c r="Q60" i="40"/>
  <c r="P60" i="40"/>
  <c r="R59" i="40"/>
  <c r="Q59" i="40"/>
  <c r="P59" i="40"/>
  <c r="R58" i="40"/>
  <c r="Q58" i="40"/>
  <c r="P58" i="40"/>
  <c r="R57" i="40"/>
  <c r="Q57" i="40"/>
  <c r="P57" i="40"/>
  <c r="R56" i="40"/>
  <c r="Q56" i="40"/>
  <c r="P56" i="40"/>
  <c r="R55" i="40"/>
  <c r="Q55" i="40"/>
  <c r="P55" i="40"/>
  <c r="R54" i="40"/>
  <c r="Q54" i="40"/>
  <c r="P54" i="40"/>
  <c r="R53" i="40"/>
  <c r="Q53" i="40"/>
  <c r="P53" i="40"/>
  <c r="AI52" i="40"/>
  <c r="R52" i="40"/>
  <c r="Q52" i="40"/>
  <c r="P52" i="40"/>
  <c r="AI51" i="40"/>
  <c r="R51" i="40"/>
  <c r="Q51" i="40"/>
  <c r="P51" i="40"/>
  <c r="AI50" i="40"/>
  <c r="R50" i="40"/>
  <c r="Q50" i="40"/>
  <c r="P50" i="40"/>
  <c r="AI49" i="40"/>
  <c r="R49" i="40"/>
  <c r="Q49" i="40"/>
  <c r="P49" i="40"/>
  <c r="AI48" i="40"/>
  <c r="R48" i="40"/>
  <c r="Q48" i="40"/>
  <c r="P48" i="40"/>
  <c r="AI47" i="40"/>
  <c r="R47" i="40"/>
  <c r="Q47" i="40"/>
  <c r="P47" i="40"/>
  <c r="AI46" i="40"/>
  <c r="R46" i="40"/>
  <c r="Q46" i="40"/>
  <c r="P46" i="40"/>
  <c r="AI45" i="40"/>
  <c r="R45" i="40"/>
  <c r="Q45" i="40"/>
  <c r="P45" i="40"/>
  <c r="AI44" i="40"/>
  <c r="R44" i="40"/>
  <c r="Q44" i="40"/>
  <c r="P44" i="40"/>
  <c r="AI43" i="40"/>
  <c r="R43" i="40"/>
  <c r="Q43" i="40"/>
  <c r="P43" i="40"/>
  <c r="AI42" i="40"/>
  <c r="R42" i="40"/>
  <c r="Q42" i="40"/>
  <c r="P42" i="40"/>
  <c r="AI41" i="40"/>
  <c r="R41" i="40"/>
  <c r="Q41" i="40"/>
  <c r="P41" i="40"/>
  <c r="AI40" i="40"/>
  <c r="R40" i="40"/>
  <c r="Q40" i="40"/>
  <c r="P40" i="40"/>
  <c r="AI39" i="40"/>
  <c r="R39" i="40"/>
  <c r="Q39" i="40"/>
  <c r="P39" i="40"/>
  <c r="AI38" i="40"/>
  <c r="R38" i="40"/>
  <c r="Q38" i="40"/>
  <c r="P38" i="40"/>
  <c r="AI37" i="40"/>
  <c r="R37" i="40"/>
  <c r="Q37" i="40"/>
  <c r="P37" i="40"/>
  <c r="AI36" i="40"/>
  <c r="R36" i="40"/>
  <c r="Q36" i="40"/>
  <c r="P36" i="40"/>
  <c r="AI35" i="40"/>
  <c r="R35" i="40"/>
  <c r="Q35" i="40"/>
  <c r="P35" i="40"/>
  <c r="AI34" i="40"/>
  <c r="R34" i="40"/>
  <c r="Q34" i="40"/>
  <c r="P34" i="40"/>
  <c r="AI33" i="40"/>
  <c r="R33" i="40"/>
  <c r="Q33" i="40"/>
  <c r="P33" i="40"/>
  <c r="AI32" i="40"/>
  <c r="R32" i="40"/>
  <c r="Q32" i="40"/>
  <c r="P32" i="40"/>
  <c r="AI31" i="40"/>
  <c r="R31" i="40"/>
  <c r="Q31" i="40"/>
  <c r="P31" i="40"/>
  <c r="AI30" i="40"/>
  <c r="R30" i="40"/>
  <c r="Q30" i="40"/>
  <c r="P30" i="40"/>
  <c r="AI29" i="40"/>
  <c r="R29" i="40"/>
  <c r="Q29" i="40"/>
  <c r="P29" i="40"/>
  <c r="AI28" i="40"/>
  <c r="R28" i="40"/>
  <c r="Q28" i="40"/>
  <c r="P28" i="40"/>
  <c r="AI27" i="40"/>
  <c r="R27" i="40"/>
  <c r="Q27" i="40"/>
  <c r="P27" i="40"/>
  <c r="AI26" i="40"/>
  <c r="R26" i="40"/>
  <c r="Q26" i="40"/>
  <c r="P26" i="40"/>
  <c r="AI25" i="40"/>
  <c r="R25" i="40"/>
  <c r="Q25" i="40"/>
  <c r="P25" i="40"/>
  <c r="AI24" i="40"/>
  <c r="R24" i="40"/>
  <c r="Q24" i="40"/>
  <c r="P24" i="40"/>
  <c r="AI23" i="40"/>
  <c r="R23" i="40"/>
  <c r="Q23" i="40"/>
  <c r="P23" i="40"/>
  <c r="AI22" i="40"/>
  <c r="R22" i="40"/>
  <c r="Q22" i="40"/>
  <c r="P22" i="40"/>
  <c r="AI21" i="40"/>
  <c r="R21" i="40"/>
  <c r="Q21" i="40"/>
  <c r="P21" i="40"/>
  <c r="AI20" i="40"/>
  <c r="R20" i="40"/>
  <c r="Q20" i="40"/>
  <c r="P20" i="40"/>
  <c r="AI19" i="40"/>
  <c r="R19" i="40"/>
  <c r="Q19" i="40"/>
  <c r="P19" i="40"/>
  <c r="AI18" i="40"/>
  <c r="R18" i="40"/>
  <c r="Q18" i="40"/>
  <c r="P18" i="40"/>
  <c r="R17" i="40"/>
  <c r="Q17" i="40"/>
  <c r="P17" i="40"/>
  <c r="R16" i="40"/>
  <c r="Q16" i="40"/>
  <c r="P16" i="40"/>
  <c r="R15" i="40"/>
  <c r="Q15" i="40"/>
  <c r="P15" i="40"/>
  <c r="R14" i="40"/>
  <c r="Q14" i="40"/>
  <c r="P14" i="40"/>
  <c r="R13" i="40"/>
  <c r="Q13" i="40"/>
  <c r="P13" i="40"/>
  <c r="R12" i="40"/>
  <c r="S12" i="40" s="1"/>
  <c r="Q12" i="40"/>
  <c r="P12" i="40"/>
  <c r="R11" i="40"/>
  <c r="Q11" i="40"/>
  <c r="P11" i="40"/>
  <c r="R10" i="40"/>
  <c r="Q10" i="40"/>
  <c r="P10" i="40"/>
  <c r="R9" i="40"/>
  <c r="Q9" i="40"/>
  <c r="P9" i="40"/>
  <c r="T8" i="40"/>
  <c r="T9" i="40" s="1"/>
  <c r="R8" i="40"/>
  <c r="Q8" i="40"/>
  <c r="P8" i="40"/>
  <c r="U7" i="40"/>
  <c r="R7" i="40"/>
  <c r="Q7" i="40"/>
  <c r="P7" i="40"/>
  <c r="R345" i="39"/>
  <c r="Q345" i="39"/>
  <c r="P345" i="39"/>
  <c r="R344" i="39"/>
  <c r="Q344" i="39"/>
  <c r="P344" i="39"/>
  <c r="R343" i="39"/>
  <c r="Q343" i="39"/>
  <c r="P343" i="39"/>
  <c r="S343" i="39" s="1"/>
  <c r="R342" i="39"/>
  <c r="Q342" i="39"/>
  <c r="P342" i="39"/>
  <c r="R341" i="39"/>
  <c r="Q341" i="39"/>
  <c r="P341" i="39"/>
  <c r="R340" i="39"/>
  <c r="Q340" i="39"/>
  <c r="P340" i="39"/>
  <c r="R339" i="39"/>
  <c r="Q339" i="39"/>
  <c r="P339" i="39"/>
  <c r="S339" i="39" s="1"/>
  <c r="R338" i="39"/>
  <c r="Q338" i="39"/>
  <c r="P338" i="39"/>
  <c r="S338" i="39" s="1"/>
  <c r="R337" i="39"/>
  <c r="Q337" i="39"/>
  <c r="P337" i="39"/>
  <c r="S337" i="39" s="1"/>
  <c r="R336" i="39"/>
  <c r="Q336" i="39"/>
  <c r="P336" i="39"/>
  <c r="R335" i="39"/>
  <c r="Q335" i="39"/>
  <c r="P335" i="39"/>
  <c r="R334" i="39"/>
  <c r="Q334" i="39"/>
  <c r="P334" i="39"/>
  <c r="R333" i="39"/>
  <c r="Q333" i="39"/>
  <c r="P333" i="39"/>
  <c r="R332" i="39"/>
  <c r="Q332" i="39"/>
  <c r="P332" i="39"/>
  <c r="R331" i="39"/>
  <c r="Q331" i="39"/>
  <c r="P331" i="39"/>
  <c r="S331" i="39" s="1"/>
  <c r="R330" i="39"/>
  <c r="Q330" i="39"/>
  <c r="P330" i="39"/>
  <c r="R329" i="39"/>
  <c r="Q329" i="39"/>
  <c r="P329" i="39"/>
  <c r="R328" i="39"/>
  <c r="Q328" i="39"/>
  <c r="P328" i="39"/>
  <c r="R327" i="39"/>
  <c r="Q327" i="39"/>
  <c r="P327" i="39"/>
  <c r="S327" i="39" s="1"/>
  <c r="R326" i="39"/>
  <c r="Q326" i="39"/>
  <c r="P326" i="39"/>
  <c r="R325" i="39"/>
  <c r="S325" i="39" s="1"/>
  <c r="Q325" i="39"/>
  <c r="P325" i="39"/>
  <c r="R324" i="39"/>
  <c r="Q324" i="39"/>
  <c r="P324" i="39"/>
  <c r="R323" i="39"/>
  <c r="Q323" i="39"/>
  <c r="P323" i="39"/>
  <c r="S323" i="39" s="1"/>
  <c r="R322" i="39"/>
  <c r="Q322" i="39"/>
  <c r="P322" i="39"/>
  <c r="R321" i="39"/>
  <c r="Q321" i="39"/>
  <c r="P321" i="39"/>
  <c r="S321" i="39" s="1"/>
  <c r="R320" i="39"/>
  <c r="Q320" i="39"/>
  <c r="P320" i="39"/>
  <c r="R319" i="39"/>
  <c r="Q319" i="39"/>
  <c r="P319" i="39"/>
  <c r="S319" i="39" s="1"/>
  <c r="R318" i="39"/>
  <c r="Q318" i="39"/>
  <c r="P318" i="39"/>
  <c r="R317" i="39"/>
  <c r="Q317" i="39"/>
  <c r="P317" i="39"/>
  <c r="R316" i="39"/>
  <c r="Q316" i="39"/>
  <c r="P316" i="39"/>
  <c r="R315" i="39"/>
  <c r="Q315" i="39"/>
  <c r="P315" i="39"/>
  <c r="R314" i="39"/>
  <c r="Q314" i="39"/>
  <c r="P314" i="39"/>
  <c r="S314" i="39" s="1"/>
  <c r="R313" i="39"/>
  <c r="Q313" i="39"/>
  <c r="P313" i="39"/>
  <c r="S313" i="39" s="1"/>
  <c r="R312" i="39"/>
  <c r="Q312" i="39"/>
  <c r="P312" i="39"/>
  <c r="R311" i="39"/>
  <c r="Q311" i="39"/>
  <c r="P311" i="39"/>
  <c r="S311" i="39" s="1"/>
  <c r="R310" i="39"/>
  <c r="Q310" i="39"/>
  <c r="P310" i="39"/>
  <c r="R309" i="39"/>
  <c r="Q309" i="39"/>
  <c r="P309" i="39"/>
  <c r="R308" i="39"/>
  <c r="Q308" i="39"/>
  <c r="P308" i="39"/>
  <c r="R307" i="39"/>
  <c r="Q307" i="39"/>
  <c r="P307" i="39"/>
  <c r="R306" i="39"/>
  <c r="Q306" i="39"/>
  <c r="P306" i="39"/>
  <c r="R305" i="39"/>
  <c r="Q305" i="39"/>
  <c r="P305" i="39"/>
  <c r="S305" i="39" s="1"/>
  <c r="R304" i="39"/>
  <c r="Q304" i="39"/>
  <c r="P304" i="39"/>
  <c r="R303" i="39"/>
  <c r="Q303" i="39"/>
  <c r="P303" i="39"/>
  <c r="S303" i="39" s="1"/>
  <c r="R302" i="39"/>
  <c r="Q302" i="39"/>
  <c r="P302" i="39"/>
  <c r="S302" i="39" s="1"/>
  <c r="R301" i="39"/>
  <c r="Q301" i="39"/>
  <c r="P301" i="39"/>
  <c r="R300" i="39"/>
  <c r="Q300" i="39"/>
  <c r="P300" i="39"/>
  <c r="R299" i="39"/>
  <c r="Q299" i="39"/>
  <c r="P299" i="39"/>
  <c r="S299" i="39" s="1"/>
  <c r="R298" i="39"/>
  <c r="Q298" i="39"/>
  <c r="P298" i="39"/>
  <c r="R297" i="39"/>
  <c r="Q297" i="39"/>
  <c r="P297" i="39"/>
  <c r="R296" i="39"/>
  <c r="Q296" i="39"/>
  <c r="P296" i="39"/>
  <c r="R295" i="39"/>
  <c r="Q295" i="39"/>
  <c r="P295" i="39"/>
  <c r="R294" i="39"/>
  <c r="Q294" i="39"/>
  <c r="P294" i="39"/>
  <c r="S294" i="39" s="1"/>
  <c r="R293" i="39"/>
  <c r="Q293" i="39"/>
  <c r="P293" i="39"/>
  <c r="R292" i="39"/>
  <c r="Q292" i="39"/>
  <c r="P292" i="39"/>
  <c r="R291" i="39"/>
  <c r="Q291" i="39"/>
  <c r="P291" i="39"/>
  <c r="R290" i="39"/>
  <c r="Q290" i="39"/>
  <c r="P290" i="39"/>
  <c r="R289" i="39"/>
  <c r="Q289" i="39"/>
  <c r="P289" i="39"/>
  <c r="R288" i="39"/>
  <c r="Q288" i="39"/>
  <c r="P288" i="39"/>
  <c r="R287" i="39"/>
  <c r="Q287" i="39"/>
  <c r="P287" i="39"/>
  <c r="R286" i="39"/>
  <c r="Q286" i="39"/>
  <c r="P286" i="39"/>
  <c r="R285" i="39"/>
  <c r="Q285" i="39"/>
  <c r="P285" i="39"/>
  <c r="R284" i="39"/>
  <c r="Q284" i="39"/>
  <c r="P284" i="39"/>
  <c r="R283" i="39"/>
  <c r="Q283" i="39"/>
  <c r="P283" i="39"/>
  <c r="R282" i="39"/>
  <c r="Q282" i="39"/>
  <c r="P282" i="39"/>
  <c r="S282" i="39" s="1"/>
  <c r="R281" i="39"/>
  <c r="Q281" i="39"/>
  <c r="P281" i="39"/>
  <c r="R280" i="39"/>
  <c r="Q280" i="39"/>
  <c r="P280" i="39"/>
  <c r="R279" i="39"/>
  <c r="Q279" i="39"/>
  <c r="P279" i="39"/>
  <c r="R278" i="39"/>
  <c r="Q278" i="39"/>
  <c r="P278" i="39"/>
  <c r="S278" i="39" s="1"/>
  <c r="R277" i="39"/>
  <c r="Q277" i="39"/>
  <c r="P277" i="39"/>
  <c r="R276" i="39"/>
  <c r="Q276" i="39"/>
  <c r="P276" i="39"/>
  <c r="R275" i="39"/>
  <c r="Q275" i="39"/>
  <c r="P275" i="39"/>
  <c r="R274" i="39"/>
  <c r="Q274" i="39"/>
  <c r="P274" i="39"/>
  <c r="R273" i="39"/>
  <c r="Q273" i="39"/>
  <c r="P273" i="39"/>
  <c r="R272" i="39"/>
  <c r="Q272" i="39"/>
  <c r="P272" i="39"/>
  <c r="R271" i="39"/>
  <c r="Q271" i="39"/>
  <c r="P271" i="39"/>
  <c r="R270" i="39"/>
  <c r="Q270" i="39"/>
  <c r="P270" i="39"/>
  <c r="R269" i="39"/>
  <c r="Q269" i="39"/>
  <c r="P269" i="39"/>
  <c r="R268" i="39"/>
  <c r="Q268" i="39"/>
  <c r="P268" i="39"/>
  <c r="R267" i="39"/>
  <c r="Q267" i="39"/>
  <c r="P267" i="39"/>
  <c r="R266" i="39"/>
  <c r="Q266" i="39"/>
  <c r="P266" i="39"/>
  <c r="R265" i="39"/>
  <c r="Q265" i="39"/>
  <c r="P265" i="39"/>
  <c r="R264" i="39"/>
  <c r="Q264" i="39"/>
  <c r="P264" i="39"/>
  <c r="R263" i="39"/>
  <c r="Q263" i="39"/>
  <c r="P263" i="39"/>
  <c r="R262" i="39"/>
  <c r="Q262" i="39"/>
  <c r="P262" i="39"/>
  <c r="R261" i="39"/>
  <c r="Q261" i="39"/>
  <c r="P261" i="39"/>
  <c r="R260" i="39"/>
  <c r="Q260" i="39"/>
  <c r="P260" i="39"/>
  <c r="R259" i="39"/>
  <c r="Q259" i="39"/>
  <c r="P259" i="39"/>
  <c r="R258" i="39"/>
  <c r="Q258" i="39"/>
  <c r="P258" i="39"/>
  <c r="R257" i="39"/>
  <c r="Q257" i="39"/>
  <c r="P257" i="39"/>
  <c r="R256" i="39"/>
  <c r="Q256" i="39"/>
  <c r="P256" i="39"/>
  <c r="R255" i="39"/>
  <c r="Q255" i="39"/>
  <c r="P255" i="39"/>
  <c r="R254" i="39"/>
  <c r="Q254" i="39"/>
  <c r="P254" i="39"/>
  <c r="R253" i="39"/>
  <c r="Q253" i="39"/>
  <c r="P253" i="39"/>
  <c r="R252" i="39"/>
  <c r="Q252" i="39"/>
  <c r="P252" i="39"/>
  <c r="R251" i="39"/>
  <c r="Q251" i="39"/>
  <c r="P251" i="39"/>
  <c r="R250" i="39"/>
  <c r="Q250" i="39"/>
  <c r="P250" i="39"/>
  <c r="R249" i="39"/>
  <c r="Q249" i="39"/>
  <c r="P249" i="39"/>
  <c r="R248" i="39"/>
  <c r="Q248" i="39"/>
  <c r="P248" i="39"/>
  <c r="R247" i="39"/>
  <c r="Q247" i="39"/>
  <c r="P247" i="39"/>
  <c r="R246" i="39"/>
  <c r="Q246" i="39"/>
  <c r="P246" i="39"/>
  <c r="R245" i="39"/>
  <c r="Q245" i="39"/>
  <c r="P245" i="39"/>
  <c r="R244" i="39"/>
  <c r="Q244" i="39"/>
  <c r="P244" i="39"/>
  <c r="R243" i="39"/>
  <c r="Q243" i="39"/>
  <c r="P243" i="39"/>
  <c r="R242" i="39"/>
  <c r="Q242" i="39"/>
  <c r="P242" i="39"/>
  <c r="R241" i="39"/>
  <c r="Q241" i="39"/>
  <c r="P241" i="39"/>
  <c r="R240" i="39"/>
  <c r="Q240" i="39"/>
  <c r="P240" i="39"/>
  <c r="R239" i="39"/>
  <c r="Q239" i="39"/>
  <c r="P239" i="39"/>
  <c r="R238" i="39"/>
  <c r="Q238" i="39"/>
  <c r="P238" i="39"/>
  <c r="S238" i="39" s="1"/>
  <c r="R237" i="39"/>
  <c r="Q237" i="39"/>
  <c r="P237" i="39"/>
  <c r="R236" i="39"/>
  <c r="Q236" i="39"/>
  <c r="P236" i="39"/>
  <c r="R235" i="39"/>
  <c r="Q235" i="39"/>
  <c r="P235" i="39"/>
  <c r="S235" i="39" s="1"/>
  <c r="R234" i="39"/>
  <c r="Q234" i="39"/>
  <c r="P234" i="39"/>
  <c r="R233" i="39"/>
  <c r="Q233" i="39"/>
  <c r="P233" i="39"/>
  <c r="R232" i="39"/>
  <c r="Q232" i="39"/>
  <c r="P232" i="39"/>
  <c r="R231" i="39"/>
  <c r="Q231" i="39"/>
  <c r="P231" i="39"/>
  <c r="R230" i="39"/>
  <c r="Q230" i="39"/>
  <c r="P230" i="39"/>
  <c r="S230" i="39" s="1"/>
  <c r="R229" i="39"/>
  <c r="Q229" i="39"/>
  <c r="P229" i="39"/>
  <c r="R228" i="39"/>
  <c r="Q228" i="39"/>
  <c r="P228" i="39"/>
  <c r="R227" i="39"/>
  <c r="Q227" i="39"/>
  <c r="P227" i="39"/>
  <c r="R226" i="39"/>
  <c r="Q226" i="39"/>
  <c r="P226" i="39"/>
  <c r="R225" i="39"/>
  <c r="Q225" i="39"/>
  <c r="P225" i="39"/>
  <c r="R224" i="39"/>
  <c r="Q224" i="39"/>
  <c r="P224" i="39"/>
  <c r="R223" i="39"/>
  <c r="Q223" i="39"/>
  <c r="P223" i="39"/>
  <c r="R222" i="39"/>
  <c r="Q222" i="39"/>
  <c r="P222" i="39"/>
  <c r="R221" i="39"/>
  <c r="Q221" i="39"/>
  <c r="P221" i="39"/>
  <c r="R220" i="39"/>
  <c r="Q220" i="39"/>
  <c r="P220" i="39"/>
  <c r="R219" i="39"/>
  <c r="Q219" i="39"/>
  <c r="P219" i="39"/>
  <c r="R218" i="39"/>
  <c r="Q218" i="39"/>
  <c r="P218" i="39"/>
  <c r="R217" i="39"/>
  <c r="Q217" i="39"/>
  <c r="P217" i="39"/>
  <c r="R216" i="39"/>
  <c r="Q216" i="39"/>
  <c r="P216" i="39"/>
  <c r="R215" i="39"/>
  <c r="Q215" i="39"/>
  <c r="P215" i="39"/>
  <c r="R214" i="39"/>
  <c r="Q214" i="39"/>
  <c r="P214" i="39"/>
  <c r="R213" i="39"/>
  <c r="Q213" i="39"/>
  <c r="P213" i="39"/>
  <c r="R212" i="39"/>
  <c r="Q212" i="39"/>
  <c r="P212" i="39"/>
  <c r="R211" i="39"/>
  <c r="Q211" i="39"/>
  <c r="P211" i="39"/>
  <c r="R210" i="39"/>
  <c r="Q210" i="39"/>
  <c r="P210" i="39"/>
  <c r="R209" i="39"/>
  <c r="Q209" i="39"/>
  <c r="P209" i="39"/>
  <c r="R208" i="39"/>
  <c r="Q208" i="39"/>
  <c r="P208" i="39"/>
  <c r="R207" i="39"/>
  <c r="Q207" i="39"/>
  <c r="P207" i="39"/>
  <c r="R206" i="39"/>
  <c r="Q206" i="39"/>
  <c r="P206" i="39"/>
  <c r="R205" i="39"/>
  <c r="Q205" i="39"/>
  <c r="P205" i="39"/>
  <c r="R204" i="39"/>
  <c r="Q204" i="39"/>
  <c r="P204" i="39"/>
  <c r="R203" i="39"/>
  <c r="Q203" i="39"/>
  <c r="P203" i="39"/>
  <c r="R202" i="39"/>
  <c r="Q202" i="39"/>
  <c r="P202" i="39"/>
  <c r="R201" i="39"/>
  <c r="Q201" i="39"/>
  <c r="P201" i="39"/>
  <c r="R200" i="39"/>
  <c r="Q200" i="39"/>
  <c r="P200" i="39"/>
  <c r="R199" i="39"/>
  <c r="Q199" i="39"/>
  <c r="P199" i="39"/>
  <c r="R198" i="39"/>
  <c r="Q198" i="39"/>
  <c r="P198" i="39"/>
  <c r="R197" i="39"/>
  <c r="Q197" i="39"/>
  <c r="P197" i="39"/>
  <c r="R196" i="39"/>
  <c r="Q196" i="39"/>
  <c r="P196" i="39"/>
  <c r="R195" i="39"/>
  <c r="Q195" i="39"/>
  <c r="P195" i="39"/>
  <c r="R194" i="39"/>
  <c r="Q194" i="39"/>
  <c r="P194" i="39"/>
  <c r="R193" i="39"/>
  <c r="Q193" i="39"/>
  <c r="P193" i="39"/>
  <c r="R192" i="39"/>
  <c r="Q192" i="39"/>
  <c r="P192" i="39"/>
  <c r="R191" i="39"/>
  <c r="Q191" i="39"/>
  <c r="P191" i="39"/>
  <c r="R190" i="39"/>
  <c r="Q190" i="39"/>
  <c r="P190" i="39"/>
  <c r="R189" i="39"/>
  <c r="Q189" i="39"/>
  <c r="P189" i="39"/>
  <c r="R188" i="39"/>
  <c r="Q188" i="39"/>
  <c r="P188" i="39"/>
  <c r="R187" i="39"/>
  <c r="Q187" i="39"/>
  <c r="P187" i="39"/>
  <c r="R186" i="39"/>
  <c r="Q186" i="39"/>
  <c r="P186" i="39"/>
  <c r="R185" i="39"/>
  <c r="Q185" i="39"/>
  <c r="P185" i="39"/>
  <c r="R184" i="39"/>
  <c r="Q184" i="39"/>
  <c r="P184" i="39"/>
  <c r="R183" i="39"/>
  <c r="Q183" i="39"/>
  <c r="P183" i="39"/>
  <c r="R182" i="39"/>
  <c r="Q182" i="39"/>
  <c r="P182" i="39"/>
  <c r="R181" i="39"/>
  <c r="Q181" i="39"/>
  <c r="P181" i="39"/>
  <c r="R180" i="39"/>
  <c r="Q180" i="39"/>
  <c r="P180" i="39"/>
  <c r="R179" i="39"/>
  <c r="Q179" i="39"/>
  <c r="P179" i="39"/>
  <c r="R178" i="39"/>
  <c r="Q178" i="39"/>
  <c r="P178" i="39"/>
  <c r="R177" i="39"/>
  <c r="Q177" i="39"/>
  <c r="P177" i="39"/>
  <c r="R176" i="39"/>
  <c r="Q176" i="39"/>
  <c r="P176" i="39"/>
  <c r="R175" i="39"/>
  <c r="Q175" i="39"/>
  <c r="P175" i="39"/>
  <c r="R174" i="39"/>
  <c r="Q174" i="39"/>
  <c r="P174" i="39"/>
  <c r="S174" i="39" s="1"/>
  <c r="R173" i="39"/>
  <c r="Q173" i="39"/>
  <c r="P173" i="39"/>
  <c r="R172" i="39"/>
  <c r="Q172" i="39"/>
  <c r="P172" i="39"/>
  <c r="R171" i="39"/>
  <c r="Q171" i="39"/>
  <c r="P171" i="39"/>
  <c r="R170" i="39"/>
  <c r="Q170" i="39"/>
  <c r="P170" i="39"/>
  <c r="R169" i="39"/>
  <c r="Q169" i="39"/>
  <c r="P169" i="39"/>
  <c r="R168" i="39"/>
  <c r="Q168" i="39"/>
  <c r="P168" i="39"/>
  <c r="R167" i="39"/>
  <c r="Q167" i="39"/>
  <c r="P167" i="39"/>
  <c r="R166" i="39"/>
  <c r="Q166" i="39"/>
  <c r="P166" i="39"/>
  <c r="R165" i="39"/>
  <c r="Q165" i="39"/>
  <c r="P165" i="39"/>
  <c r="R164" i="39"/>
  <c r="Q164" i="39"/>
  <c r="P164" i="39"/>
  <c r="R163" i="39"/>
  <c r="Q163" i="39"/>
  <c r="P163" i="39"/>
  <c r="S163" i="39" s="1"/>
  <c r="R162" i="39"/>
  <c r="Q162" i="39"/>
  <c r="P162" i="39"/>
  <c r="R161" i="39"/>
  <c r="Q161" i="39"/>
  <c r="P161" i="39"/>
  <c r="R160" i="39"/>
  <c r="Q160" i="39"/>
  <c r="P160" i="39"/>
  <c r="R159" i="39"/>
  <c r="Q159" i="39"/>
  <c r="P159" i="39"/>
  <c r="R158" i="39"/>
  <c r="Q158" i="39"/>
  <c r="P158" i="39"/>
  <c r="R157" i="39"/>
  <c r="Q157" i="39"/>
  <c r="P157" i="39"/>
  <c r="R156" i="39"/>
  <c r="Q156" i="39"/>
  <c r="P156" i="39"/>
  <c r="R155" i="39"/>
  <c r="Q155" i="39"/>
  <c r="P155" i="39"/>
  <c r="R154" i="39"/>
  <c r="Q154" i="39"/>
  <c r="P154" i="39"/>
  <c r="R153" i="39"/>
  <c r="Q153" i="39"/>
  <c r="P153" i="39"/>
  <c r="R152" i="39"/>
  <c r="Q152" i="39"/>
  <c r="P152" i="39"/>
  <c r="R151" i="39"/>
  <c r="Q151" i="39"/>
  <c r="P151" i="39"/>
  <c r="R150" i="39"/>
  <c r="Q150" i="39"/>
  <c r="P150" i="39"/>
  <c r="R149" i="39"/>
  <c r="Q149" i="39"/>
  <c r="P149" i="39"/>
  <c r="R148" i="39"/>
  <c r="Q148" i="39"/>
  <c r="P148" i="39"/>
  <c r="R147" i="39"/>
  <c r="Q147" i="39"/>
  <c r="P147" i="39"/>
  <c r="R146" i="39"/>
  <c r="Q146" i="39"/>
  <c r="P146" i="39"/>
  <c r="R145" i="39"/>
  <c r="Q145" i="39"/>
  <c r="P145" i="39"/>
  <c r="R144" i="39"/>
  <c r="Q144" i="39"/>
  <c r="P144" i="39"/>
  <c r="R143" i="39"/>
  <c r="Q143" i="39"/>
  <c r="P143" i="39"/>
  <c r="R142" i="39"/>
  <c r="Q142" i="39"/>
  <c r="P142" i="39"/>
  <c r="R141" i="39"/>
  <c r="Q141" i="39"/>
  <c r="P141" i="39"/>
  <c r="R140" i="39"/>
  <c r="Q140" i="39"/>
  <c r="P140" i="39"/>
  <c r="R139" i="39"/>
  <c r="Q139" i="39"/>
  <c r="P139" i="39"/>
  <c r="R138" i="39"/>
  <c r="Q138" i="39"/>
  <c r="P138" i="39"/>
  <c r="R137" i="39"/>
  <c r="Q137" i="39"/>
  <c r="P137" i="39"/>
  <c r="R136" i="39"/>
  <c r="Q136" i="39"/>
  <c r="P136" i="39"/>
  <c r="R135" i="39"/>
  <c r="Q135" i="39"/>
  <c r="P135" i="39"/>
  <c r="R134" i="39"/>
  <c r="Q134" i="39"/>
  <c r="P134" i="39"/>
  <c r="S134" i="39" s="1"/>
  <c r="R133" i="39"/>
  <c r="Q133" i="39"/>
  <c r="P133" i="39"/>
  <c r="R132" i="39"/>
  <c r="Q132" i="39"/>
  <c r="P132" i="39"/>
  <c r="R131" i="39"/>
  <c r="Q131" i="39"/>
  <c r="P131" i="39"/>
  <c r="R130" i="39"/>
  <c r="Q130" i="39"/>
  <c r="P130" i="39"/>
  <c r="R129" i="39"/>
  <c r="Q129" i="39"/>
  <c r="P129" i="39"/>
  <c r="R128" i="39"/>
  <c r="Q128" i="39"/>
  <c r="P128" i="39"/>
  <c r="R127" i="39"/>
  <c r="Q127" i="39"/>
  <c r="P127" i="39"/>
  <c r="R126" i="39"/>
  <c r="Q126" i="39"/>
  <c r="P126" i="39"/>
  <c r="S126" i="39" s="1"/>
  <c r="R125" i="39"/>
  <c r="Q125" i="39"/>
  <c r="P125" i="39"/>
  <c r="R124" i="39"/>
  <c r="Q124" i="39"/>
  <c r="P124" i="39"/>
  <c r="R123" i="39"/>
  <c r="Q123" i="39"/>
  <c r="P123" i="39"/>
  <c r="R122" i="39"/>
  <c r="Q122" i="39"/>
  <c r="P122" i="39"/>
  <c r="R121" i="39"/>
  <c r="Q121" i="39"/>
  <c r="P121" i="39"/>
  <c r="R120" i="39"/>
  <c r="S120" i="39" s="1"/>
  <c r="Q120" i="39"/>
  <c r="P120" i="39"/>
  <c r="R118" i="39"/>
  <c r="Q118" i="39"/>
  <c r="P118" i="39"/>
  <c r="R117" i="39"/>
  <c r="Q117" i="39"/>
  <c r="P117" i="39"/>
  <c r="S117" i="39" s="1"/>
  <c r="R116" i="39"/>
  <c r="Q116" i="39"/>
  <c r="P116" i="39"/>
  <c r="R115" i="39"/>
  <c r="Q115" i="39"/>
  <c r="P115" i="39"/>
  <c r="R114" i="39"/>
  <c r="Q114" i="39"/>
  <c r="P114" i="39"/>
  <c r="R113" i="39"/>
  <c r="Q113" i="39"/>
  <c r="P113" i="39"/>
  <c r="R112" i="39"/>
  <c r="Q112" i="39"/>
  <c r="P112" i="39"/>
  <c r="R111" i="39"/>
  <c r="S111" i="39" s="1"/>
  <c r="Q111" i="39"/>
  <c r="P111" i="39"/>
  <c r="R110" i="39"/>
  <c r="Q110" i="39"/>
  <c r="P110" i="39"/>
  <c r="R109" i="39"/>
  <c r="Q109" i="39"/>
  <c r="P109" i="39"/>
  <c r="R108" i="39"/>
  <c r="Q108" i="39"/>
  <c r="P108" i="39"/>
  <c r="R107" i="39"/>
  <c r="Q107" i="39"/>
  <c r="P107" i="39"/>
  <c r="R106" i="39"/>
  <c r="Q106" i="39"/>
  <c r="P106" i="39"/>
  <c r="R105" i="39"/>
  <c r="Q105" i="39"/>
  <c r="P105" i="39"/>
  <c r="R104" i="39"/>
  <c r="Q104" i="39"/>
  <c r="P104" i="39"/>
  <c r="S104" i="39" s="1"/>
  <c r="R103" i="39"/>
  <c r="Q103" i="39"/>
  <c r="P103" i="39"/>
  <c r="R102" i="39"/>
  <c r="Q102" i="39"/>
  <c r="P102" i="39"/>
  <c r="R101" i="39"/>
  <c r="Q101" i="39"/>
  <c r="P101" i="39"/>
  <c r="R100" i="39"/>
  <c r="Q100" i="39"/>
  <c r="P100" i="39"/>
  <c r="R99" i="39"/>
  <c r="Q99" i="39"/>
  <c r="P99" i="39"/>
  <c r="R98" i="39"/>
  <c r="Q98" i="39"/>
  <c r="P98" i="39"/>
  <c r="R97" i="39"/>
  <c r="Q97" i="39"/>
  <c r="P97" i="39"/>
  <c r="R96" i="39"/>
  <c r="Q96" i="39"/>
  <c r="P96" i="39"/>
  <c r="R95" i="39"/>
  <c r="Q95" i="39"/>
  <c r="P95" i="39"/>
  <c r="R94" i="39"/>
  <c r="Q94" i="39"/>
  <c r="P94" i="39"/>
  <c r="R93" i="39"/>
  <c r="Q93" i="39"/>
  <c r="P93" i="39"/>
  <c r="R92" i="39"/>
  <c r="Q92" i="39"/>
  <c r="P92" i="39"/>
  <c r="R91" i="39"/>
  <c r="Q91" i="39"/>
  <c r="P91" i="39"/>
  <c r="R90" i="39"/>
  <c r="Q90" i="39"/>
  <c r="P90" i="39"/>
  <c r="R89" i="39"/>
  <c r="Q89" i="39"/>
  <c r="P89" i="39"/>
  <c r="R88" i="39"/>
  <c r="Q88" i="39"/>
  <c r="P88" i="39"/>
  <c r="R87" i="39"/>
  <c r="Q87" i="39"/>
  <c r="P87" i="39"/>
  <c r="R86" i="39"/>
  <c r="Q86" i="39"/>
  <c r="P86" i="39"/>
  <c r="R85" i="39"/>
  <c r="Q85" i="39"/>
  <c r="P85" i="39"/>
  <c r="R84" i="39"/>
  <c r="Q84" i="39"/>
  <c r="P84" i="39"/>
  <c r="R83" i="39"/>
  <c r="Q83" i="39"/>
  <c r="P83" i="39"/>
  <c r="R82" i="39"/>
  <c r="S82" i="39" s="1"/>
  <c r="Q82" i="39"/>
  <c r="P82" i="39"/>
  <c r="R81" i="39"/>
  <c r="Q81" i="39"/>
  <c r="P81" i="39"/>
  <c r="R80" i="39"/>
  <c r="Q80" i="39"/>
  <c r="P80" i="39"/>
  <c r="S80" i="39" s="1"/>
  <c r="R79" i="39"/>
  <c r="Q79" i="39"/>
  <c r="P79" i="39"/>
  <c r="R78" i="39"/>
  <c r="Q78" i="39"/>
  <c r="P78" i="39"/>
  <c r="R77" i="39"/>
  <c r="Q77" i="39"/>
  <c r="P77" i="39"/>
  <c r="R76" i="39"/>
  <c r="Q76" i="39"/>
  <c r="P76" i="39"/>
  <c r="R75" i="39"/>
  <c r="Q75" i="39"/>
  <c r="P75" i="39"/>
  <c r="R74" i="39"/>
  <c r="Q74" i="39"/>
  <c r="P74" i="39"/>
  <c r="R73" i="39"/>
  <c r="Q73" i="39"/>
  <c r="P73" i="39"/>
  <c r="R72" i="39"/>
  <c r="Q72" i="39"/>
  <c r="P72" i="39"/>
  <c r="R71" i="39"/>
  <c r="Q71" i="39"/>
  <c r="P71" i="39"/>
  <c r="R70" i="39"/>
  <c r="Q70" i="39"/>
  <c r="P70" i="39"/>
  <c r="R69" i="39"/>
  <c r="Q69" i="39"/>
  <c r="P69" i="39"/>
  <c r="R68" i="39"/>
  <c r="Q68" i="39"/>
  <c r="P68" i="39"/>
  <c r="R67" i="39"/>
  <c r="Q67" i="39"/>
  <c r="P67" i="39"/>
  <c r="R66" i="39"/>
  <c r="Q66" i="39"/>
  <c r="P66" i="39"/>
  <c r="R65" i="39"/>
  <c r="Q65" i="39"/>
  <c r="P65" i="39"/>
  <c r="R64" i="39"/>
  <c r="Q64" i="39"/>
  <c r="P64" i="39"/>
  <c r="R63" i="39"/>
  <c r="Q63" i="39"/>
  <c r="P63" i="39"/>
  <c r="R62" i="39"/>
  <c r="Q62" i="39"/>
  <c r="P62" i="39"/>
  <c r="R61" i="39"/>
  <c r="Q61" i="39"/>
  <c r="P61" i="39"/>
  <c r="R60" i="39"/>
  <c r="Q60" i="39"/>
  <c r="P60" i="39"/>
  <c r="R59" i="39"/>
  <c r="Q59" i="39"/>
  <c r="P59" i="39"/>
  <c r="R58" i="39"/>
  <c r="Q58" i="39"/>
  <c r="P58" i="39"/>
  <c r="R57" i="39"/>
  <c r="Q57" i="39"/>
  <c r="P57" i="39"/>
  <c r="R56" i="39"/>
  <c r="Q56" i="39"/>
  <c r="P56" i="39"/>
  <c r="R55" i="39"/>
  <c r="Q55" i="39"/>
  <c r="P55" i="39"/>
  <c r="R54" i="39"/>
  <c r="Q54" i="39"/>
  <c r="P54" i="39"/>
  <c r="R53" i="39"/>
  <c r="Q53" i="39"/>
  <c r="P53" i="39"/>
  <c r="R52" i="39"/>
  <c r="Q52" i="39"/>
  <c r="P52" i="39"/>
  <c r="S52" i="39" s="1"/>
  <c r="R51" i="39"/>
  <c r="Q51" i="39"/>
  <c r="P51" i="39"/>
  <c r="R50" i="39"/>
  <c r="Q50" i="39"/>
  <c r="P50" i="39"/>
  <c r="R49" i="39"/>
  <c r="Q49" i="39"/>
  <c r="P49" i="39"/>
  <c r="R48" i="39"/>
  <c r="Q48" i="39"/>
  <c r="P48" i="39"/>
  <c r="S48" i="39" s="1"/>
  <c r="R47" i="39"/>
  <c r="Q47" i="39"/>
  <c r="P47" i="39"/>
  <c r="R46" i="39"/>
  <c r="Q46" i="39"/>
  <c r="P46" i="39"/>
  <c r="R45" i="39"/>
  <c r="Q45" i="39"/>
  <c r="P45" i="39"/>
  <c r="R44" i="39"/>
  <c r="Q44" i="39"/>
  <c r="P44" i="39"/>
  <c r="R43" i="39"/>
  <c r="Q43" i="39"/>
  <c r="P43" i="39"/>
  <c r="R42" i="39"/>
  <c r="Q42" i="39"/>
  <c r="P42" i="39"/>
  <c r="R41" i="39"/>
  <c r="Q41" i="39"/>
  <c r="P41" i="39"/>
  <c r="R40" i="39"/>
  <c r="Q40" i="39"/>
  <c r="P40" i="39"/>
  <c r="R39" i="39"/>
  <c r="Q39" i="39"/>
  <c r="P39" i="39"/>
  <c r="R38" i="39"/>
  <c r="Q38" i="39"/>
  <c r="P38" i="39"/>
  <c r="R37" i="39"/>
  <c r="Q37" i="39"/>
  <c r="P37" i="39"/>
  <c r="R36" i="39"/>
  <c r="Q36" i="39"/>
  <c r="P36" i="39"/>
  <c r="R35" i="39"/>
  <c r="Q35" i="39"/>
  <c r="P35" i="39"/>
  <c r="R34" i="39"/>
  <c r="Q34" i="39"/>
  <c r="P34" i="39"/>
  <c r="R33" i="39"/>
  <c r="Q33" i="39"/>
  <c r="P33" i="39"/>
  <c r="R32" i="39"/>
  <c r="Q32" i="39"/>
  <c r="P32" i="39"/>
  <c r="R31" i="39"/>
  <c r="Q31" i="39"/>
  <c r="P31" i="39"/>
  <c r="R30" i="39"/>
  <c r="Q30" i="39"/>
  <c r="P30" i="39"/>
  <c r="R29" i="39"/>
  <c r="Q29" i="39"/>
  <c r="P29" i="39"/>
  <c r="R28" i="39"/>
  <c r="Q28" i="39"/>
  <c r="P28" i="39"/>
  <c r="R27" i="39"/>
  <c r="Q27" i="39"/>
  <c r="P27" i="39"/>
  <c r="R26" i="39"/>
  <c r="Q26" i="39"/>
  <c r="P26" i="39"/>
  <c r="R25" i="39"/>
  <c r="Q25" i="39"/>
  <c r="P25" i="39"/>
  <c r="R24" i="39"/>
  <c r="Q24" i="39"/>
  <c r="P24" i="39"/>
  <c r="R23" i="39"/>
  <c r="Q23" i="39"/>
  <c r="P23" i="39"/>
  <c r="R22" i="39"/>
  <c r="Q22" i="39"/>
  <c r="P22" i="39"/>
  <c r="R21" i="39"/>
  <c r="Q21" i="39"/>
  <c r="P21" i="39"/>
  <c r="R20" i="39"/>
  <c r="Q20" i="39"/>
  <c r="P20" i="39"/>
  <c r="R19" i="39"/>
  <c r="Q19" i="39"/>
  <c r="P19" i="39"/>
  <c r="R18" i="39"/>
  <c r="Q18" i="39"/>
  <c r="P18" i="39"/>
  <c r="R17" i="39"/>
  <c r="Q17" i="39"/>
  <c r="P17" i="39"/>
  <c r="R16" i="39"/>
  <c r="Q16" i="39"/>
  <c r="P16" i="39"/>
  <c r="S16" i="39" s="1"/>
  <c r="R15" i="39"/>
  <c r="Q15" i="39"/>
  <c r="P15" i="39"/>
  <c r="R14" i="39"/>
  <c r="Q14" i="39"/>
  <c r="P14" i="39"/>
  <c r="R13" i="39"/>
  <c r="Q13" i="39"/>
  <c r="P13" i="39"/>
  <c r="R12" i="39"/>
  <c r="Q12" i="39"/>
  <c r="P12" i="39"/>
  <c r="R11" i="39"/>
  <c r="Q11" i="39"/>
  <c r="P11" i="39"/>
  <c r="R10" i="39"/>
  <c r="Q10" i="39"/>
  <c r="P10" i="39"/>
  <c r="R9" i="39"/>
  <c r="Q9" i="39"/>
  <c r="P9" i="39"/>
  <c r="R8" i="39"/>
  <c r="Q8" i="39"/>
  <c r="P8" i="39"/>
  <c r="S8" i="39" s="1"/>
  <c r="R7" i="39"/>
  <c r="Q7" i="39"/>
  <c r="P7" i="39"/>
  <c r="R6" i="39"/>
  <c r="Q6" i="39"/>
  <c r="P6" i="39"/>
  <c r="T5" i="39"/>
  <c r="R5" i="39"/>
  <c r="Q5" i="39"/>
  <c r="P5" i="39"/>
  <c r="U4" i="39"/>
  <c r="R4" i="39"/>
  <c r="Q4" i="39"/>
  <c r="P4" i="39"/>
  <c r="S58" i="40" l="1"/>
  <c r="S66" i="40"/>
  <c r="S82" i="40"/>
  <c r="S98" i="40"/>
  <c r="S114" i="40"/>
  <c r="S162" i="40"/>
  <c r="S210" i="40"/>
  <c r="S226" i="40"/>
  <c r="S250" i="40"/>
  <c r="S332" i="40"/>
  <c r="S72" i="40"/>
  <c r="S104" i="40"/>
  <c r="S21" i="40"/>
  <c r="S62" i="40"/>
  <c r="S70" i="40"/>
  <c r="S182" i="40"/>
  <c r="S230" i="40"/>
  <c r="S238" i="40"/>
  <c r="S262" i="40"/>
  <c r="S270" i="40"/>
  <c r="S283" i="40"/>
  <c r="S291" i="40"/>
  <c r="S299" i="40"/>
  <c r="S307" i="40"/>
  <c r="S315" i="40"/>
  <c r="S323" i="40"/>
  <c r="S342" i="40"/>
  <c r="S343" i="40"/>
  <c r="S9" i="41"/>
  <c r="S46" i="41"/>
  <c r="S70" i="41"/>
  <c r="S102" i="41"/>
  <c r="S110" i="41"/>
  <c r="S134" i="41"/>
  <c r="S158" i="41"/>
  <c r="S39" i="41"/>
  <c r="S47" i="41"/>
  <c r="S79" i="41"/>
  <c r="S21" i="41"/>
  <c r="S29" i="41"/>
  <c r="S37" i="41"/>
  <c r="S61" i="41"/>
  <c r="S69" i="41"/>
  <c r="S119" i="41"/>
  <c r="S112" i="41"/>
  <c r="S120" i="41"/>
  <c r="S136" i="41"/>
  <c r="S144" i="41"/>
  <c r="S55" i="41"/>
  <c r="S57" i="41"/>
  <c r="S81" i="41"/>
  <c r="S86" i="41"/>
  <c r="S123" i="41"/>
  <c r="S139" i="41"/>
  <c r="S6" i="41"/>
  <c r="S32" i="41"/>
  <c r="S34" i="41"/>
  <c r="S40" i="41"/>
  <c r="S52" i="41"/>
  <c r="S78" i="41"/>
  <c r="S35" i="41"/>
  <c r="S45" i="41"/>
  <c r="S48" i="41"/>
  <c r="S108" i="41"/>
  <c r="S8" i="41"/>
  <c r="S99" i="41"/>
  <c r="S5" i="41"/>
  <c r="S30" i="41"/>
  <c r="S66" i="41"/>
  <c r="S90" i="41"/>
  <c r="S98" i="41"/>
  <c r="S159" i="41"/>
  <c r="S160" i="41"/>
  <c r="S10" i="41"/>
  <c r="S23" i="41"/>
  <c r="S28" i="41"/>
  <c r="S33" i="41"/>
  <c r="S41" i="41"/>
  <c r="S54" i="41"/>
  <c r="S67" i="41"/>
  <c r="S72" i="41"/>
  <c r="S106" i="41"/>
  <c r="S116" i="41"/>
  <c r="S130" i="41"/>
  <c r="S138" i="41"/>
  <c r="S146" i="41"/>
  <c r="S154" i="41"/>
  <c r="S162" i="41"/>
  <c r="S44" i="41"/>
  <c r="S49" i="41"/>
  <c r="S88" i="41"/>
  <c r="S117" i="41"/>
  <c r="S125" i="41"/>
  <c r="S133" i="41"/>
  <c r="S12" i="41"/>
  <c r="S128" i="41"/>
  <c r="S122" i="41"/>
  <c r="S97" i="41"/>
  <c r="S105" i="41"/>
  <c r="S4" i="41"/>
  <c r="S13" i="41"/>
  <c r="S25" i="41"/>
  <c r="S38" i="41"/>
  <c r="S59" i="41"/>
  <c r="S63" i="41"/>
  <c r="S89" i="41"/>
  <c r="S93" i="41"/>
  <c r="S96" i="41"/>
  <c r="S103" i="41"/>
  <c r="S118" i="41"/>
  <c r="S124" i="41"/>
  <c r="S129" i="41"/>
  <c r="S131" i="41"/>
  <c r="S137" i="41"/>
  <c r="S142" i="41"/>
  <c r="S147" i="41"/>
  <c r="S149" i="41"/>
  <c r="S107" i="41"/>
  <c r="S53" i="41"/>
  <c r="S24" i="41"/>
  <c r="S22" i="41"/>
  <c r="S31" i="41"/>
  <c r="S43" i="41"/>
  <c r="S64" i="41"/>
  <c r="S73" i="41"/>
  <c r="S75" i="41"/>
  <c r="S87" i="41"/>
  <c r="S104" i="41"/>
  <c r="S111" i="41"/>
  <c r="S126" i="41"/>
  <c r="S132" i="41"/>
  <c r="S145" i="41"/>
  <c r="S150" i="41"/>
  <c r="S152" i="41"/>
  <c r="S155" i="41"/>
  <c r="S157" i="41"/>
  <c r="S28" i="40"/>
  <c r="S38" i="40"/>
  <c r="S105" i="40"/>
  <c r="S121" i="40"/>
  <c r="S137" i="40"/>
  <c r="S161" i="40"/>
  <c r="S201" i="40"/>
  <c r="S225" i="40"/>
  <c r="S233" i="40"/>
  <c r="S257" i="40"/>
  <c r="S76" i="40"/>
  <c r="S84" i="40"/>
  <c r="S108" i="40"/>
  <c r="S172" i="40"/>
  <c r="S220" i="40"/>
  <c r="S228" i="40"/>
  <c r="S236" i="40"/>
  <c r="S244" i="40"/>
  <c r="S252" i="40"/>
  <c r="S14" i="40"/>
  <c r="S245" i="40"/>
  <c r="S284" i="40"/>
  <c r="S333" i="40"/>
  <c r="S341" i="40"/>
  <c r="S344" i="40"/>
  <c r="S41" i="39"/>
  <c r="S54" i="39"/>
  <c r="S62" i="39"/>
  <c r="S70" i="39"/>
  <c r="S86" i="39"/>
  <c r="S94" i="39"/>
  <c r="S102" i="39"/>
  <c r="S110" i="39"/>
  <c r="S115" i="39"/>
  <c r="S124" i="39"/>
  <c r="S132" i="39"/>
  <c r="S180" i="39"/>
  <c r="S188" i="39"/>
  <c r="S196" i="39"/>
  <c r="S212" i="39"/>
  <c r="S220" i="39"/>
  <c r="S228" i="39"/>
  <c r="S236" i="39"/>
  <c r="S244" i="39"/>
  <c r="S252" i="39"/>
  <c r="S316" i="39"/>
  <c r="S318" i="39"/>
  <c r="S59" i="39"/>
  <c r="S209" i="39"/>
  <c r="S257" i="39"/>
  <c r="S265" i="39"/>
  <c r="S335" i="39"/>
  <c r="S63" i="39"/>
  <c r="S71" i="39"/>
  <c r="S103" i="39"/>
  <c r="S116" i="39"/>
  <c r="S149" i="39"/>
  <c r="S157" i="39"/>
  <c r="S165" i="39"/>
  <c r="S173" i="39"/>
  <c r="S197" i="39"/>
  <c r="S215" i="39"/>
  <c r="S229" i="39"/>
  <c r="S231" i="39"/>
  <c r="S237" i="39"/>
  <c r="S269" i="39"/>
  <c r="S285" i="39"/>
  <c r="S138" i="39"/>
  <c r="S146" i="39"/>
  <c r="S170" i="39"/>
  <c r="S14" i="39"/>
  <c r="S24" i="39"/>
  <c r="S75" i="39"/>
  <c r="S77" i="39"/>
  <c r="S99" i="39"/>
  <c r="S145" i="39"/>
  <c r="S153" i="39"/>
  <c r="S155" i="39"/>
  <c r="S161" i="39"/>
  <c r="S273" i="39"/>
  <c r="S342" i="39"/>
  <c r="S20" i="39"/>
  <c r="S36" i="39"/>
  <c r="S49" i="39"/>
  <c r="S57" i="39"/>
  <c r="S65" i="39"/>
  <c r="S81" i="39"/>
  <c r="S89" i="39"/>
  <c r="S105" i="39"/>
  <c r="S118" i="39"/>
  <c r="S295" i="39"/>
  <c r="S332" i="39"/>
  <c r="S72" i="39"/>
  <c r="S47" i="39"/>
  <c r="S76" i="39"/>
  <c r="S122" i="39"/>
  <c r="S13" i="39"/>
  <c r="S37" i="39"/>
  <c r="S66" i="39"/>
  <c r="S128" i="39"/>
  <c r="S168" i="39"/>
  <c r="S176" i="39"/>
  <c r="S184" i="39"/>
  <c r="S200" i="39"/>
  <c r="S216" i="39"/>
  <c r="S240" i="39"/>
  <c r="S248" i="39"/>
  <c r="S280" i="39"/>
  <c r="S142" i="39"/>
  <c r="S78" i="40"/>
  <c r="S158" i="40"/>
  <c r="S214" i="40"/>
  <c r="S286" i="40"/>
  <c r="S296" i="40"/>
  <c r="S310" i="40"/>
  <c r="S318" i="40"/>
  <c r="S326" i="40"/>
  <c r="S50" i="40"/>
  <c r="S57" i="40"/>
  <c r="S87" i="40"/>
  <c r="S111" i="40"/>
  <c r="S127" i="40"/>
  <c r="S135" i="40"/>
  <c r="S143" i="40"/>
  <c r="S151" i="40"/>
  <c r="S153" i="40"/>
  <c r="S167" i="40"/>
  <c r="S169" i="40"/>
  <c r="S183" i="40"/>
  <c r="S191" i="40"/>
  <c r="S193" i="40"/>
  <c r="S199" i="40"/>
  <c r="S217" i="40"/>
  <c r="S247" i="40"/>
  <c r="S255" i="40"/>
  <c r="S271" i="40"/>
  <c r="S164" i="40"/>
  <c r="S340" i="40"/>
  <c r="S29" i="40"/>
  <c r="S39" i="40"/>
  <c r="S41" i="40"/>
  <c r="S69" i="40"/>
  <c r="S133" i="40"/>
  <c r="S149" i="40"/>
  <c r="S165" i="40"/>
  <c r="S181" i="40"/>
  <c r="S329" i="40"/>
  <c r="S112" i="40"/>
  <c r="S120" i="40"/>
  <c r="S144" i="40"/>
  <c r="S154" i="40"/>
  <c r="S176" i="40"/>
  <c r="S216" i="40"/>
  <c r="S224" i="40"/>
  <c r="S232" i="40"/>
  <c r="S292" i="40"/>
  <c r="S298" i="40"/>
  <c r="S314" i="40"/>
  <c r="S322" i="40"/>
  <c r="S324" i="40"/>
  <c r="S59" i="40"/>
  <c r="S67" i="40"/>
  <c r="S75" i="40"/>
  <c r="S83" i="40"/>
  <c r="S91" i="40"/>
  <c r="S155" i="40"/>
  <c r="S171" i="40"/>
  <c r="S179" i="40"/>
  <c r="S211" i="40"/>
  <c r="S251" i="40"/>
  <c r="S267" i="40"/>
  <c r="S275" i="40"/>
  <c r="S293" i="40"/>
  <c r="S309" i="40"/>
  <c r="S328" i="40"/>
  <c r="S331" i="40"/>
  <c r="S13" i="40"/>
  <c r="S18" i="40"/>
  <c r="S22" i="40"/>
  <c r="S24" i="40"/>
  <c r="S33" i="40"/>
  <c r="S74" i="40"/>
  <c r="S124" i="40"/>
  <c r="S142" i="40"/>
  <c r="S147" i="40"/>
  <c r="S195" i="40"/>
  <c r="S206" i="40"/>
  <c r="S242" i="40"/>
  <c r="S273" i="40"/>
  <c r="S280" i="40"/>
  <c r="S288" i="40"/>
  <c r="S304" i="40"/>
  <c r="S335" i="40"/>
  <c r="S337" i="40"/>
  <c r="S43" i="40"/>
  <c r="S45" i="40"/>
  <c r="S51" i="40"/>
  <c r="S85" i="40"/>
  <c r="S90" i="40"/>
  <c r="S103" i="40"/>
  <c r="S113" i="40"/>
  <c r="S119" i="40"/>
  <c r="S139" i="40"/>
  <c r="S175" i="40"/>
  <c r="S239" i="40"/>
  <c r="S263" i="40"/>
  <c r="S265" i="40"/>
  <c r="S268" i="40"/>
  <c r="S301" i="40"/>
  <c r="S338" i="40"/>
  <c r="S86" i="40"/>
  <c r="S140" i="40"/>
  <c r="S65" i="40"/>
  <c r="S99" i="40"/>
  <c r="S173" i="40"/>
  <c r="S227" i="40"/>
  <c r="S281" i="40"/>
  <c r="S289" i="40"/>
  <c r="S9" i="40"/>
  <c r="S16" i="40"/>
  <c r="S25" i="40"/>
  <c r="S32" i="40"/>
  <c r="S34" i="40"/>
  <c r="S109" i="40"/>
  <c r="S240" i="40"/>
  <c r="S248" i="40"/>
  <c r="S253" i="40"/>
  <c r="S258" i="40"/>
  <c r="S264" i="40"/>
  <c r="S269" i="40"/>
  <c r="S294" i="40"/>
  <c r="S300" i="40"/>
  <c r="S302" i="40"/>
  <c r="S316" i="40"/>
  <c r="S55" i="40"/>
  <c r="S63" i="40"/>
  <c r="S71" i="40"/>
  <c r="S79" i="40"/>
  <c r="S92" i="40"/>
  <c r="S115" i="40"/>
  <c r="S159" i="40"/>
  <c r="S184" i="40"/>
  <c r="S192" i="40"/>
  <c r="S194" i="40"/>
  <c r="S205" i="40"/>
  <c r="S272" i="40"/>
  <c r="S287" i="40"/>
  <c r="S295" i="40"/>
  <c r="S311" i="40"/>
  <c r="S334" i="40"/>
  <c r="S126" i="40"/>
  <c r="S166" i="40"/>
  <c r="S174" i="40"/>
  <c r="S197" i="40"/>
  <c r="S345" i="40"/>
  <c r="S7" i="39"/>
  <c r="S26" i="39"/>
  <c r="S88" i="39"/>
  <c r="S136" i="39"/>
  <c r="S144" i="39"/>
  <c r="S181" i="39"/>
  <c r="S189" i="39"/>
  <c r="S195" i="39"/>
  <c r="S203" i="39"/>
  <c r="S219" i="39"/>
  <c r="S345" i="39"/>
  <c r="S31" i="39"/>
  <c r="S44" i="39"/>
  <c r="S131" i="39"/>
  <c r="S232" i="39"/>
  <c r="S334" i="39"/>
  <c r="S32" i="39"/>
  <c r="S34" i="39"/>
  <c r="S40" i="39"/>
  <c r="S60" i="39"/>
  <c r="S78" i="39"/>
  <c r="S193" i="39"/>
  <c r="S201" i="39"/>
  <c r="S225" i="39"/>
  <c r="S233" i="39"/>
  <c r="S249" i="39"/>
  <c r="S309" i="39"/>
  <c r="S137" i="39"/>
  <c r="S166" i="39"/>
  <c r="S246" i="39"/>
  <c r="S296" i="39"/>
  <c r="S22" i="39"/>
  <c r="S30" i="39"/>
  <c r="S56" i="39"/>
  <c r="S98" i="39"/>
  <c r="S140" i="39"/>
  <c r="S151" i="39"/>
  <c r="S159" i="39"/>
  <c r="S175" i="39"/>
  <c r="S207" i="39"/>
  <c r="S263" i="39"/>
  <c r="S271" i="39"/>
  <c r="S283" i="39"/>
  <c r="S289" i="39"/>
  <c r="S291" i="39"/>
  <c r="S307" i="39"/>
  <c r="S315" i="39"/>
  <c r="S6" i="39"/>
  <c r="S25" i="39"/>
  <c r="S33" i="39"/>
  <c r="S46" i="39"/>
  <c r="S51" i="39"/>
  <c r="S85" i="39"/>
  <c r="S109" i="39"/>
  <c r="S114" i="39"/>
  <c r="S141" i="39"/>
  <c r="S164" i="39"/>
  <c r="S202" i="39"/>
  <c r="S204" i="39"/>
  <c r="S218" i="39"/>
  <c r="S266" i="39"/>
  <c r="S274" i="39"/>
  <c r="S281" i="39"/>
  <c r="S284" i="39"/>
  <c r="S300" i="39"/>
  <c r="S304" i="39"/>
  <c r="S310" i="39"/>
  <c r="S328" i="39"/>
  <c r="U9" i="40"/>
  <c r="T10" i="40"/>
  <c r="U10" i="40" s="1"/>
  <c r="U8" i="40"/>
  <c r="S54" i="40"/>
  <c r="S56" i="40"/>
  <c r="S68" i="40"/>
  <c r="S89" i="40"/>
  <c r="S94" i="40"/>
  <c r="S118" i="40"/>
  <c r="S130" i="40"/>
  <c r="S177" i="40"/>
  <c r="S187" i="40"/>
  <c r="S204" i="40"/>
  <c r="S209" i="40"/>
  <c r="S219" i="40"/>
  <c r="S285" i="40"/>
  <c r="S320" i="40"/>
  <c r="S42" i="40"/>
  <c r="S46" i="40"/>
  <c r="S48" i="40"/>
  <c r="S52" i="40"/>
  <c r="S97" i="40"/>
  <c r="S101" i="40"/>
  <c r="S122" i="40"/>
  <c r="S150" i="40"/>
  <c r="S157" i="40"/>
  <c r="S160" i="40"/>
  <c r="S170" i="40"/>
  <c r="S190" i="40"/>
  <c r="S221" i="40"/>
  <c r="S229" i="40"/>
  <c r="S260" i="40"/>
  <c r="S306" i="40"/>
  <c r="S308" i="40"/>
  <c r="S325" i="40"/>
  <c r="S330" i="40"/>
  <c r="S339" i="40"/>
  <c r="S7" i="40"/>
  <c r="S15" i="40"/>
  <c r="S20" i="40"/>
  <c r="S23" i="40"/>
  <c r="S27" i="40"/>
  <c r="S31" i="40"/>
  <c r="S35" i="40"/>
  <c r="S37" i="40"/>
  <c r="S40" i="40"/>
  <c r="S77" i="40"/>
  <c r="S116" i="40"/>
  <c r="S123" i="40"/>
  <c r="S128" i="40"/>
  <c r="S202" i="40"/>
  <c r="S207" i="40"/>
  <c r="S212" i="40"/>
  <c r="S234" i="40"/>
  <c r="S241" i="40"/>
  <c r="S274" i="40"/>
  <c r="S278" i="40"/>
  <c r="S290" i="40"/>
  <c r="S313" i="40"/>
  <c r="S64" i="40"/>
  <c r="S95" i="40"/>
  <c r="S131" i="40"/>
  <c r="S141" i="40"/>
  <c r="S148" i="40"/>
  <c r="S168" i="40"/>
  <c r="S178" i="40"/>
  <c r="S188" i="40"/>
  <c r="S215" i="40"/>
  <c r="S246" i="40"/>
  <c r="S47" i="40"/>
  <c r="S49" i="40"/>
  <c r="S53" i="40"/>
  <c r="S60" i="40"/>
  <c r="S88" i="40"/>
  <c r="S93" i="40"/>
  <c r="S129" i="40"/>
  <c r="S134" i="40"/>
  <c r="S203" i="40"/>
  <c r="S213" i="40"/>
  <c r="S223" i="40"/>
  <c r="S235" i="40"/>
  <c r="S249" i="40"/>
  <c r="S254" i="40"/>
  <c r="S266" i="40"/>
  <c r="S312" i="40"/>
  <c r="S319" i="40"/>
  <c r="S321" i="40"/>
  <c r="S8" i="40"/>
  <c r="S10" i="40"/>
  <c r="S17" i="40"/>
  <c r="S19" i="40"/>
  <c r="S26" i="40"/>
  <c r="S30" i="40"/>
  <c r="S36" i="40"/>
  <c r="S81" i="40"/>
  <c r="S96" i="40"/>
  <c r="S100" i="40"/>
  <c r="S132" i="40"/>
  <c r="S136" i="40"/>
  <c r="S189" i="40"/>
  <c r="S198" i="40"/>
  <c r="S256" i="40"/>
  <c r="S317" i="40"/>
  <c r="S336" i="40"/>
  <c r="S4" i="39"/>
  <c r="S10" i="39"/>
  <c r="S17" i="39"/>
  <c r="S35" i="39"/>
  <c r="S42" i="39"/>
  <c r="S69" i="39"/>
  <c r="S127" i="39"/>
  <c r="S139" i="39"/>
  <c r="S148" i="39"/>
  <c r="S156" i="39"/>
  <c r="S191" i="39"/>
  <c r="S206" i="39"/>
  <c r="S211" i="39"/>
  <c r="S242" i="39"/>
  <c r="S262" i="39"/>
  <c r="S276" i="39"/>
  <c r="S298" i="39"/>
  <c r="S333" i="39"/>
  <c r="S27" i="39"/>
  <c r="S45" i="39"/>
  <c r="S50" i="39"/>
  <c r="S55" i="39"/>
  <c r="S74" i="39"/>
  <c r="S79" i="39"/>
  <c r="S125" i="39"/>
  <c r="S208" i="39"/>
  <c r="S213" i="39"/>
  <c r="S254" i="39"/>
  <c r="S279" i="39"/>
  <c r="S288" i="39"/>
  <c r="S290" i="39"/>
  <c r="S301" i="39"/>
  <c r="S324" i="39"/>
  <c r="S326" i="39"/>
  <c r="S329" i="39"/>
  <c r="S336" i="39"/>
  <c r="S341" i="39"/>
  <c r="S28" i="39"/>
  <c r="S38" i="39"/>
  <c r="S53" i="39"/>
  <c r="S130" i="39"/>
  <c r="S154" i="39"/>
  <c r="S169" i="39"/>
  <c r="S179" i="39"/>
  <c r="S226" i="39"/>
  <c r="S250" i="39"/>
  <c r="S267" i="39"/>
  <c r="S322" i="39"/>
  <c r="S21" i="39"/>
  <c r="S58" i="39"/>
  <c r="S90" i="39"/>
  <c r="S92" i="39"/>
  <c r="S108" i="39"/>
  <c r="S113" i="39"/>
  <c r="S121" i="39"/>
  <c r="S135" i="39"/>
  <c r="S147" i="39"/>
  <c r="S172" i="39"/>
  <c r="S187" i="39"/>
  <c r="S192" i="39"/>
  <c r="S224" i="39"/>
  <c r="S234" i="39"/>
  <c r="S243" i="39"/>
  <c r="S270" i="39"/>
  <c r="S277" i="39"/>
  <c r="S312" i="39"/>
  <c r="S317" i="39"/>
  <c r="S344" i="39"/>
  <c r="S19" i="39"/>
  <c r="S67" i="39"/>
  <c r="S93" i="39"/>
  <c r="S152" i="39"/>
  <c r="S162" i="39"/>
  <c r="S167" i="39"/>
  <c r="S177" i="39"/>
  <c r="S320" i="39"/>
  <c r="S330" i="39"/>
  <c r="S185" i="39"/>
  <c r="S205" i="39"/>
  <c r="S222" i="39"/>
  <c r="S227" i="39"/>
  <c r="S251" i="39"/>
  <c r="S261" i="39"/>
  <c r="S268" i="39"/>
  <c r="S275" i="39"/>
  <c r="S292" i="39"/>
  <c r="S297" i="39"/>
  <c r="S39" i="39"/>
  <c r="S61" i="39"/>
  <c r="S68" i="39"/>
  <c r="S96" i="39"/>
  <c r="S101" i="39"/>
  <c r="S73" i="39"/>
  <c r="S91" i="39"/>
  <c r="S143" i="39"/>
  <c r="S340" i="39"/>
  <c r="S15" i="39"/>
  <c r="S18" i="39"/>
  <c r="S29" i="39"/>
  <c r="S64" i="39"/>
  <c r="S107" i="39"/>
  <c r="S12" i="39"/>
  <c r="S5" i="39"/>
  <c r="S9" i="39"/>
  <c r="S11" i="39"/>
  <c r="S23" i="39"/>
  <c r="S84" i="39"/>
  <c r="T6" i="39"/>
  <c r="U5" i="39"/>
  <c r="S43" i="39"/>
  <c r="S83" i="39"/>
  <c r="S106" i="39"/>
  <c r="S160" i="39"/>
  <c r="S199" i="39"/>
  <c r="S129" i="39"/>
  <c r="S171" i="39"/>
  <c r="S97" i="39"/>
  <c r="S123" i="39"/>
  <c r="S183" i="39"/>
  <c r="S223" i="39"/>
  <c r="S87" i="39"/>
  <c r="S95" i="39"/>
  <c r="S100" i="39"/>
  <c r="S178" i="39"/>
  <c r="S186" i="39"/>
  <c r="S194" i="39"/>
  <c r="S221" i="39"/>
  <c r="S241" i="39"/>
  <c r="S286" i="39"/>
  <c r="S150" i="39"/>
  <c r="S158" i="39"/>
  <c r="S210" i="39"/>
  <c r="S133" i="39"/>
  <c r="S182" i="39"/>
  <c r="S190" i="39"/>
  <c r="S198" i="39"/>
  <c r="S214" i="39"/>
  <c r="S217" i="39"/>
  <c r="S258" i="39"/>
  <c r="S259" i="39"/>
  <c r="S245" i="39"/>
  <c r="S253" i="39"/>
  <c r="S264" i="39"/>
  <c r="S272" i="39"/>
  <c r="S287" i="39"/>
  <c r="S308" i="39"/>
  <c r="S239" i="39"/>
  <c r="S247" i="39"/>
  <c r="S255" i="39"/>
  <c r="S256" i="39"/>
  <c r="S293" i="39"/>
  <c r="S11" i="40"/>
  <c r="S306" i="39"/>
  <c r="S44" i="40"/>
  <c r="S61" i="40"/>
  <c r="S125" i="40"/>
  <c r="S146" i="40"/>
  <c r="S117" i="40"/>
  <c r="S145" i="40"/>
  <c r="S186" i="40"/>
  <c r="S73" i="40"/>
  <c r="S102" i="40"/>
  <c r="S106" i="40"/>
  <c r="S185" i="40"/>
  <c r="S208" i="40"/>
  <c r="S80" i="40"/>
  <c r="S107" i="40"/>
  <c r="S110" i="40"/>
  <c r="S138" i="40"/>
  <c r="S180" i="40"/>
  <c r="S152" i="40"/>
  <c r="S196" i="40"/>
  <c r="S222" i="40"/>
  <c r="S282" i="40"/>
  <c r="S156" i="40"/>
  <c r="S163" i="40"/>
  <c r="S200" i="40"/>
  <c r="S231" i="40"/>
  <c r="S243" i="40"/>
  <c r="S276" i="40"/>
  <c r="S218" i="40"/>
  <c r="S237" i="40"/>
  <c r="S279" i="40"/>
  <c r="S297" i="40"/>
  <c r="S303" i="40"/>
  <c r="S327" i="40"/>
  <c r="S19" i="41"/>
  <c r="S305" i="40"/>
  <c r="S20" i="41"/>
  <c r="S36" i="41"/>
  <c r="S141" i="41"/>
  <c r="S7" i="41"/>
  <c r="S17" i="41"/>
  <c r="S56" i="41"/>
  <c r="S62" i="41"/>
  <c r="S77" i="41"/>
  <c r="S74" i="41"/>
  <c r="S85" i="41"/>
  <c r="U5" i="41" l="1"/>
  <c r="T11" i="40"/>
  <c r="T12" i="40" s="1"/>
  <c r="U6" i="39"/>
  <c r="T7" i="39"/>
  <c r="U6" i="41" l="1"/>
  <c r="T7" i="41"/>
  <c r="U11" i="40"/>
  <c r="U12" i="40"/>
  <c r="T13" i="40"/>
  <c r="T8" i="39"/>
  <c r="U7" i="39"/>
  <c r="U7" i="41" l="1"/>
  <c r="T8" i="41"/>
  <c r="U13" i="40"/>
  <c r="T14" i="40"/>
  <c r="T9" i="39"/>
  <c r="U8" i="39"/>
  <c r="T9" i="41" l="1"/>
  <c r="U8" i="41"/>
  <c r="T10" i="39"/>
  <c r="U9" i="39"/>
  <c r="U14" i="40"/>
  <c r="T15" i="40"/>
  <c r="U9" i="41" l="1"/>
  <c r="T10" i="41"/>
  <c r="T16" i="40"/>
  <c r="U15" i="40"/>
  <c r="T11" i="39"/>
  <c r="U10" i="39"/>
  <c r="T11" i="41" l="1"/>
  <c r="U10" i="41"/>
  <c r="U11" i="39"/>
  <c r="T12" i="39"/>
  <c r="U16" i="40"/>
  <c r="T17" i="40"/>
  <c r="T18" i="40" s="1"/>
  <c r="T12" i="41" l="1"/>
  <c r="U11" i="41"/>
  <c r="U12" i="39"/>
  <c r="T13" i="39"/>
  <c r="U18" i="40"/>
  <c r="T19" i="40"/>
  <c r="T13" i="41" l="1"/>
  <c r="U12" i="41"/>
  <c r="U19" i="40"/>
  <c r="T20" i="40"/>
  <c r="T14" i="39"/>
  <c r="T15" i="39" s="1"/>
  <c r="U13" i="39"/>
  <c r="T14" i="41" l="1"/>
  <c r="T15" i="41" s="1"/>
  <c r="U13" i="41"/>
  <c r="U15" i="39"/>
  <c r="T16" i="39"/>
  <c r="U20" i="40"/>
  <c r="T21" i="40"/>
  <c r="U15" i="41" l="1"/>
  <c r="T16" i="41"/>
  <c r="T22" i="40"/>
  <c r="U21" i="40"/>
  <c r="T17" i="39"/>
  <c r="U16" i="39"/>
  <c r="T17" i="41" l="1"/>
  <c r="U16" i="41"/>
  <c r="T23" i="40"/>
  <c r="U22" i="40"/>
  <c r="T18" i="39"/>
  <c r="U17" i="39"/>
  <c r="T18" i="41" l="1"/>
  <c r="U17" i="41"/>
  <c r="U18" i="39"/>
  <c r="T19" i="39"/>
  <c r="T24" i="40"/>
  <c r="U23" i="40"/>
  <c r="T19" i="41" l="1"/>
  <c r="U18" i="41"/>
  <c r="U24" i="40"/>
  <c r="T25" i="40"/>
  <c r="U19" i="39"/>
  <c r="T20" i="39"/>
  <c r="U19" i="41" l="1"/>
  <c r="T20" i="41"/>
  <c r="T26" i="40"/>
  <c r="U25" i="40"/>
  <c r="U20" i="39"/>
  <c r="T21" i="39"/>
  <c r="T21" i="41" l="1"/>
  <c r="U20" i="41"/>
  <c r="U21" i="39"/>
  <c r="T22" i="39"/>
  <c r="T27" i="40"/>
  <c r="U26" i="40"/>
  <c r="U21" i="41" l="1"/>
  <c r="T22" i="41"/>
  <c r="T28" i="40"/>
  <c r="U27" i="40"/>
  <c r="U22" i="39"/>
  <c r="T23" i="39"/>
  <c r="T23" i="41" l="1"/>
  <c r="U22" i="41"/>
  <c r="T24" i="39"/>
  <c r="U23" i="39"/>
  <c r="T29" i="40"/>
  <c r="U28" i="40"/>
  <c r="T24" i="41" l="1"/>
  <c r="U23" i="41"/>
  <c r="T30" i="40"/>
  <c r="U29" i="40"/>
  <c r="T25" i="39"/>
  <c r="U24" i="39"/>
  <c r="T25" i="41" l="1"/>
  <c r="T26" i="41" s="1"/>
  <c r="U24" i="41"/>
  <c r="T26" i="39"/>
  <c r="U25" i="39"/>
  <c r="U30" i="40"/>
  <c r="T31" i="40"/>
  <c r="U26" i="41" l="1"/>
  <c r="T27" i="41"/>
  <c r="T27" i="39"/>
  <c r="U26" i="39"/>
  <c r="T32" i="40"/>
  <c r="U31" i="40"/>
  <c r="T28" i="41" l="1"/>
  <c r="U27" i="41"/>
  <c r="U27" i="39"/>
  <c r="T28" i="39"/>
  <c r="T33" i="40"/>
  <c r="U32" i="40"/>
  <c r="T29" i="41" l="1"/>
  <c r="U28" i="41"/>
  <c r="T34" i="40"/>
  <c r="U33" i="40"/>
  <c r="U28" i="39"/>
  <c r="T29" i="39"/>
  <c r="U29" i="41" l="1"/>
  <c r="T30" i="41"/>
  <c r="U29" i="39"/>
  <c r="T30" i="39"/>
  <c r="U34" i="40"/>
  <c r="T35" i="40"/>
  <c r="T31" i="41" l="1"/>
  <c r="U30" i="41"/>
  <c r="U35" i="40"/>
  <c r="T36" i="40"/>
  <c r="T31" i="39"/>
  <c r="U30" i="39"/>
  <c r="T32" i="41" l="1"/>
  <c r="U31" i="41"/>
  <c r="U36" i="40"/>
  <c r="T37" i="40"/>
  <c r="T32" i="39"/>
  <c r="U31" i="39"/>
  <c r="T33" i="41" l="1"/>
  <c r="U32" i="41"/>
  <c r="U37" i="40"/>
  <c r="T38" i="40"/>
  <c r="T33" i="39"/>
  <c r="U32" i="39"/>
  <c r="U33" i="41" l="1"/>
  <c r="T34" i="41"/>
  <c r="T39" i="40"/>
  <c r="U38" i="40"/>
  <c r="T34" i="39"/>
  <c r="U33" i="39"/>
  <c r="U34" i="41" l="1"/>
  <c r="T35" i="41"/>
  <c r="T35" i="39"/>
  <c r="U34" i="39"/>
  <c r="U39" i="40"/>
  <c r="T40" i="40"/>
  <c r="U35" i="41" l="1"/>
  <c r="T36" i="41"/>
  <c r="T37" i="41" s="1"/>
  <c r="T41" i="40"/>
  <c r="U40" i="40"/>
  <c r="T36" i="39"/>
  <c r="U35" i="39"/>
  <c r="U37" i="41" l="1"/>
  <c r="T38" i="41"/>
  <c r="U41" i="40"/>
  <c r="T42" i="40"/>
  <c r="T37" i="39"/>
  <c r="U36" i="39"/>
  <c r="T39" i="41" l="1"/>
  <c r="U38" i="41"/>
  <c r="U42" i="40"/>
  <c r="T43" i="40"/>
  <c r="T38" i="39"/>
  <c r="U37" i="39"/>
  <c r="U39" i="41" l="1"/>
  <c r="T40" i="41"/>
  <c r="U38" i="39"/>
  <c r="T39" i="39"/>
  <c r="T44" i="40"/>
  <c r="U43" i="40"/>
  <c r="T41" i="41" l="1"/>
  <c r="U40" i="41"/>
  <c r="T45" i="40"/>
  <c r="U44" i="40"/>
  <c r="U39" i="39"/>
  <c r="T40" i="39"/>
  <c r="U41" i="41" l="1"/>
  <c r="T42" i="41"/>
  <c r="T41" i="39"/>
  <c r="U40" i="39"/>
  <c r="T46" i="40"/>
  <c r="U45" i="40"/>
  <c r="U42" i="41" l="1"/>
  <c r="T43" i="41"/>
  <c r="T47" i="40"/>
  <c r="U46" i="40"/>
  <c r="T42" i="39"/>
  <c r="U41" i="39"/>
  <c r="T44" i="41" l="1"/>
  <c r="U43" i="41"/>
  <c r="U42" i="39"/>
  <c r="T43" i="39"/>
  <c r="T48" i="40"/>
  <c r="U47" i="40"/>
  <c r="T45" i="41" l="1"/>
  <c r="U44" i="41"/>
  <c r="T44" i="39"/>
  <c r="U43" i="39"/>
  <c r="T49" i="40"/>
  <c r="U48" i="40"/>
  <c r="T46" i="41" l="1"/>
  <c r="U45" i="41"/>
  <c r="T45" i="39"/>
  <c r="U44" i="39"/>
  <c r="T50" i="40"/>
  <c r="U49" i="40"/>
  <c r="U46" i="41" l="1"/>
  <c r="T47" i="41"/>
  <c r="U45" i="39"/>
  <c r="T46" i="39"/>
  <c r="T51" i="40"/>
  <c r="U50" i="40"/>
  <c r="U47" i="41" l="1"/>
  <c r="T48" i="41"/>
  <c r="T52" i="40"/>
  <c r="U51" i="40"/>
  <c r="U46" i="39"/>
  <c r="T47" i="39"/>
  <c r="U48" i="41" l="1"/>
  <c r="T49" i="41"/>
  <c r="T53" i="40"/>
  <c r="U52" i="40"/>
  <c r="T48" i="39"/>
  <c r="U47" i="39"/>
  <c r="T50" i="41" l="1"/>
  <c r="U49" i="41"/>
  <c r="T54" i="40"/>
  <c r="T55" i="40" s="1"/>
  <c r="U53" i="40"/>
  <c r="T49" i="39"/>
  <c r="U48" i="39"/>
  <c r="T51" i="41" l="1"/>
  <c r="U50" i="41"/>
  <c r="T50" i="39"/>
  <c r="U49" i="39"/>
  <c r="T56" i="40"/>
  <c r="U55" i="40"/>
  <c r="T52" i="41" l="1"/>
  <c r="U51" i="41"/>
  <c r="T57" i="40"/>
  <c r="U56" i="40"/>
  <c r="U50" i="39"/>
  <c r="T51" i="39"/>
  <c r="T52" i="39" s="1"/>
  <c r="U52" i="41" l="1"/>
  <c r="T53" i="41"/>
  <c r="U57" i="40"/>
  <c r="T58" i="40"/>
  <c r="U52" i="39"/>
  <c r="T53" i="39"/>
  <c r="U53" i="41" l="1"/>
  <c r="T54" i="41"/>
  <c r="U58" i="40"/>
  <c r="T59" i="40"/>
  <c r="T54" i="39"/>
  <c r="U53" i="39"/>
  <c r="T55" i="41" l="1"/>
  <c r="U54" i="41"/>
  <c r="T55" i="39"/>
  <c r="U54" i="39"/>
  <c r="U59" i="40"/>
  <c r="T60" i="40"/>
  <c r="T56" i="41" l="1"/>
  <c r="U55" i="41"/>
  <c r="T61" i="40"/>
  <c r="U60" i="40"/>
  <c r="U55" i="39"/>
  <c r="T56" i="39"/>
  <c r="U56" i="41" l="1"/>
  <c r="T57" i="41"/>
  <c r="T62" i="40"/>
  <c r="U61" i="40"/>
  <c r="T57" i="39"/>
  <c r="U56" i="39"/>
  <c r="U57" i="41" l="1"/>
  <c r="T58" i="41"/>
  <c r="U57" i="39"/>
  <c r="T58" i="39"/>
  <c r="T63" i="40"/>
  <c r="U62" i="40"/>
  <c r="T59" i="41" l="1"/>
  <c r="U58" i="41"/>
  <c r="U63" i="40"/>
  <c r="T64" i="40"/>
  <c r="T59" i="39"/>
  <c r="U58" i="39"/>
  <c r="U59" i="41" l="1"/>
  <c r="T60" i="41"/>
  <c r="T61" i="41" s="1"/>
  <c r="T62" i="41" s="1"/>
  <c r="T60" i="39"/>
  <c r="U59" i="39"/>
  <c r="T65" i="40"/>
  <c r="U64" i="40"/>
  <c r="T63" i="41" l="1"/>
  <c r="T64" i="41" s="1"/>
  <c r="U62" i="41"/>
  <c r="T61" i="39"/>
  <c r="U60" i="39"/>
  <c r="T66" i="40"/>
  <c r="U65" i="40"/>
  <c r="U64" i="41" l="1"/>
  <c r="T65" i="41"/>
  <c r="T62" i="39"/>
  <c r="U61" i="39"/>
  <c r="T67" i="40"/>
  <c r="U66" i="40"/>
  <c r="T66" i="41" l="1"/>
  <c r="U65" i="41"/>
  <c r="U67" i="40"/>
  <c r="T68" i="40"/>
  <c r="T63" i="39"/>
  <c r="U62" i="39"/>
  <c r="T67" i="41" l="1"/>
  <c r="T68" i="41" s="1"/>
  <c r="U66" i="41"/>
  <c r="U63" i="39"/>
  <c r="T64" i="39"/>
  <c r="T69" i="40"/>
  <c r="U68" i="40"/>
  <c r="U68" i="41" l="1"/>
  <c r="T69" i="41"/>
  <c r="T65" i="39"/>
  <c r="U64" i="39"/>
  <c r="U69" i="40"/>
  <c r="T70" i="40"/>
  <c r="U69" i="41" l="1"/>
  <c r="T70" i="41"/>
  <c r="T71" i="40"/>
  <c r="U70" i="40"/>
  <c r="T66" i="39"/>
  <c r="U65" i="39"/>
  <c r="T71" i="41" l="1"/>
  <c r="U70" i="41"/>
  <c r="U71" i="40"/>
  <c r="T72" i="40"/>
  <c r="T67" i="39"/>
  <c r="U66" i="39"/>
  <c r="T72" i="41" l="1"/>
  <c r="U71" i="41"/>
  <c r="U72" i="40"/>
  <c r="T73" i="40"/>
  <c r="T68" i="39"/>
  <c r="U67" i="39"/>
  <c r="U72" i="41" l="1"/>
  <c r="T73" i="41"/>
  <c r="U73" i="40"/>
  <c r="T74" i="40"/>
  <c r="T69" i="39"/>
  <c r="U68" i="39"/>
  <c r="T74" i="41" l="1"/>
  <c r="U73" i="41"/>
  <c r="T70" i="39"/>
  <c r="U69" i="39"/>
  <c r="T75" i="40"/>
  <c r="U74" i="40"/>
  <c r="T75" i="41" l="1"/>
  <c r="U74" i="41"/>
  <c r="T76" i="40"/>
  <c r="U75" i="40"/>
  <c r="U70" i="39"/>
  <c r="T71" i="39"/>
  <c r="U75" i="41" l="1"/>
  <c r="T76" i="41"/>
  <c r="T72" i="39"/>
  <c r="U71" i="39"/>
  <c r="U76" i="40"/>
  <c r="T77" i="40"/>
  <c r="U76" i="41" l="1"/>
  <c r="T77" i="41"/>
  <c r="U77" i="40"/>
  <c r="T78" i="40"/>
  <c r="U72" i="39"/>
  <c r="T73" i="39"/>
  <c r="T78" i="41" l="1"/>
  <c r="U77" i="41"/>
  <c r="T74" i="39"/>
  <c r="U73" i="39"/>
  <c r="U78" i="40"/>
  <c r="T79" i="40"/>
  <c r="T79" i="41" l="1"/>
  <c r="U78" i="41"/>
  <c r="U79" i="40"/>
  <c r="T80" i="40"/>
  <c r="T75" i="39"/>
  <c r="U74" i="39"/>
  <c r="U79" i="41" l="1"/>
  <c r="T80" i="41"/>
  <c r="T76" i="39"/>
  <c r="U75" i="39"/>
  <c r="T81" i="40"/>
  <c r="U80" i="40"/>
  <c r="T81" i="41" l="1"/>
  <c r="U80" i="41"/>
  <c r="U76" i="39"/>
  <c r="T77" i="39"/>
  <c r="T82" i="40"/>
  <c r="U81" i="40"/>
  <c r="T82" i="41" l="1"/>
  <c r="U81" i="41"/>
  <c r="T83" i="40"/>
  <c r="U82" i="40"/>
  <c r="T78" i="39"/>
  <c r="U77" i="39"/>
  <c r="U82" i="41" l="1"/>
  <c r="T83" i="41"/>
  <c r="T79" i="39"/>
  <c r="U78" i="39"/>
  <c r="U83" i="40"/>
  <c r="T84" i="40"/>
  <c r="U83" i="41" l="1"/>
  <c r="T84" i="41"/>
  <c r="T80" i="39"/>
  <c r="U79" i="39"/>
  <c r="U84" i="40"/>
  <c r="T85" i="40"/>
  <c r="U84" i="41" l="1"/>
  <c r="T85" i="41"/>
  <c r="U80" i="39"/>
  <c r="T81" i="39"/>
  <c r="U85" i="40"/>
  <c r="T86" i="40"/>
  <c r="U85" i="41" l="1"/>
  <c r="T86" i="41"/>
  <c r="U81" i="39"/>
  <c r="T82" i="39"/>
  <c r="U86" i="40"/>
  <c r="T87" i="40"/>
  <c r="T87" i="41" l="1"/>
  <c r="U86" i="41"/>
  <c r="U87" i="40"/>
  <c r="T88" i="40"/>
  <c r="U82" i="39"/>
  <c r="T83" i="39"/>
  <c r="U87" i="41" l="1"/>
  <c r="T88" i="41"/>
  <c r="T89" i="40"/>
  <c r="U88" i="40"/>
  <c r="T84" i="39"/>
  <c r="U83" i="39"/>
  <c r="U88" i="41" l="1"/>
  <c r="T89" i="41"/>
  <c r="U84" i="39"/>
  <c r="T85" i="39"/>
  <c r="T90" i="40"/>
  <c r="U89" i="40"/>
  <c r="U89" i="41" l="1"/>
  <c r="T90" i="41"/>
  <c r="T86" i="39"/>
  <c r="U85" i="39"/>
  <c r="T91" i="40"/>
  <c r="U90" i="40"/>
  <c r="T91" i="41" l="1"/>
  <c r="U90" i="41"/>
  <c r="T92" i="40"/>
  <c r="U91" i="40"/>
  <c r="T87" i="39"/>
  <c r="U86" i="39"/>
  <c r="U91" i="41" l="1"/>
  <c r="T92" i="41"/>
  <c r="T88" i="39"/>
  <c r="U87" i="39"/>
  <c r="T93" i="40"/>
  <c r="T94" i="40" s="1"/>
  <c r="T95" i="40" s="1"/>
  <c r="U92" i="40"/>
  <c r="U92" i="41" l="1"/>
  <c r="T93" i="41"/>
  <c r="T89" i="39"/>
  <c r="U88" i="39"/>
  <c r="U95" i="40"/>
  <c r="T96" i="40"/>
  <c r="T97" i="40" s="1"/>
  <c r="T94" i="41" l="1"/>
  <c r="U93" i="41"/>
  <c r="U89" i="39"/>
  <c r="T90" i="39"/>
  <c r="T98" i="40"/>
  <c r="U97" i="40"/>
  <c r="U94" i="41" l="1"/>
  <c r="T95" i="41"/>
  <c r="T92" i="39"/>
  <c r="T91" i="39"/>
  <c r="U98" i="40"/>
  <c r="T99" i="40"/>
  <c r="T96" i="41" l="1"/>
  <c r="U95" i="41"/>
  <c r="T93" i="39"/>
  <c r="T94" i="39" s="1"/>
  <c r="U92" i="39"/>
  <c r="T100" i="40"/>
  <c r="T101" i="40" s="1"/>
  <c r="T102" i="40" s="1"/>
  <c r="U99" i="40"/>
  <c r="T97" i="41" l="1"/>
  <c r="U96" i="41"/>
  <c r="T103" i="40"/>
  <c r="U102" i="40"/>
  <c r="T95" i="39"/>
  <c r="U94" i="39"/>
  <c r="T98" i="41" l="1"/>
  <c r="U97" i="41"/>
  <c r="U103" i="40"/>
  <c r="T104" i="40"/>
  <c r="T98" i="39"/>
  <c r="T99" i="39" s="1"/>
  <c r="U95" i="39"/>
  <c r="T96" i="39"/>
  <c r="T99" i="41" l="1"/>
  <c r="U98" i="41"/>
  <c r="U96" i="39"/>
  <c r="T97" i="39"/>
  <c r="T100" i="39"/>
  <c r="U99" i="39"/>
  <c r="T105" i="40"/>
  <c r="T106" i="40" s="1"/>
  <c r="U104" i="40"/>
  <c r="T100" i="41" l="1"/>
  <c r="U99" i="41"/>
  <c r="U100" i="39"/>
  <c r="T101" i="39"/>
  <c r="T107" i="40"/>
  <c r="T108" i="40" s="1"/>
  <c r="U106" i="40"/>
  <c r="U100" i="41" l="1"/>
  <c r="T101" i="41"/>
  <c r="U101" i="39"/>
  <c r="T102" i="39"/>
  <c r="T103" i="39" s="1"/>
  <c r="T109" i="40"/>
  <c r="U108" i="40"/>
  <c r="T102" i="41" l="1"/>
  <c r="U101" i="41"/>
  <c r="T104" i="39"/>
  <c r="T105" i="39" s="1"/>
  <c r="U103" i="39"/>
  <c r="U109" i="40"/>
  <c r="T110" i="40"/>
  <c r="T103" i="41" l="1"/>
  <c r="U102" i="41"/>
  <c r="T111" i="40"/>
  <c r="U110" i="40"/>
  <c r="U105" i="39"/>
  <c r="T106" i="39"/>
  <c r="U103" i="41" l="1"/>
  <c r="T104" i="41"/>
  <c r="U111" i="40"/>
  <c r="T112" i="40"/>
  <c r="U106" i="39"/>
  <c r="T107" i="39"/>
  <c r="T105" i="41" l="1"/>
  <c r="U104" i="41"/>
  <c r="T108" i="39"/>
  <c r="U107" i="39"/>
  <c r="U112" i="40"/>
  <c r="T113" i="40"/>
  <c r="T106" i="41" l="1"/>
  <c r="U105" i="41"/>
  <c r="U108" i="39"/>
  <c r="T109" i="39"/>
  <c r="U113" i="40"/>
  <c r="T114" i="40"/>
  <c r="T107" i="41" l="1"/>
  <c r="U106" i="41"/>
  <c r="T115" i="40"/>
  <c r="U114" i="40"/>
  <c r="U109" i="39"/>
  <c r="T110" i="39"/>
  <c r="U107" i="41" l="1"/>
  <c r="T108" i="41"/>
  <c r="U110" i="39"/>
  <c r="T111" i="39"/>
  <c r="T116" i="40"/>
  <c r="U115" i="40"/>
  <c r="U108" i="41" l="1"/>
  <c r="T109" i="41"/>
  <c r="T117" i="40"/>
  <c r="U116" i="40"/>
  <c r="T112" i="39"/>
  <c r="T113" i="39" s="1"/>
  <c r="U111" i="39"/>
  <c r="U109" i="41" l="1"/>
  <c r="T110" i="41"/>
  <c r="T114" i="39"/>
  <c r="U113" i="39"/>
  <c r="T118" i="40"/>
  <c r="U117" i="40"/>
  <c r="T111" i="41" l="1"/>
  <c r="U110" i="41"/>
  <c r="U114" i="39"/>
  <c r="T115" i="39"/>
  <c r="U118" i="40"/>
  <c r="T119" i="40"/>
  <c r="U111" i="41" l="1"/>
  <c r="T112" i="41"/>
  <c r="U119" i="40"/>
  <c r="T120" i="40"/>
  <c r="U115" i="39"/>
  <c r="T116" i="39"/>
  <c r="U112" i="41" l="1"/>
  <c r="T113" i="41"/>
  <c r="T117" i="39"/>
  <c r="U116" i="39"/>
  <c r="U120" i="40"/>
  <c r="T121" i="40"/>
  <c r="T114" i="41" l="1"/>
  <c r="U113" i="41"/>
  <c r="T118" i="39"/>
  <c r="U117" i="39"/>
  <c r="U121" i="40"/>
  <c r="T122" i="40"/>
  <c r="U114" i="41" l="1"/>
  <c r="T115" i="41"/>
  <c r="U122" i="40"/>
  <c r="T123" i="40"/>
  <c r="T124" i="40" s="1"/>
  <c r="U118" i="39"/>
  <c r="T119" i="39"/>
  <c r="T120" i="39" s="1"/>
  <c r="T116" i="41" l="1"/>
  <c r="U115" i="41"/>
  <c r="U124" i="40"/>
  <c r="T125" i="40"/>
  <c r="T121" i="39"/>
  <c r="U120" i="39"/>
  <c r="T117" i="41" l="1"/>
  <c r="U116" i="41"/>
  <c r="T122" i="39"/>
  <c r="T123" i="39" s="1"/>
  <c r="U121" i="39"/>
  <c r="U125" i="40"/>
  <c r="T126" i="40"/>
  <c r="T118" i="41" l="1"/>
  <c r="U117" i="41"/>
  <c r="U126" i="40"/>
  <c r="T127" i="40"/>
  <c r="T124" i="39"/>
  <c r="U123" i="39"/>
  <c r="U118" i="41" l="1"/>
  <c r="T119" i="41"/>
  <c r="T125" i="39"/>
  <c r="U124" i="39"/>
  <c r="U127" i="40"/>
  <c r="T128" i="40"/>
  <c r="T120" i="41" l="1"/>
  <c r="U119" i="41"/>
  <c r="T126" i="39"/>
  <c r="U125" i="39"/>
  <c r="T129" i="40"/>
  <c r="U128" i="40"/>
  <c r="T121" i="41" l="1"/>
  <c r="T122" i="41" s="1"/>
  <c r="T123" i="41" s="1"/>
  <c r="T124" i="41" s="1"/>
  <c r="U120" i="41"/>
  <c r="U126" i="39"/>
  <c r="T127" i="39"/>
  <c r="T130" i="40"/>
  <c r="U129" i="40"/>
  <c r="T125" i="41" l="1"/>
  <c r="T126" i="41" s="1"/>
  <c r="U124" i="41"/>
  <c r="T131" i="40"/>
  <c r="U130" i="40"/>
  <c r="T128" i="39"/>
  <c r="U127" i="39"/>
  <c r="T127" i="41" l="1"/>
  <c r="T128" i="41" s="1"/>
  <c r="U126" i="41"/>
  <c r="T129" i="39"/>
  <c r="U128" i="39"/>
  <c r="U131" i="40"/>
  <c r="T132" i="40"/>
  <c r="U128" i="41" l="1"/>
  <c r="T129" i="41"/>
  <c r="T130" i="41" s="1"/>
  <c r="U129" i="39"/>
  <c r="T130" i="39"/>
  <c r="T133" i="40"/>
  <c r="U132" i="40"/>
  <c r="T131" i="41" l="1"/>
  <c r="T132" i="41" s="1"/>
  <c r="U130" i="41"/>
  <c r="U133" i="40"/>
  <c r="T134" i="40"/>
  <c r="U130" i="39"/>
  <c r="T131" i="39"/>
  <c r="T133" i="41" l="1"/>
  <c r="U132" i="41"/>
  <c r="U131" i="39"/>
  <c r="T132" i="39"/>
  <c r="U134" i="40"/>
  <c r="T135" i="40"/>
  <c r="T136" i="40" s="1"/>
  <c r="T134" i="41" l="1"/>
  <c r="U133" i="41"/>
  <c r="T133" i="39"/>
  <c r="U132" i="39"/>
  <c r="U136" i="40"/>
  <c r="T137" i="40"/>
  <c r="U134" i="41" l="1"/>
  <c r="T135" i="41"/>
  <c r="T134" i="39"/>
  <c r="T135" i="39" s="1"/>
  <c r="U133" i="39"/>
  <c r="U137" i="40"/>
  <c r="T138" i="40"/>
  <c r="T136" i="41" l="1"/>
  <c r="U135" i="41"/>
  <c r="T139" i="40"/>
  <c r="U138" i="40"/>
  <c r="T136" i="39"/>
  <c r="U135" i="39"/>
  <c r="T137" i="41" l="1"/>
  <c r="U136" i="41"/>
  <c r="U136" i="39"/>
  <c r="T137" i="39"/>
  <c r="U139" i="40"/>
  <c r="T140" i="40"/>
  <c r="T138" i="41" l="1"/>
  <c r="U137" i="41"/>
  <c r="T138" i="39"/>
  <c r="U137" i="39"/>
  <c r="U140" i="40"/>
  <c r="T141" i="40"/>
  <c r="U138" i="41" l="1"/>
  <c r="T139" i="41"/>
  <c r="T139" i="39"/>
  <c r="U138" i="39"/>
  <c r="T142" i="40"/>
  <c r="U141" i="40"/>
  <c r="T140" i="41" l="1"/>
  <c r="U139" i="41"/>
  <c r="T143" i="40"/>
  <c r="U142" i="40"/>
  <c r="T140" i="39"/>
  <c r="U139" i="39"/>
  <c r="T141" i="41" l="1"/>
  <c r="U140" i="41"/>
  <c r="U140" i="39"/>
  <c r="T141" i="39"/>
  <c r="U143" i="40"/>
  <c r="T144" i="40"/>
  <c r="T142" i="41" l="1"/>
  <c r="U141" i="41"/>
  <c r="T145" i="40"/>
  <c r="U144" i="40"/>
  <c r="U141" i="39"/>
  <c r="T142" i="39"/>
  <c r="U142" i="41" l="1"/>
  <c r="T143" i="41"/>
  <c r="T146" i="40"/>
  <c r="U145" i="40"/>
  <c r="T143" i="39"/>
  <c r="U142" i="39"/>
  <c r="U143" i="41" l="1"/>
  <c r="T144" i="41"/>
  <c r="T147" i="40"/>
  <c r="U146" i="40"/>
  <c r="T144" i="39"/>
  <c r="U143" i="39"/>
  <c r="U144" i="41" l="1"/>
  <c r="T145" i="41"/>
  <c r="U144" i="39"/>
  <c r="T145" i="39"/>
  <c r="U147" i="40"/>
  <c r="T148" i="40"/>
  <c r="U145" i="41" l="1"/>
  <c r="T146" i="41"/>
  <c r="T146" i="39"/>
  <c r="U145" i="39"/>
  <c r="U148" i="40"/>
  <c r="T149" i="40"/>
  <c r="U146" i="41" l="1"/>
  <c r="T147" i="41"/>
  <c r="T150" i="40"/>
  <c r="U149" i="40"/>
  <c r="T147" i="39"/>
  <c r="U146" i="39"/>
  <c r="T148" i="41" l="1"/>
  <c r="U147" i="41"/>
  <c r="T151" i="40"/>
  <c r="U150" i="40"/>
  <c r="T148" i="39"/>
  <c r="U147" i="39"/>
  <c r="T149" i="41" l="1"/>
  <c r="U148" i="41"/>
  <c r="U148" i="39"/>
  <c r="T149" i="39"/>
  <c r="U151" i="40"/>
  <c r="T152" i="40"/>
  <c r="T150" i="41" l="1"/>
  <c r="U149" i="41"/>
  <c r="T153" i="40"/>
  <c r="U152" i="40"/>
  <c r="U149" i="39"/>
  <c r="T150" i="39"/>
  <c r="U150" i="41" l="1"/>
  <c r="T151" i="41"/>
  <c r="T151" i="39"/>
  <c r="U150" i="39"/>
  <c r="T154" i="40"/>
  <c r="U153" i="40"/>
  <c r="T152" i="41" l="1"/>
  <c r="U151" i="41"/>
  <c r="T155" i="40"/>
  <c r="U154" i="40"/>
  <c r="T152" i="39"/>
  <c r="U151" i="39"/>
  <c r="U152" i="41" l="1"/>
  <c r="T153" i="41"/>
  <c r="T153" i="39"/>
  <c r="U152" i="39"/>
  <c r="U155" i="40"/>
  <c r="T156" i="40"/>
  <c r="U153" i="41" l="1"/>
  <c r="T154" i="41"/>
  <c r="U153" i="39"/>
  <c r="T154" i="39"/>
  <c r="U156" i="40"/>
  <c r="T157" i="40"/>
  <c r="U154" i="41" l="1"/>
  <c r="T155" i="41"/>
  <c r="T158" i="40"/>
  <c r="U157" i="40"/>
  <c r="T155" i="39"/>
  <c r="U154" i="39"/>
  <c r="T156" i="41" l="1"/>
  <c r="U155" i="41"/>
  <c r="U158" i="40"/>
  <c r="T159" i="40"/>
  <c r="T156" i="39"/>
  <c r="U155" i="39"/>
  <c r="T157" i="41" l="1"/>
  <c r="U156" i="41"/>
  <c r="T157" i="39"/>
  <c r="U156" i="39"/>
  <c r="U159" i="40"/>
  <c r="T160" i="40"/>
  <c r="T158" i="41" l="1"/>
  <c r="U157" i="41"/>
  <c r="T161" i="40"/>
  <c r="U160" i="40"/>
  <c r="U157" i="39"/>
  <c r="T158" i="39"/>
  <c r="T159" i="41" l="1"/>
  <c r="U158" i="41"/>
  <c r="T159" i="39"/>
  <c r="U158" i="39"/>
  <c r="T162" i="40"/>
  <c r="T163" i="40" s="1"/>
  <c r="U161" i="40"/>
  <c r="T160" i="41" l="1"/>
  <c r="U159" i="41"/>
  <c r="T164" i="40"/>
  <c r="U163" i="40"/>
  <c r="T160" i="39"/>
  <c r="U159" i="39"/>
  <c r="U160" i="41" l="1"/>
  <c r="T161" i="41"/>
  <c r="T165" i="40"/>
  <c r="U164" i="40"/>
  <c r="T161" i="39"/>
  <c r="T162" i="39" s="1"/>
  <c r="U160" i="39"/>
  <c r="U161" i="41" l="1"/>
  <c r="T162" i="41"/>
  <c r="U162" i="41" s="1"/>
  <c r="V162" i="41" s="1" a="1"/>
  <c r="V162" i="41" s="1"/>
  <c r="W162" i="41" s="1"/>
  <c r="X162" i="41" s="1"/>
  <c r="Y162" i="41" s="1"/>
  <c r="V28" i="41" a="1"/>
  <c r="V28" i="41" s="1"/>
  <c r="W28" i="41" s="1"/>
  <c r="X28" i="41" s="1"/>
  <c r="Y28" i="41" s="1"/>
  <c r="V36" i="41" a="1"/>
  <c r="V36" i="41" s="1"/>
  <c r="W36" i="41" s="1"/>
  <c r="X36" i="41" s="1"/>
  <c r="V98" i="41" a="1"/>
  <c r="V98" i="41" s="1"/>
  <c r="W98" i="41" s="1"/>
  <c r="X98" i="41" s="1"/>
  <c r="Y98" i="41" s="1"/>
  <c r="V129" i="41" a="1"/>
  <c r="V129" i="41" s="1"/>
  <c r="W129" i="41" s="1"/>
  <c r="X129" i="41" s="1"/>
  <c r="V159" i="41" a="1"/>
  <c r="V159" i="41" s="1"/>
  <c r="W159" i="41" s="1"/>
  <c r="X159" i="41" s="1"/>
  <c r="Y159" i="41" s="1"/>
  <c r="V114" i="41" a="1"/>
  <c r="V114" i="41" s="1"/>
  <c r="W114" i="41" s="1"/>
  <c r="X114" i="41" s="1"/>
  <c r="Y114" i="41" s="1"/>
  <c r="U165" i="40"/>
  <c r="T166" i="40"/>
  <c r="T163" i="39"/>
  <c r="U162" i="39"/>
  <c r="V29" i="41" l="1" a="1"/>
  <c r="V29" i="41" s="1"/>
  <c r="W29" i="41" s="1"/>
  <c r="X29" i="41" s="1"/>
  <c r="Y29" i="41" s="1"/>
  <c r="V67" i="41" a="1"/>
  <c r="V67" i="41" s="1"/>
  <c r="W67" i="41" s="1"/>
  <c r="X67" i="41" s="1"/>
  <c r="V131" i="41" a="1"/>
  <c r="V131" i="41" s="1"/>
  <c r="W131" i="41" s="1"/>
  <c r="X131" i="41" s="1"/>
  <c r="V75" i="41" a="1"/>
  <c r="V75" i="41" s="1"/>
  <c r="W75" i="41" s="1"/>
  <c r="X75" i="41" s="1"/>
  <c r="Y75" i="41" s="1"/>
  <c r="V81" i="41" a="1"/>
  <c r="V81" i="41" s="1"/>
  <c r="W81" i="41" s="1"/>
  <c r="X81" i="41" s="1"/>
  <c r="Y81" i="41" s="1"/>
  <c r="V74" i="41" a="1"/>
  <c r="V74" i="41" s="1"/>
  <c r="W74" i="41" s="1"/>
  <c r="X74" i="41" s="1"/>
  <c r="Y74" i="41" s="1"/>
  <c r="V71" i="41" a="1"/>
  <c r="V71" i="41" s="1"/>
  <c r="W71" i="41" s="1"/>
  <c r="X71" i="41" s="1"/>
  <c r="Y71" i="41" s="1"/>
  <c r="V53" i="41" a="1"/>
  <c r="V53" i="41" s="1"/>
  <c r="W53" i="41" s="1"/>
  <c r="X53" i="41" s="1"/>
  <c r="Y53" i="41" s="1"/>
  <c r="V94" i="41" a="1"/>
  <c r="V94" i="41" s="1"/>
  <c r="W94" i="41" s="1"/>
  <c r="X94" i="41" s="1"/>
  <c r="Y94" i="41" s="1"/>
  <c r="V147" i="41" a="1"/>
  <c r="V147" i="41" s="1"/>
  <c r="W147" i="41" s="1"/>
  <c r="X147" i="41" s="1"/>
  <c r="Y147" i="41" s="1"/>
  <c r="V124" i="41" a="1"/>
  <c r="V124" i="41" s="1"/>
  <c r="W124" i="41" s="1"/>
  <c r="X124" i="41" s="1"/>
  <c r="V15" i="41" a="1"/>
  <c r="V15" i="41" s="1"/>
  <c r="W15" i="41" s="1"/>
  <c r="X15" i="41" s="1"/>
  <c r="Y15" i="41" s="1"/>
  <c r="V141" i="41" a="1"/>
  <c r="V141" i="41" s="1"/>
  <c r="W141" i="41" s="1"/>
  <c r="X141" i="41" s="1"/>
  <c r="Y141" i="41" s="1"/>
  <c r="V62" i="41" a="1"/>
  <c r="V62" i="41" s="1"/>
  <c r="W62" i="41" s="1"/>
  <c r="X62" i="41" s="1"/>
  <c r="Y62" i="41" s="1"/>
  <c r="V146" i="41" a="1"/>
  <c r="V146" i="41" s="1"/>
  <c r="W146" i="41" s="1"/>
  <c r="X146" i="41" s="1"/>
  <c r="Y146" i="41" s="1"/>
  <c r="V68" i="41" a="1"/>
  <c r="V68" i="41" s="1"/>
  <c r="W68" i="41" s="1"/>
  <c r="X68" i="41" s="1"/>
  <c r="Y68" i="41" s="1"/>
  <c r="V33" i="41" a="1"/>
  <c r="V33" i="41" s="1"/>
  <c r="W33" i="41" s="1"/>
  <c r="X33" i="41" s="1"/>
  <c r="Y33" i="41" s="1"/>
  <c r="V10" i="41" a="1"/>
  <c r="V10" i="41" s="1"/>
  <c r="W10" i="41" s="1"/>
  <c r="X10" i="41" s="1"/>
  <c r="Y10" i="41" s="1"/>
  <c r="V132" i="41" a="1"/>
  <c r="V132" i="41" s="1"/>
  <c r="W132" i="41" s="1"/>
  <c r="X132" i="41" s="1"/>
  <c r="Y132" i="41" s="1"/>
  <c r="V86" i="41" a="1"/>
  <c r="V86" i="41" s="1"/>
  <c r="W86" i="41" s="1"/>
  <c r="X86" i="41" s="1"/>
  <c r="Y86" i="41" s="1"/>
  <c r="V46" i="41" a="1"/>
  <c r="V46" i="41" s="1"/>
  <c r="W46" i="41" s="1"/>
  <c r="X46" i="41" s="1"/>
  <c r="Y46" i="41" s="1"/>
  <c r="V77" i="41" a="1"/>
  <c r="V77" i="41" s="1"/>
  <c r="W77" i="41" s="1"/>
  <c r="X77" i="41" s="1"/>
  <c r="Y77" i="41" s="1"/>
  <c r="V23" i="41" a="1"/>
  <c r="V23" i="41" s="1"/>
  <c r="W23" i="41" s="1"/>
  <c r="X23" i="41" s="1"/>
  <c r="Y23" i="41" s="1"/>
  <c r="V87" i="41" a="1"/>
  <c r="V87" i="41" s="1"/>
  <c r="W87" i="41" s="1"/>
  <c r="X87" i="41" s="1"/>
  <c r="Y87" i="41" s="1"/>
  <c r="V145" i="41" a="1"/>
  <c r="V145" i="41" s="1"/>
  <c r="W145" i="41" s="1"/>
  <c r="X145" i="41" s="1"/>
  <c r="Y145" i="41" s="1"/>
  <c r="V149" i="41" a="1"/>
  <c r="V149" i="41" s="1"/>
  <c r="W149" i="41" s="1"/>
  <c r="X149" i="41" s="1"/>
  <c r="Y149" i="41" s="1"/>
  <c r="V127" i="41" a="1"/>
  <c r="V127" i="41" s="1"/>
  <c r="W127" i="41" s="1"/>
  <c r="X127" i="41" s="1"/>
  <c r="V84" i="41" a="1"/>
  <c r="V84" i="41" s="1"/>
  <c r="W84" i="41" s="1"/>
  <c r="X84" i="41" s="1"/>
  <c r="Y84" i="41" s="1"/>
  <c r="V63" i="41" a="1"/>
  <c r="V63" i="41" s="1"/>
  <c r="W63" i="41" s="1"/>
  <c r="X63" i="41" s="1"/>
  <c r="V35" i="41" a="1"/>
  <c r="V35" i="41" s="1"/>
  <c r="W35" i="41" s="1"/>
  <c r="X35" i="41" s="1"/>
  <c r="Y35" i="41" s="1"/>
  <c r="V105" i="41" a="1"/>
  <c r="V105" i="41" s="1"/>
  <c r="W105" i="41" s="1"/>
  <c r="X105" i="41" s="1"/>
  <c r="Y105" i="41" s="1"/>
  <c r="V137" i="41" a="1"/>
  <c r="V137" i="41" s="1"/>
  <c r="W137" i="41" s="1"/>
  <c r="X137" i="41" s="1"/>
  <c r="Y137" i="41" s="1"/>
  <c r="V157" i="41" a="1"/>
  <c r="V157" i="41" s="1"/>
  <c r="W157" i="41" s="1"/>
  <c r="X157" i="41" s="1"/>
  <c r="Y157" i="41" s="1"/>
  <c r="V14" i="41" a="1"/>
  <c r="V14" i="41" s="1"/>
  <c r="W14" i="41" s="1"/>
  <c r="X14" i="41" s="1"/>
  <c r="V91" i="41" a="1"/>
  <c r="V91" i="41" s="1"/>
  <c r="W91" i="41" s="1"/>
  <c r="X91" i="41" s="1"/>
  <c r="Y91" i="41" s="1"/>
  <c r="V7" i="41" a="1"/>
  <c r="V7" i="41" s="1"/>
  <c r="W7" i="41" s="1"/>
  <c r="X7" i="41" s="1"/>
  <c r="Y7" i="41" s="1"/>
  <c r="V76" i="41" a="1"/>
  <c r="V76" i="41" s="1"/>
  <c r="W76" i="41" s="1"/>
  <c r="X76" i="41" s="1"/>
  <c r="Y76" i="41" s="1"/>
  <c r="V106" i="41" a="1"/>
  <c r="V106" i="41" s="1"/>
  <c r="W106" i="41" s="1"/>
  <c r="X106" i="41" s="1"/>
  <c r="Y106" i="41" s="1"/>
  <c r="V70" i="41" a="1"/>
  <c r="V70" i="41" s="1"/>
  <c r="W70" i="41" s="1"/>
  <c r="X70" i="41" s="1"/>
  <c r="Y70" i="41" s="1"/>
  <c r="V112" i="41" a="1"/>
  <c r="V112" i="41" s="1"/>
  <c r="W112" i="41" s="1"/>
  <c r="X112" i="41" s="1"/>
  <c r="V16" i="41" a="1"/>
  <c r="V16" i="41" s="1"/>
  <c r="W16" i="41" s="1"/>
  <c r="X16" i="41" s="1"/>
  <c r="Y16" i="41" s="1"/>
  <c r="V22" i="41" a="1"/>
  <c r="V22" i="41" s="1"/>
  <c r="W22" i="41" s="1"/>
  <c r="X22" i="41" s="1"/>
  <c r="Y22" i="41" s="1"/>
  <c r="V111" i="41" a="1"/>
  <c r="V111" i="41" s="1"/>
  <c r="W111" i="41" s="1"/>
  <c r="X111" i="41" s="1"/>
  <c r="Y111" i="41" s="1"/>
  <c r="V44" i="41" a="1"/>
  <c r="V44" i="41" s="1"/>
  <c r="W44" i="41" s="1"/>
  <c r="X44" i="41" s="1"/>
  <c r="Y44" i="41" s="1"/>
  <c r="V140" i="41" a="1"/>
  <c r="V140" i="41" s="1"/>
  <c r="W140" i="41" s="1"/>
  <c r="X140" i="41" s="1"/>
  <c r="Y140" i="41" s="1"/>
  <c r="V125" i="41" a="1"/>
  <c r="V125" i="41" s="1"/>
  <c r="W125" i="41" s="1"/>
  <c r="X125" i="41" s="1"/>
  <c r="V25" i="41" a="1"/>
  <c r="V25" i="41" s="1"/>
  <c r="W25" i="41" s="1"/>
  <c r="X25" i="41" s="1"/>
  <c r="V59" i="41" a="1"/>
  <c r="V59" i="41" s="1"/>
  <c r="W59" i="41" s="1"/>
  <c r="X59" i="41" s="1"/>
  <c r="Y59" i="41" s="1"/>
  <c r="V5" i="41" a="1"/>
  <c r="V5" i="41" s="1"/>
  <c r="W5" i="41" s="1"/>
  <c r="X5" i="41" s="1"/>
  <c r="Y5" i="41" s="1"/>
  <c r="V152" i="41" a="1"/>
  <c r="V152" i="41" s="1"/>
  <c r="W152" i="41" s="1"/>
  <c r="X152" i="41" s="1"/>
  <c r="Y152" i="41" s="1"/>
  <c r="V117" i="41" a="1"/>
  <c r="V117" i="41" s="1"/>
  <c r="W117" i="41" s="1"/>
  <c r="X117" i="41" s="1"/>
  <c r="Y117" i="41" s="1"/>
  <c r="V156" i="41" a="1"/>
  <c r="V156" i="41" s="1"/>
  <c r="W156" i="41" s="1"/>
  <c r="X156" i="41" s="1"/>
  <c r="Y156" i="41" s="1"/>
  <c r="V41" i="41" a="1"/>
  <c r="V41" i="41" s="1"/>
  <c r="W41" i="41" s="1"/>
  <c r="X41" i="41" s="1"/>
  <c r="Y41" i="41" s="1"/>
  <c r="V121" i="41" a="1"/>
  <c r="V121" i="41" s="1"/>
  <c r="W121" i="41" s="1"/>
  <c r="X121" i="41" s="1"/>
  <c r="V128" i="41" a="1"/>
  <c r="V128" i="41" s="1"/>
  <c r="W128" i="41" s="1"/>
  <c r="X128" i="41" s="1"/>
  <c r="V72" i="41" a="1"/>
  <c r="V72" i="41" s="1"/>
  <c r="W72" i="41" s="1"/>
  <c r="X72" i="41" s="1"/>
  <c r="Y72" i="41" s="1"/>
  <c r="V138" i="41" a="1"/>
  <c r="V138" i="41" s="1"/>
  <c r="W138" i="41" s="1"/>
  <c r="X138" i="41" s="1"/>
  <c r="Y138" i="41" s="1"/>
  <c r="V37" i="41" a="1"/>
  <c r="V37" i="41" s="1"/>
  <c r="W37" i="41" s="1"/>
  <c r="X37" i="41" s="1"/>
  <c r="Y37" i="41" s="1"/>
  <c r="V52" i="41" a="1"/>
  <c r="V52" i="41" s="1"/>
  <c r="W52" i="41" s="1"/>
  <c r="X52" i="41" s="1"/>
  <c r="Y52" i="41" s="1"/>
  <c r="V110" i="41" a="1"/>
  <c r="V110" i="41" s="1"/>
  <c r="W110" i="41" s="1"/>
  <c r="X110" i="41" s="1"/>
  <c r="Y110" i="41" s="1"/>
  <c r="V88" i="41" a="1"/>
  <c r="V88" i="41" s="1"/>
  <c r="W88" i="41" s="1"/>
  <c r="X88" i="41" s="1"/>
  <c r="Y88" i="41" s="1"/>
  <c r="V66" i="41" a="1"/>
  <c r="V66" i="41" s="1"/>
  <c r="W66" i="41" s="1"/>
  <c r="X66" i="41" s="1"/>
  <c r="Y66" i="41" s="1"/>
  <c r="V97" i="41" a="1"/>
  <c r="V97" i="41" s="1"/>
  <c r="W97" i="41" s="1"/>
  <c r="X97" i="41" s="1"/>
  <c r="Y97" i="41" s="1"/>
  <c r="V148" i="41" a="1"/>
  <c r="V148" i="41" s="1"/>
  <c r="W148" i="41" s="1"/>
  <c r="X148" i="41" s="1"/>
  <c r="Y148" i="41" s="1"/>
  <c r="V113" i="41" a="1"/>
  <c r="V113" i="41" s="1"/>
  <c r="W113" i="41" s="1"/>
  <c r="X113" i="41" s="1"/>
  <c r="Y113" i="41" s="1"/>
  <c r="V34" i="41" a="1"/>
  <c r="V34" i="41" s="1"/>
  <c r="W34" i="41" s="1"/>
  <c r="X34" i="41" s="1"/>
  <c r="Y34" i="41" s="1"/>
  <c r="V139" i="41" a="1"/>
  <c r="V139" i="41" s="1"/>
  <c r="W139" i="41" s="1"/>
  <c r="X139" i="41" s="1"/>
  <c r="Y139" i="41" s="1"/>
  <c r="V107" i="41" a="1"/>
  <c r="V107" i="41" s="1"/>
  <c r="W107" i="41" s="1"/>
  <c r="X107" i="41" s="1"/>
  <c r="Y107" i="41" s="1"/>
  <c r="V134" i="41" a="1"/>
  <c r="V134" i="41" s="1"/>
  <c r="W134" i="41" s="1"/>
  <c r="X134" i="41" s="1"/>
  <c r="Y134" i="41" s="1"/>
  <c r="V108" i="41" a="1"/>
  <c r="V108" i="41" s="1"/>
  <c r="W108" i="41" s="1"/>
  <c r="X108" i="41" s="1"/>
  <c r="Y108" i="41" s="1"/>
  <c r="V101" i="41" a="1"/>
  <c r="V101" i="41" s="1"/>
  <c r="W101" i="41" s="1"/>
  <c r="X101" i="41" s="1"/>
  <c r="Y101" i="41" s="1"/>
  <c r="V82" i="41" a="1"/>
  <c r="V82" i="41" s="1"/>
  <c r="W82" i="41" s="1"/>
  <c r="X82" i="41" s="1"/>
  <c r="Y82" i="41" s="1"/>
  <c r="V158" i="41" a="1"/>
  <c r="V158" i="41" s="1"/>
  <c r="W158" i="41" s="1"/>
  <c r="X158" i="41" s="1"/>
  <c r="Y158" i="41" s="1"/>
  <c r="V100" i="41" a="1"/>
  <c r="V100" i="41" s="1"/>
  <c r="W100" i="41" s="1"/>
  <c r="X100" i="41" s="1"/>
  <c r="Y100" i="41" s="1"/>
  <c r="V96" i="41" a="1"/>
  <c r="V96" i="41" s="1"/>
  <c r="W96" i="41" s="1"/>
  <c r="X96" i="41" s="1"/>
  <c r="Y96" i="41" s="1"/>
  <c r="V50" i="41" a="1"/>
  <c r="V50" i="41" s="1"/>
  <c r="W50" i="41" s="1"/>
  <c r="X50" i="41" s="1"/>
  <c r="Y50" i="41" s="1"/>
  <c r="V102" i="41" a="1"/>
  <c r="V102" i="41" s="1"/>
  <c r="W102" i="41" s="1"/>
  <c r="X102" i="41" s="1"/>
  <c r="Y102" i="41" s="1"/>
  <c r="V130" i="41" a="1"/>
  <c r="V130" i="41" s="1"/>
  <c r="W130" i="41" s="1"/>
  <c r="X130" i="41" s="1"/>
  <c r="V48" i="41" a="1"/>
  <c r="V48" i="41" s="1"/>
  <c r="W48" i="41" s="1"/>
  <c r="X48" i="41" s="1"/>
  <c r="Y48" i="41" s="1"/>
  <c r="V142" i="41" a="1"/>
  <c r="V142" i="41" s="1"/>
  <c r="W142" i="41" s="1"/>
  <c r="X142" i="41" s="1"/>
  <c r="Y142" i="41" s="1"/>
  <c r="V85" i="41" a="1"/>
  <c r="V85" i="41" s="1"/>
  <c r="W85" i="41" s="1"/>
  <c r="X85" i="41" s="1"/>
  <c r="Y85" i="41" s="1"/>
  <c r="V45" i="41" a="1"/>
  <c r="V45" i="41" s="1"/>
  <c r="W45" i="41" s="1"/>
  <c r="X45" i="41" s="1"/>
  <c r="Y45" i="41" s="1"/>
  <c r="V120" i="41" a="1"/>
  <c r="V120" i="41" s="1"/>
  <c r="W120" i="41" s="1"/>
  <c r="X120" i="41" s="1"/>
  <c r="Y120" i="41" s="1"/>
  <c r="V51" i="41" a="1"/>
  <c r="V51" i="41" s="1"/>
  <c r="W51" i="41" s="1"/>
  <c r="X51" i="41" s="1"/>
  <c r="Y51" i="41" s="1"/>
  <c r="V123" i="41" a="1"/>
  <c r="V123" i="41" s="1"/>
  <c r="W123" i="41" s="1"/>
  <c r="X123" i="41" s="1"/>
  <c r="V126" i="41" a="1"/>
  <c r="V126" i="41" s="1"/>
  <c r="W126" i="41" s="1"/>
  <c r="X126" i="41" s="1"/>
  <c r="V12" i="41" a="1"/>
  <c r="V12" i="41" s="1"/>
  <c r="W12" i="41" s="1"/>
  <c r="X12" i="41" s="1"/>
  <c r="Y12" i="41" s="1"/>
  <c r="V6" i="41" a="1"/>
  <c r="V6" i="41" s="1"/>
  <c r="W6" i="41" s="1"/>
  <c r="X6" i="41" s="1"/>
  <c r="Y6" i="41" s="1"/>
  <c r="V122" i="41" a="1"/>
  <c r="V122" i="41" s="1"/>
  <c r="W122" i="41" s="1"/>
  <c r="X122" i="41" s="1"/>
  <c r="V153" i="41" a="1"/>
  <c r="V153" i="41" s="1"/>
  <c r="W153" i="41" s="1"/>
  <c r="X153" i="41" s="1"/>
  <c r="Y153" i="41" s="1"/>
  <c r="V21" i="41" a="1"/>
  <c r="V21" i="41" s="1"/>
  <c r="W21" i="41" s="1"/>
  <c r="X21" i="41" s="1"/>
  <c r="V11" i="41" a="1"/>
  <c r="V11" i="41" s="1"/>
  <c r="W11" i="41" s="1"/>
  <c r="X11" i="41" s="1"/>
  <c r="Y11" i="41" s="1"/>
  <c r="V89" i="41" a="1"/>
  <c r="V89" i="41" s="1"/>
  <c r="W89" i="41" s="1"/>
  <c r="X89" i="41" s="1"/>
  <c r="Y89" i="41" s="1"/>
  <c r="V9" i="41" a="1"/>
  <c r="V9" i="41" s="1"/>
  <c r="W9" i="41" s="1"/>
  <c r="X9" i="41" s="1"/>
  <c r="Y9" i="41" s="1"/>
  <c r="V24" i="41" a="1"/>
  <c r="V24" i="41" s="1"/>
  <c r="W24" i="41" s="1"/>
  <c r="X24" i="41" s="1"/>
  <c r="Y24" i="41" s="1"/>
  <c r="V154" i="41" a="1"/>
  <c r="V154" i="41" s="1"/>
  <c r="W154" i="41" s="1"/>
  <c r="X154" i="41" s="1"/>
  <c r="Y154" i="41" s="1"/>
  <c r="V104" i="41" a="1"/>
  <c r="V104" i="41" s="1"/>
  <c r="W104" i="41" s="1"/>
  <c r="X104" i="41" s="1"/>
  <c r="Y104" i="41" s="1"/>
  <c r="V64" i="41" a="1"/>
  <c r="V64" i="41" s="1"/>
  <c r="W64" i="41" s="1"/>
  <c r="X64" i="41" s="1"/>
  <c r="Y64" i="41" s="1"/>
  <c r="V19" i="41" a="1"/>
  <c r="V19" i="41" s="1"/>
  <c r="W19" i="41" s="1"/>
  <c r="X19" i="41" s="1"/>
  <c r="V143" i="41" a="1"/>
  <c r="V143" i="41" s="1"/>
  <c r="W143" i="41" s="1"/>
  <c r="X143" i="41" s="1"/>
  <c r="Y143" i="41" s="1"/>
  <c r="V32" i="41" a="1"/>
  <c r="V32" i="41" s="1"/>
  <c r="W32" i="41" s="1"/>
  <c r="X32" i="41" s="1"/>
  <c r="Y32" i="41" s="1"/>
  <c r="V109" i="41" a="1"/>
  <c r="V109" i="41" s="1"/>
  <c r="W109" i="41" s="1"/>
  <c r="X109" i="41" s="1"/>
  <c r="Y109" i="41" s="1"/>
  <c r="V8" i="41" a="1"/>
  <c r="V8" i="41" s="1"/>
  <c r="W8" i="41" s="1"/>
  <c r="X8" i="41" s="1"/>
  <c r="Y8" i="41" s="1"/>
  <c r="V150" i="41" a="1"/>
  <c r="V150" i="41" s="1"/>
  <c r="W150" i="41" s="1"/>
  <c r="X150" i="41" s="1"/>
  <c r="Y150" i="41" s="1"/>
  <c r="V93" i="41" a="1"/>
  <c r="V93" i="41" s="1"/>
  <c r="W93" i="41" s="1"/>
  <c r="X93" i="41" s="1"/>
  <c r="Y93" i="41" s="1"/>
  <c r="V58" i="41" a="1"/>
  <c r="V58" i="41" s="1"/>
  <c r="W58" i="41" s="1"/>
  <c r="X58" i="41" s="1"/>
  <c r="Y58" i="41" s="1"/>
  <c r="V115" i="41" a="1"/>
  <c r="V115" i="41" s="1"/>
  <c r="W115" i="41" s="1"/>
  <c r="X115" i="41" s="1"/>
  <c r="V39" i="41" a="1"/>
  <c r="V39" i="41" s="1"/>
  <c r="W39" i="41" s="1"/>
  <c r="X39" i="41" s="1"/>
  <c r="Y39" i="41" s="1"/>
  <c r="V83" i="41" a="1"/>
  <c r="V83" i="41" s="1"/>
  <c r="W83" i="41" s="1"/>
  <c r="X83" i="41" s="1"/>
  <c r="Y83" i="41" s="1"/>
  <c r="V73" i="41" a="1"/>
  <c r="V73" i="41" s="1"/>
  <c r="W73" i="41" s="1"/>
  <c r="X73" i="41" s="1"/>
  <c r="Y73" i="41" s="1"/>
  <c r="V161" i="41" a="1"/>
  <c r="V161" i="41" s="1"/>
  <c r="W161" i="41" s="1"/>
  <c r="X161" i="41" s="1"/>
  <c r="Y161" i="41" s="1"/>
  <c r="V26" i="41" a="1"/>
  <c r="V26" i="41" s="1"/>
  <c r="W26" i="41" s="1"/>
  <c r="X26" i="41" s="1"/>
  <c r="Y26" i="41" s="1"/>
  <c r="V79" i="41" a="1"/>
  <c r="V79" i="41" s="1"/>
  <c r="W79" i="41" s="1"/>
  <c r="X79" i="41" s="1"/>
  <c r="Y79" i="41" s="1"/>
  <c r="V42" i="41" a="1"/>
  <c r="V42" i="41" s="1"/>
  <c r="W42" i="41" s="1"/>
  <c r="X42" i="41" s="1"/>
  <c r="Y42" i="41" s="1"/>
  <c r="V54" i="41" a="1"/>
  <c r="V54" i="41" s="1"/>
  <c r="W54" i="41" s="1"/>
  <c r="X54" i="41" s="1"/>
  <c r="Y54" i="41" s="1"/>
  <c r="V47" i="41" a="1"/>
  <c r="V47" i="41" s="1"/>
  <c r="W47" i="41" s="1"/>
  <c r="X47" i="41" s="1"/>
  <c r="Y47" i="41" s="1"/>
  <c r="V57" i="41" a="1"/>
  <c r="V57" i="41" s="1"/>
  <c r="W57" i="41" s="1"/>
  <c r="X57" i="41" s="1"/>
  <c r="Y57" i="41" s="1"/>
  <c r="V40" i="41" a="1"/>
  <c r="V40" i="41" s="1"/>
  <c r="W40" i="41" s="1"/>
  <c r="X40" i="41" s="1"/>
  <c r="Y40" i="41" s="1"/>
  <c r="V136" i="41" a="1"/>
  <c r="V136" i="41" s="1"/>
  <c r="W136" i="41" s="1"/>
  <c r="X136" i="41" s="1"/>
  <c r="Y136" i="41" s="1"/>
  <c r="V92" i="41" a="1"/>
  <c r="V92" i="41" s="1"/>
  <c r="W92" i="41" s="1"/>
  <c r="X92" i="41" s="1"/>
  <c r="Y92" i="41" s="1"/>
  <c r="V56" i="41" a="1"/>
  <c r="V56" i="41" s="1"/>
  <c r="W56" i="41" s="1"/>
  <c r="X56" i="41" s="1"/>
  <c r="Y56" i="41" s="1"/>
  <c r="V49" i="41" a="1"/>
  <c r="V49" i="41" s="1"/>
  <c r="W49" i="41" s="1"/>
  <c r="X49" i="41" s="1"/>
  <c r="Y49" i="41" s="1"/>
  <c r="V38" i="41" a="1"/>
  <c r="V38" i="41" s="1"/>
  <c r="W38" i="41" s="1"/>
  <c r="X38" i="41" s="1"/>
  <c r="Y38" i="41" s="1"/>
  <c r="V133" i="41" a="1"/>
  <c r="V133" i="41" s="1"/>
  <c r="W133" i="41" s="1"/>
  <c r="X133" i="41" s="1"/>
  <c r="Y133" i="41" s="1"/>
  <c r="V151" i="41" a="1"/>
  <c r="V151" i="41" s="1"/>
  <c r="W151" i="41" s="1"/>
  <c r="X151" i="41" s="1"/>
  <c r="Y151" i="41" s="1"/>
  <c r="V80" i="41" a="1"/>
  <c r="V80" i="41" s="1"/>
  <c r="W80" i="41" s="1"/>
  <c r="X80" i="41" s="1"/>
  <c r="Y80" i="41" s="1"/>
  <c r="V18" i="41" a="1"/>
  <c r="V18" i="41" s="1"/>
  <c r="W18" i="41" s="1"/>
  <c r="X18" i="41" s="1"/>
  <c r="Y18" i="41" s="1"/>
  <c r="V55" i="41" a="1"/>
  <c r="V55" i="41" s="1"/>
  <c r="W55" i="41" s="1"/>
  <c r="X55" i="41" s="1"/>
  <c r="Y55" i="41" s="1"/>
  <c r="V116" i="41" a="1"/>
  <c r="V116" i="41" s="1"/>
  <c r="W116" i="41" s="1"/>
  <c r="X116" i="41" s="1"/>
  <c r="Y116" i="41" s="1"/>
  <c r="V13" i="41" a="1"/>
  <c r="V13" i="41" s="1"/>
  <c r="W13" i="41" s="1"/>
  <c r="X13" i="41" s="1"/>
  <c r="Y13" i="41" s="1"/>
  <c r="V20" i="41" a="1"/>
  <c r="V20" i="41" s="1"/>
  <c r="W20" i="41" s="1"/>
  <c r="X20" i="41" s="1"/>
  <c r="V69" i="41" a="1"/>
  <c r="V69" i="41" s="1"/>
  <c r="W69" i="41" s="1"/>
  <c r="X69" i="41" s="1"/>
  <c r="Y69" i="41" s="1"/>
  <c r="V43" i="41" a="1"/>
  <c r="V43" i="41" s="1"/>
  <c r="W43" i="41" s="1"/>
  <c r="X43" i="41" s="1"/>
  <c r="Y43" i="41" s="1"/>
  <c r="V155" i="41" a="1"/>
  <c r="V155" i="41" s="1"/>
  <c r="W155" i="41" s="1"/>
  <c r="X155" i="41" s="1"/>
  <c r="Y155" i="41" s="1"/>
  <c r="V4" i="41" a="1"/>
  <c r="V4" i="41" s="1"/>
  <c r="W4" i="41" s="1"/>
  <c r="V78" i="41" a="1"/>
  <c r="V78" i="41" s="1"/>
  <c r="W78" i="41" s="1"/>
  <c r="X78" i="41" s="1"/>
  <c r="Y78" i="41" s="1"/>
  <c r="V61" i="41" a="1"/>
  <c r="V61" i="41" s="1"/>
  <c r="W61" i="41" s="1"/>
  <c r="X61" i="41" s="1"/>
  <c r="V135" i="41" a="1"/>
  <c r="V135" i="41" s="1"/>
  <c r="W135" i="41" s="1"/>
  <c r="X135" i="41" s="1"/>
  <c r="Y135" i="41" s="1"/>
  <c r="V160" i="41" a="1"/>
  <c r="V160" i="41" s="1"/>
  <c r="W160" i="41" s="1"/>
  <c r="X160" i="41" s="1"/>
  <c r="Y160" i="41" s="1"/>
  <c r="V65" i="41" a="1"/>
  <c r="V65" i="41" s="1"/>
  <c r="W65" i="41" s="1"/>
  <c r="X65" i="41" s="1"/>
  <c r="Y65" i="41" s="1"/>
  <c r="V144" i="41" a="1"/>
  <c r="V144" i="41" s="1"/>
  <c r="W144" i="41" s="1"/>
  <c r="X144" i="41" s="1"/>
  <c r="Y144" i="41" s="1"/>
  <c r="V30" i="41" a="1"/>
  <c r="V30" i="41" s="1"/>
  <c r="W30" i="41" s="1"/>
  <c r="X30" i="41" s="1"/>
  <c r="Y30" i="41" s="1"/>
  <c r="V119" i="41" a="1"/>
  <c r="V119" i="41" s="1"/>
  <c r="W119" i="41" s="1"/>
  <c r="X119" i="41" s="1"/>
  <c r="Y119" i="41" s="1"/>
  <c r="V90" i="41" a="1"/>
  <c r="V90" i="41" s="1"/>
  <c r="W90" i="41" s="1"/>
  <c r="X90" i="41" s="1"/>
  <c r="Y90" i="41" s="1"/>
  <c r="V118" i="41" a="1"/>
  <c r="V118" i="41" s="1"/>
  <c r="W118" i="41" s="1"/>
  <c r="X118" i="41" s="1"/>
  <c r="V99" i="41" a="1"/>
  <c r="V99" i="41" s="1"/>
  <c r="W99" i="41" s="1"/>
  <c r="X99" i="41" s="1"/>
  <c r="Y99" i="41" s="1"/>
  <c r="V27" i="41" a="1"/>
  <c r="V27" i="41" s="1"/>
  <c r="W27" i="41" s="1"/>
  <c r="X27" i="41" s="1"/>
  <c r="Y27" i="41" s="1"/>
  <c r="V31" i="41" a="1"/>
  <c r="V31" i="41" s="1"/>
  <c r="W31" i="41" s="1"/>
  <c r="X31" i="41" s="1"/>
  <c r="Y31" i="41" s="1"/>
  <c r="V95" i="41" a="1"/>
  <c r="V95" i="41" s="1"/>
  <c r="W95" i="41" s="1"/>
  <c r="X95" i="41" s="1"/>
  <c r="Y95" i="41" s="1"/>
  <c r="V103" i="41" a="1"/>
  <c r="V103" i="41" s="1"/>
  <c r="W103" i="41" s="1"/>
  <c r="X103" i="41" s="1"/>
  <c r="Y103" i="41" s="1"/>
  <c r="V17" i="41" a="1"/>
  <c r="V17" i="41" s="1"/>
  <c r="W17" i="41" s="1"/>
  <c r="X17" i="41" s="1"/>
  <c r="Y17" i="41" s="1"/>
  <c r="V60" i="41" a="1"/>
  <c r="V60" i="41" s="1"/>
  <c r="W60" i="41" s="1"/>
  <c r="X60" i="41" s="1"/>
  <c r="U166" i="40"/>
  <c r="T167" i="40"/>
  <c r="U163" i="39"/>
  <c r="T164" i="39"/>
  <c r="X4" i="41" l="1"/>
  <c r="Y4" i="41" s="1"/>
  <c r="W2" i="41"/>
  <c r="U167" i="40"/>
  <c r="T168" i="40"/>
  <c r="U164" i="39"/>
  <c r="T165" i="39"/>
  <c r="T166" i="39" l="1"/>
  <c r="U165" i="39"/>
  <c r="T169" i="40"/>
  <c r="U168" i="40"/>
  <c r="U169" i="40" l="1"/>
  <c r="T170" i="40"/>
  <c r="T167" i="39"/>
  <c r="U166" i="39"/>
  <c r="U170" i="40" l="1"/>
  <c r="T171" i="40"/>
  <c r="T168" i="39"/>
  <c r="U167" i="39"/>
  <c r="T172" i="40" l="1"/>
  <c r="U171" i="40"/>
  <c r="T169" i="39"/>
  <c r="U168" i="39"/>
  <c r="U169" i="39" l="1"/>
  <c r="T170" i="39"/>
  <c r="T173" i="40"/>
  <c r="U172" i="40"/>
  <c r="T174" i="40" l="1"/>
  <c r="U173" i="40"/>
  <c r="T171" i="39"/>
  <c r="U170" i="39"/>
  <c r="U171" i="39" l="1"/>
  <c r="T172" i="39"/>
  <c r="T175" i="40"/>
  <c r="U174" i="40"/>
  <c r="T176" i="40" l="1"/>
  <c r="U175" i="40"/>
  <c r="U172" i="39"/>
  <c r="T173" i="39"/>
  <c r="U173" i="39" l="1"/>
  <c r="T174" i="39"/>
  <c r="U176" i="40"/>
  <c r="T177" i="40"/>
  <c r="T178" i="40" l="1"/>
  <c r="U177" i="40"/>
  <c r="U174" i="39"/>
  <c r="T175" i="39"/>
  <c r="T176" i="39" l="1"/>
  <c r="U175" i="39"/>
  <c r="U178" i="40"/>
  <c r="T179" i="40"/>
  <c r="U179" i="40" l="1"/>
  <c r="T180" i="40"/>
  <c r="T177" i="39"/>
  <c r="U176" i="39"/>
  <c r="U177" i="39" l="1"/>
  <c r="T178" i="39"/>
  <c r="T181" i="40"/>
  <c r="U180" i="40"/>
  <c r="T182" i="40" l="1"/>
  <c r="U181" i="40"/>
  <c r="U178" i="39"/>
  <c r="T179" i="39"/>
  <c r="U179" i="39" l="1"/>
  <c r="T180" i="39"/>
  <c r="T183" i="40"/>
  <c r="U182" i="40"/>
  <c r="U183" i="40" l="1"/>
  <c r="T184" i="40"/>
  <c r="U180" i="39"/>
  <c r="T181" i="39"/>
  <c r="U181" i="39" l="1"/>
  <c r="T182" i="39"/>
  <c r="T185" i="40"/>
  <c r="U184" i="40"/>
  <c r="T186" i="40" l="1"/>
  <c r="U185" i="40"/>
  <c r="T183" i="39"/>
  <c r="U182" i="39"/>
  <c r="T184" i="39" l="1"/>
  <c r="U183" i="39"/>
  <c r="T187" i="40"/>
  <c r="U186" i="40"/>
  <c r="U187" i="40" l="1"/>
  <c r="T188" i="40"/>
  <c r="T185" i="39"/>
  <c r="U184" i="39"/>
  <c r="U185" i="39" l="1"/>
  <c r="T186" i="39"/>
  <c r="U188" i="40"/>
  <c r="T189" i="40"/>
  <c r="U186" i="39" l="1"/>
  <c r="T187" i="39"/>
  <c r="T190" i="40"/>
  <c r="U189" i="40"/>
  <c r="T188" i="39" l="1"/>
  <c r="U187" i="39"/>
  <c r="U190" i="40"/>
  <c r="T191" i="40"/>
  <c r="U191" i="40" l="1"/>
  <c r="T192" i="40"/>
  <c r="U188" i="39"/>
  <c r="T189" i="39"/>
  <c r="U189" i="39" l="1"/>
  <c r="T190" i="39"/>
  <c r="T193" i="40"/>
  <c r="U192" i="40"/>
  <c r="T191" i="39" l="1"/>
  <c r="U190" i="39"/>
  <c r="T194" i="40"/>
  <c r="U193" i="40"/>
  <c r="T192" i="39" l="1"/>
  <c r="U191" i="39"/>
  <c r="T195" i="40"/>
  <c r="U194" i="40"/>
  <c r="U195" i="40" l="1"/>
  <c r="T196" i="40"/>
  <c r="T193" i="39"/>
  <c r="U192" i="39"/>
  <c r="T197" i="40" l="1"/>
  <c r="U196" i="40"/>
  <c r="U193" i="39"/>
  <c r="T194" i="39"/>
  <c r="T198" i="40" l="1"/>
  <c r="U197" i="40"/>
  <c r="U194" i="39"/>
  <c r="T195" i="39"/>
  <c r="T196" i="39" l="1"/>
  <c r="U195" i="39"/>
  <c r="T199" i="40"/>
  <c r="U198" i="40"/>
  <c r="U199" i="40" l="1"/>
  <c r="T200" i="40"/>
  <c r="T201" i="40" s="1"/>
  <c r="T202" i="40" s="1"/>
  <c r="U196" i="39"/>
  <c r="T197" i="39"/>
  <c r="U197" i="39" l="1"/>
  <c r="T198" i="39"/>
  <c r="T203" i="40"/>
  <c r="T204" i="40" s="1"/>
  <c r="U202" i="40"/>
  <c r="T199" i="39" l="1"/>
  <c r="T200" i="39" s="1"/>
  <c r="T201" i="39" s="1"/>
  <c r="U198" i="39"/>
  <c r="T205" i="40"/>
  <c r="U204" i="40"/>
  <c r="T206" i="40" l="1"/>
  <c r="U205" i="40"/>
  <c r="T202" i="39"/>
  <c r="T203" i="39" s="1"/>
  <c r="U201" i="39"/>
  <c r="T204" i="39" l="1"/>
  <c r="U203" i="39"/>
  <c r="T207" i="40"/>
  <c r="T208" i="40" s="1"/>
  <c r="U206" i="40"/>
  <c r="U208" i="40" l="1"/>
  <c r="T209" i="40"/>
  <c r="T205" i="39"/>
  <c r="U204" i="39"/>
  <c r="U205" i="39" l="1"/>
  <c r="T206" i="39"/>
  <c r="T207" i="39" s="1"/>
  <c r="T210" i="40"/>
  <c r="U209" i="40"/>
  <c r="T211" i="40" l="1"/>
  <c r="T212" i="40" s="1"/>
  <c r="T213" i="40" s="1"/>
  <c r="U213" i="40" s="1"/>
  <c r="U210" i="40"/>
  <c r="T208" i="39"/>
  <c r="U207" i="39"/>
  <c r="U208" i="39" l="1"/>
  <c r="T209" i="39"/>
  <c r="T214" i="40"/>
  <c r="U214" i="40" s="1"/>
  <c r="T210" i="39" l="1"/>
  <c r="T211" i="39" s="1"/>
  <c r="T212" i="39" s="1"/>
  <c r="U209" i="39"/>
  <c r="T215" i="40"/>
  <c r="U215" i="40" l="1"/>
  <c r="T216" i="40"/>
  <c r="T217" i="40" s="1"/>
  <c r="U212" i="39"/>
  <c r="T213" i="39"/>
  <c r="T218" i="40" l="1"/>
  <c r="U217" i="40"/>
  <c r="T214" i="39"/>
  <c r="U213" i="39"/>
  <c r="T215" i="39" l="1"/>
  <c r="T216" i="39" s="1"/>
  <c r="U214" i="39"/>
  <c r="T219" i="40"/>
  <c r="U218" i="40"/>
  <c r="T217" i="39" l="1"/>
  <c r="U216" i="39"/>
  <c r="T220" i="40"/>
  <c r="T221" i="40" s="1"/>
  <c r="U219" i="40"/>
  <c r="T222" i="40" l="1"/>
  <c r="U221" i="40"/>
  <c r="T218" i="39"/>
  <c r="U217" i="39"/>
  <c r="U218" i="39" l="1"/>
  <c r="T219" i="39"/>
  <c r="T220" i="39" s="1"/>
  <c r="T223" i="40"/>
  <c r="U222" i="40"/>
  <c r="T224" i="40" l="1"/>
  <c r="T225" i="40" s="1"/>
  <c r="U223" i="40"/>
  <c r="T221" i="39"/>
  <c r="U220" i="39"/>
  <c r="T226" i="40" l="1"/>
  <c r="U225" i="40"/>
  <c r="T222" i="39"/>
  <c r="U221" i="39"/>
  <c r="T227" i="40" l="1"/>
  <c r="U226" i="40"/>
  <c r="T223" i="39"/>
  <c r="T224" i="39" s="1"/>
  <c r="U222" i="39"/>
  <c r="T228" i="40" l="1"/>
  <c r="U227" i="40"/>
  <c r="U224" i="39"/>
  <c r="T225" i="39"/>
  <c r="T226" i="39" l="1"/>
  <c r="U225" i="39"/>
  <c r="T229" i="40"/>
  <c r="U228" i="40"/>
  <c r="T227" i="39" l="1"/>
  <c r="U226" i="39"/>
  <c r="U229" i="40"/>
  <c r="T230" i="40"/>
  <c r="U227" i="39" l="1"/>
  <c r="T228" i="39"/>
  <c r="T231" i="40"/>
  <c r="U230" i="40"/>
  <c r="T232" i="40" l="1"/>
  <c r="U231" i="40"/>
  <c r="T229" i="39"/>
  <c r="U228" i="39"/>
  <c r="T230" i="39" l="1"/>
  <c r="U229" i="39"/>
  <c r="T233" i="40"/>
  <c r="U232" i="40"/>
  <c r="T234" i="40" l="1"/>
  <c r="U233" i="40"/>
  <c r="T231" i="39"/>
  <c r="U230" i="39"/>
  <c r="T235" i="40" l="1"/>
  <c r="U234" i="40"/>
  <c r="T232" i="39"/>
  <c r="U231" i="39"/>
  <c r="U235" i="40" l="1"/>
  <c r="T236" i="40"/>
  <c r="T233" i="39"/>
  <c r="U232" i="39"/>
  <c r="T237" i="40" l="1"/>
  <c r="U236" i="40"/>
  <c r="T234" i="39"/>
  <c r="U233" i="39"/>
  <c r="T238" i="40" l="1"/>
  <c r="U237" i="40"/>
  <c r="U234" i="39"/>
  <c r="T235" i="39"/>
  <c r="T236" i="39" l="1"/>
  <c r="U235" i="39"/>
  <c r="U238" i="40"/>
  <c r="T239" i="40"/>
  <c r="T240" i="40" l="1"/>
  <c r="U239" i="40"/>
  <c r="U236" i="39"/>
  <c r="T237" i="39"/>
  <c r="U237" i="39" l="1"/>
  <c r="T238" i="39"/>
  <c r="T241" i="40"/>
  <c r="U240" i="40"/>
  <c r="U241" i="40" l="1"/>
  <c r="T242" i="40"/>
  <c r="U238" i="39"/>
  <c r="T239" i="39"/>
  <c r="T243" i="40" l="1"/>
  <c r="U242" i="40"/>
  <c r="U239" i="39"/>
  <c r="T240" i="39"/>
  <c r="T244" i="40" l="1"/>
  <c r="U243" i="40"/>
  <c r="T241" i="39"/>
  <c r="U240" i="39"/>
  <c r="T245" i="40" l="1"/>
  <c r="U244" i="40"/>
  <c r="T242" i="39"/>
  <c r="U241" i="39"/>
  <c r="T243" i="39" l="1"/>
  <c r="U242" i="39"/>
  <c r="T246" i="40"/>
  <c r="U245" i="40"/>
  <c r="U246" i="40" l="1"/>
  <c r="T247" i="40"/>
  <c r="T244" i="39"/>
  <c r="U243" i="39"/>
  <c r="U244" i="39" l="1"/>
  <c r="T245" i="39"/>
  <c r="T248" i="40"/>
  <c r="U247" i="40"/>
  <c r="U245" i="39" l="1"/>
  <c r="T246" i="39"/>
  <c r="T249" i="40"/>
  <c r="U248" i="40"/>
  <c r="U249" i="40" l="1"/>
  <c r="T250" i="40"/>
  <c r="T247" i="39"/>
  <c r="U246" i="39"/>
  <c r="T251" i="40" l="1"/>
  <c r="U250" i="40"/>
  <c r="U247" i="39"/>
  <c r="T248" i="39"/>
  <c r="T249" i="39" l="1"/>
  <c r="U248" i="39"/>
  <c r="T252" i="40"/>
  <c r="U251" i="40"/>
  <c r="U252" i="40" l="1"/>
  <c r="T253" i="40"/>
  <c r="T250" i="39"/>
  <c r="U249" i="39"/>
  <c r="T251" i="39" l="1"/>
  <c r="U250" i="39"/>
  <c r="T254" i="40"/>
  <c r="U253" i="40"/>
  <c r="U254" i="40" l="1"/>
  <c r="T255" i="40"/>
  <c r="T252" i="39"/>
  <c r="U251" i="39"/>
  <c r="T256" i="40" l="1"/>
  <c r="U255" i="40"/>
  <c r="U252" i="39"/>
  <c r="T253" i="39"/>
  <c r="U253" i="39" l="1"/>
  <c r="T254" i="39"/>
  <c r="T257" i="40"/>
  <c r="U256" i="40"/>
  <c r="T258" i="40" l="1"/>
  <c r="U257" i="40"/>
  <c r="U254" i="39"/>
  <c r="T255" i="39"/>
  <c r="T259" i="40" l="1"/>
  <c r="U258" i="40"/>
  <c r="U255" i="39"/>
  <c r="T256" i="39"/>
  <c r="T257" i="39" l="1"/>
  <c r="U256" i="39"/>
  <c r="T260" i="40"/>
  <c r="U259" i="40"/>
  <c r="T261" i="40" l="1"/>
  <c r="U260" i="40"/>
  <c r="T258" i="39"/>
  <c r="U257" i="39"/>
  <c r="T259" i="39" l="1"/>
  <c r="U258" i="39"/>
  <c r="T262" i="40"/>
  <c r="U261" i="40"/>
  <c r="T260" i="39" l="1"/>
  <c r="U259" i="39"/>
  <c r="T263" i="40"/>
  <c r="U262" i="40"/>
  <c r="U263" i="40" l="1"/>
  <c r="T264" i="40"/>
  <c r="T261" i="39"/>
  <c r="U260" i="39"/>
  <c r="T262" i="39" l="1"/>
  <c r="U261" i="39"/>
  <c r="T265" i="40"/>
  <c r="U264" i="40"/>
  <c r="T266" i="40" l="1"/>
  <c r="U265" i="40"/>
  <c r="U262" i="39"/>
  <c r="T263" i="39"/>
  <c r="U263" i="39" l="1"/>
  <c r="T264" i="39"/>
  <c r="U266" i="40"/>
  <c r="T267" i="40"/>
  <c r="T268" i="40" l="1"/>
  <c r="U267" i="40"/>
  <c r="U264" i="39"/>
  <c r="T265" i="39"/>
  <c r="T266" i="39" l="1"/>
  <c r="U265" i="39"/>
  <c r="T269" i="40"/>
  <c r="U268" i="40"/>
  <c r="U269" i="40" l="1"/>
  <c r="T270" i="40"/>
  <c r="T267" i="39"/>
  <c r="U266" i="39"/>
  <c r="T268" i="39" l="1"/>
  <c r="U267" i="39"/>
  <c r="T271" i="40"/>
  <c r="U270" i="40"/>
  <c r="T269" i="39" l="1"/>
  <c r="U268" i="39"/>
  <c r="U271" i="40"/>
  <c r="T272" i="40"/>
  <c r="T273" i="40" l="1"/>
  <c r="U272" i="40"/>
  <c r="T270" i="39"/>
  <c r="U269" i="39"/>
  <c r="U270" i="39" l="1"/>
  <c r="T271" i="39"/>
  <c r="T274" i="40"/>
  <c r="U273" i="40"/>
  <c r="U274" i="40" l="1"/>
  <c r="T275" i="40"/>
  <c r="U271" i="39"/>
  <c r="T272" i="39"/>
  <c r="U272" i="39" l="1"/>
  <c r="T273" i="39"/>
  <c r="T276" i="40"/>
  <c r="U275" i="40"/>
  <c r="T274" i="39" l="1"/>
  <c r="U273" i="39"/>
  <c r="T277" i="40"/>
  <c r="U276" i="40"/>
  <c r="U277" i="40" l="1"/>
  <c r="T278" i="40"/>
  <c r="T275" i="39"/>
  <c r="U274" i="39"/>
  <c r="T279" i="40" l="1"/>
  <c r="U278" i="40"/>
  <c r="T276" i="39"/>
  <c r="U275" i="39"/>
  <c r="T280" i="40" l="1"/>
  <c r="U279" i="40"/>
  <c r="T277" i="39"/>
  <c r="U276" i="39"/>
  <c r="T278" i="39" l="1"/>
  <c r="U277" i="39"/>
  <c r="T281" i="40"/>
  <c r="U280" i="40"/>
  <c r="T279" i="39" l="1"/>
  <c r="U278" i="39"/>
  <c r="T282" i="40"/>
  <c r="U281" i="40"/>
  <c r="T280" i="39" l="1"/>
  <c r="U279" i="39"/>
  <c r="T283" i="40"/>
  <c r="U282" i="40"/>
  <c r="T281" i="39" l="1"/>
  <c r="U280" i="39"/>
  <c r="T284" i="40"/>
  <c r="U283" i="40"/>
  <c r="T285" i="40" l="1"/>
  <c r="U284" i="40"/>
  <c r="T282" i="39"/>
  <c r="U281" i="39"/>
  <c r="T283" i="39" l="1"/>
  <c r="U282" i="39"/>
  <c r="T286" i="40"/>
  <c r="U285" i="40"/>
  <c r="U286" i="40" l="1"/>
  <c r="T287" i="40"/>
  <c r="T288" i="40" s="1"/>
  <c r="T289" i="40" s="1"/>
  <c r="T290" i="40" s="1"/>
  <c r="T284" i="39"/>
  <c r="U283" i="39"/>
  <c r="T285" i="39" l="1"/>
  <c r="U284" i="39"/>
  <c r="T291" i="40"/>
  <c r="T292" i="40" s="1"/>
  <c r="U290" i="40"/>
  <c r="U292" i="40" l="1"/>
  <c r="T293" i="40"/>
  <c r="T294" i="40" s="1"/>
  <c r="T286" i="39"/>
  <c r="T287" i="39" s="1"/>
  <c r="T288" i="39" s="1"/>
  <c r="T289" i="39" s="1"/>
  <c r="U285" i="39"/>
  <c r="U294" i="40" l="1"/>
  <c r="T295" i="40"/>
  <c r="T296" i="40" s="1"/>
  <c r="T290" i="39"/>
  <c r="T291" i="39" s="1"/>
  <c r="U289" i="39"/>
  <c r="T297" i="40" l="1"/>
  <c r="T298" i="40" s="1"/>
  <c r="T299" i="40" s="1"/>
  <c r="T300" i="40" s="1"/>
  <c r="T301" i="40" s="1"/>
  <c r="T302" i="40" s="1"/>
  <c r="T303" i="40" s="1"/>
  <c r="T304" i="40" s="1"/>
  <c r="T305" i="40" s="1"/>
  <c r="T306" i="40" s="1"/>
  <c r="T307" i="40" s="1"/>
  <c r="T308" i="40" s="1"/>
  <c r="T309" i="40" s="1"/>
  <c r="T310" i="40" s="1"/>
  <c r="U296" i="40"/>
  <c r="T292" i="39"/>
  <c r="T293" i="39" s="1"/>
  <c r="U291" i="39"/>
  <c r="T311" i="40" l="1"/>
  <c r="U310" i="40"/>
  <c r="U293" i="39"/>
  <c r="T294" i="39"/>
  <c r="T295" i="39" s="1"/>
  <c r="T312" i="40" l="1"/>
  <c r="U311" i="40"/>
  <c r="U295" i="39"/>
  <c r="T296" i="39"/>
  <c r="T297" i="39" s="1"/>
  <c r="T298" i="39" s="1"/>
  <c r="T299" i="39" s="1"/>
  <c r="T300" i="39" s="1"/>
  <c r="T301" i="39" s="1"/>
  <c r="T302" i="39" s="1"/>
  <c r="T303" i="39" s="1"/>
  <c r="T304" i="39" s="1"/>
  <c r="T305" i="39" s="1"/>
  <c r="T306" i="39" s="1"/>
  <c r="T307" i="39" s="1"/>
  <c r="T308" i="39" s="1"/>
  <c r="T309" i="39" s="1"/>
  <c r="U312" i="40" l="1"/>
  <c r="T313" i="40"/>
  <c r="T310" i="39"/>
  <c r="U309" i="39"/>
  <c r="T314" i="40" l="1"/>
  <c r="U313" i="40"/>
  <c r="U310" i="39"/>
  <c r="T311" i="39"/>
  <c r="T312" i="39" l="1"/>
  <c r="U311" i="39"/>
  <c r="U314" i="40"/>
  <c r="T315" i="40"/>
  <c r="T313" i="39" l="1"/>
  <c r="U312" i="39"/>
  <c r="T316" i="40"/>
  <c r="U315" i="40"/>
  <c r="T317" i="40" l="1"/>
  <c r="U316" i="40"/>
  <c r="T314" i="39"/>
  <c r="U313" i="39"/>
  <c r="T315" i="39" l="1"/>
  <c r="U314" i="39"/>
  <c r="U317" i="40"/>
  <c r="T318" i="40"/>
  <c r="T319" i="40" l="1"/>
  <c r="U318" i="40"/>
  <c r="T316" i="39"/>
  <c r="U315" i="39"/>
  <c r="T317" i="39" l="1"/>
  <c r="U316" i="39"/>
  <c r="T320" i="40"/>
  <c r="U319" i="40"/>
  <c r="U320" i="40" l="1"/>
  <c r="T321" i="40"/>
  <c r="T318" i="39"/>
  <c r="U317" i="39"/>
  <c r="T322" i="40" l="1"/>
  <c r="U321" i="40"/>
  <c r="U318" i="39"/>
  <c r="T319" i="39"/>
  <c r="U319" i="39" l="1"/>
  <c r="T320" i="39"/>
  <c r="U322" i="40"/>
  <c r="T323" i="40"/>
  <c r="T324" i="40" l="1"/>
  <c r="U323" i="40"/>
  <c r="T321" i="39"/>
  <c r="U320" i="39"/>
  <c r="T325" i="40" l="1"/>
  <c r="U324" i="40"/>
  <c r="T322" i="39"/>
  <c r="U321" i="39"/>
  <c r="U325" i="40" l="1"/>
  <c r="T326" i="40"/>
  <c r="T323" i="39"/>
  <c r="U322" i="39"/>
  <c r="T324" i="39" l="1"/>
  <c r="U323" i="39"/>
  <c r="T327" i="40"/>
  <c r="U326" i="40"/>
  <c r="U324" i="39" l="1"/>
  <c r="T325" i="39"/>
  <c r="T328" i="40"/>
  <c r="U327" i="40"/>
  <c r="U328" i="40" l="1"/>
  <c r="T329" i="40"/>
  <c r="T326" i="39"/>
  <c r="U325" i="39"/>
  <c r="U326" i="39" l="1"/>
  <c r="T327" i="39"/>
  <c r="T330" i="40"/>
  <c r="U329" i="40"/>
  <c r="U330" i="40" l="1"/>
  <c r="T331" i="40"/>
  <c r="U327" i="39"/>
  <c r="T328" i="39"/>
  <c r="T329" i="39" l="1"/>
  <c r="U328" i="39"/>
  <c r="T332" i="40"/>
  <c r="U331" i="40"/>
  <c r="T330" i="39" l="1"/>
  <c r="U329" i="39"/>
  <c r="T333" i="40"/>
  <c r="U332" i="40"/>
  <c r="T332" i="39" l="1"/>
  <c r="U330" i="39"/>
  <c r="T333" i="39"/>
  <c r="U333" i="39" s="1"/>
  <c r="U333" i="40"/>
  <c r="T334" i="40"/>
  <c r="T331" i="39" l="1"/>
  <c r="U332" i="39"/>
  <c r="T335" i="40"/>
  <c r="U334" i="40"/>
  <c r="T336" i="40" l="1"/>
  <c r="U335" i="40"/>
  <c r="T334" i="39"/>
  <c r="U331" i="39"/>
  <c r="U336" i="40" l="1"/>
  <c r="T337" i="40"/>
  <c r="U334" i="39"/>
  <c r="T335" i="39"/>
  <c r="T338" i="40" l="1"/>
  <c r="U337" i="40"/>
  <c r="U335" i="39"/>
  <c r="T336" i="39"/>
  <c r="T339" i="40" l="1"/>
  <c r="U338" i="40"/>
  <c r="T337" i="39"/>
  <c r="U336" i="39"/>
  <c r="T338" i="39" l="1"/>
  <c r="U337" i="39"/>
  <c r="U339" i="40"/>
  <c r="T340" i="40"/>
  <c r="U340" i="40" l="1"/>
  <c r="T341" i="40"/>
  <c r="T339" i="39"/>
  <c r="U338" i="39"/>
  <c r="T342" i="40" l="1"/>
  <c r="U341" i="40"/>
  <c r="T340" i="39"/>
  <c r="U339" i="39"/>
  <c r="T341" i="39" l="1"/>
  <c r="U340" i="39"/>
  <c r="U342" i="40"/>
  <c r="T343" i="40"/>
  <c r="T344" i="40" l="1"/>
  <c r="U343" i="40"/>
  <c r="T342" i="39"/>
  <c r="U341" i="39"/>
  <c r="U342" i="39" l="1"/>
  <c r="T343" i="39"/>
  <c r="T345" i="40"/>
  <c r="U344" i="40"/>
  <c r="T346" i="40" l="1"/>
  <c r="U346" i="40" s="1"/>
  <c r="V346" i="40" s="1" a="1"/>
  <c r="V346" i="40" s="1"/>
  <c r="W346" i="40" s="1"/>
  <c r="X346" i="40" s="1"/>
  <c r="U345" i="40"/>
  <c r="V249" i="40" s="1" a="1"/>
  <c r="V249" i="40" s="1"/>
  <c r="W249" i="40" s="1"/>
  <c r="X249" i="40" s="1"/>
  <c r="Y249" i="40" s="1"/>
  <c r="U343" i="39"/>
  <c r="T344" i="39"/>
  <c r="V261" i="40" a="1"/>
  <c r="V261" i="40" s="1"/>
  <c r="W261" i="40" s="1"/>
  <c r="X261" i="40" s="1"/>
  <c r="Y261" i="40" s="1"/>
  <c r="V96" i="40" a="1"/>
  <c r="V96" i="40" s="1"/>
  <c r="W96" i="40" s="1"/>
  <c r="X96" i="40" s="1"/>
  <c r="V146" i="40" a="1"/>
  <c r="V146" i="40" s="1"/>
  <c r="W146" i="40" s="1"/>
  <c r="X146" i="40" s="1"/>
  <c r="Y146" i="40" s="1"/>
  <c r="V21" i="40" a="1"/>
  <c r="V21" i="40" s="1"/>
  <c r="W21" i="40" s="1"/>
  <c r="X21" i="40" s="1"/>
  <c r="V214" i="40" a="1"/>
  <c r="V214" i="40" s="1"/>
  <c r="W214" i="40" s="1"/>
  <c r="X214" i="40" s="1"/>
  <c r="Y214" i="40" s="1"/>
  <c r="V240" i="40" a="1"/>
  <c r="V240" i="40" s="1"/>
  <c r="W240" i="40" s="1"/>
  <c r="X240" i="40" s="1"/>
  <c r="Y240" i="40" s="1"/>
  <c r="V65" i="40" a="1"/>
  <c r="V65" i="40" s="1"/>
  <c r="W65" i="40" s="1"/>
  <c r="X65" i="40" s="1"/>
  <c r="V206" i="40" a="1"/>
  <c r="V206" i="40" s="1"/>
  <c r="W206" i="40" s="1"/>
  <c r="X206" i="40" s="1"/>
  <c r="Y206" i="40" s="1"/>
  <c r="V245" i="40" a="1"/>
  <c r="V245" i="40" s="1"/>
  <c r="W245" i="40" s="1"/>
  <c r="X245" i="40" s="1"/>
  <c r="Y245" i="40" s="1"/>
  <c r="V54" i="40" a="1"/>
  <c r="V54" i="40" s="1"/>
  <c r="W54" i="40" s="1"/>
  <c r="X54" i="40" s="1"/>
  <c r="V62" i="40" a="1"/>
  <c r="V62" i="40" s="1"/>
  <c r="W62" i="40" s="1"/>
  <c r="X62" i="40" s="1"/>
  <c r="V166" i="40" a="1"/>
  <c r="V166" i="40" s="1"/>
  <c r="W166" i="40" s="1"/>
  <c r="X166" i="40" s="1"/>
  <c r="V344" i="40" a="1"/>
  <c r="V344" i="40" s="1"/>
  <c r="W344" i="40" s="1"/>
  <c r="X344" i="40" s="1"/>
  <c r="V204" i="40" a="1"/>
  <c r="V204" i="40" s="1"/>
  <c r="W204" i="40" s="1"/>
  <c r="X204" i="40" s="1"/>
  <c r="Y204" i="40" s="1"/>
  <c r="V153" i="40" a="1"/>
  <c r="V153" i="40" s="1"/>
  <c r="W153" i="40" s="1"/>
  <c r="X153" i="40" s="1"/>
  <c r="V216" i="40" a="1"/>
  <c r="V216" i="40" s="1"/>
  <c r="W216" i="40" s="1"/>
  <c r="X216" i="40" s="1"/>
  <c r="Y216" i="40" s="1"/>
  <c r="V193" i="40" a="1"/>
  <c r="V193" i="40" s="1"/>
  <c r="W193" i="40" s="1"/>
  <c r="X193" i="40" s="1"/>
  <c r="V279" i="40" a="1"/>
  <c r="V279" i="40" s="1"/>
  <c r="W279" i="40" s="1"/>
  <c r="X279" i="40" s="1"/>
  <c r="Y279" i="40" s="1"/>
  <c r="V135" i="40" a="1"/>
  <c r="V135" i="40" s="1"/>
  <c r="W135" i="40" s="1"/>
  <c r="X135" i="40" s="1"/>
  <c r="V200" i="40" a="1"/>
  <c r="V200" i="40" s="1"/>
  <c r="W200" i="40" s="1"/>
  <c r="X200" i="40" s="1"/>
  <c r="V244" i="40" a="1"/>
  <c r="V244" i="40" s="1"/>
  <c r="W244" i="40" s="1"/>
  <c r="X244" i="40" s="1"/>
  <c r="Y244" i="40" s="1"/>
  <c r="V101" i="40" a="1"/>
  <c r="V101" i="40" s="1"/>
  <c r="W101" i="40" s="1"/>
  <c r="X101" i="40" s="1"/>
  <c r="V297" i="40" a="1"/>
  <c r="V297" i="40" s="1"/>
  <c r="W297" i="40" s="1"/>
  <c r="X297" i="40" s="1"/>
  <c r="V69" i="40" a="1"/>
  <c r="V69" i="40" s="1"/>
  <c r="W69" i="40" s="1"/>
  <c r="X69" i="40" s="1"/>
  <c r="V179" i="40" a="1"/>
  <c r="V179" i="40" s="1"/>
  <c r="W179" i="40" s="1"/>
  <c r="X179" i="40" s="1"/>
  <c r="V52" i="40" a="1"/>
  <c r="V52" i="40" s="1"/>
  <c r="W52" i="40" s="1"/>
  <c r="X52" i="40" s="1"/>
  <c r="V209" i="40" a="1"/>
  <c r="V209" i="40" s="1"/>
  <c r="W209" i="40" s="1"/>
  <c r="X209" i="40" s="1"/>
  <c r="V141" i="40" a="1"/>
  <c r="V141" i="40" s="1"/>
  <c r="W141" i="40" s="1"/>
  <c r="X141" i="40" s="1"/>
  <c r="Y141" i="40" s="1"/>
  <c r="V125" i="40" a="1"/>
  <c r="V125" i="40" s="1"/>
  <c r="W125" i="40" s="1"/>
  <c r="X125" i="40" s="1"/>
  <c r="V288" i="40" a="1"/>
  <c r="V288" i="40" s="1"/>
  <c r="W288" i="40" s="1"/>
  <c r="X288" i="40" s="1"/>
  <c r="V30" i="40" a="1"/>
  <c r="V30" i="40" s="1"/>
  <c r="W30" i="40" s="1"/>
  <c r="X30" i="40" s="1"/>
  <c r="V104" i="40" a="1"/>
  <c r="V104" i="40" s="1"/>
  <c r="W104" i="40" s="1"/>
  <c r="X104" i="40" s="1"/>
  <c r="Y104" i="40" s="1"/>
  <c r="V24" i="40" a="1"/>
  <c r="V24" i="40" s="1"/>
  <c r="W24" i="40" s="1"/>
  <c r="X24" i="40" s="1"/>
  <c r="V10" i="40" a="1"/>
  <c r="V10" i="40" s="1"/>
  <c r="W10" i="40" s="1"/>
  <c r="X10" i="40" s="1"/>
  <c r="Y10" i="40" s="1"/>
  <c r="V258" i="40" a="1"/>
  <c r="V258" i="40" s="1"/>
  <c r="W258" i="40" s="1"/>
  <c r="X258" i="40" s="1"/>
  <c r="Y258" i="40" s="1"/>
  <c r="V269" i="40" a="1"/>
  <c r="V269" i="40" s="1"/>
  <c r="W269" i="40" s="1"/>
  <c r="X269" i="40" s="1"/>
  <c r="Y269" i="40" s="1"/>
  <c r="V308" i="40" a="1"/>
  <c r="V308" i="40" s="1"/>
  <c r="W308" i="40" s="1"/>
  <c r="X308" i="40" s="1"/>
  <c r="V312" i="40" a="1"/>
  <c r="V312" i="40" s="1"/>
  <c r="W312" i="40" s="1"/>
  <c r="X312" i="40" s="1"/>
  <c r="Y312" i="40" s="1"/>
  <c r="V191" i="40" a="1"/>
  <c r="V191" i="40" s="1"/>
  <c r="W191" i="40" s="1"/>
  <c r="X191" i="40" s="1"/>
  <c r="V178" i="40" a="1"/>
  <c r="V178" i="40" s="1"/>
  <c r="W178" i="40" s="1"/>
  <c r="X178" i="40" s="1"/>
  <c r="V236" i="40" a="1"/>
  <c r="V236" i="40" s="1"/>
  <c r="W236" i="40" s="1"/>
  <c r="X236" i="40" s="1"/>
  <c r="Y236" i="40" s="1"/>
  <c r="V232" i="40" a="1"/>
  <c r="V232" i="40" s="1"/>
  <c r="W232" i="40" s="1"/>
  <c r="X232" i="40" s="1"/>
  <c r="Y232" i="40" s="1"/>
  <c r="V45" i="40" a="1"/>
  <c r="V45" i="40" s="1"/>
  <c r="W45" i="40" s="1"/>
  <c r="X45" i="40" s="1"/>
  <c r="Y45" i="40" s="1"/>
  <c r="V318" i="40" a="1"/>
  <c r="V318" i="40" s="1"/>
  <c r="W318" i="40" s="1"/>
  <c r="X318" i="40" s="1"/>
  <c r="Y318" i="40" s="1"/>
  <c r="V109" i="40" a="1"/>
  <c r="V109" i="40" s="1"/>
  <c r="W109" i="40" s="1"/>
  <c r="X109" i="40" s="1"/>
  <c r="V266" i="40" a="1"/>
  <c r="V266" i="40" s="1"/>
  <c r="W266" i="40" s="1"/>
  <c r="X266" i="40" s="1"/>
  <c r="Y266" i="40" s="1"/>
  <c r="V335" i="40" a="1"/>
  <c r="V335" i="40" s="1"/>
  <c r="W335" i="40" s="1"/>
  <c r="X335" i="40" s="1"/>
  <c r="Y335" i="40" s="1"/>
  <c r="V33" i="40" a="1"/>
  <c r="V33" i="40" s="1"/>
  <c r="W33" i="40" s="1"/>
  <c r="X33" i="40" s="1"/>
  <c r="V177" i="40" a="1"/>
  <c r="V177" i="40" s="1"/>
  <c r="W177" i="40" s="1"/>
  <c r="X177" i="40" s="1"/>
  <c r="V130" i="40" a="1"/>
  <c r="V130" i="40" s="1"/>
  <c r="W130" i="40" s="1"/>
  <c r="X130" i="40" s="1"/>
  <c r="Y130" i="40" s="1"/>
  <c r="V41" i="40" a="1"/>
  <c r="V41" i="40" s="1"/>
  <c r="W41" i="40" s="1"/>
  <c r="X41" i="40" s="1"/>
  <c r="V168" i="40" a="1"/>
  <c r="V168" i="40" s="1"/>
  <c r="W168" i="40" s="1"/>
  <c r="X168" i="40" s="1"/>
  <c r="Y168" i="40" s="1"/>
  <c r="V237" i="40" a="1"/>
  <c r="V237" i="40" s="1"/>
  <c r="W237" i="40" s="1"/>
  <c r="X237" i="40" s="1"/>
  <c r="Y237" i="40" s="1"/>
  <c r="V43" i="40" a="1"/>
  <c r="V43" i="40" s="1"/>
  <c r="W43" i="40" s="1"/>
  <c r="X43" i="40" s="1"/>
  <c r="V175" i="40" a="1"/>
  <c r="V175" i="40" s="1"/>
  <c r="W175" i="40" s="1"/>
  <c r="X175" i="40" s="1"/>
  <c r="Y175" i="40" s="1"/>
  <c r="V198" i="40" a="1"/>
  <c r="V198" i="40" s="1"/>
  <c r="W198" i="40" s="1"/>
  <c r="X198" i="40" s="1"/>
  <c r="V156" i="40" a="1"/>
  <c r="V156" i="40" s="1"/>
  <c r="W156" i="40" s="1"/>
  <c r="X156" i="40" s="1"/>
  <c r="V161" i="40" a="1"/>
  <c r="V161" i="40" s="1"/>
  <c r="W161" i="40" s="1"/>
  <c r="X161" i="40" s="1"/>
  <c r="V95" i="40" a="1"/>
  <c r="V95" i="40" s="1"/>
  <c r="W95" i="40" s="1"/>
  <c r="X95" i="40" s="1"/>
  <c r="V93" i="40" a="1"/>
  <c r="V93" i="40" s="1"/>
  <c r="W93" i="40" s="1"/>
  <c r="X93" i="40" s="1"/>
  <c r="V219" i="40" a="1"/>
  <c r="V219" i="40" s="1"/>
  <c r="W219" i="40" s="1"/>
  <c r="X219" i="40" s="1"/>
  <c r="V264" i="40" a="1"/>
  <c r="V264" i="40" s="1"/>
  <c r="W264" i="40" s="1"/>
  <c r="X264" i="40" s="1"/>
  <c r="Y264" i="40" s="1"/>
  <c r="V15" i="40" a="1"/>
  <c r="V15" i="40" s="1"/>
  <c r="W15" i="40" s="1"/>
  <c r="X15" i="40" s="1"/>
  <c r="V196" i="40" a="1"/>
  <c r="V196" i="40" s="1"/>
  <c r="W196" i="40" s="1"/>
  <c r="X196" i="40" s="1"/>
  <c r="V85" i="40" a="1"/>
  <c r="V85" i="40" s="1"/>
  <c r="W85" i="40" s="1"/>
  <c r="X85" i="40" s="1"/>
  <c r="V116" i="40" a="1"/>
  <c r="V116" i="40" s="1"/>
  <c r="W116" i="40" s="1"/>
  <c r="X116" i="40" s="1"/>
  <c r="Y116" i="40" s="1"/>
  <c r="V47" i="40" a="1"/>
  <c r="V47" i="40" s="1"/>
  <c r="W47" i="40" s="1"/>
  <c r="X47" i="40" s="1"/>
  <c r="V42" i="40" a="1"/>
  <c r="V42" i="40" s="1"/>
  <c r="W42" i="40" s="1"/>
  <c r="X42" i="40" s="1"/>
  <c r="Y42" i="40" s="1"/>
  <c r="V64" i="40" a="1"/>
  <c r="V64" i="40" s="1"/>
  <c r="W64" i="40" s="1"/>
  <c r="X64" i="40" s="1"/>
  <c r="Y64" i="40" s="1"/>
  <c r="V110" i="40" a="1"/>
  <c r="V110" i="40" s="1"/>
  <c r="W110" i="40" s="1"/>
  <c r="X110" i="40" s="1"/>
  <c r="V309" i="40" a="1"/>
  <c r="V309" i="40" s="1"/>
  <c r="W309" i="40" s="1"/>
  <c r="X309" i="40" s="1"/>
  <c r="V189" i="40" a="1"/>
  <c r="V189" i="40" s="1"/>
  <c r="W189" i="40" s="1"/>
  <c r="X189" i="40" s="1"/>
  <c r="V25" i="40" a="1"/>
  <c r="V25" i="40" s="1"/>
  <c r="W25" i="40" s="1"/>
  <c r="X25" i="40" s="1"/>
  <c r="V18" i="40" a="1"/>
  <c r="V18" i="40" s="1"/>
  <c r="W18" i="40" s="1"/>
  <c r="X18" i="40" s="1"/>
  <c r="Y18" i="40" s="1"/>
  <c r="V13" i="40" a="1"/>
  <c r="V13" i="40" s="1"/>
  <c r="W13" i="40" s="1"/>
  <c r="X13" i="40" s="1"/>
  <c r="Y13" i="40" s="1"/>
  <c r="V148" i="40" a="1"/>
  <c r="V148" i="40" s="1"/>
  <c r="W148" i="40" s="1"/>
  <c r="X148" i="40" s="1"/>
  <c r="Y148" i="40" s="1"/>
  <c r="V282" i="40" a="1"/>
  <c r="V282" i="40" s="1"/>
  <c r="W282" i="40" s="1"/>
  <c r="X282" i="40" s="1"/>
  <c r="Y282" i="40" s="1"/>
  <c r="V16" i="40" a="1"/>
  <c r="V16" i="40" s="1"/>
  <c r="W16" i="40" s="1"/>
  <c r="X16" i="40" s="1"/>
  <c r="Y16" i="40" s="1"/>
  <c r="V325" i="40" a="1"/>
  <c r="V325" i="40" s="1"/>
  <c r="W325" i="40" s="1"/>
  <c r="X325" i="40" s="1"/>
  <c r="Y325" i="40" s="1"/>
  <c r="V75" i="40" a="1"/>
  <c r="V75" i="40" s="1"/>
  <c r="W75" i="40" s="1"/>
  <c r="X75" i="40" s="1"/>
  <c r="V238" i="40" a="1"/>
  <c r="V238" i="40" s="1"/>
  <c r="W238" i="40" s="1"/>
  <c r="X238" i="40" s="1"/>
  <c r="V142" i="40" a="1"/>
  <c r="V142" i="40" s="1"/>
  <c r="W142" i="40" s="1"/>
  <c r="X142" i="40" s="1"/>
  <c r="Y142" i="40" s="1"/>
  <c r="V212" i="40" a="1"/>
  <c r="V212" i="40" s="1"/>
  <c r="W212" i="40" s="1"/>
  <c r="X212" i="40" s="1"/>
  <c r="V322" i="40" a="1"/>
  <c r="V322" i="40" s="1"/>
  <c r="W322" i="40" s="1"/>
  <c r="X322" i="40" s="1"/>
  <c r="Y322" i="40" s="1"/>
  <c r="V131" i="40" a="1"/>
  <c r="V131" i="40" s="1"/>
  <c r="W131" i="40" s="1"/>
  <c r="X131" i="40" s="1"/>
  <c r="V22" i="40" a="1"/>
  <c r="V22" i="40" s="1"/>
  <c r="W22" i="40" s="1"/>
  <c r="X22" i="40" s="1"/>
  <c r="V72" i="40" a="1"/>
  <c r="V72" i="40" s="1"/>
  <c r="W72" i="40" s="1"/>
  <c r="X72" i="40" s="1"/>
  <c r="V223" i="40" a="1"/>
  <c r="V223" i="40" s="1"/>
  <c r="W223" i="40" s="1"/>
  <c r="X223" i="40" s="1"/>
  <c r="Y223" i="40" s="1"/>
  <c r="V276" i="40" a="1"/>
  <c r="V276" i="40" s="1"/>
  <c r="W276" i="40" s="1"/>
  <c r="X276" i="40" s="1"/>
  <c r="Y276" i="40" s="1"/>
  <c r="V208" i="40" a="1"/>
  <c r="V208" i="40" s="1"/>
  <c r="W208" i="40" s="1"/>
  <c r="X208" i="40" s="1"/>
  <c r="V119" i="40" a="1"/>
  <c r="V119" i="40" s="1"/>
  <c r="W119" i="40" s="1"/>
  <c r="X119" i="40" s="1"/>
  <c r="Y119" i="40" s="1"/>
  <c r="V19" i="40" a="1"/>
  <c r="V19" i="40" s="1"/>
  <c r="W19" i="40" s="1"/>
  <c r="X19" i="40" s="1"/>
  <c r="V251" i="40" a="1"/>
  <c r="V251" i="40" s="1"/>
  <c r="W251" i="40" s="1"/>
  <c r="X251" i="40" s="1"/>
  <c r="Y251" i="40" s="1"/>
  <c r="V88" i="40" a="1"/>
  <c r="V88" i="40" s="1"/>
  <c r="W88" i="40" s="1"/>
  <c r="X88" i="40" s="1"/>
  <c r="Y88" i="40" s="1"/>
  <c r="V122" i="40" a="1"/>
  <c r="V122" i="40" s="1"/>
  <c r="W122" i="40" s="1"/>
  <c r="X122" i="40" s="1"/>
  <c r="V192" i="40" a="1"/>
  <c r="V192" i="40" s="1"/>
  <c r="W192" i="40" s="1"/>
  <c r="X192" i="40" s="1"/>
  <c r="V263" i="40" a="1"/>
  <c r="V263" i="40" s="1"/>
  <c r="W263" i="40" s="1"/>
  <c r="X263" i="40" s="1"/>
  <c r="Y263" i="40" s="1"/>
  <c r="V90" i="40" a="1"/>
  <c r="V90" i="40" s="1"/>
  <c r="W90" i="40" s="1"/>
  <c r="X90" i="40" s="1"/>
  <c r="Y90" i="40" s="1"/>
  <c r="V336" i="40" a="1"/>
  <c r="V336" i="40" s="1"/>
  <c r="W336" i="40" s="1"/>
  <c r="X336" i="40" s="1"/>
  <c r="Y336" i="40" s="1"/>
  <c r="V160" i="40" a="1"/>
  <c r="V160" i="40" s="1"/>
  <c r="W160" i="40" s="1"/>
  <c r="X160" i="40" s="1"/>
  <c r="V221" i="40" a="1"/>
  <c r="V221" i="40" s="1"/>
  <c r="W221" i="40" s="1"/>
  <c r="X221" i="40" s="1"/>
  <c r="Y221" i="40" s="1"/>
  <c r="V59" i="40" a="1"/>
  <c r="V59" i="40" s="1"/>
  <c r="W59" i="40" s="1"/>
  <c r="X59" i="40" s="1"/>
  <c r="Y59" i="40" s="1"/>
  <c r="V239" i="40" a="1"/>
  <c r="V239" i="40" s="1"/>
  <c r="W239" i="40" s="1"/>
  <c r="X239" i="40" s="1"/>
  <c r="V275" i="40" a="1"/>
  <c r="V275" i="40" s="1"/>
  <c r="W275" i="40" s="1"/>
  <c r="X275" i="40" s="1"/>
  <c r="Y275" i="40" s="1"/>
  <c r="V286" i="40" a="1"/>
  <c r="V286" i="40" s="1"/>
  <c r="W286" i="40" s="1"/>
  <c r="X286" i="40" s="1"/>
  <c r="Y286" i="40" s="1"/>
  <c r="V274" i="40" a="1"/>
  <c r="V274" i="40" s="1"/>
  <c r="W274" i="40" s="1"/>
  <c r="X274" i="40" s="1"/>
  <c r="Y274" i="40" s="1"/>
  <c r="V145" i="40" a="1"/>
  <c r="V145" i="40" s="1"/>
  <c r="W145" i="40" s="1"/>
  <c r="X145" i="40" s="1"/>
  <c r="Y145" i="40" s="1"/>
  <c r="V224" i="40" a="1"/>
  <c r="V224" i="40" s="1"/>
  <c r="W224" i="40" s="1"/>
  <c r="X224" i="40" s="1"/>
  <c r="Y224" i="40" s="1"/>
  <c r="V284" i="40" a="1"/>
  <c r="V284" i="40" s="1"/>
  <c r="W284" i="40" s="1"/>
  <c r="X284" i="40" s="1"/>
  <c r="V157" i="40" a="1"/>
  <c r="V157" i="40" s="1"/>
  <c r="W157" i="40" s="1"/>
  <c r="X157" i="40" s="1"/>
  <c r="V149" i="40" a="1"/>
  <c r="V149" i="40" s="1"/>
  <c r="W149" i="40" s="1"/>
  <c r="X149" i="40" s="1"/>
  <c r="Y149" i="40" s="1"/>
  <c r="V106" i="40" a="1"/>
  <c r="V106" i="40" s="1"/>
  <c r="W106" i="40" s="1"/>
  <c r="X106" i="40" s="1"/>
  <c r="Y106" i="40" s="1"/>
  <c r="V281" i="40" a="1"/>
  <c r="V281" i="40" s="1"/>
  <c r="W281" i="40" s="1"/>
  <c r="X281" i="40" s="1"/>
  <c r="V234" i="40" a="1"/>
  <c r="V234" i="40" s="1"/>
  <c r="W234" i="40" s="1"/>
  <c r="X234" i="40" s="1"/>
  <c r="V8" i="40" a="1"/>
  <c r="V8" i="40" s="1"/>
  <c r="W8" i="40" s="1"/>
  <c r="X8" i="40" s="1"/>
  <c r="Y8" i="40" s="1"/>
  <c r="V293" i="40" a="1"/>
  <c r="V293" i="40" s="1"/>
  <c r="W293" i="40" s="1"/>
  <c r="X293" i="40" s="1"/>
  <c r="V124" i="40" a="1"/>
  <c r="V124" i="40" s="1"/>
  <c r="W124" i="40" s="1"/>
  <c r="X124" i="40" s="1"/>
  <c r="V36" i="40" a="1"/>
  <c r="V36" i="40" s="1"/>
  <c r="W36" i="40" s="1"/>
  <c r="X36" i="40" s="1"/>
  <c r="Y36" i="40" s="1"/>
  <c r="V51" i="40" a="1"/>
  <c r="V51" i="40" s="1"/>
  <c r="W51" i="40" s="1"/>
  <c r="X51" i="40" s="1"/>
  <c r="Y51" i="40" s="1"/>
  <c r="V29" i="40" a="1"/>
  <c r="V29" i="40" s="1"/>
  <c r="W29" i="40" s="1"/>
  <c r="X29" i="40" s="1"/>
  <c r="Y29" i="40" s="1"/>
  <c r="V201" i="40" a="1"/>
  <c r="V201" i="40" s="1"/>
  <c r="W201" i="40" s="1"/>
  <c r="X201" i="40" s="1"/>
  <c r="V11" i="40" a="1"/>
  <c r="V11" i="40" s="1"/>
  <c r="W11" i="40" s="1"/>
  <c r="X11" i="40" s="1"/>
  <c r="Y11" i="40" s="1"/>
  <c r="V20" i="40" a="1"/>
  <c r="V20" i="40" s="1"/>
  <c r="W20" i="40" s="1"/>
  <c r="X20" i="40" s="1"/>
  <c r="Y20" i="40" s="1"/>
  <c r="V218" i="40" a="1"/>
  <c r="V218" i="40" s="1"/>
  <c r="W218" i="40" s="1"/>
  <c r="X218" i="40" s="1"/>
  <c r="V248" i="40" a="1"/>
  <c r="V248" i="40" s="1"/>
  <c r="W248" i="40" s="1"/>
  <c r="X248" i="40" s="1"/>
  <c r="Y248" i="40" s="1"/>
  <c r="V195" i="40" a="1"/>
  <c r="V195" i="40" s="1"/>
  <c r="W195" i="40" s="1"/>
  <c r="X195" i="40" s="1"/>
  <c r="V300" i="40" a="1"/>
  <c r="V300" i="40" s="1"/>
  <c r="W300" i="40" s="1"/>
  <c r="X300" i="40" s="1"/>
  <c r="V289" i="40" a="1"/>
  <c r="V289" i="40" s="1"/>
  <c r="W289" i="40" s="1"/>
  <c r="X289" i="40" s="1"/>
  <c r="V213" i="40" a="1"/>
  <c r="V213" i="40" s="1"/>
  <c r="W213" i="40" s="1"/>
  <c r="X213" i="40" s="1"/>
  <c r="Y213" i="40" s="1"/>
  <c r="V256" i="40" a="1"/>
  <c r="V256" i="40" s="1"/>
  <c r="W256" i="40" s="1"/>
  <c r="X256" i="40" s="1"/>
  <c r="V155" i="40" a="1"/>
  <c r="V155" i="40" s="1"/>
  <c r="W155" i="40" s="1"/>
  <c r="X155" i="40" s="1"/>
  <c r="V329" i="40" a="1"/>
  <c r="V329" i="40" s="1"/>
  <c r="W329" i="40" s="1"/>
  <c r="X329" i="40" s="1"/>
  <c r="Y329" i="40" s="1"/>
  <c r="V324" i="40" a="1"/>
  <c r="V324" i="40" s="1"/>
  <c r="W324" i="40" s="1"/>
  <c r="X324" i="40" s="1"/>
  <c r="Y324" i="40" s="1"/>
  <c r="V235" i="40" a="1"/>
  <c r="V235" i="40" s="1"/>
  <c r="W235" i="40" s="1"/>
  <c r="X235" i="40" s="1"/>
  <c r="V100" i="40" a="1"/>
  <c r="V100" i="40" s="1"/>
  <c r="W100" i="40" s="1"/>
  <c r="X100" i="40" s="1"/>
  <c r="V57" i="40" a="1"/>
  <c r="V57" i="40" s="1"/>
  <c r="W57" i="40" s="1"/>
  <c r="X57" i="40" s="1"/>
  <c r="Y57" i="40" s="1"/>
  <c r="V163" i="40" a="1"/>
  <c r="V163" i="40" s="1"/>
  <c r="W163" i="40" s="1"/>
  <c r="X163" i="40" s="1"/>
  <c r="V250" i="40" a="1"/>
  <c r="V250" i="40" s="1"/>
  <c r="W250" i="40" s="1"/>
  <c r="X250" i="40" s="1"/>
  <c r="Y250" i="40" s="1"/>
  <c r="V184" i="40" a="1"/>
  <c r="V184" i="40" s="1"/>
  <c r="W184" i="40" s="1"/>
  <c r="X184" i="40" s="1"/>
  <c r="V82" i="40" a="1"/>
  <c r="V82" i="40" s="1"/>
  <c r="W82" i="40" s="1"/>
  <c r="X82" i="40" s="1"/>
  <c r="V35" i="40" a="1"/>
  <c r="V35" i="40" s="1"/>
  <c r="W35" i="40" s="1"/>
  <c r="X35" i="40" s="1"/>
  <c r="Y35" i="40" s="1"/>
  <c r="V314" i="40" a="1"/>
  <c r="V314" i="40" s="1"/>
  <c r="W314" i="40" s="1"/>
  <c r="X314" i="40" s="1"/>
  <c r="Y314" i="40" s="1"/>
  <c r="V321" i="40" a="1"/>
  <c r="V321" i="40" s="1"/>
  <c r="W321" i="40" s="1"/>
  <c r="X321" i="40" s="1"/>
  <c r="Y321" i="40" s="1"/>
  <c r="V70" i="40" a="1"/>
  <c r="V70" i="40" s="1"/>
  <c r="W70" i="40" s="1"/>
  <c r="X70" i="40" s="1"/>
  <c r="V272" i="40" a="1"/>
  <c r="V272" i="40" s="1"/>
  <c r="W272" i="40" s="1"/>
  <c r="X272" i="40" s="1"/>
  <c r="Y272" i="40" s="1"/>
  <c r="V56" i="40" a="1"/>
  <c r="V56" i="40" s="1"/>
  <c r="W56" i="40" s="1"/>
  <c r="X56" i="40" s="1"/>
  <c r="Y56" i="40" s="1"/>
  <c r="V150" i="40" a="1"/>
  <c r="V150" i="40" s="1"/>
  <c r="W150" i="40" s="1"/>
  <c r="X150" i="40" s="1"/>
  <c r="V225" i="40" a="1"/>
  <c r="V225" i="40" s="1"/>
  <c r="W225" i="40" s="1"/>
  <c r="X225" i="40" s="1"/>
  <c r="Y225" i="40" s="1"/>
  <c r="V12" i="40" a="1"/>
  <c r="V12" i="40" s="1"/>
  <c r="W12" i="40" s="1"/>
  <c r="X12" i="40" s="1"/>
  <c r="Y12" i="40" s="1"/>
  <c r="V211" i="40" a="1"/>
  <c r="V211" i="40" s="1"/>
  <c r="W211" i="40" s="1"/>
  <c r="X211" i="40" s="1"/>
  <c r="V136" i="40" a="1"/>
  <c r="V136" i="40" s="1"/>
  <c r="W136" i="40" s="1"/>
  <c r="X136" i="40" s="1"/>
  <c r="Y136" i="40" s="1"/>
  <c r="V230" i="40" a="1"/>
  <c r="V230" i="40" s="1"/>
  <c r="W230" i="40" s="1"/>
  <c r="X230" i="40" s="1"/>
  <c r="Y230" i="40" s="1"/>
  <c r="V27" i="40" a="1"/>
  <c r="V27" i="40" s="1"/>
  <c r="W27" i="40" s="1"/>
  <c r="X27" i="40" s="1"/>
  <c r="Y27" i="40" s="1"/>
  <c r="V118" i="40" a="1"/>
  <c r="V118" i="40" s="1"/>
  <c r="W118" i="40" s="1"/>
  <c r="X118" i="40" s="1"/>
  <c r="Y118" i="40" s="1"/>
  <c r="V323" i="40" a="1"/>
  <c r="V323" i="40" s="1"/>
  <c r="W323" i="40" s="1"/>
  <c r="X323" i="40" s="1"/>
  <c r="Y323" i="40" s="1"/>
  <c r="V270" i="40" a="1"/>
  <c r="V270" i="40" s="1"/>
  <c r="W270" i="40" s="1"/>
  <c r="X270" i="40" s="1"/>
  <c r="Y270" i="40" s="1"/>
  <c r="V39" i="40" a="1"/>
  <c r="V39" i="40" s="1"/>
  <c r="W39" i="40" s="1"/>
  <c r="X39" i="40" s="1"/>
  <c r="Y39" i="40" s="1"/>
  <c r="V26" i="40" a="1"/>
  <c r="V26" i="40" s="1"/>
  <c r="W26" i="40" s="1"/>
  <c r="X26" i="40" s="1"/>
  <c r="V158" i="40" a="1"/>
  <c r="V158" i="40" s="1"/>
  <c r="W158" i="40" s="1"/>
  <c r="X158" i="40" s="1"/>
  <c r="V330" i="40" a="1"/>
  <c r="V330" i="40" s="1"/>
  <c r="W330" i="40" s="1"/>
  <c r="X330" i="40" s="1"/>
  <c r="Y330" i="40" s="1"/>
  <c r="V105" i="40" a="1"/>
  <c r="V105" i="40" s="1"/>
  <c r="W105" i="40" s="1"/>
  <c r="X105" i="40" s="1"/>
  <c r="V319" i="40" a="1"/>
  <c r="V319" i="40" s="1"/>
  <c r="W319" i="40" s="1"/>
  <c r="X319" i="40" s="1"/>
  <c r="Y319" i="40" s="1"/>
  <c r="V31" i="40" a="1"/>
  <c r="V31" i="40" s="1"/>
  <c r="W31" i="40" s="1"/>
  <c r="X31" i="40" s="1"/>
  <c r="V273" i="40" a="1"/>
  <c r="V273" i="40" s="1"/>
  <c r="W273" i="40" s="1"/>
  <c r="X273" i="40" s="1"/>
  <c r="Y273" i="40" s="1"/>
  <c r="V53" i="40" a="1"/>
  <c r="V53" i="40" s="1"/>
  <c r="W53" i="40" s="1"/>
  <c r="X53" i="40" s="1"/>
  <c r="V292" i="40" a="1"/>
  <c r="V292" i="40" s="1"/>
  <c r="W292" i="40" s="1"/>
  <c r="X292" i="40" s="1"/>
  <c r="V92" i="40" a="1"/>
  <c r="V92" i="40" s="1"/>
  <c r="W92" i="40" s="1"/>
  <c r="X92" i="40" s="1"/>
  <c r="Y92" i="40" s="1"/>
  <c r="V128" i="40" a="1"/>
  <c r="V128" i="40" s="1"/>
  <c r="W128" i="40" s="1"/>
  <c r="X128" i="40" s="1"/>
  <c r="V74" i="40" a="1"/>
  <c r="V74" i="40" s="1"/>
  <c r="W74" i="40" s="1"/>
  <c r="X74" i="40" s="1"/>
  <c r="Y74" i="40" s="1"/>
  <c r="V203" i="40" a="1"/>
  <c r="V203" i="40" s="1"/>
  <c r="W203" i="40" s="1"/>
  <c r="X203" i="40" s="1"/>
  <c r="V215" i="40" a="1"/>
  <c r="V215" i="40" s="1"/>
  <c r="W215" i="40" s="1"/>
  <c r="X215" i="40" s="1"/>
  <c r="Y215" i="40" s="1"/>
  <c r="V14" i="40" a="1"/>
  <c r="V14" i="40" s="1"/>
  <c r="W14" i="40" s="1"/>
  <c r="X14" i="40" s="1"/>
  <c r="V305" i="40" a="1"/>
  <c r="V305" i="40" s="1"/>
  <c r="W305" i="40" s="1"/>
  <c r="X305" i="40" s="1"/>
  <c r="V328" i="40" a="1"/>
  <c r="V328" i="40" s="1"/>
  <c r="W328" i="40" s="1"/>
  <c r="X328" i="40" s="1"/>
  <c r="Y328" i="40" s="1"/>
  <c r="V76" i="40" a="1"/>
  <c r="V76" i="40" s="1"/>
  <c r="W76" i="40" s="1"/>
  <c r="X76" i="40" s="1"/>
  <c r="V226" i="40" a="1"/>
  <c r="V226" i="40" s="1"/>
  <c r="W226" i="40" s="1"/>
  <c r="X226" i="40" s="1"/>
  <c r="Y226" i="40" s="1"/>
  <c r="V285" i="40" a="1"/>
  <c r="V285" i="40" s="1"/>
  <c r="W285" i="40" s="1"/>
  <c r="X285" i="40" s="1"/>
  <c r="Y285" i="40" s="1"/>
  <c r="V342" i="40" a="1"/>
  <c r="V342" i="40" s="1"/>
  <c r="W342" i="40" s="1"/>
  <c r="X342" i="40" s="1"/>
  <c r="V190" i="40" a="1"/>
  <c r="V190" i="40" s="1"/>
  <c r="W190" i="40" s="1"/>
  <c r="X190" i="40" s="1"/>
  <c r="V79" i="40" a="1"/>
  <c r="V79" i="40" s="1"/>
  <c r="W79" i="40" s="1"/>
  <c r="X79" i="40" s="1"/>
  <c r="V9" i="40" a="1"/>
  <c r="V9" i="40" s="1"/>
  <c r="W9" i="40" s="1"/>
  <c r="X9" i="40" s="1"/>
  <c r="Y9" i="40" s="1"/>
  <c r="V294" i="40" a="1"/>
  <c r="V294" i="40" s="1"/>
  <c r="W294" i="40" s="1"/>
  <c r="X294" i="40" s="1"/>
  <c r="V194" i="40" a="1"/>
  <c r="V194" i="40" s="1"/>
  <c r="W194" i="40" s="1"/>
  <c r="X194" i="40" s="1"/>
  <c r="V132" i="40" a="1"/>
  <c r="V132" i="40" s="1"/>
  <c r="W132" i="40" s="1"/>
  <c r="X132" i="40" s="1"/>
  <c r="V246" i="40" a="1"/>
  <c r="V246" i="40" s="1"/>
  <c r="W246" i="40" s="1"/>
  <c r="X246" i="40" s="1"/>
  <c r="Y246" i="40" s="1"/>
  <c r="V172" i="40" a="1"/>
  <c r="V172" i="40" s="1"/>
  <c r="W172" i="40" s="1"/>
  <c r="X172" i="40" s="1"/>
  <c r="Y172" i="40" s="1"/>
  <c r="V102" i="40" a="1"/>
  <c r="V102" i="40" s="1"/>
  <c r="W102" i="40" s="1"/>
  <c r="X102" i="40" s="1"/>
  <c r="V291" i="40" a="1"/>
  <c r="V291" i="40" s="1"/>
  <c r="W291" i="40" s="1"/>
  <c r="X291" i="40" s="1"/>
  <c r="V28" i="40" a="1"/>
  <c r="V28" i="40" s="1"/>
  <c r="W28" i="40" s="1"/>
  <c r="X28" i="40" s="1"/>
  <c r="V260" i="40" a="1"/>
  <c r="V260" i="40" s="1"/>
  <c r="W260" i="40" s="1"/>
  <c r="X260" i="40" s="1"/>
  <c r="Y260" i="40" s="1"/>
  <c r="V49" i="40" a="1"/>
  <c r="V49" i="40" s="1"/>
  <c r="W49" i="40" s="1"/>
  <c r="X49" i="40" s="1"/>
  <c r="V139" i="40" a="1"/>
  <c r="V139" i="40" s="1"/>
  <c r="W139" i="40" s="1"/>
  <c r="X139" i="40" s="1"/>
  <c r="Y139" i="40" s="1"/>
  <c r="V228" i="40" a="1"/>
  <c r="V228" i="40" s="1"/>
  <c r="W228" i="40" s="1"/>
  <c r="X228" i="40" s="1"/>
  <c r="Y228" i="40" s="1"/>
  <c r="V67" i="40" a="1"/>
  <c r="V67" i="40" s="1"/>
  <c r="W67" i="40" s="1"/>
  <c r="X67" i="40" s="1"/>
  <c r="V334" i="40" a="1"/>
  <c r="V334" i="40" s="1"/>
  <c r="W334" i="40" s="1"/>
  <c r="X334" i="40" s="1"/>
  <c r="Y334" i="40" s="1"/>
  <c r="V301" i="40" a="1"/>
  <c r="V301" i="40" s="1"/>
  <c r="W301" i="40" s="1"/>
  <c r="X301" i="40" s="1"/>
  <c r="V202" i="40" a="1"/>
  <c r="V202" i="40" s="1"/>
  <c r="W202" i="40" s="1"/>
  <c r="X202" i="40" s="1"/>
  <c r="Y202" i="40" s="1"/>
  <c r="V327" i="40" a="1"/>
  <c r="V327" i="40" s="1"/>
  <c r="W327" i="40" s="1"/>
  <c r="X327" i="40" s="1"/>
  <c r="Y327" i="40" s="1"/>
  <c r="V129" i="40" a="1"/>
  <c r="V129" i="40" s="1"/>
  <c r="W129" i="40" s="1"/>
  <c r="X129" i="40" s="1"/>
  <c r="V255" i="40" a="1"/>
  <c r="V255" i="40" s="1"/>
  <c r="W255" i="40" s="1"/>
  <c r="X255" i="40" s="1"/>
  <c r="Y255" i="40" s="1"/>
  <c r="V267" i="40" a="1"/>
  <c r="V267" i="40" s="1"/>
  <c r="W267" i="40" s="1"/>
  <c r="X267" i="40" s="1"/>
  <c r="Y267" i="40" s="1"/>
  <c r="V126" i="40" a="1"/>
  <c r="V126" i="40" s="1"/>
  <c r="W126" i="40" s="1"/>
  <c r="X126" i="40" s="1"/>
  <c r="Y126" i="40" s="1"/>
  <c r="V222" i="40" a="1"/>
  <c r="V222" i="40" s="1"/>
  <c r="W222" i="40" s="1"/>
  <c r="X222" i="40" s="1"/>
  <c r="V55" i="40" a="1"/>
  <c r="V55" i="40" s="1"/>
  <c r="W55" i="40" s="1"/>
  <c r="X55" i="40" s="1"/>
  <c r="Y55" i="40" s="1"/>
  <c r="V283" i="40" a="1"/>
  <c r="V283" i="40" s="1"/>
  <c r="W283" i="40" s="1"/>
  <c r="X283" i="40" s="1"/>
  <c r="Y283" i="40" s="1"/>
  <c r="V176" i="40" a="1"/>
  <c r="V176" i="40" s="1"/>
  <c r="W176" i="40" s="1"/>
  <c r="X176" i="40" s="1"/>
  <c r="Y176" i="40" s="1"/>
  <c r="V171" i="40" a="1"/>
  <c r="V171" i="40" s="1"/>
  <c r="W171" i="40" s="1"/>
  <c r="X171" i="40" s="1"/>
  <c r="Y171" i="40" s="1"/>
  <c r="V199" i="40" a="1"/>
  <c r="V199" i="40" s="1"/>
  <c r="W199" i="40" s="1"/>
  <c r="X199" i="40" s="1"/>
  <c r="V302" i="40" a="1"/>
  <c r="V302" i="40" s="1"/>
  <c r="W302" i="40" s="1"/>
  <c r="X302" i="40" s="1"/>
  <c r="V233" i="40" a="1"/>
  <c r="V233" i="40" s="1"/>
  <c r="W233" i="40" s="1"/>
  <c r="X233" i="40" s="1"/>
  <c r="Y233" i="40" s="1"/>
  <c r="V37" i="40" a="1"/>
  <c r="V37" i="40" s="1"/>
  <c r="W37" i="40" s="1"/>
  <c r="X37" i="40" s="1"/>
  <c r="V159" i="40" a="1"/>
  <c r="V159" i="40" s="1"/>
  <c r="W159" i="40" s="1"/>
  <c r="X159" i="40" s="1"/>
  <c r="V50" i="40" a="1"/>
  <c r="V50" i="40" s="1"/>
  <c r="W50" i="40" s="1"/>
  <c r="X50" i="40" s="1"/>
  <c r="V94" i="40" a="1"/>
  <c r="V94" i="40" s="1"/>
  <c r="W94" i="40" s="1"/>
  <c r="X94" i="40" s="1"/>
  <c r="V154" i="40" a="1"/>
  <c r="V154" i="40" s="1"/>
  <c r="W154" i="40" s="1"/>
  <c r="X154" i="40" s="1"/>
  <c r="V138" i="40" a="1"/>
  <c r="V138" i="40" s="1"/>
  <c r="W138" i="40" s="1"/>
  <c r="X138" i="40" s="1"/>
  <c r="Y138" i="40" s="1"/>
  <c r="V152" i="40" a="1"/>
  <c r="V152" i="40" s="1"/>
  <c r="W152" i="40" s="1"/>
  <c r="X152" i="40" s="1"/>
  <c r="V340" i="40" a="1"/>
  <c r="V340" i="40" s="1"/>
  <c r="W340" i="40" s="1"/>
  <c r="X340" i="40" s="1"/>
  <c r="Y340" i="40" s="1"/>
  <c r="V181" i="40" a="1"/>
  <c r="V181" i="40" s="1"/>
  <c r="W181" i="40" s="1"/>
  <c r="X181" i="40" s="1"/>
  <c r="V313" i="40" a="1"/>
  <c r="V313" i="40" s="1"/>
  <c r="W313" i="40" s="1"/>
  <c r="X313" i="40" s="1"/>
  <c r="Y313" i="40" s="1"/>
  <c r="V277" i="40" a="1"/>
  <c r="V277" i="40" s="1"/>
  <c r="W277" i="40" s="1"/>
  <c r="X277" i="40" s="1"/>
  <c r="Y277" i="40" s="1"/>
  <c r="V165" i="40" a="1"/>
  <c r="V165" i="40" s="1"/>
  <c r="W165" i="40" s="1"/>
  <c r="X165" i="40" s="1"/>
  <c r="V173" i="40" a="1"/>
  <c r="V173" i="40" s="1"/>
  <c r="W173" i="40" s="1"/>
  <c r="X173" i="40" s="1"/>
  <c r="Y173" i="40" s="1"/>
  <c r="V280" i="40" a="1"/>
  <c r="V280" i="40" s="1"/>
  <c r="W280" i="40" s="1"/>
  <c r="X280" i="40" s="1"/>
  <c r="Y280" i="40" s="1"/>
  <c r="V48" i="40" a="1"/>
  <c r="V48" i="40" s="1"/>
  <c r="W48" i="40" s="1"/>
  <c r="X48" i="40" s="1"/>
  <c r="V243" i="40" a="1"/>
  <c r="V243" i="40" s="1"/>
  <c r="W243" i="40" s="1"/>
  <c r="X243" i="40" s="1"/>
  <c r="Y243" i="40" s="1"/>
  <c r="V44" i="40" a="1"/>
  <c r="V44" i="40" s="1"/>
  <c r="W44" i="40" s="1"/>
  <c r="X44" i="40" s="1"/>
  <c r="V187" i="40" a="1"/>
  <c r="V187" i="40" s="1"/>
  <c r="W187" i="40" s="1"/>
  <c r="X187" i="40" s="1"/>
  <c r="V306" i="40" a="1"/>
  <c r="V306" i="40" s="1"/>
  <c r="W306" i="40" s="1"/>
  <c r="X306" i="40" s="1"/>
  <c r="V287" i="40" a="1"/>
  <c r="V287" i="40" s="1"/>
  <c r="W287" i="40" s="1"/>
  <c r="X287" i="40" s="1"/>
  <c r="V114" i="40" a="1"/>
  <c r="V114" i="40" s="1"/>
  <c r="W114" i="40" s="1"/>
  <c r="X114" i="40" s="1"/>
  <c r="V252" i="40" a="1"/>
  <c r="V252" i="40" s="1"/>
  <c r="W252" i="40" s="1"/>
  <c r="X252" i="40" s="1"/>
  <c r="Y252" i="40" s="1"/>
  <c r="V68" i="40" a="1"/>
  <c r="V68" i="40" s="1"/>
  <c r="W68" i="40" s="1"/>
  <c r="X68" i="40" s="1"/>
  <c r="V99" i="40" a="1"/>
  <c r="V99" i="40" s="1"/>
  <c r="W99" i="40" s="1"/>
  <c r="X99" i="40" s="1"/>
  <c r="V34" i="40" a="1"/>
  <c r="V34" i="40" s="1"/>
  <c r="W34" i="40" s="1"/>
  <c r="X34" i="40" s="1"/>
  <c r="V326" i="40" a="1"/>
  <c r="V326" i="40" s="1"/>
  <c r="W326" i="40" s="1"/>
  <c r="X326" i="40" s="1"/>
  <c r="Y326" i="40" s="1"/>
  <c r="V91" i="40" a="1"/>
  <c r="V91" i="40" s="1"/>
  <c r="W91" i="40" s="1"/>
  <c r="X91" i="40" s="1"/>
  <c r="Y91" i="40" s="1"/>
  <c r="V247" i="40" a="1"/>
  <c r="V247" i="40" s="1"/>
  <c r="W247" i="40" s="1"/>
  <c r="X247" i="40" s="1"/>
  <c r="Y247" i="40" s="1"/>
  <c r="V80" i="40" a="1"/>
  <c r="V80" i="40" s="1"/>
  <c r="W80" i="40" s="1"/>
  <c r="X80" i="40" s="1"/>
  <c r="V120" i="40" a="1"/>
  <c r="V120" i="40" s="1"/>
  <c r="W120" i="40" s="1"/>
  <c r="X120" i="40" s="1"/>
  <c r="Y120" i="40" s="1"/>
  <c r="V98" i="40" a="1"/>
  <c r="V98" i="40" s="1"/>
  <c r="W98" i="40" s="1"/>
  <c r="X98" i="40" s="1"/>
  <c r="V112" i="40" a="1"/>
  <c r="V112" i="40" s="1"/>
  <c r="W112" i="40" s="1"/>
  <c r="X112" i="40" s="1"/>
  <c r="V133" i="40" a="1"/>
  <c r="V133" i="40" s="1"/>
  <c r="W133" i="40" s="1"/>
  <c r="X133" i="40" s="1"/>
  <c r="Y133" i="40" s="1"/>
  <c r="V169" i="40" a="1"/>
  <c r="V169" i="40" s="1"/>
  <c r="W169" i="40" s="1"/>
  <c r="X169" i="40" s="1"/>
  <c r="Y169" i="40" s="1"/>
  <c r="V137" i="40" a="1"/>
  <c r="V137" i="40" s="1"/>
  <c r="W137" i="40" s="1"/>
  <c r="X137" i="40" s="1"/>
  <c r="Y137" i="40" s="1"/>
  <c r="V170" i="40" a="1"/>
  <c r="V170" i="40" s="1"/>
  <c r="W170" i="40" s="1"/>
  <c r="X170" i="40" s="1"/>
  <c r="Y170" i="40" s="1"/>
  <c r="V339" i="40" a="1"/>
  <c r="V339" i="40" s="1"/>
  <c r="W339" i="40" s="1"/>
  <c r="X339" i="40" s="1"/>
  <c r="Y339" i="40" s="1"/>
  <c r="V167" i="40" a="1"/>
  <c r="V167" i="40" s="1"/>
  <c r="W167" i="40" s="1"/>
  <c r="X167" i="40" s="1"/>
  <c r="Y167" i="40" s="1"/>
  <c r="V242" i="40" a="1"/>
  <c r="V242" i="40" s="1"/>
  <c r="W242" i="40" s="1"/>
  <c r="X242" i="40" s="1"/>
  <c r="Y242" i="40" s="1"/>
  <c r="V205" i="40" a="1"/>
  <c r="V205" i="40" s="1"/>
  <c r="W205" i="40" s="1"/>
  <c r="X205" i="40" s="1"/>
  <c r="Y205" i="40" s="1"/>
  <c r="V298" i="40" a="1"/>
  <c r="V298" i="40" s="1"/>
  <c r="W298" i="40" s="1"/>
  <c r="X298" i="40" s="1"/>
  <c r="V180" i="40" a="1"/>
  <c r="V180" i="40" s="1"/>
  <c r="W180" i="40" s="1"/>
  <c r="X180" i="40" s="1"/>
  <c r="V290" i="40" a="1"/>
  <c r="V290" i="40" s="1"/>
  <c r="W290" i="40" s="1"/>
  <c r="X290" i="40" s="1"/>
  <c r="V278" i="40" a="1"/>
  <c r="V278" i="40" s="1"/>
  <c r="W278" i="40" s="1"/>
  <c r="X278" i="40" s="1"/>
  <c r="V304" i="40" a="1"/>
  <c r="V304" i="40" s="1"/>
  <c r="W304" i="40" s="1"/>
  <c r="X304" i="40" s="1"/>
  <c r="V296" i="40" a="1"/>
  <c r="V296" i="40" s="1"/>
  <c r="W296" i="40" s="1"/>
  <c r="X296" i="40" s="1"/>
  <c r="V183" i="40" a="1"/>
  <c r="V183" i="40" s="1"/>
  <c r="W183" i="40" s="1"/>
  <c r="X183" i="40" s="1"/>
  <c r="V66" i="40" a="1"/>
  <c r="V66" i="40" s="1"/>
  <c r="W66" i="40" s="1"/>
  <c r="X66" i="40" s="1"/>
  <c r="V268" i="40" a="1"/>
  <c r="V268" i="40" s="1"/>
  <c r="W268" i="40" s="1"/>
  <c r="X268" i="40" s="1"/>
  <c r="Y268" i="40" s="1"/>
  <c r="V227" i="40" a="1"/>
  <c r="V227" i="40" s="1"/>
  <c r="W227" i="40" s="1"/>
  <c r="X227" i="40" s="1"/>
  <c r="V182" i="40" a="1"/>
  <c r="V182" i="40" s="1"/>
  <c r="W182" i="40" s="1"/>
  <c r="X182" i="40" s="1"/>
  <c r="V316" i="40" a="1"/>
  <c r="V316" i="40" s="1"/>
  <c r="W316" i="40" s="1"/>
  <c r="X316" i="40" s="1"/>
  <c r="Y316" i="40" s="1"/>
  <c r="V332" i="40" a="1"/>
  <c r="V332" i="40" s="1"/>
  <c r="W332" i="40" s="1"/>
  <c r="X332" i="40" s="1"/>
  <c r="Y332" i="40" s="1"/>
  <c r="V217" i="40" a="1"/>
  <c r="V217" i="40" s="1"/>
  <c r="W217" i="40" s="1"/>
  <c r="X217" i="40" s="1"/>
  <c r="Y217" i="40" s="1"/>
  <c r="V259" i="40" a="1"/>
  <c r="V259" i="40" s="1"/>
  <c r="W259" i="40" s="1"/>
  <c r="X259" i="40" s="1"/>
  <c r="Y259" i="40" s="1"/>
  <c r="V144" i="40" a="1"/>
  <c r="V144" i="40" s="1"/>
  <c r="W144" i="40" s="1"/>
  <c r="X144" i="40" s="1"/>
  <c r="Y144" i="40" s="1"/>
  <c r="V295" i="40" a="1"/>
  <c r="V295" i="40" s="1"/>
  <c r="W295" i="40" s="1"/>
  <c r="X295" i="40" s="1"/>
  <c r="V73" i="40" a="1"/>
  <c r="V73" i="40" s="1"/>
  <c r="W73" i="40" s="1"/>
  <c r="X73" i="40" s="1"/>
  <c r="V87" i="40" a="1"/>
  <c r="V87" i="40" s="1"/>
  <c r="W87" i="40" s="1"/>
  <c r="X87" i="40" s="1"/>
  <c r="Y87" i="40" s="1"/>
  <c r="V185" i="40" a="1"/>
  <c r="V185" i="40" s="1"/>
  <c r="W185" i="40" s="1"/>
  <c r="X185" i="40" s="1"/>
  <c r="V83" i="40" a="1"/>
  <c r="V83" i="40" s="1"/>
  <c r="W83" i="40" s="1"/>
  <c r="X83" i="40" s="1"/>
  <c r="V310" i="40" a="1"/>
  <c r="V310" i="40" s="1"/>
  <c r="W310" i="40" s="1"/>
  <c r="X310" i="40" s="1"/>
  <c r="Y310" i="40" s="1"/>
  <c r="V151" i="40" a="1"/>
  <c r="V151" i="40" s="1"/>
  <c r="W151" i="40" s="1"/>
  <c r="X151" i="40" s="1"/>
  <c r="V77" i="40" a="1"/>
  <c r="V77" i="40" s="1"/>
  <c r="W77" i="40" s="1"/>
  <c r="X77" i="40" s="1"/>
  <c r="V38" i="40" a="1"/>
  <c r="V38" i="40" s="1"/>
  <c r="W38" i="40" s="1"/>
  <c r="X38" i="40" s="1"/>
  <c r="V46" i="40" a="1"/>
  <c r="V46" i="40" s="1"/>
  <c r="W46" i="40" s="1"/>
  <c r="X46" i="40" s="1"/>
  <c r="V127" i="40" a="1"/>
  <c r="V127" i="40" s="1"/>
  <c r="W127" i="40" s="1"/>
  <c r="X127" i="40" s="1"/>
  <c r="Y127" i="40" s="1"/>
  <c r="V265" i="40" a="1"/>
  <c r="V265" i="40" s="1"/>
  <c r="W265" i="40" s="1"/>
  <c r="X265" i="40" s="1"/>
  <c r="Y265" i="40" s="1"/>
  <c r="V220" i="40" a="1"/>
  <c r="V220" i="40" s="1"/>
  <c r="W220" i="40" s="1"/>
  <c r="X220" i="40" s="1"/>
  <c r="V7" i="40" a="1"/>
  <c r="V7" i="40" s="1"/>
  <c r="W7" i="40" s="1"/>
  <c r="V71" i="40" a="1"/>
  <c r="V71" i="40" s="1"/>
  <c r="W71" i="40" s="1"/>
  <c r="X71" i="40" s="1"/>
  <c r="V111" i="40" a="1"/>
  <c r="V111" i="40" s="1"/>
  <c r="W111" i="40" s="1"/>
  <c r="X111" i="40" s="1"/>
  <c r="V78" i="40" a="1"/>
  <c r="V78" i="40" s="1"/>
  <c r="W78" i="40" s="1"/>
  <c r="X78" i="40" s="1"/>
  <c r="Y78" i="40" s="1"/>
  <c r="V89" i="40" a="1"/>
  <c r="V89" i="40" s="1"/>
  <c r="W89" i="40" s="1"/>
  <c r="X89" i="40" s="1"/>
  <c r="Y89" i="40" s="1"/>
  <c r="V17" i="40" a="1"/>
  <c r="V17" i="40" s="1"/>
  <c r="W17" i="40" s="1"/>
  <c r="X17" i="40" s="1"/>
  <c r="V186" i="40" a="1"/>
  <c r="V186" i="40" s="1"/>
  <c r="W186" i="40" s="1"/>
  <c r="X186" i="40" s="1"/>
  <c r="V315" i="40" a="1"/>
  <c r="V315" i="40" s="1"/>
  <c r="W315" i="40" s="1"/>
  <c r="X315" i="40" s="1"/>
  <c r="Y315" i="40" s="1"/>
  <c r="V254" i="40" a="1"/>
  <c r="V254" i="40" s="1"/>
  <c r="W254" i="40" s="1"/>
  <c r="X254" i="40" s="1"/>
  <c r="Y254" i="40" s="1"/>
  <c r="V86" i="40" a="1"/>
  <c r="V86" i="40" s="1"/>
  <c r="W86" i="40" s="1"/>
  <c r="X86" i="40" s="1"/>
  <c r="V113" i="40" a="1"/>
  <c r="V113" i="40" s="1"/>
  <c r="W113" i="40" s="1"/>
  <c r="X113" i="40" s="1"/>
  <c r="V134" i="40" a="1"/>
  <c r="V134" i="40" s="1"/>
  <c r="W134" i="40" s="1"/>
  <c r="X134" i="40" s="1"/>
  <c r="Y134" i="40" s="1"/>
  <c r="V32" i="40" a="1"/>
  <c r="V32" i="40" s="1"/>
  <c r="W32" i="40" s="1"/>
  <c r="X32" i="40" s="1"/>
  <c r="Y32" i="40" s="1"/>
  <c r="V307" i="40" a="1"/>
  <c r="V307" i="40" s="1"/>
  <c r="W307" i="40" s="1"/>
  <c r="X307" i="40" s="1"/>
  <c r="V97" i="40" a="1"/>
  <c r="V97" i="40" s="1"/>
  <c r="W97" i="40" s="1"/>
  <c r="X97" i="40" s="1"/>
  <c r="V23" i="40" a="1"/>
  <c r="V23" i="40" s="1"/>
  <c r="W23" i="40" s="1"/>
  <c r="X23" i="40" s="1"/>
  <c r="V147" i="40" a="1"/>
  <c r="V147" i="40" s="1"/>
  <c r="W147" i="40" s="1"/>
  <c r="X147" i="40" s="1"/>
  <c r="Y147" i="40" s="1"/>
  <c r="V40" i="40" a="1"/>
  <c r="V40" i="40" s="1"/>
  <c r="W40" i="40" s="1"/>
  <c r="X40" i="40" s="1"/>
  <c r="V162" i="40" a="1"/>
  <c r="V162" i="40" s="1"/>
  <c r="W162" i="40" s="1"/>
  <c r="X162" i="40" s="1"/>
  <c r="V103" i="40" a="1"/>
  <c r="V103" i="40" s="1"/>
  <c r="W103" i="40" s="1"/>
  <c r="X103" i="40" s="1"/>
  <c r="V140" i="40" a="1"/>
  <c r="V140" i="40" s="1"/>
  <c r="W140" i="40" s="1"/>
  <c r="X140" i="40" s="1"/>
  <c r="Y140" i="40" s="1"/>
  <c r="V58" i="40" a="1"/>
  <c r="V58" i="40" s="1"/>
  <c r="W58" i="40" s="1"/>
  <c r="X58" i="40" s="1"/>
  <c r="Y58" i="40" s="1"/>
  <c r="V331" i="40" a="1"/>
  <c r="V331" i="40" s="1"/>
  <c r="W331" i="40" s="1"/>
  <c r="X331" i="40" s="1"/>
  <c r="Y331" i="40" s="1"/>
  <c r="V262" i="40" a="1"/>
  <c r="V262" i="40" s="1"/>
  <c r="W262" i="40" s="1"/>
  <c r="X262" i="40" s="1"/>
  <c r="Y262" i="40" s="1"/>
  <c r="V207" i="40" a="1"/>
  <c r="V207" i="40" s="1"/>
  <c r="W207" i="40" s="1"/>
  <c r="X207" i="40" s="1"/>
  <c r="V253" i="40" a="1"/>
  <c r="V253" i="40" s="1"/>
  <c r="W253" i="40" s="1"/>
  <c r="X253" i="40" s="1"/>
  <c r="Y253" i="40" s="1"/>
  <c r="V197" i="40" a="1"/>
  <c r="V197" i="40" s="1"/>
  <c r="W197" i="40" s="1"/>
  <c r="X197" i="40" s="1"/>
  <c r="V164" i="40" a="1"/>
  <c r="V164" i="40" s="1"/>
  <c r="W164" i="40" s="1"/>
  <c r="X164" i="40" s="1"/>
  <c r="V61" i="40" a="1"/>
  <c r="V61" i="40" s="1"/>
  <c r="W61" i="40" s="1"/>
  <c r="X61" i="40" s="1"/>
  <c r="V338" i="40" a="1"/>
  <c r="V338" i="40" s="1"/>
  <c r="W338" i="40" s="1"/>
  <c r="X338" i="40" s="1"/>
  <c r="Y338" i="40" s="1"/>
  <c r="V107" i="40" a="1"/>
  <c r="V107" i="40" s="1"/>
  <c r="W107" i="40" s="1"/>
  <c r="X107" i="40" s="1"/>
  <c r="V231" i="40" a="1"/>
  <c r="V231" i="40" s="1"/>
  <c r="W231" i="40" s="1"/>
  <c r="X231" i="40" s="1"/>
  <c r="Y231" i="40" s="1"/>
  <c r="V63" i="40" l="1" a="1"/>
  <c r="V63" i="40" s="1"/>
  <c r="W63" i="40" s="1"/>
  <c r="X63" i="40" s="1"/>
  <c r="Y63" i="40" s="1"/>
  <c r="V35" i="39" a="1"/>
  <c r="V35" i="39" s="1"/>
  <c r="W35" i="39" s="1"/>
  <c r="X35" i="39" s="1"/>
  <c r="V143" i="40" a="1"/>
  <c r="V143" i="40" s="1"/>
  <c r="W143" i="40" s="1"/>
  <c r="X143" i="40" s="1"/>
  <c r="Y143" i="40" s="1"/>
  <c r="V70" i="39" a="1"/>
  <c r="V70" i="39" s="1"/>
  <c r="W70" i="39" s="1"/>
  <c r="X70" i="39" s="1"/>
  <c r="V322" i="39" a="1"/>
  <c r="V322" i="39" s="1"/>
  <c r="W322" i="39" s="1"/>
  <c r="X322" i="39" s="1"/>
  <c r="Y322" i="39" s="1"/>
  <c r="T345" i="39"/>
  <c r="U345" i="39" s="1"/>
  <c r="V345" i="39" s="1" a="1"/>
  <c r="V345" i="39" s="1"/>
  <c r="W345" i="39" s="1"/>
  <c r="X345" i="39" s="1"/>
  <c r="U344" i="39"/>
  <c r="V246" i="39" s="1" a="1"/>
  <c r="V246" i="39" s="1"/>
  <c r="W246" i="39" s="1"/>
  <c r="X246" i="39" s="1"/>
  <c r="Y246" i="39" s="1"/>
  <c r="V76" i="39" a="1"/>
  <c r="V76" i="39" s="1"/>
  <c r="W76" i="39" s="1"/>
  <c r="X76" i="39" s="1"/>
  <c r="V118" i="39" a="1"/>
  <c r="V118" i="39" s="1"/>
  <c r="W118" i="39" s="1"/>
  <c r="X118" i="39" s="1"/>
  <c r="Y118" i="39" s="1"/>
  <c r="V86" i="39" a="1"/>
  <c r="V86" i="39" s="1"/>
  <c r="W86" i="39" s="1"/>
  <c r="X86" i="39" s="1"/>
  <c r="Y86" i="39" s="1"/>
  <c r="V277" i="39" a="1"/>
  <c r="V277" i="39" s="1"/>
  <c r="W277" i="39" s="1"/>
  <c r="X277" i="39" s="1"/>
  <c r="V81" i="40" a="1"/>
  <c r="V81" i="40" s="1"/>
  <c r="W81" i="40" s="1"/>
  <c r="X81" i="40" s="1"/>
  <c r="V220" i="39" a="1"/>
  <c r="V220" i="39" s="1"/>
  <c r="W220" i="39" s="1"/>
  <c r="X220" i="39" s="1"/>
  <c r="Y220" i="39" s="1"/>
  <c r="V269" i="39" a="1"/>
  <c r="V269" i="39" s="1"/>
  <c r="W269" i="39" s="1"/>
  <c r="X269" i="39" s="1"/>
  <c r="Y269" i="39" s="1"/>
  <c r="V72" i="39" a="1"/>
  <c r="V72" i="39" s="1"/>
  <c r="W72" i="39" s="1"/>
  <c r="X72" i="39" s="1"/>
  <c r="V298" i="39" a="1"/>
  <c r="V298" i="39" s="1"/>
  <c r="W298" i="39" s="1"/>
  <c r="X298" i="39" s="1"/>
  <c r="V260" i="39" a="1"/>
  <c r="V260" i="39" s="1"/>
  <c r="W260" i="39" s="1"/>
  <c r="X260" i="39" s="1"/>
  <c r="Y260" i="39" s="1"/>
  <c r="V97" i="39" a="1"/>
  <c r="V97" i="39" s="1"/>
  <c r="W97" i="39" s="1"/>
  <c r="X97" i="39" s="1"/>
  <c r="V126" i="39" a="1"/>
  <c r="V126" i="39" s="1"/>
  <c r="W126" i="39" s="1"/>
  <c r="X126" i="39" s="1"/>
  <c r="Y126" i="39" s="1"/>
  <c r="V124" i="39" a="1"/>
  <c r="V124" i="39" s="1"/>
  <c r="W124" i="39" s="1"/>
  <c r="X124" i="39" s="1"/>
  <c r="V183" i="39" a="1"/>
  <c r="V183" i="39" s="1"/>
  <c r="W183" i="39" s="1"/>
  <c r="X183" i="39" s="1"/>
  <c r="V343" i="39" a="1"/>
  <c r="V343" i="39" s="1"/>
  <c r="W343" i="39" s="1"/>
  <c r="X343" i="39" s="1"/>
  <c r="V103" i="39" a="1"/>
  <c r="V103" i="39" s="1"/>
  <c r="W103" i="39" s="1"/>
  <c r="X103" i="39" s="1"/>
  <c r="Y103" i="39" s="1"/>
  <c r="V317" i="39" a="1"/>
  <c r="V317" i="39" s="1"/>
  <c r="W317" i="39" s="1"/>
  <c r="X317" i="39" s="1"/>
  <c r="Y317" i="39" s="1"/>
  <c r="V227" i="39" a="1"/>
  <c r="V227" i="39" s="1"/>
  <c r="W227" i="39" s="1"/>
  <c r="X227" i="39" s="1"/>
  <c r="Y227" i="39" s="1"/>
  <c r="V280" i="39" a="1"/>
  <c r="V280" i="39" s="1"/>
  <c r="W280" i="39" s="1"/>
  <c r="X280" i="39" s="1"/>
  <c r="V57" i="39" a="1"/>
  <c r="V57" i="39" s="1"/>
  <c r="W57" i="39" s="1"/>
  <c r="X57" i="39" s="1"/>
  <c r="V80" i="39" a="1"/>
  <c r="V80" i="39" s="1"/>
  <c r="W80" i="39" s="1"/>
  <c r="X80" i="39" s="1"/>
  <c r="V138" i="39" a="1"/>
  <c r="V138" i="39" s="1"/>
  <c r="W138" i="39" s="1"/>
  <c r="X138" i="39" s="1"/>
  <c r="Y138" i="39" s="1"/>
  <c r="V231" i="39" a="1"/>
  <c r="V231" i="39" s="1"/>
  <c r="W231" i="39" s="1"/>
  <c r="X231" i="39" s="1"/>
  <c r="Y231" i="39" s="1"/>
  <c r="V262" i="39" a="1"/>
  <c r="V262" i="39" s="1"/>
  <c r="W262" i="39" s="1"/>
  <c r="X262" i="39" s="1"/>
  <c r="Y262" i="39" s="1"/>
  <c r="V273" i="39" a="1"/>
  <c r="V273" i="39" s="1"/>
  <c r="W273" i="39" s="1"/>
  <c r="X273" i="39" s="1"/>
  <c r="Y273" i="39" s="1"/>
  <c r="V314" i="39" a="1"/>
  <c r="V314" i="39" s="1"/>
  <c r="W314" i="39" s="1"/>
  <c r="X314" i="39" s="1"/>
  <c r="Y314" i="39" s="1"/>
  <c r="V255" i="39" a="1"/>
  <c r="V255" i="39" s="1"/>
  <c r="W255" i="39" s="1"/>
  <c r="X255" i="39" s="1"/>
  <c r="V31" i="39" a="1"/>
  <c r="V31" i="39" s="1"/>
  <c r="W31" i="39" s="1"/>
  <c r="X31" i="39" s="1"/>
  <c r="V222" i="39" a="1"/>
  <c r="V222" i="39" s="1"/>
  <c r="W222" i="39" s="1"/>
  <c r="X222" i="39" s="1"/>
  <c r="Y222" i="39" s="1"/>
  <c r="V186" i="39" a="1"/>
  <c r="V186" i="39" s="1"/>
  <c r="W186" i="39" s="1"/>
  <c r="X186" i="39" s="1"/>
  <c r="V268" i="39" a="1"/>
  <c r="V268" i="39" s="1"/>
  <c r="W268" i="39" s="1"/>
  <c r="X268" i="39" s="1"/>
  <c r="Y268" i="39" s="1"/>
  <c r="V214" i="39" a="1"/>
  <c r="V214" i="39" s="1"/>
  <c r="W214" i="39" s="1"/>
  <c r="X214" i="39" s="1"/>
  <c r="Y214" i="39" s="1"/>
  <c r="V158" i="39" a="1"/>
  <c r="V158" i="39" s="1"/>
  <c r="W158" i="39" s="1"/>
  <c r="X158" i="39" s="1"/>
  <c r="V36" i="39" a="1"/>
  <c r="V36" i="39" s="1"/>
  <c r="W36" i="39" s="1"/>
  <c r="X36" i="39" s="1"/>
  <c r="Y36" i="39" s="1"/>
  <c r="V296" i="39" a="1"/>
  <c r="V296" i="39" s="1"/>
  <c r="W296" i="39" s="1"/>
  <c r="X296" i="39" s="1"/>
  <c r="V199" i="39" a="1"/>
  <c r="V199" i="39" s="1"/>
  <c r="W199" i="39" s="1"/>
  <c r="X199" i="39" s="1"/>
  <c r="V98" i="39" a="1"/>
  <c r="V98" i="39" s="1"/>
  <c r="W98" i="39" s="1"/>
  <c r="X98" i="39" s="1"/>
  <c r="V24" i="39" a="1"/>
  <c r="V24" i="39" s="1"/>
  <c r="W24" i="39" s="1"/>
  <c r="X24" i="39" s="1"/>
  <c r="Y24" i="39" s="1"/>
  <c r="V156" i="39" a="1"/>
  <c r="V156" i="39" s="1"/>
  <c r="W156" i="39" s="1"/>
  <c r="X156" i="39" s="1"/>
  <c r="V42" i="39" a="1"/>
  <c r="V42" i="39" s="1"/>
  <c r="W42" i="39" s="1"/>
  <c r="X42" i="39" s="1"/>
  <c r="Y42" i="39" s="1"/>
  <c r="V189" i="39" a="1"/>
  <c r="V189" i="39" s="1"/>
  <c r="W189" i="39" s="1"/>
  <c r="X189" i="39" s="1"/>
  <c r="V134" i="39" a="1"/>
  <c r="V134" i="39" s="1"/>
  <c r="W134" i="39" s="1"/>
  <c r="X134" i="39" s="1"/>
  <c r="V303" i="39" a="1"/>
  <c r="V303" i="39" s="1"/>
  <c r="W303" i="39" s="1"/>
  <c r="X303" i="39" s="1"/>
  <c r="V198" i="39" a="1"/>
  <c r="V198" i="39" s="1"/>
  <c r="W198" i="39" s="1"/>
  <c r="X198" i="39" s="1"/>
  <c r="V331" i="39" a="1"/>
  <c r="V331" i="39" s="1"/>
  <c r="W331" i="39" s="1"/>
  <c r="X331" i="39" s="1"/>
  <c r="Y331" i="39" s="1"/>
  <c r="V116" i="39" a="1"/>
  <c r="V116" i="39" s="1"/>
  <c r="W116" i="39" s="1"/>
  <c r="X116" i="39" s="1"/>
  <c r="Y116" i="39" s="1"/>
  <c r="V67" i="39" a="1"/>
  <c r="V67" i="39" s="1"/>
  <c r="W67" i="39" s="1"/>
  <c r="X67" i="39" s="1"/>
  <c r="V75" i="39" a="1"/>
  <c r="V75" i="39" s="1"/>
  <c r="W75" i="39" s="1"/>
  <c r="X75" i="39" s="1"/>
  <c r="Y75" i="39" s="1"/>
  <c r="V290" i="39" a="1"/>
  <c r="V290" i="39" s="1"/>
  <c r="W290" i="39" s="1"/>
  <c r="X290" i="39" s="1"/>
  <c r="V155" i="39" a="1"/>
  <c r="V155" i="39" s="1"/>
  <c r="W155" i="39" s="1"/>
  <c r="X155" i="39" s="1"/>
  <c r="V39" i="39" a="1"/>
  <c r="V39" i="39" s="1"/>
  <c r="W39" i="39" s="1"/>
  <c r="X39" i="39" s="1"/>
  <c r="Y39" i="39" s="1"/>
  <c r="V206" i="39" a="1"/>
  <c r="V206" i="39" s="1"/>
  <c r="W206" i="39" s="1"/>
  <c r="X206" i="39" s="1"/>
  <c r="V68" i="39" a="1"/>
  <c r="V68" i="39" s="1"/>
  <c r="W68" i="39" s="1"/>
  <c r="X68" i="39" s="1"/>
  <c r="V225" i="39" a="1"/>
  <c r="V225" i="39" s="1"/>
  <c r="W225" i="39" s="1"/>
  <c r="X225" i="39" s="1"/>
  <c r="Y225" i="39" s="1"/>
  <c r="V104" i="39" a="1"/>
  <c r="V104" i="39" s="1"/>
  <c r="W104" i="39" s="1"/>
  <c r="X104" i="39" s="1"/>
  <c r="V147" i="39" a="1"/>
  <c r="V147" i="39" s="1"/>
  <c r="W147" i="39" s="1"/>
  <c r="X147" i="39" s="1"/>
  <c r="Y147" i="39" s="1"/>
  <c r="V142" i="39" a="1"/>
  <c r="V142" i="39" s="1"/>
  <c r="W142" i="39" s="1"/>
  <c r="X142" i="39" s="1"/>
  <c r="Y142" i="39" s="1"/>
  <c r="V308" i="39" a="1"/>
  <c r="V308" i="39" s="1"/>
  <c r="W308" i="39" s="1"/>
  <c r="X308" i="39" s="1"/>
  <c r="V96" i="39" a="1"/>
  <c r="V96" i="39" s="1"/>
  <c r="W96" i="39" s="1"/>
  <c r="X96" i="39" s="1"/>
  <c r="V81" i="39" a="1"/>
  <c r="V81" i="39" s="1"/>
  <c r="W81" i="39" s="1"/>
  <c r="X81" i="39" s="1"/>
  <c r="V84" i="39" a="1"/>
  <c r="V84" i="39" s="1"/>
  <c r="W84" i="39" s="1"/>
  <c r="X84" i="39" s="1"/>
  <c r="Y84" i="39" s="1"/>
  <c r="V179" i="39" a="1"/>
  <c r="V179" i="39" s="1"/>
  <c r="W179" i="39" s="1"/>
  <c r="X179" i="39" s="1"/>
  <c r="V309" i="39" a="1"/>
  <c r="V309" i="39" s="1"/>
  <c r="W309" i="39" s="1"/>
  <c r="X309" i="39" s="1"/>
  <c r="Y309" i="39" s="1"/>
  <c r="V41" i="39" a="1"/>
  <c r="V41" i="39" s="1"/>
  <c r="W41" i="39" s="1"/>
  <c r="X41" i="39" s="1"/>
  <c r="V304" i="39" a="1"/>
  <c r="V304" i="39" s="1"/>
  <c r="W304" i="39" s="1"/>
  <c r="X304" i="39" s="1"/>
  <c r="V21" i="39" a="1"/>
  <c r="V21" i="39" s="1"/>
  <c r="W21" i="39" s="1"/>
  <c r="X21" i="39" s="1"/>
  <c r="V319" i="39" a="1"/>
  <c r="V319" i="39" s="1"/>
  <c r="W319" i="39" s="1"/>
  <c r="X319" i="39" s="1"/>
  <c r="Y319" i="39" s="1"/>
  <c r="V256" i="39" a="1"/>
  <c r="V256" i="39" s="1"/>
  <c r="W256" i="39" s="1"/>
  <c r="X256" i="39" s="1"/>
  <c r="V281" i="39" a="1"/>
  <c r="V281" i="39" s="1"/>
  <c r="W281" i="39" s="1"/>
  <c r="X281" i="39" s="1"/>
  <c r="Y281" i="39" s="1"/>
  <c r="V26" i="39" a="1"/>
  <c r="V26" i="39" s="1"/>
  <c r="W26" i="39" s="1"/>
  <c r="X26" i="39" s="1"/>
  <c r="Y26" i="39" s="1"/>
  <c r="V166" i="39" a="1"/>
  <c r="V166" i="39" s="1"/>
  <c r="W166" i="39" s="1"/>
  <c r="X166" i="39" s="1"/>
  <c r="Y166" i="39" s="1"/>
  <c r="V178" i="39" a="1"/>
  <c r="V178" i="39" s="1"/>
  <c r="W178" i="39" s="1"/>
  <c r="X178" i="39" s="1"/>
  <c r="V29" i="39" a="1"/>
  <c r="V29" i="39" s="1"/>
  <c r="W29" i="39" s="1"/>
  <c r="X29" i="39" s="1"/>
  <c r="Y29" i="39" s="1"/>
  <c r="V193" i="39" a="1"/>
  <c r="V193" i="39" s="1"/>
  <c r="W193" i="39" s="1"/>
  <c r="X193" i="39" s="1"/>
  <c r="V159" i="39" a="1"/>
  <c r="V159" i="39" s="1"/>
  <c r="W159" i="39" s="1"/>
  <c r="X159" i="39" s="1"/>
  <c r="V194" i="39" a="1"/>
  <c r="V194" i="39" s="1"/>
  <c r="W194" i="39" s="1"/>
  <c r="X194" i="39" s="1"/>
  <c r="V32" i="39" a="1"/>
  <c r="V32" i="39" s="1"/>
  <c r="W32" i="39" s="1"/>
  <c r="X32" i="39" s="1"/>
  <c r="Y32" i="39" s="1"/>
  <c r="V25" i="39" a="1"/>
  <c r="V25" i="39" s="1"/>
  <c r="W25" i="39" s="1"/>
  <c r="X25" i="39" s="1"/>
  <c r="V187" i="39" a="1"/>
  <c r="V187" i="39" s="1"/>
  <c r="W187" i="39" s="1"/>
  <c r="X187" i="39" s="1"/>
  <c r="V37" i="39" a="1"/>
  <c r="V37" i="39" s="1"/>
  <c r="W37" i="39" s="1"/>
  <c r="X37" i="39" s="1"/>
  <c r="V294" i="39" a="1"/>
  <c r="V294" i="39" s="1"/>
  <c r="W294" i="39" s="1"/>
  <c r="X294" i="39" s="1"/>
  <c r="V69" i="39" a="1"/>
  <c r="V69" i="39" s="1"/>
  <c r="W69" i="39" s="1"/>
  <c r="X69" i="39" s="1"/>
  <c r="V152" i="39" a="1"/>
  <c r="V152" i="39" s="1"/>
  <c r="W152" i="39" s="1"/>
  <c r="X152" i="39" s="1"/>
  <c r="V60" i="39" a="1"/>
  <c r="V60" i="39" s="1"/>
  <c r="W60" i="39" s="1"/>
  <c r="X60" i="39" s="1"/>
  <c r="V243" i="39" a="1"/>
  <c r="V243" i="39" s="1"/>
  <c r="W243" i="39" s="1"/>
  <c r="X243" i="39" s="1"/>
  <c r="Y243" i="39" s="1"/>
  <c r="V148" i="39" a="1"/>
  <c r="V148" i="39" s="1"/>
  <c r="W148" i="39" s="1"/>
  <c r="X148" i="39" s="1"/>
  <c r="Y148" i="39" s="1"/>
  <c r="V211" i="39" a="1"/>
  <c r="V211" i="39" s="1"/>
  <c r="W211" i="39" s="1"/>
  <c r="X211" i="39" s="1"/>
  <c r="V340" i="39" a="1"/>
  <c r="V340" i="39" s="1"/>
  <c r="W340" i="39" s="1"/>
  <c r="X340" i="39" s="1"/>
  <c r="V19" i="39" a="1"/>
  <c r="V19" i="39" s="1"/>
  <c r="W19" i="39" s="1"/>
  <c r="X19" i="39" s="1"/>
  <c r="V17" i="39" a="1"/>
  <c r="V17" i="39" s="1"/>
  <c r="W17" i="39" s="1"/>
  <c r="X17" i="39" s="1"/>
  <c r="Y17" i="39" s="1"/>
  <c r="V174" i="39" a="1"/>
  <c r="V174" i="39" s="1"/>
  <c r="W174" i="39" s="1"/>
  <c r="X174" i="39" s="1"/>
  <c r="Y174" i="39" s="1"/>
  <c r="V249" i="39" a="1"/>
  <c r="V249" i="39" s="1"/>
  <c r="W249" i="39" s="1"/>
  <c r="X249" i="39" s="1"/>
  <c r="Y249" i="39" s="1"/>
  <c r="V235" i="39" a="1"/>
  <c r="V235" i="39" s="1"/>
  <c r="W235" i="39" s="1"/>
  <c r="X235" i="39" s="1"/>
  <c r="Y235" i="39" s="1"/>
  <c r="V204" i="39" a="1"/>
  <c r="V204" i="39" s="1"/>
  <c r="W204" i="39" s="1"/>
  <c r="X204" i="39" s="1"/>
  <c r="Y204" i="39" s="1"/>
  <c r="V11" i="39" a="1"/>
  <c r="V11" i="39" s="1"/>
  <c r="W11" i="39" s="1"/>
  <c r="X11" i="39" s="1"/>
  <c r="V30" i="39" a="1"/>
  <c r="V30" i="39" s="1"/>
  <c r="W30" i="39" s="1"/>
  <c r="X30" i="39" s="1"/>
  <c r="V176" i="39" a="1"/>
  <c r="V176" i="39" s="1"/>
  <c r="W176" i="39" s="1"/>
  <c r="X176" i="39" s="1"/>
  <c r="V161" i="39" a="1"/>
  <c r="V161" i="39" s="1"/>
  <c r="W161" i="39" s="1"/>
  <c r="X161" i="39" s="1"/>
  <c r="V266" i="39" a="1"/>
  <c r="V266" i="39" s="1"/>
  <c r="W266" i="39" s="1"/>
  <c r="X266" i="39" s="1"/>
  <c r="Y266" i="39" s="1"/>
  <c r="V279" i="39" a="1"/>
  <c r="V279" i="39" s="1"/>
  <c r="W279" i="39" s="1"/>
  <c r="X279" i="39" s="1"/>
  <c r="Y279" i="39" s="1"/>
  <c r="V121" i="40" a="1"/>
  <c r="V121" i="40" s="1"/>
  <c r="W121" i="40" s="1"/>
  <c r="X121" i="40" s="1"/>
  <c r="V38" i="39" a="1"/>
  <c r="V38" i="39" s="1"/>
  <c r="W38" i="39" s="1"/>
  <c r="X38" i="39" s="1"/>
  <c r="V45" i="39" a="1"/>
  <c r="V45" i="39" s="1"/>
  <c r="W45" i="39" s="1"/>
  <c r="X45" i="39" s="1"/>
  <c r="V259" i="39" a="1"/>
  <c r="V259" i="39" s="1"/>
  <c r="W259" i="39" s="1"/>
  <c r="X259" i="39" s="1"/>
  <c r="Y259" i="39" s="1"/>
  <c r="V54" i="39" a="1"/>
  <c r="V54" i="39" s="1"/>
  <c r="W54" i="39" s="1"/>
  <c r="X54" i="39" s="1"/>
  <c r="Y54" i="39" s="1"/>
  <c r="V122" i="39" a="1"/>
  <c r="V122" i="39" s="1"/>
  <c r="W122" i="39" s="1"/>
  <c r="X122" i="39" s="1"/>
  <c r="V131" i="39" a="1"/>
  <c r="V131" i="39" s="1"/>
  <c r="W131" i="39" s="1"/>
  <c r="X131" i="39" s="1"/>
  <c r="V190" i="39" a="1"/>
  <c r="V190" i="39" s="1"/>
  <c r="W190" i="39" s="1"/>
  <c r="X190" i="39" s="1"/>
  <c r="V253" i="39" a="1"/>
  <c r="V253" i="39" s="1"/>
  <c r="W253" i="39" s="1"/>
  <c r="X253" i="39" s="1"/>
  <c r="Y253" i="39" s="1"/>
  <c r="V9" i="39" a="1"/>
  <c r="V9" i="39" s="1"/>
  <c r="W9" i="39" s="1"/>
  <c r="X9" i="39" s="1"/>
  <c r="Y9" i="39" s="1"/>
  <c r="V197" i="39" a="1"/>
  <c r="V197" i="39" s="1"/>
  <c r="W197" i="39" s="1"/>
  <c r="X197" i="39" s="1"/>
  <c r="V232" i="39" a="1"/>
  <c r="V232" i="39" s="1"/>
  <c r="W232" i="39" s="1"/>
  <c r="X232" i="39" s="1"/>
  <c r="Y232" i="39" s="1"/>
  <c r="V201" i="39" a="1"/>
  <c r="V201" i="39" s="1"/>
  <c r="W201" i="39" s="1"/>
  <c r="X201" i="39" s="1"/>
  <c r="Y201" i="39" s="1"/>
  <c r="V71" i="39" a="1"/>
  <c r="V71" i="39" s="1"/>
  <c r="W71" i="39" s="1"/>
  <c r="X71" i="39" s="1"/>
  <c r="Y71" i="39" s="1"/>
  <c r="V177" i="39" a="1"/>
  <c r="V177" i="39" s="1"/>
  <c r="W177" i="39" s="1"/>
  <c r="X177" i="39" s="1"/>
  <c r="X7" i="40"/>
  <c r="Y7" i="40" s="1"/>
  <c r="V173" i="39" a="1"/>
  <c r="V173" i="39" s="1"/>
  <c r="W173" i="39" s="1"/>
  <c r="X173" i="39" s="1"/>
  <c r="V345" i="40" a="1"/>
  <c r="V345" i="40" s="1"/>
  <c r="W345" i="40" s="1"/>
  <c r="X345" i="40" s="1"/>
  <c r="V188" i="40" a="1"/>
  <c r="V188" i="40" s="1"/>
  <c r="W188" i="40" s="1"/>
  <c r="X188" i="40" s="1"/>
  <c r="V343" i="40" a="1"/>
  <c r="V343" i="40" s="1"/>
  <c r="W343" i="40" s="1"/>
  <c r="X343" i="40" s="1"/>
  <c r="V317" i="40" a="1"/>
  <c r="V317" i="40" s="1"/>
  <c r="W317" i="40" s="1"/>
  <c r="X317" i="40" s="1"/>
  <c r="Y317" i="40" s="1"/>
  <c r="V320" i="40" a="1"/>
  <c r="V320" i="40" s="1"/>
  <c r="W320" i="40" s="1"/>
  <c r="X320" i="40" s="1"/>
  <c r="Y320" i="40" s="1"/>
  <c r="V271" i="40" a="1"/>
  <c r="V271" i="40" s="1"/>
  <c r="W271" i="40" s="1"/>
  <c r="X271" i="40" s="1"/>
  <c r="Y271" i="40" s="1"/>
  <c r="V174" i="40" a="1"/>
  <c r="V174" i="40" s="1"/>
  <c r="W174" i="40" s="1"/>
  <c r="X174" i="40" s="1"/>
  <c r="V341" i="40" a="1"/>
  <c r="V341" i="40" s="1"/>
  <c r="W341" i="40" s="1"/>
  <c r="X341" i="40" s="1"/>
  <c r="V210" i="40" a="1"/>
  <c r="V210" i="40" s="1"/>
  <c r="W210" i="40" s="1"/>
  <c r="X210" i="40" s="1"/>
  <c r="V123" i="40" a="1"/>
  <c r="V123" i="40" s="1"/>
  <c r="W123" i="40" s="1"/>
  <c r="X123" i="40" s="1"/>
  <c r="V333" i="40" a="1"/>
  <c r="V333" i="40" s="1"/>
  <c r="W333" i="40" s="1"/>
  <c r="X333" i="40" s="1"/>
  <c r="Y333" i="40" s="1"/>
  <c r="V108" i="40" a="1"/>
  <c r="V108" i="40" s="1"/>
  <c r="W108" i="40" s="1"/>
  <c r="X108" i="40" s="1"/>
  <c r="V60" i="40" a="1"/>
  <c r="V60" i="40" s="1"/>
  <c r="W60" i="40" s="1"/>
  <c r="X60" i="40" s="1"/>
  <c r="V299" i="40" a="1"/>
  <c r="V299" i="40" s="1"/>
  <c r="W299" i="40" s="1"/>
  <c r="X299" i="40" s="1"/>
  <c r="V212" i="39" a="1"/>
  <c r="V212" i="39" s="1"/>
  <c r="W212" i="39" s="1"/>
  <c r="X212" i="39" s="1"/>
  <c r="Y212" i="39" s="1"/>
  <c r="V337" i="39" a="1"/>
  <c r="V337" i="39" s="1"/>
  <c r="W337" i="39" s="1"/>
  <c r="X337" i="39" s="1"/>
  <c r="Y337" i="39" s="1"/>
  <c r="V218" i="39" a="1"/>
  <c r="V218" i="39" s="1"/>
  <c r="W218" i="39" s="1"/>
  <c r="X218" i="39" s="1"/>
  <c r="V56" i="39" a="1"/>
  <c r="V56" i="39" s="1"/>
  <c r="W56" i="39" s="1"/>
  <c r="X56" i="39" s="1"/>
  <c r="V303" i="40" a="1"/>
  <c r="V303" i="40" s="1"/>
  <c r="W303" i="40" s="1"/>
  <c r="X303" i="40" s="1"/>
  <c r="V241" i="40" a="1"/>
  <c r="V241" i="40" s="1"/>
  <c r="W241" i="40" s="1"/>
  <c r="X241" i="40" s="1"/>
  <c r="Y241" i="40" s="1"/>
  <c r="V267" i="39" a="1"/>
  <c r="V267" i="39" s="1"/>
  <c r="W267" i="39" s="1"/>
  <c r="X267" i="39" s="1"/>
  <c r="Y267" i="39" s="1"/>
  <c r="V87" i="39" a="1"/>
  <c r="V87" i="39" s="1"/>
  <c r="W87" i="39" s="1"/>
  <c r="X87" i="39" s="1"/>
  <c r="Y87" i="39" s="1"/>
  <c r="V99" i="39" a="1"/>
  <c r="V99" i="39" s="1"/>
  <c r="W99" i="39" s="1"/>
  <c r="X99" i="39" s="1"/>
  <c r="V223" i="39" a="1"/>
  <c r="V223" i="39" s="1"/>
  <c r="W223" i="39" s="1"/>
  <c r="X223" i="39" s="1"/>
  <c r="Y223" i="39" s="1"/>
  <c r="V15" i="39" a="1"/>
  <c r="V15" i="39" s="1"/>
  <c r="W15" i="39" s="1"/>
  <c r="X15" i="39" s="1"/>
  <c r="Y15" i="39" s="1"/>
  <c r="V288" i="39" a="1"/>
  <c r="V288" i="39" s="1"/>
  <c r="W288" i="39" s="1"/>
  <c r="X288" i="39" s="1"/>
  <c r="V221" i="39" a="1"/>
  <c r="V221" i="39" s="1"/>
  <c r="W221" i="39" s="1"/>
  <c r="X221" i="39" s="1"/>
  <c r="V332" i="39" a="1"/>
  <c r="V332" i="39" s="1"/>
  <c r="W332" i="39" s="1"/>
  <c r="X332" i="39" s="1"/>
  <c r="Y332" i="39" s="1"/>
  <c r="V172" i="39" a="1"/>
  <c r="V172" i="39" s="1"/>
  <c r="W172" i="39" s="1"/>
  <c r="X172" i="39" s="1"/>
  <c r="Y172" i="39" s="1"/>
  <c r="V12" i="39" a="1"/>
  <c r="V12" i="39" s="1"/>
  <c r="W12" i="39" s="1"/>
  <c r="X12" i="39" s="1"/>
  <c r="V327" i="39" a="1"/>
  <c r="V327" i="39" s="1"/>
  <c r="W327" i="39" s="1"/>
  <c r="X327" i="39" s="1"/>
  <c r="Y327" i="39" s="1"/>
  <c r="V140" i="39" a="1"/>
  <c r="V140" i="39" s="1"/>
  <c r="W140" i="39" s="1"/>
  <c r="X140" i="39" s="1"/>
  <c r="Y140" i="39" s="1"/>
  <c r="V82" i="39" a="1"/>
  <c r="V82" i="39" s="1"/>
  <c r="W82" i="39" s="1"/>
  <c r="X82" i="39" s="1"/>
  <c r="V307" i="39" a="1"/>
  <c r="V307" i="39" s="1"/>
  <c r="W307" i="39" s="1"/>
  <c r="X307" i="39" s="1"/>
  <c r="V47" i="39" a="1"/>
  <c r="V47" i="39" s="1"/>
  <c r="W47" i="39" s="1"/>
  <c r="X47" i="39" s="1"/>
  <c r="V145" i="39" a="1"/>
  <c r="V145" i="39" s="1"/>
  <c r="W145" i="39" s="1"/>
  <c r="X145" i="39" s="1"/>
  <c r="Y145" i="39" s="1"/>
  <c r="V216" i="39" a="1"/>
  <c r="V216" i="39" s="1"/>
  <c r="W216" i="39" s="1"/>
  <c r="X216" i="39" s="1"/>
  <c r="Y216" i="39" s="1"/>
  <c r="V272" i="39" a="1"/>
  <c r="V272" i="39" s="1"/>
  <c r="W272" i="39" s="1"/>
  <c r="X272" i="39" s="1"/>
  <c r="Y272" i="39" s="1"/>
  <c r="V77" i="39" a="1"/>
  <c r="V77" i="39" s="1"/>
  <c r="W77" i="39" s="1"/>
  <c r="X77" i="39" s="1"/>
  <c r="V229" i="40" a="1"/>
  <c r="V229" i="40" s="1"/>
  <c r="W229" i="40" s="1"/>
  <c r="X229" i="40" s="1"/>
  <c r="Y229" i="40" s="1"/>
  <c r="V285" i="39" a="1"/>
  <c r="V285" i="39" s="1"/>
  <c r="W285" i="39" s="1"/>
  <c r="X285" i="39" s="1"/>
  <c r="Y285" i="39" s="1"/>
  <c r="V282" i="39" a="1"/>
  <c r="V282" i="39" s="1"/>
  <c r="W282" i="39" s="1"/>
  <c r="X282" i="39" s="1"/>
  <c r="Y282" i="39" s="1"/>
  <c r="V143" i="39" a="1"/>
  <c r="V143" i="39" s="1"/>
  <c r="W143" i="39" s="1"/>
  <c r="X143" i="39" s="1"/>
  <c r="Y143" i="39" s="1"/>
  <c r="V115" i="39" a="1"/>
  <c r="V115" i="39" s="1"/>
  <c r="W115" i="39" s="1"/>
  <c r="X115" i="39" s="1"/>
  <c r="Y115" i="39" s="1"/>
  <c r="V195" i="39" a="1"/>
  <c r="V195" i="39" s="1"/>
  <c r="W195" i="39" s="1"/>
  <c r="X195" i="39" s="1"/>
  <c r="V213" i="39" a="1"/>
  <c r="V213" i="39" s="1"/>
  <c r="W213" i="39" s="1"/>
  <c r="X213" i="39" s="1"/>
  <c r="Y213" i="39" s="1"/>
  <c r="V90" i="39" a="1"/>
  <c r="V90" i="39" s="1"/>
  <c r="W90" i="39" s="1"/>
  <c r="X90" i="39" s="1"/>
  <c r="V264" i="39" a="1"/>
  <c r="V264" i="39" s="1"/>
  <c r="W264" i="39" s="1"/>
  <c r="X264" i="39" s="1"/>
  <c r="Y264" i="39" s="1"/>
  <c r="V91" i="39" a="1"/>
  <c r="V91" i="39" s="1"/>
  <c r="W91" i="39" s="1"/>
  <c r="X91" i="39" s="1"/>
  <c r="V8" i="39" a="1"/>
  <c r="V8" i="39" s="1"/>
  <c r="W8" i="39" s="1"/>
  <c r="X8" i="39" s="1"/>
  <c r="Y8" i="39" s="1"/>
  <c r="V254" i="39" a="1"/>
  <c r="V254" i="39" s="1"/>
  <c r="W254" i="39" s="1"/>
  <c r="X254" i="39" s="1"/>
  <c r="Y254" i="39" s="1"/>
  <c r="V20" i="39" a="1"/>
  <c r="V20" i="39" s="1"/>
  <c r="W20" i="39" s="1"/>
  <c r="X20" i="39" s="1"/>
  <c r="V175" i="39" a="1"/>
  <c r="V175" i="39" s="1"/>
  <c r="W175" i="39" s="1"/>
  <c r="X175" i="39" s="1"/>
  <c r="Y175" i="39" s="1"/>
  <c r="V247" i="39" a="1"/>
  <c r="V247" i="39" s="1"/>
  <c r="W247" i="39" s="1"/>
  <c r="X247" i="39" s="1"/>
  <c r="Y247" i="39" s="1"/>
  <c r="V320" i="39" a="1"/>
  <c r="V320" i="39" s="1"/>
  <c r="W320" i="39" s="1"/>
  <c r="X320" i="39" s="1"/>
  <c r="Y320" i="39" s="1"/>
  <c r="V84" i="40" a="1"/>
  <c r="V84" i="40" s="1"/>
  <c r="W84" i="40" s="1"/>
  <c r="X84" i="40" s="1"/>
  <c r="V191" i="39" a="1"/>
  <c r="V191" i="39" s="1"/>
  <c r="W191" i="39" s="1"/>
  <c r="X191" i="39" s="1"/>
  <c r="V164" i="39" a="1"/>
  <c r="V164" i="39" s="1"/>
  <c r="W164" i="39" s="1"/>
  <c r="X164" i="39" s="1"/>
  <c r="V171" i="39" a="1"/>
  <c r="V171" i="39" s="1"/>
  <c r="W171" i="39" s="1"/>
  <c r="X171" i="39" s="1"/>
  <c r="Y171" i="39" s="1"/>
  <c r="V236" i="39" a="1"/>
  <c r="V236" i="39" s="1"/>
  <c r="W236" i="39" s="1"/>
  <c r="X236" i="39" s="1"/>
  <c r="Y236" i="39" s="1"/>
  <c r="V18" i="39" a="1"/>
  <c r="V18" i="39" s="1"/>
  <c r="W18" i="39" s="1"/>
  <c r="X18" i="39" s="1"/>
  <c r="V342" i="39" a="1"/>
  <c r="V342" i="39" s="1"/>
  <c r="W342" i="39" s="1"/>
  <c r="X342" i="39" s="1"/>
  <c r="V265" i="39" a="1"/>
  <c r="V265" i="39" s="1"/>
  <c r="W265" i="39" s="1"/>
  <c r="X265" i="39" s="1"/>
  <c r="Y265" i="39" s="1"/>
  <c r="V85" i="39" a="1"/>
  <c r="V85" i="39" s="1"/>
  <c r="W85" i="39" s="1"/>
  <c r="X85" i="39" s="1"/>
  <c r="Y85" i="39" s="1"/>
  <c r="V250" i="39" a="1"/>
  <c r="V250" i="39" s="1"/>
  <c r="W250" i="39" s="1"/>
  <c r="X250" i="39" s="1"/>
  <c r="Y250" i="39" s="1"/>
  <c r="V207" i="39" a="1"/>
  <c r="V207" i="39" s="1"/>
  <c r="W207" i="39" s="1"/>
  <c r="X207" i="39" s="1"/>
  <c r="V125" i="39" a="1"/>
  <c r="V125" i="39" s="1"/>
  <c r="W125" i="39" s="1"/>
  <c r="X125" i="39" s="1"/>
  <c r="Y125" i="39" s="1"/>
  <c r="V117" i="40" a="1"/>
  <c r="V117" i="40" s="1"/>
  <c r="W117" i="40" s="1"/>
  <c r="X117" i="40" s="1"/>
  <c r="Y117" i="40" s="1"/>
  <c r="V313" i="39" a="1"/>
  <c r="V313" i="39" s="1"/>
  <c r="W313" i="39" s="1"/>
  <c r="X313" i="39" s="1"/>
  <c r="Y313" i="39" s="1"/>
  <c r="V74" i="39" a="1"/>
  <c r="V74" i="39" s="1"/>
  <c r="W74" i="39" s="1"/>
  <c r="X74" i="39" s="1"/>
  <c r="V219" i="39" a="1"/>
  <c r="V219" i="39" s="1"/>
  <c r="W219" i="39" s="1"/>
  <c r="X219" i="39" s="1"/>
  <c r="V93" i="39" a="1"/>
  <c r="V93" i="39" s="1"/>
  <c r="W93" i="39" s="1"/>
  <c r="X93" i="39" s="1"/>
  <c r="V302" i="39" a="1"/>
  <c r="V302" i="39" s="1"/>
  <c r="W302" i="39" s="1"/>
  <c r="X302" i="39" s="1"/>
  <c r="V325" i="39" a="1"/>
  <c r="V325" i="39" s="1"/>
  <c r="W325" i="39" s="1"/>
  <c r="X325" i="39" s="1"/>
  <c r="Y325" i="39" s="1"/>
  <c r="V271" i="39" a="1"/>
  <c r="V271" i="39" s="1"/>
  <c r="W271" i="39" s="1"/>
  <c r="X271" i="39" s="1"/>
  <c r="Y271" i="39" s="1"/>
  <c r="V324" i="39" a="1"/>
  <c r="V324" i="39" s="1"/>
  <c r="W324" i="39" s="1"/>
  <c r="X324" i="39" s="1"/>
  <c r="Y324" i="39" s="1"/>
  <c r="V228" i="39" a="1"/>
  <c r="V228" i="39" s="1"/>
  <c r="W228" i="39" s="1"/>
  <c r="X228" i="39" s="1"/>
  <c r="Y228" i="39" s="1"/>
  <c r="V102" i="39" a="1"/>
  <c r="V102" i="39" s="1"/>
  <c r="W102" i="39" s="1"/>
  <c r="X102" i="39" s="1"/>
  <c r="V115" i="40" a="1"/>
  <c r="V115" i="40" s="1"/>
  <c r="W115" i="40" s="1"/>
  <c r="X115" i="40" s="1"/>
  <c r="Y115" i="40" s="1"/>
  <c r="V295" i="39" a="1"/>
  <c r="V295" i="39" s="1"/>
  <c r="W295" i="39" s="1"/>
  <c r="X295" i="39" s="1"/>
  <c r="V94" i="39" a="1"/>
  <c r="V94" i="39" s="1"/>
  <c r="W94" i="39" s="1"/>
  <c r="X94" i="39" s="1"/>
  <c r="V43" i="39" a="1"/>
  <c r="V43" i="39" s="1"/>
  <c r="W43" i="39" s="1"/>
  <c r="X43" i="39" s="1"/>
  <c r="V160" i="39" a="1"/>
  <c r="V160" i="39" s="1"/>
  <c r="W160" i="39" s="1"/>
  <c r="X160" i="39" s="1"/>
  <c r="V202" i="39" a="1"/>
  <c r="V202" i="39" s="1"/>
  <c r="W202" i="39" s="1"/>
  <c r="X202" i="39" s="1"/>
  <c r="V105" i="39" a="1"/>
  <c r="V105" i="39" s="1"/>
  <c r="W105" i="39" s="1"/>
  <c r="X105" i="39" s="1"/>
  <c r="V180" i="39" a="1"/>
  <c r="V180" i="39" s="1"/>
  <c r="W180" i="39" s="1"/>
  <c r="X180" i="39" s="1"/>
  <c r="V310" i="39" a="1"/>
  <c r="V310" i="39" s="1"/>
  <c r="W310" i="39" s="1"/>
  <c r="X310" i="39" s="1"/>
  <c r="Y310" i="39" s="1"/>
  <c r="V311" i="40" a="1"/>
  <c r="V311" i="40" s="1"/>
  <c r="W311" i="40" s="1"/>
  <c r="X311" i="40" s="1"/>
  <c r="Y311" i="40" s="1"/>
  <c r="V337" i="40" a="1"/>
  <c r="V337" i="40" s="1"/>
  <c r="W337" i="40" s="1"/>
  <c r="X337" i="40" s="1"/>
  <c r="Y337" i="40" s="1"/>
  <c r="V312" i="39" a="1"/>
  <c r="V312" i="39" s="1"/>
  <c r="W312" i="39" s="1"/>
  <c r="X312" i="39" s="1"/>
  <c r="Y312" i="39" s="1"/>
  <c r="V108" i="39" a="1"/>
  <c r="V108" i="39" s="1"/>
  <c r="W108" i="39" s="1"/>
  <c r="X108" i="39" s="1"/>
  <c r="V16" i="39" a="1"/>
  <c r="V16" i="39" s="1"/>
  <c r="W16" i="39" s="1"/>
  <c r="X16" i="39" s="1"/>
  <c r="V64" i="39" a="1"/>
  <c r="V64" i="39" s="1"/>
  <c r="W64" i="39" s="1"/>
  <c r="X64" i="39" s="1"/>
  <c r="V13" i="39" a="1"/>
  <c r="V13" i="39" s="1"/>
  <c r="W13" i="39" s="1"/>
  <c r="X13" i="39" s="1"/>
  <c r="Y13" i="39" s="1"/>
  <c r="V257" i="40" a="1"/>
  <c r="V257" i="40" s="1"/>
  <c r="W257" i="40" s="1"/>
  <c r="X257" i="40" s="1"/>
  <c r="V274" i="39" l="1" a="1"/>
  <c r="V274" i="39" s="1"/>
  <c r="W274" i="39" s="1"/>
  <c r="X274" i="39" s="1"/>
  <c r="Y274" i="39" s="1"/>
  <c r="V133" i="39" a="1"/>
  <c r="V133" i="39" s="1"/>
  <c r="W133" i="39" s="1"/>
  <c r="X133" i="39" s="1"/>
  <c r="Y133" i="39" s="1"/>
  <c r="V146" i="39" a="1"/>
  <c r="V146" i="39" s="1"/>
  <c r="W146" i="39" s="1"/>
  <c r="X146" i="39" s="1"/>
  <c r="Y146" i="39" s="1"/>
  <c r="V330" i="39" a="1"/>
  <c r="V330" i="39" s="1"/>
  <c r="W330" i="39" s="1"/>
  <c r="X330" i="39" s="1"/>
  <c r="Y330" i="39" s="1"/>
  <c r="V149" i="39" a="1"/>
  <c r="V149" i="39" s="1"/>
  <c r="W149" i="39" s="1"/>
  <c r="X149" i="39" s="1"/>
  <c r="V154" i="39" a="1"/>
  <c r="V154" i="39" s="1"/>
  <c r="W154" i="39" s="1"/>
  <c r="X154" i="39" s="1"/>
  <c r="V344" i="39" a="1"/>
  <c r="V344" i="39" s="1"/>
  <c r="W344" i="39" s="1"/>
  <c r="X344" i="39" s="1"/>
  <c r="V100" i="39" a="1"/>
  <c r="V100" i="39" s="1"/>
  <c r="W100" i="39" s="1"/>
  <c r="X100" i="39" s="1"/>
  <c r="V311" i="39" a="1"/>
  <c r="V311" i="39" s="1"/>
  <c r="W311" i="39" s="1"/>
  <c r="X311" i="39" s="1"/>
  <c r="Y311" i="39" s="1"/>
  <c r="V184" i="39" a="1"/>
  <c r="V184" i="39" s="1"/>
  <c r="W184" i="39" s="1"/>
  <c r="X184" i="39" s="1"/>
  <c r="V83" i="39" a="1"/>
  <c r="V83" i="39" s="1"/>
  <c r="W83" i="39" s="1"/>
  <c r="X83" i="39" s="1"/>
  <c r="V335" i="39" a="1"/>
  <c r="V335" i="39" s="1"/>
  <c r="W335" i="39" s="1"/>
  <c r="X335" i="39" s="1"/>
  <c r="Y335" i="39" s="1"/>
  <c r="V5" i="39" a="1"/>
  <c r="V5" i="39" s="1"/>
  <c r="W5" i="39" s="1"/>
  <c r="X5" i="39" s="1"/>
  <c r="Y5" i="39" s="1"/>
  <c r="V66" i="39" a="1"/>
  <c r="V66" i="39" s="1"/>
  <c r="W66" i="39" s="1"/>
  <c r="X66" i="39" s="1"/>
  <c r="V238" i="39" a="1"/>
  <c r="V238" i="39" s="1"/>
  <c r="W238" i="39" s="1"/>
  <c r="X238" i="39" s="1"/>
  <c r="V196" i="39" a="1"/>
  <c r="V196" i="39" s="1"/>
  <c r="W196" i="39" s="1"/>
  <c r="X196" i="39" s="1"/>
  <c r="V240" i="39" a="1"/>
  <c r="V240" i="39" s="1"/>
  <c r="W240" i="39" s="1"/>
  <c r="X240" i="39" s="1"/>
  <c r="Y240" i="39" s="1"/>
  <c r="V242" i="39" a="1"/>
  <c r="V242" i="39" s="1"/>
  <c r="W242" i="39" s="1"/>
  <c r="X242" i="39" s="1"/>
  <c r="Y242" i="39" s="1"/>
  <c r="V305" i="39" a="1"/>
  <c r="V305" i="39" s="1"/>
  <c r="W305" i="39" s="1"/>
  <c r="X305" i="39" s="1"/>
  <c r="V162" i="39" a="1"/>
  <c r="V162" i="39" s="1"/>
  <c r="W162" i="39" s="1"/>
  <c r="X162" i="39" s="1"/>
  <c r="V270" i="39" a="1"/>
  <c r="V270" i="39" s="1"/>
  <c r="W270" i="39" s="1"/>
  <c r="X270" i="39" s="1"/>
  <c r="Y270" i="39" s="1"/>
  <c r="V33" i="39" a="1"/>
  <c r="V33" i="39" s="1"/>
  <c r="W33" i="39" s="1"/>
  <c r="X33" i="39" s="1"/>
  <c r="Y33" i="39" s="1"/>
  <c r="V65" i="39" a="1"/>
  <c r="V65" i="39" s="1"/>
  <c r="W65" i="39" s="1"/>
  <c r="X65" i="39" s="1"/>
  <c r="V151" i="39" a="1"/>
  <c r="V151" i="39" s="1"/>
  <c r="W151" i="39" s="1"/>
  <c r="X151" i="39" s="1"/>
  <c r="V168" i="39" a="1"/>
  <c r="V168" i="39" s="1"/>
  <c r="W168" i="39" s="1"/>
  <c r="X168" i="39" s="1"/>
  <c r="Y168" i="39" s="1"/>
  <c r="V300" i="39" a="1"/>
  <c r="V300" i="39" s="1"/>
  <c r="W300" i="39" s="1"/>
  <c r="X300" i="39" s="1"/>
  <c r="V132" i="39" a="1"/>
  <c r="V132" i="39" s="1"/>
  <c r="W132" i="39" s="1"/>
  <c r="X132" i="39" s="1"/>
  <c r="Y132" i="39" s="1"/>
  <c r="V137" i="39" a="1"/>
  <c r="V137" i="39" s="1"/>
  <c r="W137" i="39" s="1"/>
  <c r="X137" i="39" s="1"/>
  <c r="Y137" i="39" s="1"/>
  <c r="V251" i="39" a="1"/>
  <c r="V251" i="39" s="1"/>
  <c r="W251" i="39" s="1"/>
  <c r="X251" i="39" s="1"/>
  <c r="Y251" i="39" s="1"/>
  <c r="V321" i="39" a="1"/>
  <c r="V321" i="39" s="1"/>
  <c r="W321" i="39" s="1"/>
  <c r="X321" i="39" s="1"/>
  <c r="Y321" i="39" s="1"/>
  <c r="V239" i="39" a="1"/>
  <c r="V239" i="39" s="1"/>
  <c r="W239" i="39" s="1"/>
  <c r="X239" i="39" s="1"/>
  <c r="Y239" i="39" s="1"/>
  <c r="V117" i="39" a="1"/>
  <c r="V117" i="39" s="1"/>
  <c r="W117" i="39" s="1"/>
  <c r="X117" i="39" s="1"/>
  <c r="Y117" i="39" s="1"/>
  <c r="V135" i="39" a="1"/>
  <c r="V135" i="39" s="1"/>
  <c r="W135" i="39" s="1"/>
  <c r="X135" i="39" s="1"/>
  <c r="Y135" i="39" s="1"/>
  <c r="V110" i="39" a="1"/>
  <c r="V110" i="39" s="1"/>
  <c r="W110" i="39" s="1"/>
  <c r="X110" i="39" s="1"/>
  <c r="V287" i="39" a="1"/>
  <c r="V287" i="39" s="1"/>
  <c r="W287" i="39" s="1"/>
  <c r="X287" i="39" s="1"/>
  <c r="V182" i="39" a="1"/>
  <c r="V182" i="39" s="1"/>
  <c r="W182" i="39" s="1"/>
  <c r="X182" i="39" s="1"/>
  <c r="V22" i="39" a="1"/>
  <c r="V22" i="39" s="1"/>
  <c r="W22" i="39" s="1"/>
  <c r="X22" i="39" s="1"/>
  <c r="V341" i="39" a="1"/>
  <c r="V341" i="39" s="1"/>
  <c r="W341" i="39" s="1"/>
  <c r="X341" i="39" s="1"/>
  <c r="V128" i="39" a="1"/>
  <c r="V128" i="39" s="1"/>
  <c r="W128" i="39" s="1"/>
  <c r="X128" i="39" s="1"/>
  <c r="V150" i="39" a="1"/>
  <c r="V150" i="39" s="1"/>
  <c r="W150" i="39" s="1"/>
  <c r="X150" i="39" s="1"/>
  <c r="V258" i="39" a="1"/>
  <c r="V258" i="39" s="1"/>
  <c r="W258" i="39" s="1"/>
  <c r="X258" i="39" s="1"/>
  <c r="Y258" i="39" s="1"/>
  <c r="V52" i="39" a="1"/>
  <c r="V52" i="39" s="1"/>
  <c r="W52" i="39" s="1"/>
  <c r="X52" i="39" s="1"/>
  <c r="Y52" i="39" s="1"/>
  <c r="V284" i="39" a="1"/>
  <c r="V284" i="39" s="1"/>
  <c r="W284" i="39" s="1"/>
  <c r="X284" i="39" s="1"/>
  <c r="Y284" i="39" s="1"/>
  <c r="V62" i="39" a="1"/>
  <c r="V62" i="39" s="1"/>
  <c r="W62" i="39" s="1"/>
  <c r="X62" i="39" s="1"/>
  <c r="V44" i="39" a="1"/>
  <c r="V44" i="39" s="1"/>
  <c r="W44" i="39" s="1"/>
  <c r="X44" i="39" s="1"/>
  <c r="V233" i="39" a="1"/>
  <c r="V233" i="39" s="1"/>
  <c r="W233" i="39" s="1"/>
  <c r="X233" i="39" s="1"/>
  <c r="V7" i="39" a="1"/>
  <c r="V7" i="39" s="1"/>
  <c r="W7" i="39" s="1"/>
  <c r="X7" i="39" s="1"/>
  <c r="Y7" i="39" s="1"/>
  <c r="V106" i="39" a="1"/>
  <c r="V106" i="39" s="1"/>
  <c r="W106" i="39" s="1"/>
  <c r="X106" i="39" s="1"/>
  <c r="V89" i="39" a="1"/>
  <c r="V89" i="39" s="1"/>
  <c r="W89" i="39" s="1"/>
  <c r="X89" i="39" s="1"/>
  <c r="Y89" i="39" s="1"/>
  <c r="V188" i="39" a="1"/>
  <c r="V188" i="39" s="1"/>
  <c r="W188" i="39" s="1"/>
  <c r="X188" i="39" s="1"/>
  <c r="V200" i="39" a="1"/>
  <c r="V200" i="39" s="1"/>
  <c r="W200" i="39" s="1"/>
  <c r="X200" i="39" s="1"/>
  <c r="V291" i="39" a="1"/>
  <c r="V291" i="39" s="1"/>
  <c r="W291" i="39" s="1"/>
  <c r="X291" i="39" s="1"/>
  <c r="V153" i="39" a="1"/>
  <c r="V153" i="39" s="1"/>
  <c r="W153" i="39" s="1"/>
  <c r="X153" i="39" s="1"/>
  <c r="V209" i="39" a="1"/>
  <c r="V209" i="39" s="1"/>
  <c r="W209" i="39" s="1"/>
  <c r="X209" i="39" s="1"/>
  <c r="V27" i="39" a="1"/>
  <c r="V27" i="39" s="1"/>
  <c r="W27" i="39" s="1"/>
  <c r="X27" i="39" s="1"/>
  <c r="V181" i="39" a="1"/>
  <c r="V181" i="39" s="1"/>
  <c r="W181" i="39" s="1"/>
  <c r="X181" i="39" s="1"/>
  <c r="V101" i="39" a="1"/>
  <c r="V101" i="39" s="1"/>
  <c r="W101" i="39" s="1"/>
  <c r="X101" i="39" s="1"/>
  <c r="Y101" i="39" s="1"/>
  <c r="V49" i="39" a="1"/>
  <c r="V49" i="39" s="1"/>
  <c r="W49" i="39" s="1"/>
  <c r="X49" i="39" s="1"/>
  <c r="V4" i="39" a="1"/>
  <c r="V4" i="39" s="1"/>
  <c r="W4" i="39" s="1"/>
  <c r="V165" i="39" a="1"/>
  <c r="V165" i="39" s="1"/>
  <c r="W165" i="39" s="1"/>
  <c r="X165" i="39" s="1"/>
  <c r="V167" i="39" a="1"/>
  <c r="V167" i="39" s="1"/>
  <c r="W167" i="39" s="1"/>
  <c r="X167" i="39" s="1"/>
  <c r="Y167" i="39" s="1"/>
  <c r="V217" i="39" a="1"/>
  <c r="V217" i="39" s="1"/>
  <c r="W217" i="39" s="1"/>
  <c r="X217" i="39" s="1"/>
  <c r="V203" i="39" a="1"/>
  <c r="V203" i="39" s="1"/>
  <c r="W203" i="39" s="1"/>
  <c r="X203" i="39" s="1"/>
  <c r="Y203" i="39" s="1"/>
  <c r="V338" i="39" a="1"/>
  <c r="V338" i="39" s="1"/>
  <c r="W338" i="39" s="1"/>
  <c r="X338" i="39" s="1"/>
  <c r="Y338" i="39" s="1"/>
  <c r="V261" i="39" a="1"/>
  <c r="V261" i="39" s="1"/>
  <c r="W261" i="39" s="1"/>
  <c r="X261" i="39" s="1"/>
  <c r="Y261" i="39" s="1"/>
  <c r="V48" i="39" a="1"/>
  <c r="V48" i="39" s="1"/>
  <c r="W48" i="39" s="1"/>
  <c r="X48" i="39" s="1"/>
  <c r="Y48" i="39" s="1"/>
  <c r="V63" i="39" a="1"/>
  <c r="V63" i="39" s="1"/>
  <c r="W63" i="39" s="1"/>
  <c r="X63" i="39" s="1"/>
  <c r="V210" i="39" a="1"/>
  <c r="V210" i="39" s="1"/>
  <c r="W210" i="39" s="1"/>
  <c r="X210" i="39" s="1"/>
  <c r="V315" i="39" a="1"/>
  <c r="V315" i="39" s="1"/>
  <c r="W315" i="39" s="1"/>
  <c r="X315" i="39" s="1"/>
  <c r="Y315" i="39" s="1"/>
  <c r="V329" i="39" a="1"/>
  <c r="V329" i="39" s="1"/>
  <c r="W329" i="39" s="1"/>
  <c r="X329" i="39" s="1"/>
  <c r="Y329" i="39" s="1"/>
  <c r="V50" i="39" a="1"/>
  <c r="V50" i="39" s="1"/>
  <c r="W50" i="39" s="1"/>
  <c r="X50" i="39" s="1"/>
  <c r="V283" i="39" a="1"/>
  <c r="V283" i="39" s="1"/>
  <c r="W283" i="39" s="1"/>
  <c r="X283" i="39" s="1"/>
  <c r="V301" i="39" a="1"/>
  <c r="V301" i="39" s="1"/>
  <c r="W301" i="39" s="1"/>
  <c r="X301" i="39" s="1"/>
  <c r="V88" i="39" a="1"/>
  <c r="V88" i="39" s="1"/>
  <c r="W88" i="39" s="1"/>
  <c r="X88" i="39" s="1"/>
  <c r="Y88" i="39" s="1"/>
  <c r="V248" i="39" a="1"/>
  <c r="V248" i="39" s="1"/>
  <c r="W248" i="39" s="1"/>
  <c r="X248" i="39" s="1"/>
  <c r="Y248" i="39" s="1"/>
  <c r="V241" i="39" a="1"/>
  <c r="V241" i="39" s="1"/>
  <c r="W241" i="39" s="1"/>
  <c r="X241" i="39" s="1"/>
  <c r="Y241" i="39" s="1"/>
  <c r="V208" i="39" a="1"/>
  <c r="V208" i="39" s="1"/>
  <c r="W208" i="39" s="1"/>
  <c r="X208" i="39" s="1"/>
  <c r="V61" i="39" a="1"/>
  <c r="V61" i="39" s="1"/>
  <c r="W61" i="39" s="1"/>
  <c r="X61" i="39" s="1"/>
  <c r="V245" i="39" a="1"/>
  <c r="V245" i="39" s="1"/>
  <c r="W245" i="39" s="1"/>
  <c r="X245" i="39" s="1"/>
  <c r="Y245" i="39" s="1"/>
  <c r="V297" i="39" a="1"/>
  <c r="V297" i="39" s="1"/>
  <c r="W297" i="39" s="1"/>
  <c r="X297" i="39" s="1"/>
  <c r="V170" i="39" a="1"/>
  <c r="V170" i="39" s="1"/>
  <c r="W170" i="39" s="1"/>
  <c r="X170" i="39" s="1"/>
  <c r="Y170" i="39" s="1"/>
  <c r="V323" i="39" a="1"/>
  <c r="V323" i="39" s="1"/>
  <c r="W323" i="39" s="1"/>
  <c r="X323" i="39" s="1"/>
  <c r="Y323" i="39" s="1"/>
  <c r="V114" i="39" a="1"/>
  <c r="V114" i="39" s="1"/>
  <c r="W114" i="39" s="1"/>
  <c r="X114" i="39" s="1"/>
  <c r="Y114" i="39" s="1"/>
  <c r="V230" i="39" a="1"/>
  <c r="V230" i="39" s="1"/>
  <c r="W230" i="39" s="1"/>
  <c r="X230" i="39" s="1"/>
  <c r="Y230" i="39" s="1"/>
  <c r="V169" i="39" a="1"/>
  <c r="V169" i="39" s="1"/>
  <c r="W169" i="39" s="1"/>
  <c r="X169" i="39" s="1"/>
  <c r="Y169" i="39" s="1"/>
  <c r="V95" i="39" a="1"/>
  <c r="V95" i="39" s="1"/>
  <c r="W95" i="39" s="1"/>
  <c r="X95" i="39" s="1"/>
  <c r="V144" i="39" a="1"/>
  <c r="V144" i="39" s="1"/>
  <c r="W144" i="39" s="1"/>
  <c r="X144" i="39" s="1"/>
  <c r="Y144" i="39" s="1"/>
  <c r="V333" i="39" a="1"/>
  <c r="V333" i="39" s="1"/>
  <c r="W333" i="39" s="1"/>
  <c r="X333" i="39" s="1"/>
  <c r="Y333" i="39" s="1"/>
  <c r="V141" i="39" a="1"/>
  <c r="V141" i="39" s="1"/>
  <c r="W141" i="39" s="1"/>
  <c r="X141" i="39" s="1"/>
  <c r="Y141" i="39" s="1"/>
  <c r="V73" i="39" a="1"/>
  <c r="V73" i="39" s="1"/>
  <c r="W73" i="39" s="1"/>
  <c r="X73" i="39" s="1"/>
  <c r="V157" i="39" a="1"/>
  <c r="V157" i="39" s="1"/>
  <c r="W157" i="39" s="1"/>
  <c r="X157" i="39" s="1"/>
  <c r="V111" i="39" a="1"/>
  <c r="V111" i="39" s="1"/>
  <c r="W111" i="39" s="1"/>
  <c r="X111" i="39" s="1"/>
  <c r="V306" i="39" a="1"/>
  <c r="V306" i="39" s="1"/>
  <c r="W306" i="39" s="1"/>
  <c r="X306" i="39" s="1"/>
  <c r="V109" i="39" a="1"/>
  <c r="V109" i="39" s="1"/>
  <c r="W109" i="39" s="1"/>
  <c r="X109" i="39" s="1"/>
  <c r="V129" i="39" a="1"/>
  <c r="V129" i="39" s="1"/>
  <c r="W129" i="39" s="1"/>
  <c r="X129" i="39" s="1"/>
  <c r="Y129" i="39" s="1"/>
  <c r="V275" i="39" a="1"/>
  <c r="V275" i="39" s="1"/>
  <c r="W275" i="39" s="1"/>
  <c r="X275" i="39" s="1"/>
  <c r="Y275" i="39" s="1"/>
  <c r="V205" i="39" a="1"/>
  <c r="V205" i="39" s="1"/>
  <c r="W205" i="39" s="1"/>
  <c r="X205" i="39" s="1"/>
  <c r="Y205" i="39" s="1"/>
  <c r="V113" i="39" a="1"/>
  <c r="V113" i="39" s="1"/>
  <c r="W113" i="39" s="1"/>
  <c r="X113" i="39" s="1"/>
  <c r="Y113" i="39" s="1"/>
  <c r="V123" i="39" a="1"/>
  <c r="V123" i="39" s="1"/>
  <c r="W123" i="39" s="1"/>
  <c r="X123" i="39" s="1"/>
  <c r="V326" i="39" a="1"/>
  <c r="V326" i="39" s="1"/>
  <c r="W326" i="39" s="1"/>
  <c r="X326" i="39" s="1"/>
  <c r="Y326" i="39" s="1"/>
  <c r="V40" i="39" a="1"/>
  <c r="V40" i="39" s="1"/>
  <c r="W40" i="39" s="1"/>
  <c r="X40" i="39" s="1"/>
  <c r="V28" i="39" a="1"/>
  <c r="V28" i="39" s="1"/>
  <c r="W28" i="39" s="1"/>
  <c r="X28" i="39" s="1"/>
  <c r="V120" i="39" a="1"/>
  <c r="V120" i="39" s="1"/>
  <c r="W120" i="39" s="1"/>
  <c r="X120" i="39" s="1"/>
  <c r="V237" i="39" a="1"/>
  <c r="V237" i="39" s="1"/>
  <c r="W237" i="39" s="1"/>
  <c r="X237" i="39" s="1"/>
  <c r="V229" i="39" a="1"/>
  <c r="V229" i="39" s="1"/>
  <c r="W229" i="39" s="1"/>
  <c r="X229" i="39" s="1"/>
  <c r="Y229" i="39" s="1"/>
  <c r="V278" i="39" a="1"/>
  <c r="V278" i="39" s="1"/>
  <c r="W278" i="39" s="1"/>
  <c r="X278" i="39" s="1"/>
  <c r="Y278" i="39" s="1"/>
  <c r="V53" i="39" a="1"/>
  <c r="V53" i="39" s="1"/>
  <c r="W53" i="39" s="1"/>
  <c r="X53" i="39" s="1"/>
  <c r="Y53" i="39" s="1"/>
  <c r="V286" i="39" a="1"/>
  <c r="V286" i="39" s="1"/>
  <c r="W286" i="39" s="1"/>
  <c r="X286" i="39" s="1"/>
  <c r="V92" i="39" a="1"/>
  <c r="V92" i="39" s="1"/>
  <c r="W92" i="39" s="1"/>
  <c r="X92" i="39" s="1"/>
  <c r="V252" i="39" a="1"/>
  <c r="V252" i="39" s="1"/>
  <c r="W252" i="39" s="1"/>
  <c r="X252" i="39" s="1"/>
  <c r="Y252" i="39" s="1"/>
  <c r="V79" i="39" a="1"/>
  <c r="V79" i="39" s="1"/>
  <c r="W79" i="39" s="1"/>
  <c r="X79" i="39" s="1"/>
  <c r="V163" i="39" a="1"/>
  <c r="V163" i="39" s="1"/>
  <c r="W163" i="39" s="1"/>
  <c r="X163" i="39" s="1"/>
  <c r="V127" i="39" a="1"/>
  <c r="V127" i="39" s="1"/>
  <c r="W127" i="39" s="1"/>
  <c r="X127" i="39" s="1"/>
  <c r="V215" i="39" a="1"/>
  <c r="V215" i="39" s="1"/>
  <c r="W215" i="39" s="1"/>
  <c r="X215" i="39" s="1"/>
  <c r="Y215" i="39" s="1"/>
  <c r="V339" i="39" a="1"/>
  <c r="V339" i="39" s="1"/>
  <c r="W339" i="39" s="1"/>
  <c r="X339" i="39" s="1"/>
  <c r="Y339" i="39" s="1"/>
  <c r="V23" i="39" a="1"/>
  <c r="V23" i="39" s="1"/>
  <c r="W23" i="39" s="1"/>
  <c r="X23" i="39" s="1"/>
  <c r="V6" i="39" a="1"/>
  <c r="V6" i="39" s="1"/>
  <c r="W6" i="39" s="1"/>
  <c r="X6" i="39" s="1"/>
  <c r="Y6" i="39" s="1"/>
  <c r="V136" i="39" a="1"/>
  <c r="V136" i="39" s="1"/>
  <c r="W136" i="39" s="1"/>
  <c r="X136" i="39" s="1"/>
  <c r="Y136" i="39" s="1"/>
  <c r="V292" i="39" a="1"/>
  <c r="V292" i="39" s="1"/>
  <c r="W292" i="39" s="1"/>
  <c r="X292" i="39" s="1"/>
  <c r="V139" i="39" a="1"/>
  <c r="V139" i="39" s="1"/>
  <c r="W139" i="39" s="1"/>
  <c r="X139" i="39" s="1"/>
  <c r="Y139" i="39" s="1"/>
  <c r="V289" i="39" a="1"/>
  <c r="V289" i="39" s="1"/>
  <c r="W289" i="39" s="1"/>
  <c r="X289" i="39" s="1"/>
  <c r="V121" i="39" a="1"/>
  <c r="V121" i="39" s="1"/>
  <c r="W121" i="39" s="1"/>
  <c r="X121" i="39" s="1"/>
  <c r="V226" i="39" a="1"/>
  <c r="V226" i="39" s="1"/>
  <c r="W226" i="39" s="1"/>
  <c r="X226" i="39" s="1"/>
  <c r="V257" i="39" a="1"/>
  <c r="V257" i="39" s="1"/>
  <c r="W257" i="39" s="1"/>
  <c r="X257" i="39" s="1"/>
  <c r="Y257" i="39" s="1"/>
  <c r="V192" i="39" a="1"/>
  <c r="V192" i="39" s="1"/>
  <c r="W192" i="39" s="1"/>
  <c r="X192" i="39" s="1"/>
  <c r="V224" i="39" a="1"/>
  <c r="V224" i="39" s="1"/>
  <c r="W224" i="39" s="1"/>
  <c r="X224" i="39" s="1"/>
  <c r="Y224" i="39" s="1"/>
  <c r="V34" i="39" a="1"/>
  <c r="V34" i="39" s="1"/>
  <c r="W34" i="39" s="1"/>
  <c r="X34" i="39" s="1"/>
  <c r="V276" i="39" a="1"/>
  <c r="V276" i="39" s="1"/>
  <c r="W276" i="39" s="1"/>
  <c r="X276" i="39" s="1"/>
  <c r="Y276" i="39" s="1"/>
  <c r="V318" i="39" a="1"/>
  <c r="V318" i="39" s="1"/>
  <c r="W318" i="39" s="1"/>
  <c r="X318" i="39" s="1"/>
  <c r="Y318" i="39" s="1"/>
  <c r="V234" i="39" a="1"/>
  <c r="V234" i="39" s="1"/>
  <c r="W234" i="39" s="1"/>
  <c r="X234" i="39" s="1"/>
  <c r="V55" i="39" a="1"/>
  <c r="V55" i="39" s="1"/>
  <c r="W55" i="39" s="1"/>
  <c r="X55" i="39" s="1"/>
  <c r="Y55" i="39" s="1"/>
  <c r="V263" i="39" a="1"/>
  <c r="V263" i="39" s="1"/>
  <c r="W263" i="39" s="1"/>
  <c r="X263" i="39" s="1"/>
  <c r="Y263" i="39" s="1"/>
  <c r="V59" i="39" a="1"/>
  <c r="V59" i="39" s="1"/>
  <c r="W59" i="39" s="1"/>
  <c r="X59" i="39" s="1"/>
  <c r="V334" i="39" a="1"/>
  <c r="V334" i="39" s="1"/>
  <c r="W334" i="39" s="1"/>
  <c r="X334" i="39" s="1"/>
  <c r="Y334" i="39" s="1"/>
  <c r="V336" i="39" a="1"/>
  <c r="V336" i="39" s="1"/>
  <c r="W336" i="39" s="1"/>
  <c r="X336" i="39" s="1"/>
  <c r="Y336" i="39" s="1"/>
  <c r="V14" i="39" a="1"/>
  <c r="V14" i="39" s="1"/>
  <c r="W14" i="39" s="1"/>
  <c r="X14" i="39" s="1"/>
  <c r="V46" i="39" a="1"/>
  <c r="V46" i="39" s="1"/>
  <c r="W46" i="39" s="1"/>
  <c r="X46" i="39" s="1"/>
  <c r="V107" i="39" a="1"/>
  <c r="V107" i="39" s="1"/>
  <c r="W107" i="39" s="1"/>
  <c r="X107" i="39" s="1"/>
  <c r="V10" i="39" a="1"/>
  <c r="V10" i="39" s="1"/>
  <c r="W10" i="39" s="1"/>
  <c r="X10" i="39" s="1"/>
  <c r="Y10" i="39" s="1"/>
  <c r="V130" i="39" a="1"/>
  <c r="V130" i="39" s="1"/>
  <c r="W130" i="39" s="1"/>
  <c r="X130" i="39" s="1"/>
  <c r="V316" i="39" a="1"/>
  <c r="V316" i="39" s="1"/>
  <c r="W316" i="39" s="1"/>
  <c r="X316" i="39" s="1"/>
  <c r="Y316" i="39" s="1"/>
  <c r="V244" i="39" a="1"/>
  <c r="V244" i="39" s="1"/>
  <c r="W244" i="39" s="1"/>
  <c r="X244" i="39" s="1"/>
  <c r="Y244" i="39" s="1"/>
  <c r="V293" i="39" a="1"/>
  <c r="V293" i="39" s="1"/>
  <c r="W293" i="39" s="1"/>
  <c r="X293" i="39" s="1"/>
  <c r="V78" i="39" a="1"/>
  <c r="V78" i="39" s="1"/>
  <c r="W78" i="39" s="1"/>
  <c r="X78" i="39" s="1"/>
  <c r="V328" i="39" a="1"/>
  <c r="V328" i="39" s="1"/>
  <c r="W328" i="39" s="1"/>
  <c r="X328" i="39" s="1"/>
  <c r="Y328" i="39" s="1"/>
  <c r="V185" i="39" a="1"/>
  <c r="V185" i="39" s="1"/>
  <c r="W185" i="39" s="1"/>
  <c r="X185" i="39" s="1"/>
  <c r="W5" i="40"/>
  <c r="V51" i="39" a="1"/>
  <c r="V51" i="39" s="1"/>
  <c r="W51" i="39" s="1"/>
  <c r="X51" i="39" s="1"/>
  <c r="V58" i="39" a="1"/>
  <c r="V58" i="39" s="1"/>
  <c r="W58" i="39" s="1"/>
  <c r="X58" i="39" s="1"/>
  <c r="V299" i="39" a="1"/>
  <c r="V299" i="39" s="1"/>
  <c r="W299" i="39" s="1"/>
  <c r="X299" i="39" s="1"/>
  <c r="W2" i="39" l="1"/>
  <c r="X4" i="39"/>
  <c r="Y4" i="39" s="1"/>
  <c r="AT1455" i="23" l="1"/>
  <c r="AU1455" i="23" s="1"/>
  <c r="AV1455" i="23" s="1"/>
  <c r="AT1456" i="23"/>
  <c r="AU1456" i="23" s="1"/>
  <c r="AV1456" i="23" s="1"/>
  <c r="AT1457" i="23"/>
  <c r="AU1457" i="23" s="1"/>
  <c r="AV1457" i="23" s="1"/>
  <c r="AT1458" i="23"/>
  <c r="AU1458" i="23" s="1"/>
  <c r="AV1458" i="23" s="1"/>
  <c r="AT1459" i="23"/>
  <c r="AU1459" i="23" s="1"/>
  <c r="AV1459" i="23" s="1"/>
  <c r="AT1454" i="23"/>
  <c r="AU1454" i="23" s="1"/>
  <c r="AV1454" i="23" s="1"/>
  <c r="BD1454" i="23" s="1"/>
  <c r="BE1454" i="23" s="1"/>
  <c r="AZ1459" i="23" l="1"/>
  <c r="BA1459" i="23" s="1"/>
  <c r="BB1459" i="23" s="1"/>
  <c r="BD1459" i="23"/>
  <c r="BE1459" i="23" s="1"/>
  <c r="BF1459" i="23" s="1"/>
  <c r="BG1459" i="23" s="1"/>
  <c r="AZ1458" i="23"/>
  <c r="BA1458" i="23" s="1"/>
  <c r="BB1458" i="23" s="1"/>
  <c r="BD1458" i="23"/>
  <c r="BE1458" i="23" s="1"/>
  <c r="BD1457" i="23"/>
  <c r="BE1457" i="23" s="1"/>
  <c r="AZ1457" i="23"/>
  <c r="BA1457" i="23" s="1"/>
  <c r="BB1457" i="23" s="1"/>
  <c r="BD1456" i="23"/>
  <c r="BE1456" i="23" s="1"/>
  <c r="AZ1456" i="23"/>
  <c r="BA1456" i="23" s="1"/>
  <c r="BB1456" i="23" s="1"/>
  <c r="BD1455" i="23"/>
  <c r="BE1455" i="23" s="1"/>
  <c r="AZ1455" i="23"/>
  <c r="BA1455" i="23" s="1"/>
  <c r="BB1455" i="23" s="1"/>
  <c r="AZ1454" i="23"/>
  <c r="BA1454" i="23" s="1"/>
  <c r="BB1454" i="23" s="1"/>
  <c r="BF1455" i="23" l="1"/>
  <c r="BG1455" i="23" s="1"/>
  <c r="BF1458" i="23"/>
  <c r="BG1458" i="23" s="1"/>
  <c r="BF1456" i="23"/>
  <c r="BG1456" i="23" s="1"/>
  <c r="BF1457" i="23"/>
  <c r="BG1457" i="23" s="1"/>
  <c r="BF1454" i="23"/>
  <c r="BG1454" i="23" s="1"/>
  <c r="AT520" i="23" l="1"/>
  <c r="AU520" i="23" s="1"/>
  <c r="AV520" i="23" s="1"/>
  <c r="AZ520" i="23" s="1"/>
  <c r="BA520" i="23" s="1"/>
  <c r="BB520" i="23" s="1"/>
  <c r="AT521" i="23"/>
  <c r="AU521" i="23" s="1"/>
  <c r="AV521" i="23" s="1"/>
  <c r="AZ521" i="23" s="1"/>
  <c r="BA521" i="23" s="1"/>
  <c r="BB521" i="23" s="1"/>
  <c r="AT522" i="23"/>
  <c r="AU522" i="23" s="1"/>
  <c r="AV522" i="23" s="1"/>
  <c r="BD522" i="23" s="1"/>
  <c r="BE522" i="23" s="1"/>
  <c r="CL520" i="23"/>
  <c r="CK520" i="23"/>
  <c r="CI520" i="23"/>
  <c r="CH520" i="23"/>
  <c r="CG520" i="23"/>
  <c r="CF520" i="23"/>
  <c r="CE520" i="23"/>
  <c r="CC520" i="23"/>
  <c r="CB520" i="23"/>
  <c r="CA520" i="23"/>
  <c r="BZ520" i="23"/>
  <c r="BY520" i="23"/>
  <c r="BX520" i="23"/>
  <c r="BW520" i="23"/>
  <c r="AZ522" i="23" l="1"/>
  <c r="BA522" i="23" s="1"/>
  <c r="BB522" i="23" s="1"/>
  <c r="BD521" i="23"/>
  <c r="BE521" i="23" s="1"/>
  <c r="BF521" i="23" s="1"/>
  <c r="BG521" i="23" s="1"/>
  <c r="BD520" i="23"/>
  <c r="BE520" i="23" s="1"/>
  <c r="BF520" i="23" s="1"/>
  <c r="BG520" i="23" s="1"/>
  <c r="CJ520" i="23"/>
  <c r="BF522" i="23" l="1"/>
  <c r="BG522" i="23" s="1"/>
  <c r="BI1453" i="23" l="1"/>
  <c r="BI1448" i="23"/>
  <c r="AT1453" i="23"/>
  <c r="AU1453" i="23" s="1"/>
  <c r="AT1451" i="23"/>
  <c r="AU1451" i="23" s="1"/>
  <c r="AV1451" i="23" s="1"/>
  <c r="AZ1451" i="23" s="1"/>
  <c r="BA1451" i="23" s="1"/>
  <c r="BB1451" i="23" s="1"/>
  <c r="AT1447" i="23"/>
  <c r="AU1447" i="23" s="1"/>
  <c r="AV1447" i="23" s="1"/>
  <c r="AZ1447" i="23" s="1"/>
  <c r="BA1447" i="23" s="1"/>
  <c r="BB1447" i="23" s="1"/>
  <c r="AT1449" i="23"/>
  <c r="AU1449" i="23" s="1"/>
  <c r="AV1449" i="23" s="1"/>
  <c r="BD1449" i="23" s="1"/>
  <c r="BE1449" i="23" s="1"/>
  <c r="AT1448" i="23"/>
  <c r="AU1448" i="23" s="1"/>
  <c r="BD1448" i="23" s="1"/>
  <c r="BE1448" i="23" s="1"/>
  <c r="AT1452" i="23"/>
  <c r="AU1452" i="23" s="1"/>
  <c r="AV1452" i="23" s="1"/>
  <c r="AT1450" i="23"/>
  <c r="AU1450" i="23" s="1"/>
  <c r="AV1450" i="23" s="1"/>
  <c r="BD1450" i="23" s="1"/>
  <c r="BE1450" i="23" s="1"/>
  <c r="AZ1450" i="23" l="1"/>
  <c r="BA1450" i="23" s="1"/>
  <c r="BB1450" i="23" s="1"/>
  <c r="AZ1449" i="23"/>
  <c r="BA1449" i="23" s="1"/>
  <c r="BB1449" i="23" s="1"/>
  <c r="BD1453" i="23"/>
  <c r="BE1453" i="23" s="1"/>
  <c r="AZ1453" i="23"/>
  <c r="BA1453" i="23" s="1"/>
  <c r="BB1453" i="23" s="1"/>
  <c r="AZ1452" i="23"/>
  <c r="BA1452" i="23" s="1"/>
  <c r="BB1452" i="23" s="1"/>
  <c r="BD1452" i="23"/>
  <c r="BE1452" i="23" s="1"/>
  <c r="BD1451" i="23"/>
  <c r="BE1451" i="23" s="1"/>
  <c r="BF1451" i="23" s="1"/>
  <c r="BG1451" i="23" s="1"/>
  <c r="AZ1448" i="23"/>
  <c r="BA1448" i="23" s="1"/>
  <c r="BB1448" i="23" s="1"/>
  <c r="BD1447" i="23"/>
  <c r="BE1447" i="23" s="1"/>
  <c r="BF1447" i="23" s="1"/>
  <c r="BG1447" i="23" s="1"/>
  <c r="BF1450" i="23" l="1"/>
  <c r="BG1450" i="23" s="1"/>
  <c r="BF1449" i="23"/>
  <c r="BG1449" i="23" s="1"/>
  <c r="BF1453" i="23"/>
  <c r="BG1453" i="23" s="1"/>
  <c r="BF1448" i="23"/>
  <c r="BG1448" i="23" s="1"/>
  <c r="BF1452" i="23"/>
  <c r="BG1452" i="23" s="1"/>
  <c r="AT1029" i="23" l="1"/>
  <c r="AU1029" i="23" s="1"/>
  <c r="AV1029" i="23" s="1"/>
  <c r="AT1022" i="23"/>
  <c r="AU1022" i="23" s="1"/>
  <c r="AV1022" i="23" s="1"/>
  <c r="AT1023" i="23"/>
  <c r="AU1023" i="23" s="1"/>
  <c r="AV1023" i="23" s="1"/>
  <c r="AT1024" i="23"/>
  <c r="AU1024" i="23" s="1"/>
  <c r="AV1024" i="23" s="1"/>
  <c r="AT1025" i="23"/>
  <c r="AU1025" i="23" s="1"/>
  <c r="AV1025" i="23" s="1"/>
  <c r="AT1026" i="23"/>
  <c r="AU1026" i="23" s="1"/>
  <c r="AV1026" i="23" s="1"/>
  <c r="AT1027" i="23"/>
  <c r="AU1027" i="23" s="1"/>
  <c r="AV1027" i="23" s="1"/>
  <c r="AT1028" i="23"/>
  <c r="AU1028" i="23" s="1"/>
  <c r="AV1028" i="23" s="1"/>
  <c r="AT1021" i="23"/>
  <c r="AU1021" i="23" s="1"/>
  <c r="AV1021" i="23" s="1"/>
  <c r="AT279" i="23"/>
  <c r="BD1029" i="23" l="1"/>
  <c r="BE1029" i="23" s="1"/>
  <c r="AZ1029" i="23"/>
  <c r="BA1029" i="23" s="1"/>
  <c r="BB1029" i="23" s="1"/>
  <c r="BD1027" i="23"/>
  <c r="BE1027" i="23" s="1"/>
  <c r="AZ1027" i="23"/>
  <c r="BA1027" i="23" s="1"/>
  <c r="BB1027" i="23" s="1"/>
  <c r="BD1024" i="23"/>
  <c r="BE1024" i="23" s="1"/>
  <c r="AZ1024" i="23"/>
  <c r="BA1024" i="23" s="1"/>
  <c r="BB1024" i="23" s="1"/>
  <c r="BD1026" i="23"/>
  <c r="BE1026" i="23" s="1"/>
  <c r="AZ1026" i="23"/>
  <c r="BA1026" i="23" s="1"/>
  <c r="BB1026" i="23" s="1"/>
  <c r="BD1021" i="23"/>
  <c r="BE1021" i="23" s="1"/>
  <c r="AZ1021" i="23"/>
  <c r="BA1021" i="23" s="1"/>
  <c r="BB1021" i="23" s="1"/>
  <c r="BD1022" i="23"/>
  <c r="BE1022" i="23" s="1"/>
  <c r="AZ1022" i="23"/>
  <c r="BA1022" i="23" s="1"/>
  <c r="BB1022" i="23" s="1"/>
  <c r="AZ1025" i="23"/>
  <c r="BA1025" i="23" s="1"/>
  <c r="BB1025" i="23" s="1"/>
  <c r="BD1025" i="23"/>
  <c r="BE1025" i="23" s="1"/>
  <c r="AZ1023" i="23"/>
  <c r="BA1023" i="23" s="1"/>
  <c r="BB1023" i="23" s="1"/>
  <c r="BD1023" i="23"/>
  <c r="BE1023" i="23" s="1"/>
  <c r="AZ1028" i="23"/>
  <c r="BA1028" i="23" s="1"/>
  <c r="BB1028" i="23" s="1"/>
  <c r="BD1028" i="23"/>
  <c r="BE1028" i="23" s="1"/>
  <c r="BF1028" i="23" l="1"/>
  <c r="BG1028" i="23" s="1"/>
  <c r="BF1023" i="23"/>
  <c r="BF1029" i="23"/>
  <c r="BG1029" i="23" s="1"/>
  <c r="BF1024" i="23"/>
  <c r="BF1022" i="23"/>
  <c r="BF1027" i="23"/>
  <c r="BG1027" i="23" s="1"/>
  <c r="BF1021" i="23"/>
  <c r="BF1026" i="23"/>
  <c r="BF1025" i="23"/>
  <c r="AT1446" i="23" l="1"/>
  <c r="AU1446" i="23" s="1"/>
  <c r="AV1446" i="23" s="1"/>
  <c r="AT1445" i="23"/>
  <c r="AU1445" i="23" s="1"/>
  <c r="AV1445" i="23" s="1"/>
  <c r="AT1444" i="23"/>
  <c r="AU1444" i="23" s="1"/>
  <c r="AV1444" i="23" s="1"/>
  <c r="AT1443" i="23"/>
  <c r="AU1443" i="23" s="1"/>
  <c r="AV1443" i="23" s="1"/>
  <c r="AT1442" i="23"/>
  <c r="AU1442" i="23" s="1"/>
  <c r="AV1442" i="23" s="1"/>
  <c r="AT1441" i="23"/>
  <c r="AU1441" i="23" s="1"/>
  <c r="AV1441" i="23" s="1"/>
  <c r="AT1440" i="23"/>
  <c r="AU1440" i="23" s="1"/>
  <c r="AV1440" i="23" s="1"/>
  <c r="AT1439" i="23"/>
  <c r="AU1439" i="23" s="1"/>
  <c r="AV1439" i="23" s="1"/>
  <c r="AT1438" i="23"/>
  <c r="AU1438" i="23" s="1"/>
  <c r="AV1438" i="23" s="1"/>
  <c r="AT1437" i="23"/>
  <c r="AU1437" i="23" s="1"/>
  <c r="AV1437" i="23" s="1"/>
  <c r="AT1436" i="23"/>
  <c r="AU1436" i="23" s="1"/>
  <c r="AV1436" i="23" s="1"/>
  <c r="AT1435" i="23"/>
  <c r="AU1435" i="23" s="1"/>
  <c r="AV1435" i="23" s="1"/>
  <c r="AT1434" i="23"/>
  <c r="AU1434" i="23" s="1"/>
  <c r="AV1434" i="23" s="1"/>
  <c r="AT1433" i="23"/>
  <c r="AU1433" i="23" s="1"/>
  <c r="AV1433" i="23" s="1"/>
  <c r="AT1432" i="23"/>
  <c r="AU1432" i="23" s="1"/>
  <c r="AV1432" i="23" s="1"/>
  <c r="AT1431" i="23"/>
  <c r="AU1431" i="23" s="1"/>
  <c r="AV1431" i="23" s="1"/>
  <c r="AT1430" i="23"/>
  <c r="AU1430" i="23" s="1"/>
  <c r="AV1430" i="23" s="1"/>
  <c r="AT1429" i="23"/>
  <c r="AU1429" i="23" s="1"/>
  <c r="AV1429" i="23" s="1"/>
  <c r="AT1428" i="23"/>
  <c r="AU1428" i="23" s="1"/>
  <c r="AV1428" i="23" s="1"/>
  <c r="AT1427" i="23"/>
  <c r="AU1427" i="23" s="1"/>
  <c r="AV1427" i="23" s="1"/>
  <c r="AT1426" i="23"/>
  <c r="AU1426" i="23" s="1"/>
  <c r="AV1426" i="23" s="1"/>
  <c r="AT1425" i="23"/>
  <c r="AU1425" i="23" s="1"/>
  <c r="AV1425" i="23" s="1"/>
  <c r="AT1422" i="23"/>
  <c r="AU1422" i="23" s="1"/>
  <c r="AV1422" i="23" s="1"/>
  <c r="AT1421" i="23"/>
  <c r="AU1421" i="23" s="1"/>
  <c r="AV1421" i="23" s="1"/>
  <c r="AT1420" i="23"/>
  <c r="AU1420" i="23" s="1"/>
  <c r="AV1420" i="23" s="1"/>
  <c r="AT1419" i="23"/>
  <c r="AU1419" i="23" s="1"/>
  <c r="AV1419" i="23" s="1"/>
  <c r="AT1418" i="23"/>
  <c r="AU1418" i="23" s="1"/>
  <c r="AT1417" i="23"/>
  <c r="AU1417" i="23" s="1"/>
  <c r="AV1417" i="23" s="1"/>
  <c r="AT1416" i="23"/>
  <c r="AU1416" i="23" s="1"/>
  <c r="AV1416" i="23" s="1"/>
  <c r="AT1415" i="23"/>
  <c r="AU1415" i="23" s="1"/>
  <c r="AV1415" i="23" s="1"/>
  <c r="AT1414" i="23"/>
  <c r="AU1414" i="23" s="1"/>
  <c r="AV1414" i="23" s="1"/>
  <c r="AT1413" i="23"/>
  <c r="AU1413" i="23" s="1"/>
  <c r="AT1407" i="23"/>
  <c r="AU1407" i="23" s="1"/>
  <c r="AV1407" i="23" s="1"/>
  <c r="AT1406" i="23"/>
  <c r="AU1406" i="23" s="1"/>
  <c r="AV1406" i="23" s="1"/>
  <c r="AT1405" i="23"/>
  <c r="AU1405" i="23" s="1"/>
  <c r="AV1405" i="23" s="1"/>
  <c r="AT1404" i="23"/>
  <c r="AU1404" i="23" s="1"/>
  <c r="AV1404" i="23" s="1"/>
  <c r="AT1403" i="23"/>
  <c r="AU1403" i="23" s="1"/>
  <c r="AV1403" i="23" s="1"/>
  <c r="AT1402" i="23"/>
  <c r="AU1402" i="23" s="1"/>
  <c r="AV1402" i="23" s="1"/>
  <c r="AT1401" i="23"/>
  <c r="AU1401" i="23" s="1"/>
  <c r="AV1401" i="23" s="1"/>
  <c r="AT1400" i="23"/>
  <c r="AU1400" i="23" s="1"/>
  <c r="AV1400" i="23" s="1"/>
  <c r="AT1399" i="23"/>
  <c r="AU1399" i="23" s="1"/>
  <c r="AV1399" i="23" s="1"/>
  <c r="AT1398" i="23"/>
  <c r="AU1398" i="23" s="1"/>
  <c r="AV1398" i="23" s="1"/>
  <c r="AT1397" i="23"/>
  <c r="AU1397" i="23" s="1"/>
  <c r="AV1397" i="23" s="1"/>
  <c r="AT1396" i="23"/>
  <c r="AU1396" i="23" s="1"/>
  <c r="AV1396" i="23" s="1"/>
  <c r="AT1390" i="23"/>
  <c r="AU1390" i="23" s="1"/>
  <c r="AV1390" i="23" s="1"/>
  <c r="AT1395" i="23"/>
  <c r="AU1395" i="23" s="1"/>
  <c r="AV1395" i="23" s="1"/>
  <c r="AT1394" i="23"/>
  <c r="AU1394" i="23" s="1"/>
  <c r="AV1394" i="23" s="1"/>
  <c r="AT1393" i="23"/>
  <c r="AU1393" i="23" s="1"/>
  <c r="AV1393" i="23" s="1"/>
  <c r="AT1392" i="23"/>
  <c r="AU1392" i="23" s="1"/>
  <c r="AV1392" i="23" s="1"/>
  <c r="AT1391" i="23"/>
  <c r="AU1391" i="23" s="1"/>
  <c r="AV1391" i="23" s="1"/>
  <c r="AT1389" i="23"/>
  <c r="AU1389" i="23" s="1"/>
  <c r="AT1388" i="23"/>
  <c r="AU1388" i="23" s="1"/>
  <c r="AT1387" i="23"/>
  <c r="AU1387" i="23" s="1"/>
  <c r="AV1387" i="23" s="1"/>
  <c r="AT1386" i="23"/>
  <c r="AU1386" i="23" s="1"/>
  <c r="AV1386" i="23" s="1"/>
  <c r="AT1385" i="23"/>
  <c r="AU1385" i="23" s="1"/>
  <c r="AT1384" i="23"/>
  <c r="AU1384" i="23" s="1"/>
  <c r="AT1383" i="23"/>
  <c r="AU1383" i="23" s="1"/>
  <c r="AV1383" i="23" s="1"/>
  <c r="AT1382" i="23"/>
  <c r="AU1382" i="23" s="1"/>
  <c r="AV1382" i="23" s="1"/>
  <c r="AT1377" i="23"/>
  <c r="AU1377" i="23" s="1"/>
  <c r="AV1377" i="23" s="1"/>
  <c r="AT1376" i="23"/>
  <c r="AU1376" i="23" s="1"/>
  <c r="AV1376" i="23" s="1"/>
  <c r="AT1375" i="23"/>
  <c r="AU1375" i="23" s="1"/>
  <c r="AV1375" i="23" s="1"/>
  <c r="AT1374" i="23"/>
  <c r="AU1374" i="23" s="1"/>
  <c r="AV1374" i="23" s="1"/>
  <c r="AT1373" i="23"/>
  <c r="AU1373" i="23" s="1"/>
  <c r="AV1373" i="23" s="1"/>
  <c r="AT1372" i="23"/>
  <c r="AU1372" i="23" s="1"/>
  <c r="AV1372" i="23" s="1"/>
  <c r="AT1371" i="23"/>
  <c r="AU1371" i="23" s="1"/>
  <c r="AV1371" i="23" s="1"/>
  <c r="AT1370" i="23"/>
  <c r="AU1370" i="23" s="1"/>
  <c r="AV1370" i="23" s="1"/>
  <c r="AT1369" i="23"/>
  <c r="AU1369" i="23" s="1"/>
  <c r="AV1369" i="23" s="1"/>
  <c r="AT1368" i="23"/>
  <c r="AU1368" i="23" s="1"/>
  <c r="AV1368" i="23" s="1"/>
  <c r="AT1367" i="23"/>
  <c r="AU1367" i="23" s="1"/>
  <c r="AV1367" i="23" s="1"/>
  <c r="AT1366" i="23"/>
  <c r="AU1366" i="23" s="1"/>
  <c r="AV1366" i="23" s="1"/>
  <c r="AT1365" i="23"/>
  <c r="AU1365" i="23" s="1"/>
  <c r="AV1365" i="23" s="1"/>
  <c r="AT1364" i="23"/>
  <c r="AU1364" i="23" s="1"/>
  <c r="AV1364" i="23" s="1"/>
  <c r="AT1363" i="23"/>
  <c r="AU1363" i="23" s="1"/>
  <c r="AV1363" i="23" s="1"/>
  <c r="AT1362" i="23"/>
  <c r="AU1362" i="23" s="1"/>
  <c r="AV1362" i="23" s="1"/>
  <c r="AT1361" i="23"/>
  <c r="AU1361" i="23" s="1"/>
  <c r="AV1361" i="23" s="1"/>
  <c r="AT1360" i="23"/>
  <c r="AU1360" i="23" s="1"/>
  <c r="AV1360" i="23" s="1"/>
  <c r="AT1359" i="23"/>
  <c r="AU1359" i="23" s="1"/>
  <c r="AV1359" i="23" s="1"/>
  <c r="AT1358" i="23"/>
  <c r="AU1358" i="23" s="1"/>
  <c r="AV1358" i="23" s="1"/>
  <c r="AT1357" i="23"/>
  <c r="AU1357" i="23" s="1"/>
  <c r="AV1357" i="23" s="1"/>
  <c r="AT1356" i="23"/>
  <c r="AU1356" i="23" s="1"/>
  <c r="AV1356" i="23" s="1"/>
  <c r="AT1355" i="23"/>
  <c r="AU1355" i="23" s="1"/>
  <c r="AV1355" i="23" s="1"/>
  <c r="AT1354" i="23"/>
  <c r="AU1354" i="23" s="1"/>
  <c r="AV1354" i="23" s="1"/>
  <c r="AT1350" i="23"/>
  <c r="AU1350" i="23" s="1"/>
  <c r="AV1350" i="23" s="1"/>
  <c r="AT1353" i="23"/>
  <c r="AU1353" i="23" s="1"/>
  <c r="AV1353" i="23" s="1"/>
  <c r="AT1352" i="23"/>
  <c r="AU1352" i="23" s="1"/>
  <c r="AV1352" i="23" s="1"/>
  <c r="AT1351" i="23"/>
  <c r="AU1351" i="23" s="1"/>
  <c r="AV1351" i="23" s="1"/>
  <c r="AT1349" i="23"/>
  <c r="AU1349" i="23" s="1"/>
  <c r="AV1349" i="23" s="1"/>
  <c r="AT1348" i="23"/>
  <c r="AU1348" i="23" s="1"/>
  <c r="AV1348" i="23" s="1"/>
  <c r="AZ1348" i="23" s="1"/>
  <c r="BA1348" i="23" s="1"/>
  <c r="AT1346" i="23"/>
  <c r="AU1346" i="23" s="1"/>
  <c r="AV1346" i="23" s="1"/>
  <c r="AT1345" i="23"/>
  <c r="AU1345" i="23" s="1"/>
  <c r="AV1345" i="23" s="1"/>
  <c r="AT1344" i="23"/>
  <c r="AU1344" i="23" s="1"/>
  <c r="AV1344" i="23" s="1"/>
  <c r="AT1343" i="23"/>
  <c r="AU1343" i="23" s="1"/>
  <c r="AV1343" i="23" s="1"/>
  <c r="AT1342" i="23"/>
  <c r="AU1342" i="23" s="1"/>
  <c r="AV1342" i="23" s="1"/>
  <c r="AT1347" i="23"/>
  <c r="AU1347" i="23" s="1"/>
  <c r="AV1347" i="23" s="1"/>
  <c r="AT1341" i="23"/>
  <c r="AU1341" i="23" s="1"/>
  <c r="AV1341" i="23" s="1"/>
  <c r="AT1340" i="23"/>
  <c r="AU1340" i="23" s="1"/>
  <c r="AV1340" i="23" s="1"/>
  <c r="AT1339" i="23"/>
  <c r="AU1339" i="23" s="1"/>
  <c r="AV1339" i="23" s="1"/>
  <c r="AT1338" i="23"/>
  <c r="AU1338" i="23" s="1"/>
  <c r="AV1338" i="23" s="1"/>
  <c r="AT1337" i="23"/>
  <c r="AU1337" i="23" s="1"/>
  <c r="AV1337" i="23" s="1"/>
  <c r="AT1336" i="23"/>
  <c r="AU1336" i="23" s="1"/>
  <c r="AV1336" i="23" s="1"/>
  <c r="AT1335" i="23"/>
  <c r="AU1335" i="23" s="1"/>
  <c r="AV1335" i="23" s="1"/>
  <c r="AT1334" i="23"/>
  <c r="AU1334" i="23" s="1"/>
  <c r="AV1334" i="23" s="1"/>
  <c r="AT1333" i="23"/>
  <c r="AU1333" i="23" s="1"/>
  <c r="AV1333" i="23" s="1"/>
  <c r="AT1332" i="23"/>
  <c r="AU1332" i="23" s="1"/>
  <c r="AV1332" i="23" s="1"/>
  <c r="AT1331" i="23"/>
  <c r="AU1331" i="23" s="1"/>
  <c r="AV1331" i="23" s="1"/>
  <c r="AT1330" i="23"/>
  <c r="AU1330" i="23" s="1"/>
  <c r="AV1330" i="23" s="1"/>
  <c r="AT1329" i="23"/>
  <c r="AU1329" i="23" s="1"/>
  <c r="AV1329" i="23" s="1"/>
  <c r="AT1328" i="23"/>
  <c r="AU1328" i="23" s="1"/>
  <c r="AV1328" i="23" s="1"/>
  <c r="AT1327" i="23"/>
  <c r="AU1327" i="23" s="1"/>
  <c r="AV1327" i="23" s="1"/>
  <c r="AT1326" i="23"/>
  <c r="AU1326" i="23" s="1"/>
  <c r="AV1326" i="23" s="1"/>
  <c r="AT1325" i="23"/>
  <c r="AU1325" i="23" s="1"/>
  <c r="AV1325" i="23" s="1"/>
  <c r="AT1324" i="23"/>
  <c r="AU1324" i="23" s="1"/>
  <c r="AV1324" i="23" s="1"/>
  <c r="AT1323" i="23"/>
  <c r="AU1323" i="23" s="1"/>
  <c r="AV1323" i="23" s="1"/>
  <c r="AT1322" i="23"/>
  <c r="AU1322" i="23" s="1"/>
  <c r="AV1322" i="23" s="1"/>
  <c r="AT1321" i="23"/>
  <c r="AU1321" i="23" s="1"/>
  <c r="AV1321" i="23" s="1"/>
  <c r="AT1320" i="23"/>
  <c r="AU1320" i="23" s="1"/>
  <c r="AV1320" i="23" s="1"/>
  <c r="AT1319" i="23"/>
  <c r="AU1319" i="23" s="1"/>
  <c r="AV1319" i="23" s="1"/>
  <c r="AT1318" i="23"/>
  <c r="AU1318" i="23" s="1"/>
  <c r="AV1318" i="23" s="1"/>
  <c r="AT1317" i="23"/>
  <c r="AU1317" i="23" s="1"/>
  <c r="AV1317" i="23" s="1"/>
  <c r="AT1316" i="23"/>
  <c r="AU1316" i="23" s="1"/>
  <c r="AV1316" i="23" s="1"/>
  <c r="AT1312" i="23"/>
  <c r="AU1312" i="23" s="1"/>
  <c r="AV1312" i="23" s="1"/>
  <c r="AT1311" i="23"/>
  <c r="AU1311" i="23" s="1"/>
  <c r="AV1311" i="23" s="1"/>
  <c r="AT1310" i="23"/>
  <c r="AU1310" i="23" s="1"/>
  <c r="AV1310" i="23" s="1"/>
  <c r="AT1314" i="23"/>
  <c r="AU1314" i="23" s="1"/>
  <c r="AV1314" i="23" s="1"/>
  <c r="AT1315" i="23"/>
  <c r="AU1315" i="23" s="1"/>
  <c r="AV1315" i="23" s="1"/>
  <c r="AT1313" i="23"/>
  <c r="AU1313" i="23" s="1"/>
  <c r="AV1313" i="23" s="1"/>
  <c r="AT1309" i="23"/>
  <c r="AU1309" i="23" s="1"/>
  <c r="AV1309" i="23" s="1"/>
  <c r="AT1308" i="23"/>
  <c r="AU1308" i="23" s="1"/>
  <c r="AV1308" i="23" s="1"/>
  <c r="BD1446" i="23" l="1"/>
  <c r="BE1446" i="23" s="1"/>
  <c r="AZ1446" i="23"/>
  <c r="BA1446" i="23" s="1"/>
  <c r="AZ1441" i="23"/>
  <c r="BA1441" i="23" s="1"/>
  <c r="BD1441" i="23"/>
  <c r="BE1441" i="23" s="1"/>
  <c r="AZ1444" i="23"/>
  <c r="BA1444" i="23" s="1"/>
  <c r="BD1444" i="23"/>
  <c r="BE1444" i="23" s="1"/>
  <c r="BD1440" i="23"/>
  <c r="BE1440" i="23" s="1"/>
  <c r="AZ1440" i="23"/>
  <c r="BA1440" i="23" s="1"/>
  <c r="BD1442" i="23"/>
  <c r="BE1442" i="23" s="1"/>
  <c r="AZ1442" i="23"/>
  <c r="BA1442" i="23" s="1"/>
  <c r="AZ1443" i="23"/>
  <c r="BA1443" i="23" s="1"/>
  <c r="BD1443" i="23"/>
  <c r="BE1443" i="23" s="1"/>
  <c r="BD1445" i="23"/>
  <c r="BE1445" i="23" s="1"/>
  <c r="AZ1445" i="23"/>
  <c r="BA1445" i="23" s="1"/>
  <c r="AZ1439" i="23"/>
  <c r="BA1439" i="23" s="1"/>
  <c r="BD1439" i="23"/>
  <c r="BE1439" i="23" s="1"/>
  <c r="AZ1436" i="23"/>
  <c r="BA1436" i="23" s="1"/>
  <c r="BD1436" i="23"/>
  <c r="BE1436" i="23" s="1"/>
  <c r="AZ1434" i="23"/>
  <c r="BA1434" i="23" s="1"/>
  <c r="BD1434" i="23"/>
  <c r="BE1434" i="23" s="1"/>
  <c r="AZ1431" i="23"/>
  <c r="BA1431" i="23" s="1"/>
  <c r="BD1431" i="23"/>
  <c r="BE1431" i="23" s="1"/>
  <c r="AZ1435" i="23"/>
  <c r="BA1435" i="23" s="1"/>
  <c r="BD1435" i="23"/>
  <c r="BE1435" i="23" s="1"/>
  <c r="BD1432" i="23"/>
  <c r="BE1432" i="23" s="1"/>
  <c r="AZ1432" i="23"/>
  <c r="BA1432" i="23" s="1"/>
  <c r="BD1437" i="23"/>
  <c r="BE1437" i="23" s="1"/>
  <c r="AZ1437" i="23"/>
  <c r="BA1437" i="23" s="1"/>
  <c r="AZ1433" i="23"/>
  <c r="BA1433" i="23" s="1"/>
  <c r="BD1433" i="23"/>
  <c r="BE1433" i="23" s="1"/>
  <c r="AZ1438" i="23"/>
  <c r="BA1438" i="23" s="1"/>
  <c r="BD1438" i="23"/>
  <c r="BE1438" i="23" s="1"/>
  <c r="AZ1430" i="23"/>
  <c r="BA1430" i="23" s="1"/>
  <c r="BD1430" i="23"/>
  <c r="BE1430" i="23" s="1"/>
  <c r="AZ1427" i="23"/>
  <c r="BA1427" i="23" s="1"/>
  <c r="BD1427" i="23"/>
  <c r="BE1427" i="23" s="1"/>
  <c r="AZ1428" i="23"/>
  <c r="BA1428" i="23" s="1"/>
  <c r="BD1428" i="23"/>
  <c r="BE1428" i="23" s="1"/>
  <c r="BD1429" i="23"/>
  <c r="BE1429" i="23" s="1"/>
  <c r="AZ1429" i="23"/>
  <c r="BA1429" i="23" s="1"/>
  <c r="AZ1426" i="23"/>
  <c r="BA1426" i="23" s="1"/>
  <c r="BD1426" i="23"/>
  <c r="BE1426" i="23" s="1"/>
  <c r="AZ1425" i="23"/>
  <c r="BA1425" i="23" s="1"/>
  <c r="BD1425" i="23"/>
  <c r="BE1425" i="23" s="1"/>
  <c r="AZ1418" i="23"/>
  <c r="BA1418" i="23" s="1"/>
  <c r="BD1418" i="23"/>
  <c r="BE1418" i="23" s="1"/>
  <c r="AZ1419" i="23"/>
  <c r="BA1419" i="23" s="1"/>
  <c r="BD1419" i="23"/>
  <c r="BE1419" i="23" s="1"/>
  <c r="AZ1422" i="23"/>
  <c r="BA1422" i="23" s="1"/>
  <c r="BD1422" i="23"/>
  <c r="BE1422" i="23" s="1"/>
  <c r="AZ1420" i="23"/>
  <c r="BA1420" i="23" s="1"/>
  <c r="BD1420" i="23"/>
  <c r="BE1420" i="23" s="1"/>
  <c r="BD1421" i="23"/>
  <c r="BE1421" i="23" s="1"/>
  <c r="AZ1421" i="23"/>
  <c r="BA1421" i="23" s="1"/>
  <c r="BD1413" i="23"/>
  <c r="BE1413" i="23" s="1"/>
  <c r="BF1413" i="23" s="1"/>
  <c r="BG1413" i="23" s="1"/>
  <c r="AZ1413" i="23"/>
  <c r="BA1413" i="23" s="1"/>
  <c r="BD1417" i="23"/>
  <c r="BE1417" i="23" s="1"/>
  <c r="AZ1417" i="23"/>
  <c r="BA1417" i="23" s="1"/>
  <c r="AZ1415" i="23"/>
  <c r="BA1415" i="23" s="1"/>
  <c r="BD1415" i="23"/>
  <c r="BE1415" i="23" s="1"/>
  <c r="AZ1414" i="23"/>
  <c r="BA1414" i="23" s="1"/>
  <c r="BD1414" i="23"/>
  <c r="BE1414" i="23" s="1"/>
  <c r="BD1416" i="23"/>
  <c r="BE1416" i="23" s="1"/>
  <c r="AZ1416" i="23"/>
  <c r="BA1416" i="23" s="1"/>
  <c r="BD1406" i="23"/>
  <c r="BE1406" i="23" s="1"/>
  <c r="AZ1406" i="23"/>
  <c r="BA1406" i="23" s="1"/>
  <c r="BD1407" i="23"/>
  <c r="BE1407" i="23" s="1"/>
  <c r="AZ1407" i="23"/>
  <c r="BA1407" i="23" s="1"/>
  <c r="BD1402" i="23"/>
  <c r="BE1402" i="23" s="1"/>
  <c r="AZ1402" i="23"/>
  <c r="BA1402" i="23" s="1"/>
  <c r="AZ1405" i="23"/>
  <c r="BA1405" i="23" s="1"/>
  <c r="BD1405" i="23"/>
  <c r="BE1405" i="23" s="1"/>
  <c r="AZ1403" i="23"/>
  <c r="BA1403" i="23" s="1"/>
  <c r="BD1403" i="23"/>
  <c r="BE1403" i="23" s="1"/>
  <c r="AZ1404" i="23"/>
  <c r="BA1404" i="23" s="1"/>
  <c r="BD1404" i="23"/>
  <c r="BE1404" i="23" s="1"/>
  <c r="AZ1401" i="23"/>
  <c r="BA1401" i="23" s="1"/>
  <c r="BD1401" i="23"/>
  <c r="BE1401" i="23" s="1"/>
  <c r="AZ1397" i="23"/>
  <c r="BA1397" i="23" s="1"/>
  <c r="BD1397" i="23"/>
  <c r="BE1397" i="23" s="1"/>
  <c r="AZ1398" i="23"/>
  <c r="BA1398" i="23" s="1"/>
  <c r="BD1398" i="23"/>
  <c r="BE1398" i="23" s="1"/>
  <c r="BD1396" i="23"/>
  <c r="BE1396" i="23" s="1"/>
  <c r="AZ1396" i="23"/>
  <c r="BA1396" i="23" s="1"/>
  <c r="BD1399" i="23"/>
  <c r="BE1399" i="23" s="1"/>
  <c r="AZ1399" i="23"/>
  <c r="BA1399" i="23" s="1"/>
  <c r="BD1400" i="23"/>
  <c r="BE1400" i="23" s="1"/>
  <c r="AZ1400" i="23"/>
  <c r="BA1400" i="23" s="1"/>
  <c r="AZ1390" i="23"/>
  <c r="BA1390" i="23" s="1"/>
  <c r="BD1390" i="23"/>
  <c r="BE1390" i="23" s="1"/>
  <c r="AZ1391" i="23"/>
  <c r="BA1391" i="23" s="1"/>
  <c r="BD1391" i="23"/>
  <c r="BE1391" i="23" s="1"/>
  <c r="AZ1395" i="23"/>
  <c r="BA1395" i="23" s="1"/>
  <c r="BD1395" i="23"/>
  <c r="BE1395" i="23" s="1"/>
  <c r="AZ1392" i="23"/>
  <c r="BA1392" i="23" s="1"/>
  <c r="BD1392" i="23"/>
  <c r="BE1392" i="23" s="1"/>
  <c r="AZ1393" i="23"/>
  <c r="BA1393" i="23" s="1"/>
  <c r="BD1393" i="23"/>
  <c r="BE1393" i="23" s="1"/>
  <c r="BD1394" i="23"/>
  <c r="BE1394" i="23" s="1"/>
  <c r="AZ1394" i="23"/>
  <c r="BA1394" i="23" s="1"/>
  <c r="AZ1386" i="23"/>
  <c r="BA1386" i="23" s="1"/>
  <c r="BD1386" i="23"/>
  <c r="BE1386" i="23" s="1"/>
  <c r="AZ1387" i="23"/>
  <c r="BA1387" i="23" s="1"/>
  <c r="BD1387" i="23"/>
  <c r="BE1387" i="23" s="1"/>
  <c r="BD1388" i="23"/>
  <c r="BE1388" i="23" s="1"/>
  <c r="AZ1388" i="23"/>
  <c r="BA1388" i="23" s="1"/>
  <c r="AZ1389" i="23"/>
  <c r="BA1389" i="23" s="1"/>
  <c r="BD1389" i="23"/>
  <c r="BE1389" i="23" s="1"/>
  <c r="BD1385" i="23"/>
  <c r="BE1385" i="23" s="1"/>
  <c r="AZ1385" i="23"/>
  <c r="BA1385" i="23" s="1"/>
  <c r="AZ1382" i="23"/>
  <c r="BA1382" i="23" s="1"/>
  <c r="BD1382" i="23"/>
  <c r="BE1382" i="23" s="1"/>
  <c r="AZ1383" i="23"/>
  <c r="BA1383" i="23" s="1"/>
  <c r="BD1383" i="23"/>
  <c r="BE1383" i="23" s="1"/>
  <c r="BD1384" i="23"/>
  <c r="BE1384" i="23" s="1"/>
  <c r="AZ1384" i="23"/>
  <c r="BA1384" i="23" s="1"/>
  <c r="BD1368" i="23"/>
  <c r="BE1368" i="23" s="1"/>
  <c r="AZ1368" i="23"/>
  <c r="BA1368" i="23" s="1"/>
  <c r="BD1369" i="23"/>
  <c r="BE1369" i="23" s="1"/>
  <c r="AZ1369" i="23"/>
  <c r="BA1369" i="23" s="1"/>
  <c r="AZ1370" i="23"/>
  <c r="BA1370" i="23" s="1"/>
  <c r="BD1370" i="23"/>
  <c r="BE1370" i="23" s="1"/>
  <c r="AZ1371" i="23"/>
  <c r="BA1371" i="23" s="1"/>
  <c r="BD1371" i="23"/>
  <c r="BE1371" i="23" s="1"/>
  <c r="BD1372" i="23"/>
  <c r="BE1372" i="23" s="1"/>
  <c r="AZ1372" i="23"/>
  <c r="BA1372" i="23" s="1"/>
  <c r="AZ1373" i="23"/>
  <c r="BA1373" i="23" s="1"/>
  <c r="BD1373" i="23"/>
  <c r="BE1373" i="23" s="1"/>
  <c r="AZ1374" i="23"/>
  <c r="BA1374" i="23" s="1"/>
  <c r="BD1374" i="23"/>
  <c r="BE1374" i="23" s="1"/>
  <c r="AZ1375" i="23"/>
  <c r="BA1375" i="23" s="1"/>
  <c r="BD1375" i="23"/>
  <c r="BE1375" i="23" s="1"/>
  <c r="BD1376" i="23"/>
  <c r="BE1376" i="23" s="1"/>
  <c r="AZ1376" i="23"/>
  <c r="BA1376" i="23" s="1"/>
  <c r="BD1377" i="23"/>
  <c r="BE1377" i="23" s="1"/>
  <c r="AZ1377" i="23"/>
  <c r="BA1377" i="23" s="1"/>
  <c r="AZ1366" i="23"/>
  <c r="BA1366" i="23" s="1"/>
  <c r="BD1366" i="23"/>
  <c r="BE1366" i="23" s="1"/>
  <c r="AZ1367" i="23"/>
  <c r="BA1367" i="23" s="1"/>
  <c r="BD1367" i="23"/>
  <c r="BE1367" i="23" s="1"/>
  <c r="AZ1360" i="23"/>
  <c r="BA1360" i="23" s="1"/>
  <c r="BD1360" i="23"/>
  <c r="BE1360" i="23" s="1"/>
  <c r="BD1356" i="23"/>
  <c r="BE1356" i="23" s="1"/>
  <c r="AZ1356" i="23"/>
  <c r="BA1356" i="23" s="1"/>
  <c r="BD1361" i="23"/>
  <c r="BE1361" i="23" s="1"/>
  <c r="AZ1361" i="23"/>
  <c r="BA1361" i="23" s="1"/>
  <c r="AZ1357" i="23"/>
  <c r="BA1357" i="23" s="1"/>
  <c r="BD1357" i="23"/>
  <c r="BE1357" i="23" s="1"/>
  <c r="AZ1358" i="23"/>
  <c r="BA1358" i="23" s="1"/>
  <c r="BD1358" i="23"/>
  <c r="BE1358" i="23" s="1"/>
  <c r="AZ1363" i="23"/>
  <c r="BA1363" i="23" s="1"/>
  <c r="BD1363" i="23"/>
  <c r="BE1363" i="23" s="1"/>
  <c r="AZ1355" i="23"/>
  <c r="BA1355" i="23" s="1"/>
  <c r="BD1355" i="23"/>
  <c r="BE1355" i="23" s="1"/>
  <c r="BD1364" i="23"/>
  <c r="BE1364" i="23" s="1"/>
  <c r="AZ1364" i="23"/>
  <c r="BA1364" i="23" s="1"/>
  <c r="AZ1354" i="23"/>
  <c r="BA1354" i="23" s="1"/>
  <c r="BD1354" i="23"/>
  <c r="BE1354" i="23" s="1"/>
  <c r="AZ1362" i="23"/>
  <c r="BA1362" i="23" s="1"/>
  <c r="BD1362" i="23"/>
  <c r="BE1362" i="23" s="1"/>
  <c r="BD1359" i="23"/>
  <c r="BE1359" i="23" s="1"/>
  <c r="AZ1359" i="23"/>
  <c r="BA1359" i="23" s="1"/>
  <c r="AZ1365" i="23"/>
  <c r="BA1365" i="23" s="1"/>
  <c r="BD1365" i="23"/>
  <c r="BE1365" i="23" s="1"/>
  <c r="BD1350" i="23"/>
  <c r="BE1350" i="23" s="1"/>
  <c r="AZ1350" i="23"/>
  <c r="BA1350" i="23" s="1"/>
  <c r="BB1348" i="23"/>
  <c r="BD1353" i="23"/>
  <c r="BE1353" i="23" s="1"/>
  <c r="AZ1353" i="23"/>
  <c r="BA1353" i="23" s="1"/>
  <c r="BD1351" i="23"/>
  <c r="BE1351" i="23" s="1"/>
  <c r="AZ1351" i="23"/>
  <c r="BA1351" i="23" s="1"/>
  <c r="AZ1349" i="23"/>
  <c r="BA1349" i="23" s="1"/>
  <c r="BD1349" i="23"/>
  <c r="BE1349" i="23" s="1"/>
  <c r="AZ1352" i="23"/>
  <c r="BA1352" i="23" s="1"/>
  <c r="BD1352" i="23"/>
  <c r="BE1352" i="23" s="1"/>
  <c r="BD1348" i="23"/>
  <c r="BE1348" i="23" s="1"/>
  <c r="BF1348" i="23" s="1"/>
  <c r="BG1348" i="23" s="1"/>
  <c r="BD1346" i="23"/>
  <c r="BE1346" i="23" s="1"/>
  <c r="AZ1346" i="23"/>
  <c r="BA1346" i="23" s="1"/>
  <c r="AZ1342" i="23"/>
  <c r="BA1342" i="23" s="1"/>
  <c r="BD1342" i="23"/>
  <c r="BE1342" i="23" s="1"/>
  <c r="BD1345" i="23"/>
  <c r="BE1345" i="23" s="1"/>
  <c r="AZ1345" i="23"/>
  <c r="BA1345" i="23" s="1"/>
  <c r="AZ1343" i="23"/>
  <c r="BA1343" i="23" s="1"/>
  <c r="BD1343" i="23"/>
  <c r="BE1343" i="23" s="1"/>
  <c r="BD1344" i="23"/>
  <c r="BE1344" i="23" s="1"/>
  <c r="AZ1344" i="23"/>
  <c r="BA1344" i="23" s="1"/>
  <c r="BD1347" i="23"/>
  <c r="BE1347" i="23" s="1"/>
  <c r="AZ1347" i="23"/>
  <c r="BA1347" i="23" s="1"/>
  <c r="AZ1337" i="23"/>
  <c r="BA1337" i="23" s="1"/>
  <c r="BD1337" i="23"/>
  <c r="BE1337" i="23" s="1"/>
  <c r="BD1341" i="23"/>
  <c r="BE1341" i="23" s="1"/>
  <c r="AZ1341" i="23"/>
  <c r="BA1341" i="23" s="1"/>
  <c r="AZ1331" i="23"/>
  <c r="BA1331" i="23" s="1"/>
  <c r="BD1331" i="23"/>
  <c r="BE1331" i="23" s="1"/>
  <c r="AZ1335" i="23"/>
  <c r="BA1335" i="23" s="1"/>
  <c r="BD1335" i="23"/>
  <c r="BE1335" i="23" s="1"/>
  <c r="BD1336" i="23"/>
  <c r="BE1336" i="23" s="1"/>
  <c r="AZ1336" i="23"/>
  <c r="BA1336" i="23" s="1"/>
  <c r="AZ1332" i="23"/>
  <c r="BA1332" i="23" s="1"/>
  <c r="BD1332" i="23"/>
  <c r="BE1332" i="23" s="1"/>
  <c r="AZ1338" i="23"/>
  <c r="BA1338" i="23" s="1"/>
  <c r="BD1338" i="23"/>
  <c r="BE1338" i="23" s="1"/>
  <c r="AZ1329" i="23"/>
  <c r="BA1329" i="23" s="1"/>
  <c r="BD1329" i="23"/>
  <c r="BE1329" i="23" s="1"/>
  <c r="BD1330" i="23"/>
  <c r="BE1330" i="23" s="1"/>
  <c r="AZ1330" i="23"/>
  <c r="BA1330" i="23" s="1"/>
  <c r="BD1333" i="23"/>
  <c r="BE1333" i="23" s="1"/>
  <c r="AZ1333" i="23"/>
  <c r="BA1333" i="23" s="1"/>
  <c r="AZ1339" i="23"/>
  <c r="BA1339" i="23" s="1"/>
  <c r="BD1339" i="23"/>
  <c r="BE1339" i="23" s="1"/>
  <c r="AZ1334" i="23"/>
  <c r="BA1334" i="23" s="1"/>
  <c r="BD1334" i="23"/>
  <c r="BE1334" i="23" s="1"/>
  <c r="AZ1340" i="23"/>
  <c r="BA1340" i="23" s="1"/>
  <c r="BD1340" i="23"/>
  <c r="BE1340" i="23" s="1"/>
  <c r="AZ1326" i="23"/>
  <c r="BA1326" i="23" s="1"/>
  <c r="BD1326" i="23"/>
  <c r="BE1326" i="23" s="1"/>
  <c r="BD1327" i="23"/>
  <c r="BE1327" i="23" s="1"/>
  <c r="AZ1327" i="23"/>
  <c r="BA1327" i="23" s="1"/>
  <c r="AZ1322" i="23"/>
  <c r="BA1322" i="23" s="1"/>
  <c r="BD1322" i="23"/>
  <c r="BE1322" i="23" s="1"/>
  <c r="BD1328" i="23"/>
  <c r="BE1328" i="23" s="1"/>
  <c r="AZ1328" i="23"/>
  <c r="BA1328" i="23" s="1"/>
  <c r="AZ1316" i="23"/>
  <c r="BA1316" i="23" s="1"/>
  <c r="BD1316" i="23"/>
  <c r="BE1316" i="23" s="1"/>
  <c r="BD1323" i="23"/>
  <c r="BE1323" i="23" s="1"/>
  <c r="AZ1323" i="23"/>
  <c r="BA1323" i="23" s="1"/>
  <c r="BD1320" i="23"/>
  <c r="BE1320" i="23" s="1"/>
  <c r="AZ1320" i="23"/>
  <c r="BA1320" i="23" s="1"/>
  <c r="AZ1321" i="23"/>
  <c r="BA1321" i="23" s="1"/>
  <c r="BD1321" i="23"/>
  <c r="BE1321" i="23" s="1"/>
  <c r="AZ1317" i="23"/>
  <c r="BA1317" i="23" s="1"/>
  <c r="BD1317" i="23"/>
  <c r="BE1317" i="23" s="1"/>
  <c r="AZ1324" i="23"/>
  <c r="BA1324" i="23" s="1"/>
  <c r="BD1324" i="23"/>
  <c r="BE1324" i="23" s="1"/>
  <c r="AZ1318" i="23"/>
  <c r="BA1318" i="23" s="1"/>
  <c r="BD1318" i="23"/>
  <c r="BE1318" i="23" s="1"/>
  <c r="AZ1319" i="23"/>
  <c r="BA1319" i="23" s="1"/>
  <c r="BD1319" i="23"/>
  <c r="BE1319" i="23" s="1"/>
  <c r="AZ1325" i="23"/>
  <c r="BA1325" i="23" s="1"/>
  <c r="BD1325" i="23"/>
  <c r="BE1325" i="23" s="1"/>
  <c r="AZ1310" i="23"/>
  <c r="BA1310" i="23" s="1"/>
  <c r="BD1310" i="23"/>
  <c r="BE1310" i="23" s="1"/>
  <c r="BD1311" i="23"/>
  <c r="BE1311" i="23" s="1"/>
  <c r="AZ1311" i="23"/>
  <c r="BA1311" i="23" s="1"/>
  <c r="BD1312" i="23"/>
  <c r="BE1312" i="23" s="1"/>
  <c r="AZ1312" i="23"/>
  <c r="BA1312" i="23" s="1"/>
  <c r="AZ1314" i="23"/>
  <c r="BA1314" i="23" s="1"/>
  <c r="BD1314" i="23"/>
  <c r="BE1314" i="23" s="1"/>
  <c r="AZ1308" i="23"/>
  <c r="BA1308" i="23" s="1"/>
  <c r="BD1308" i="23"/>
  <c r="BE1308" i="23" s="1"/>
  <c r="AZ1309" i="23"/>
  <c r="BA1309" i="23" s="1"/>
  <c r="BD1309" i="23"/>
  <c r="BE1309" i="23" s="1"/>
  <c r="BD1313" i="23"/>
  <c r="BE1313" i="23" s="1"/>
  <c r="AZ1313" i="23"/>
  <c r="BA1313" i="23" s="1"/>
  <c r="AZ1315" i="23"/>
  <c r="BA1315" i="23" s="1"/>
  <c r="BD1315" i="23"/>
  <c r="BE1315" i="23" s="1"/>
  <c r="BF1446" i="23" l="1"/>
  <c r="BG1446" i="23" s="1"/>
  <c r="BF1407" i="23"/>
  <c r="BG1407" i="23" s="1"/>
  <c r="BF1437" i="23"/>
  <c r="BG1437" i="23" s="1"/>
  <c r="BF1394" i="23"/>
  <c r="BG1394" i="23" s="1"/>
  <c r="BF1426" i="23"/>
  <c r="BG1426" i="23" s="1"/>
  <c r="BF1430" i="23"/>
  <c r="BG1430" i="23" s="1"/>
  <c r="BF1392" i="23"/>
  <c r="BG1392" i="23" s="1"/>
  <c r="BF1405" i="23"/>
  <c r="BG1405" i="23" s="1"/>
  <c r="BF1438" i="23"/>
  <c r="BG1438" i="23" s="1"/>
  <c r="BF1435" i="23"/>
  <c r="BG1435" i="23" s="1"/>
  <c r="BF1439" i="23"/>
  <c r="BG1439" i="23" s="1"/>
  <c r="BF1395" i="23"/>
  <c r="BG1395" i="23" s="1"/>
  <c r="BF1414" i="23"/>
  <c r="BG1414" i="23" s="1"/>
  <c r="BF1428" i="23"/>
  <c r="BG1428" i="23" s="1"/>
  <c r="BF1444" i="23"/>
  <c r="BG1444" i="23" s="1"/>
  <c r="BF1442" i="23"/>
  <c r="BG1442" i="23" s="1"/>
  <c r="BF1443" i="23"/>
  <c r="BG1443" i="23" s="1"/>
  <c r="BF1441" i="23"/>
  <c r="BG1441" i="23" s="1"/>
  <c r="BF1433" i="23"/>
  <c r="BG1433" i="23" s="1"/>
  <c r="BF1436" i="23"/>
  <c r="BG1436" i="23" s="1"/>
  <c r="BF1431" i="23"/>
  <c r="BG1431" i="23" s="1"/>
  <c r="BB1440" i="23"/>
  <c r="BB1439" i="23"/>
  <c r="BF1440" i="23"/>
  <c r="BG1440" i="23" s="1"/>
  <c r="BF1445" i="23"/>
  <c r="BG1445" i="23" s="1"/>
  <c r="BB1444" i="23"/>
  <c r="BB1445" i="23"/>
  <c r="BB1443" i="23"/>
  <c r="BB1441" i="23"/>
  <c r="BB1442" i="23"/>
  <c r="BB1446" i="23"/>
  <c r="BB1438" i="23"/>
  <c r="BB1435" i="23"/>
  <c r="BB1433" i="23"/>
  <c r="BB1431" i="23"/>
  <c r="BB1437" i="23"/>
  <c r="BF1434" i="23"/>
  <c r="BG1434" i="23" s="1"/>
  <c r="BB1434" i="23"/>
  <c r="BB1432" i="23"/>
  <c r="BF1432" i="23"/>
  <c r="BG1432" i="23" s="1"/>
  <c r="BB1436" i="23"/>
  <c r="BF1429" i="23"/>
  <c r="BG1429" i="23" s="1"/>
  <c r="BF1425" i="23"/>
  <c r="BG1425" i="23" s="1"/>
  <c r="BF1427" i="23"/>
  <c r="BG1427" i="23" s="1"/>
  <c r="BB1429" i="23"/>
  <c r="BB1428" i="23"/>
  <c r="BB1427" i="23"/>
  <c r="BB1430" i="23"/>
  <c r="BF1416" i="23"/>
  <c r="BG1416" i="23" s="1"/>
  <c r="BF1415" i="23"/>
  <c r="BG1415" i="23" s="1"/>
  <c r="BF1420" i="23"/>
  <c r="BG1420" i="23" s="1"/>
  <c r="BB1425" i="23"/>
  <c r="BB1426" i="23"/>
  <c r="BF1422" i="23"/>
  <c r="BG1422" i="23" s="1"/>
  <c r="BF1417" i="23"/>
  <c r="BG1417" i="23" s="1"/>
  <c r="BF1421" i="23"/>
  <c r="BG1421" i="23" s="1"/>
  <c r="BB1420" i="23"/>
  <c r="BB1422" i="23"/>
  <c r="BF1419" i="23"/>
  <c r="BG1419" i="23" s="1"/>
  <c r="BB1419" i="23"/>
  <c r="BB1421" i="23"/>
  <c r="BF1418" i="23"/>
  <c r="BG1418" i="23" s="1"/>
  <c r="BB1418" i="23"/>
  <c r="BB1414" i="23"/>
  <c r="BB1415" i="23"/>
  <c r="BB1417" i="23"/>
  <c r="BB1416" i="23"/>
  <c r="BB1413" i="23"/>
  <c r="BF1399" i="23"/>
  <c r="BG1399" i="23" s="1"/>
  <c r="BF1346" i="23"/>
  <c r="BG1346" i="23" s="1"/>
  <c r="BF1355" i="23"/>
  <c r="BG1355" i="23" s="1"/>
  <c r="BF1366" i="23"/>
  <c r="BG1366" i="23" s="1"/>
  <c r="BF1393" i="23"/>
  <c r="BG1393" i="23" s="1"/>
  <c r="BF1390" i="23"/>
  <c r="BG1390" i="23" s="1"/>
  <c r="BF1398" i="23"/>
  <c r="BG1398" i="23" s="1"/>
  <c r="BF1403" i="23"/>
  <c r="BG1403" i="23" s="1"/>
  <c r="BF1400" i="23"/>
  <c r="BG1400" i="23" s="1"/>
  <c r="BB1405" i="23"/>
  <c r="BF1402" i="23"/>
  <c r="BG1402" i="23" s="1"/>
  <c r="BB1402" i="23"/>
  <c r="BF1404" i="23"/>
  <c r="BG1404" i="23" s="1"/>
  <c r="BB1407" i="23"/>
  <c r="BB1404" i="23"/>
  <c r="BB1406" i="23"/>
  <c r="BB1403" i="23"/>
  <c r="BF1406" i="23"/>
  <c r="BG1406" i="23" s="1"/>
  <c r="BB1396" i="23"/>
  <c r="BF1396" i="23"/>
  <c r="BG1396" i="23" s="1"/>
  <c r="BB1398" i="23"/>
  <c r="BB1400" i="23"/>
  <c r="BF1397" i="23"/>
  <c r="BG1397" i="23" s="1"/>
  <c r="BB1397" i="23"/>
  <c r="BB1399" i="23"/>
  <c r="BF1401" i="23"/>
  <c r="BG1401" i="23" s="1"/>
  <c r="BB1401" i="23"/>
  <c r="BF1391" i="23"/>
  <c r="BG1391" i="23" s="1"/>
  <c r="BB1390" i="23"/>
  <c r="BF1315" i="23"/>
  <c r="BG1315" i="23" s="1"/>
  <c r="BF1314" i="23"/>
  <c r="BG1314" i="23" s="1"/>
  <c r="BF1317" i="23"/>
  <c r="BG1317" i="23" s="1"/>
  <c r="BF1326" i="23"/>
  <c r="BG1326" i="23" s="1"/>
  <c r="BF1330" i="23"/>
  <c r="BG1330" i="23" s="1"/>
  <c r="BF1365" i="23"/>
  <c r="BG1365" i="23" s="1"/>
  <c r="BF1357" i="23"/>
  <c r="BG1357" i="23" s="1"/>
  <c r="BF1367" i="23"/>
  <c r="BG1367" i="23" s="1"/>
  <c r="BF1375" i="23"/>
  <c r="BG1375" i="23" s="1"/>
  <c r="BF1371" i="23"/>
  <c r="BG1371" i="23" s="1"/>
  <c r="BB1391" i="23"/>
  <c r="BF1343" i="23"/>
  <c r="BG1343" i="23" s="1"/>
  <c r="BB1393" i="23"/>
  <c r="BB1392" i="23"/>
  <c r="BB1395" i="23"/>
  <c r="BB1394" i="23"/>
  <c r="BF1385" i="23"/>
  <c r="BG1385" i="23" s="1"/>
  <c r="BF1383" i="23"/>
  <c r="BG1383" i="23" s="1"/>
  <c r="BF1387" i="23"/>
  <c r="BG1387" i="23" s="1"/>
  <c r="BF1389" i="23"/>
  <c r="BG1389" i="23" s="1"/>
  <c r="BF1386" i="23"/>
  <c r="BG1386" i="23" s="1"/>
  <c r="BB1389" i="23"/>
  <c r="BB1388" i="23"/>
  <c r="BF1388" i="23"/>
  <c r="BG1388" i="23" s="1"/>
  <c r="BB1387" i="23"/>
  <c r="BB1386" i="23"/>
  <c r="BB1384" i="23"/>
  <c r="BF1384" i="23"/>
  <c r="BG1384" i="23" s="1"/>
  <c r="BB1383" i="23"/>
  <c r="BF1382" i="23"/>
  <c r="BG1382" i="23" s="1"/>
  <c r="BB1382" i="23"/>
  <c r="BF1336" i="23"/>
  <c r="BG1336" i="23" s="1"/>
  <c r="BF1349" i="23"/>
  <c r="BG1349" i="23" s="1"/>
  <c r="BB1385" i="23"/>
  <c r="BF1310" i="23"/>
  <c r="BG1310" i="23" s="1"/>
  <c r="BF1339" i="23"/>
  <c r="BG1339" i="23" s="1"/>
  <c r="BF1338" i="23"/>
  <c r="BG1338" i="23" s="1"/>
  <c r="BF1331" i="23"/>
  <c r="BG1331" i="23" s="1"/>
  <c r="BF1373" i="23"/>
  <c r="BG1373" i="23" s="1"/>
  <c r="BF1374" i="23"/>
  <c r="BG1374" i="23" s="1"/>
  <c r="BF1370" i="23"/>
  <c r="BG1370" i="23" s="1"/>
  <c r="BF1362" i="23"/>
  <c r="BG1362" i="23" s="1"/>
  <c r="BF1363" i="23"/>
  <c r="BG1363" i="23" s="1"/>
  <c r="BB1367" i="23"/>
  <c r="BB1371" i="23"/>
  <c r="BB1375" i="23"/>
  <c r="BB1366" i="23"/>
  <c r="BB1374" i="23"/>
  <c r="BB1370" i="23"/>
  <c r="BB1369" i="23"/>
  <c r="BB1377" i="23"/>
  <c r="BF1377" i="23"/>
  <c r="BG1377" i="23" s="1"/>
  <c r="BB1373" i="23"/>
  <c r="BF1369" i="23"/>
  <c r="BG1369" i="23" s="1"/>
  <c r="BB1372" i="23"/>
  <c r="BB1376" i="23"/>
  <c r="BB1368" i="23"/>
  <c r="BF1376" i="23"/>
  <c r="BG1376" i="23" s="1"/>
  <c r="BF1372" i="23"/>
  <c r="BG1372" i="23" s="1"/>
  <c r="BF1368" i="23"/>
  <c r="BG1368" i="23" s="1"/>
  <c r="BF1354" i="23"/>
  <c r="BG1354" i="23" s="1"/>
  <c r="BF1358" i="23"/>
  <c r="BG1358" i="23" s="1"/>
  <c r="BF1360" i="23"/>
  <c r="BG1360" i="23" s="1"/>
  <c r="BB1364" i="23"/>
  <c r="BB1365" i="23"/>
  <c r="BF1364" i="23"/>
  <c r="BG1364" i="23" s="1"/>
  <c r="BB1357" i="23"/>
  <c r="BB1361" i="23"/>
  <c r="BF1359" i="23"/>
  <c r="BG1359" i="23" s="1"/>
  <c r="BB1355" i="23"/>
  <c r="BF1361" i="23"/>
  <c r="BG1361" i="23" s="1"/>
  <c r="BB1356" i="23"/>
  <c r="BB1362" i="23"/>
  <c r="BB1363" i="23"/>
  <c r="BF1356" i="23"/>
  <c r="BG1356" i="23" s="1"/>
  <c r="BB1359" i="23"/>
  <c r="BB1354" i="23"/>
  <c r="BB1358" i="23"/>
  <c r="BB1360" i="23"/>
  <c r="BF1353" i="23"/>
  <c r="BG1353" i="23" s="1"/>
  <c r="BB1350" i="23"/>
  <c r="BF1350" i="23"/>
  <c r="BG1350" i="23" s="1"/>
  <c r="BF1327" i="23"/>
  <c r="BG1327" i="23" s="1"/>
  <c r="BF1333" i="23"/>
  <c r="BG1333" i="23" s="1"/>
  <c r="BF1345" i="23"/>
  <c r="BG1345" i="23" s="1"/>
  <c r="BF1319" i="23"/>
  <c r="BG1319" i="23" s="1"/>
  <c r="BF1321" i="23"/>
  <c r="BG1321" i="23" s="1"/>
  <c r="BF1323" i="23"/>
  <c r="BG1323" i="23" s="1"/>
  <c r="BF1309" i="23"/>
  <c r="BG1309" i="23" s="1"/>
  <c r="BF1318" i="23"/>
  <c r="BG1318" i="23" s="1"/>
  <c r="BF1322" i="23"/>
  <c r="BG1322" i="23" s="1"/>
  <c r="BF1329" i="23"/>
  <c r="BG1329" i="23" s="1"/>
  <c r="BF1334" i="23"/>
  <c r="BG1334" i="23" s="1"/>
  <c r="BF1335" i="23"/>
  <c r="BG1335" i="23" s="1"/>
  <c r="BB1349" i="23"/>
  <c r="BF1351" i="23"/>
  <c r="BG1351" i="23" s="1"/>
  <c r="BB1351" i="23"/>
  <c r="BB1353" i="23"/>
  <c r="BF1352" i="23"/>
  <c r="BG1352" i="23" s="1"/>
  <c r="BF1342" i="23"/>
  <c r="BG1342" i="23" s="1"/>
  <c r="BB1352" i="23"/>
  <c r="BB1346" i="23"/>
  <c r="BB1344" i="23"/>
  <c r="BF1344" i="23"/>
  <c r="BG1344" i="23" s="1"/>
  <c r="BB1343" i="23"/>
  <c r="BB1345" i="23"/>
  <c r="BF1341" i="23"/>
  <c r="BG1341" i="23" s="1"/>
  <c r="BB1342" i="23"/>
  <c r="BB1347" i="23"/>
  <c r="BF1347" i="23"/>
  <c r="BG1347" i="23" s="1"/>
  <c r="BB1335" i="23"/>
  <c r="BB1329" i="23"/>
  <c r="BB1339" i="23"/>
  <c r="BB1338" i="23"/>
  <c r="BB1331" i="23"/>
  <c r="BB1340" i="23"/>
  <c r="BB1334" i="23"/>
  <c r="BB1333" i="23"/>
  <c r="BF1332" i="23"/>
  <c r="BG1332" i="23" s="1"/>
  <c r="BB1341" i="23"/>
  <c r="BB1332" i="23"/>
  <c r="BF1340" i="23"/>
  <c r="BG1340" i="23" s="1"/>
  <c r="BB1330" i="23"/>
  <c r="BB1336" i="23"/>
  <c r="BF1337" i="23"/>
  <c r="BG1337" i="23" s="1"/>
  <c r="BB1337" i="23"/>
  <c r="BF1325" i="23"/>
  <c r="BG1325" i="23" s="1"/>
  <c r="BF1316" i="23"/>
  <c r="BG1316" i="23" s="1"/>
  <c r="BB1328" i="23"/>
  <c r="BB1319" i="23"/>
  <c r="BB1321" i="23"/>
  <c r="BF1328" i="23"/>
  <c r="BG1328" i="23" s="1"/>
  <c r="BB1318" i="23"/>
  <c r="BF1320" i="23"/>
  <c r="BG1320" i="23" s="1"/>
  <c r="BB1322" i="23"/>
  <c r="BB1324" i="23"/>
  <c r="BB1320" i="23"/>
  <c r="BF1324" i="23"/>
  <c r="BG1324" i="23" s="1"/>
  <c r="BB1323" i="23"/>
  <c r="BB1327" i="23"/>
  <c r="BB1325" i="23"/>
  <c r="BB1317" i="23"/>
  <c r="BB1316" i="23"/>
  <c r="BB1326" i="23"/>
  <c r="BF1313" i="23"/>
  <c r="BG1313" i="23" s="1"/>
  <c r="BF1312" i="23"/>
  <c r="BG1312" i="23" s="1"/>
  <c r="BF1311" i="23"/>
  <c r="BG1311" i="23" s="1"/>
  <c r="BB1312" i="23"/>
  <c r="BB1311" i="23"/>
  <c r="BB1310" i="23"/>
  <c r="BB1314" i="23"/>
  <c r="BF1308" i="23"/>
  <c r="BG1308" i="23" s="1"/>
  <c r="BB1315" i="23"/>
  <c r="BB1313" i="23"/>
  <c r="BB1309" i="23"/>
  <c r="BB1308" i="23"/>
  <c r="AT1381" i="23" l="1"/>
  <c r="AU1381" i="23" s="1"/>
  <c r="BD1381" i="23"/>
  <c r="BE1381" i="23" s="1"/>
  <c r="AT1408" i="23"/>
  <c r="AU1408" i="23" s="1"/>
  <c r="AT1409" i="23"/>
  <c r="AU1409" i="23" s="1"/>
  <c r="AV1409" i="23" s="1"/>
  <c r="AT1410" i="23"/>
  <c r="AU1410" i="23" s="1"/>
  <c r="AV1410" i="23" s="1"/>
  <c r="AT1411" i="23"/>
  <c r="AU1411" i="23" s="1"/>
  <c r="AV1411" i="23" s="1"/>
  <c r="AT1412" i="23"/>
  <c r="AU1412" i="23" s="1"/>
  <c r="AV1412" i="23" s="1"/>
  <c r="AT1423" i="23"/>
  <c r="AU1423" i="23" s="1"/>
  <c r="AV1423" i="23" s="1"/>
  <c r="AT1424" i="23"/>
  <c r="AU1424" i="23" s="1"/>
  <c r="AV1424" i="23" s="1"/>
  <c r="BD1424" i="23" s="1"/>
  <c r="BE1424" i="23" s="1"/>
  <c r="AT1307" i="23"/>
  <c r="AU1307" i="23" s="1"/>
  <c r="AV1307" i="23" s="1"/>
  <c r="AT1306" i="23"/>
  <c r="AU1306" i="23" s="1"/>
  <c r="AV1306" i="23" s="1"/>
  <c r="AT1305" i="23"/>
  <c r="AU1305" i="23" s="1"/>
  <c r="AV1305" i="23" s="1"/>
  <c r="AT1304" i="23"/>
  <c r="AU1304" i="23" s="1"/>
  <c r="AV1304" i="23" s="1"/>
  <c r="AT1303" i="23"/>
  <c r="AU1303" i="23" s="1"/>
  <c r="AV1303" i="23" s="1"/>
  <c r="AT1378" i="23"/>
  <c r="AU1378" i="23" s="1"/>
  <c r="AV1378" i="23" s="1"/>
  <c r="AT1379" i="23"/>
  <c r="AU1379" i="23" s="1"/>
  <c r="AV1379" i="23" s="1"/>
  <c r="AT1380" i="23"/>
  <c r="AU1380" i="23" s="1"/>
  <c r="AT1294" i="23"/>
  <c r="AU1294" i="23" s="1"/>
  <c r="AV1294" i="23" s="1"/>
  <c r="AT1295" i="23"/>
  <c r="AU1295" i="23" s="1"/>
  <c r="AV1295" i="23" s="1"/>
  <c r="AZ1295" i="23" s="1"/>
  <c r="BA1295" i="23" s="1"/>
  <c r="AT1296" i="23"/>
  <c r="AU1296" i="23" s="1"/>
  <c r="AV1296" i="23" s="1"/>
  <c r="AZ1296" i="23" s="1"/>
  <c r="BA1296" i="23" s="1"/>
  <c r="AT1297" i="23"/>
  <c r="AU1297" i="23" s="1"/>
  <c r="AV1297" i="23" s="1"/>
  <c r="AT1298" i="23"/>
  <c r="AU1298" i="23" s="1"/>
  <c r="AV1298" i="23" s="1"/>
  <c r="BD1298" i="23" s="1"/>
  <c r="BE1298" i="23" s="1"/>
  <c r="AT1299" i="23"/>
  <c r="AU1299" i="23" s="1"/>
  <c r="AV1299" i="23" s="1"/>
  <c r="AZ1299" i="23" s="1"/>
  <c r="BA1299" i="23" s="1"/>
  <c r="AT1300" i="23"/>
  <c r="AU1300" i="23" s="1"/>
  <c r="AV1300" i="23" s="1"/>
  <c r="AT1301" i="23"/>
  <c r="AU1301" i="23" s="1"/>
  <c r="AV1301" i="23" s="1"/>
  <c r="AT1302" i="23"/>
  <c r="AU1302" i="23" s="1"/>
  <c r="AV1302" i="23" s="1"/>
  <c r="AT1288" i="23"/>
  <c r="AU1288" i="23" s="1"/>
  <c r="AV1288" i="23" s="1"/>
  <c r="BD1288" i="23" s="1"/>
  <c r="BE1288" i="23" s="1"/>
  <c r="AT1289" i="23"/>
  <c r="AU1289" i="23" s="1"/>
  <c r="AV1289" i="23" s="1"/>
  <c r="AT1290" i="23"/>
  <c r="AU1290" i="23" s="1"/>
  <c r="AV1290" i="23" s="1"/>
  <c r="AT1291" i="23"/>
  <c r="AU1291" i="23" s="1"/>
  <c r="AV1291" i="23" s="1"/>
  <c r="AT1292" i="23"/>
  <c r="AU1292" i="23" s="1"/>
  <c r="AV1292" i="23" s="1"/>
  <c r="AT1293" i="23"/>
  <c r="AU1293" i="23" s="1"/>
  <c r="AV1293" i="23" s="1"/>
  <c r="BB1299" i="23" l="1"/>
  <c r="BB1295" i="23"/>
  <c r="BD1410" i="23"/>
  <c r="BE1410" i="23" s="1"/>
  <c r="AZ1410" i="23"/>
  <c r="BA1410" i="23" s="1"/>
  <c r="BD1409" i="23"/>
  <c r="BE1409" i="23" s="1"/>
  <c r="AZ1409" i="23"/>
  <c r="BA1409" i="23" s="1"/>
  <c r="BD1408" i="23"/>
  <c r="BE1408" i="23" s="1"/>
  <c r="AZ1408" i="23"/>
  <c r="BA1408" i="23" s="1"/>
  <c r="BD1423" i="23"/>
  <c r="BE1423" i="23" s="1"/>
  <c r="AZ1423" i="23"/>
  <c r="BA1423" i="23" s="1"/>
  <c r="AZ1412" i="23"/>
  <c r="BA1412" i="23" s="1"/>
  <c r="BD1412" i="23"/>
  <c r="BE1412" i="23" s="1"/>
  <c r="AZ1411" i="23"/>
  <c r="BA1411" i="23" s="1"/>
  <c r="BD1411" i="23"/>
  <c r="BE1411" i="23" s="1"/>
  <c r="AZ1424" i="23"/>
  <c r="BA1424" i="23" s="1"/>
  <c r="AZ1381" i="23"/>
  <c r="BA1381" i="23" s="1"/>
  <c r="AZ1307" i="23"/>
  <c r="BA1307" i="23" s="1"/>
  <c r="BD1307" i="23"/>
  <c r="BE1307" i="23" s="1"/>
  <c r="AZ1306" i="23"/>
  <c r="BA1306" i="23" s="1"/>
  <c r="BD1306" i="23"/>
  <c r="BE1306" i="23" s="1"/>
  <c r="BD1305" i="23"/>
  <c r="BE1305" i="23" s="1"/>
  <c r="AZ1305" i="23"/>
  <c r="BA1305" i="23" s="1"/>
  <c r="AZ1298" i="23"/>
  <c r="BA1298" i="23" s="1"/>
  <c r="BD1304" i="23"/>
  <c r="BE1304" i="23" s="1"/>
  <c r="AZ1304" i="23"/>
  <c r="BA1304" i="23" s="1"/>
  <c r="AZ1300" i="23"/>
  <c r="BA1300" i="23" s="1"/>
  <c r="BD1300" i="23"/>
  <c r="BE1300" i="23" s="1"/>
  <c r="AZ1303" i="23"/>
  <c r="BA1303" i="23" s="1"/>
  <c r="BD1303" i="23"/>
  <c r="BE1303" i="23" s="1"/>
  <c r="AZ1297" i="23"/>
  <c r="BA1297" i="23" s="1"/>
  <c r="BD1297" i="23"/>
  <c r="BE1297" i="23" s="1"/>
  <c r="BD1294" i="23"/>
  <c r="BE1294" i="23" s="1"/>
  <c r="AZ1294" i="23"/>
  <c r="BA1294" i="23" s="1"/>
  <c r="AZ1302" i="23"/>
  <c r="BA1302" i="23" s="1"/>
  <c r="BD1302" i="23"/>
  <c r="BE1302" i="23" s="1"/>
  <c r="BD1301" i="23"/>
  <c r="BE1301" i="23" s="1"/>
  <c r="AZ1301" i="23"/>
  <c r="BA1301" i="23" s="1"/>
  <c r="BD1296" i="23"/>
  <c r="BE1296" i="23" s="1"/>
  <c r="BF1296" i="23" s="1"/>
  <c r="BG1296" i="23" s="1"/>
  <c r="BD1295" i="23"/>
  <c r="BE1295" i="23" s="1"/>
  <c r="BF1295" i="23" s="1"/>
  <c r="BG1295" i="23" s="1"/>
  <c r="BD1299" i="23"/>
  <c r="BE1299" i="23" s="1"/>
  <c r="BF1299" i="23" s="1"/>
  <c r="BG1299" i="23" s="1"/>
  <c r="AZ1378" i="23"/>
  <c r="BA1378" i="23" s="1"/>
  <c r="BD1378" i="23"/>
  <c r="BE1378" i="23" s="1"/>
  <c r="AZ1379" i="23"/>
  <c r="BA1379" i="23" s="1"/>
  <c r="BD1379" i="23"/>
  <c r="BE1379" i="23" s="1"/>
  <c r="AZ1380" i="23"/>
  <c r="BA1380" i="23" s="1"/>
  <c r="BD1380" i="23"/>
  <c r="BE1380" i="23" s="1"/>
  <c r="BF1380" i="23" s="1"/>
  <c r="BG1380" i="23" s="1"/>
  <c r="BB1296" i="23"/>
  <c r="AZ1293" i="23"/>
  <c r="BA1293" i="23" s="1"/>
  <c r="BD1289" i="23"/>
  <c r="BE1289" i="23" s="1"/>
  <c r="AZ1289" i="23"/>
  <c r="BA1289" i="23" s="1"/>
  <c r="BD1290" i="23"/>
  <c r="BE1290" i="23" s="1"/>
  <c r="AZ1290" i="23"/>
  <c r="BA1290" i="23" s="1"/>
  <c r="BD1292" i="23"/>
  <c r="BE1292" i="23" s="1"/>
  <c r="AZ1292" i="23"/>
  <c r="BA1292" i="23" s="1"/>
  <c r="BD1291" i="23"/>
  <c r="BE1291" i="23" s="1"/>
  <c r="AZ1291" i="23"/>
  <c r="BA1291" i="23" s="1"/>
  <c r="AZ1288" i="23"/>
  <c r="BA1288" i="23" s="1"/>
  <c r="BB1302" i="23" l="1"/>
  <c r="BB1300" i="23"/>
  <c r="BB1378" i="23"/>
  <c r="BB1294" i="23"/>
  <c r="BB1298" i="23"/>
  <c r="BB1297" i="23"/>
  <c r="BF1423" i="23"/>
  <c r="BG1423" i="23" s="1"/>
  <c r="BF1412" i="23"/>
  <c r="BG1412" i="23" s="1"/>
  <c r="BF1424" i="23"/>
  <c r="BG1424" i="23" s="1"/>
  <c r="BF1411" i="23"/>
  <c r="BG1411" i="23" s="1"/>
  <c r="BF1410" i="23"/>
  <c r="BG1410" i="23" s="1"/>
  <c r="BF1409" i="23"/>
  <c r="BG1409" i="23" s="1"/>
  <c r="BF1408" i="23"/>
  <c r="BG1408" i="23" s="1"/>
  <c r="BF1379" i="23"/>
  <c r="BG1379" i="23" s="1"/>
  <c r="BF1306" i="23"/>
  <c r="BG1306" i="23" s="1"/>
  <c r="BF1378" i="23"/>
  <c r="BG1378" i="23" s="1"/>
  <c r="BF1381" i="23"/>
  <c r="BG1381" i="23" s="1"/>
  <c r="BF1304" i="23"/>
  <c r="BG1304" i="23" s="1"/>
  <c r="BF1305" i="23"/>
  <c r="BG1305" i="23" s="1"/>
  <c r="BF1307" i="23"/>
  <c r="BG1307" i="23" s="1"/>
  <c r="BB1408" i="23"/>
  <c r="BB1409" i="23"/>
  <c r="BB1411" i="23"/>
  <c r="BB1410" i="23"/>
  <c r="BB1381" i="23"/>
  <c r="BB1423" i="23"/>
  <c r="BB1424" i="23"/>
  <c r="BB1412" i="23"/>
  <c r="BB1307" i="23"/>
  <c r="BB1306" i="23"/>
  <c r="BF1298" i="23"/>
  <c r="BG1298" i="23" s="1"/>
  <c r="BB1305" i="23"/>
  <c r="BF1301" i="23"/>
  <c r="BG1301" i="23" s="1"/>
  <c r="BF1292" i="23"/>
  <c r="BG1292" i="23" s="1"/>
  <c r="BB1304" i="23"/>
  <c r="BF1303" i="23"/>
  <c r="BG1303" i="23" s="1"/>
  <c r="BF1294" i="23"/>
  <c r="BG1294" i="23" s="1"/>
  <c r="BF1297" i="23"/>
  <c r="BG1297" i="23" s="1"/>
  <c r="BF1289" i="23"/>
  <c r="BG1289" i="23" s="1"/>
  <c r="BB1301" i="23"/>
  <c r="BB1303" i="23"/>
  <c r="BF1302" i="23"/>
  <c r="BG1302" i="23" s="1"/>
  <c r="BF1300" i="23"/>
  <c r="BG1300" i="23" s="1"/>
  <c r="BB1379" i="23"/>
  <c r="BB1380" i="23"/>
  <c r="BD1293" i="23"/>
  <c r="BE1293" i="23" s="1"/>
  <c r="BF1293" i="23" s="1"/>
  <c r="BG1293" i="23" s="1"/>
  <c r="BF1291" i="23"/>
  <c r="BG1291" i="23" s="1"/>
  <c r="BF1290" i="23"/>
  <c r="BG1290" i="23" s="1"/>
  <c r="BF1288" i="23"/>
  <c r="BG1288" i="23" s="1"/>
  <c r="BB1288" i="23"/>
  <c r="BB1292" i="23"/>
  <c r="BB1291" i="23"/>
  <c r="BB1290" i="23"/>
  <c r="BB1293" i="23"/>
  <c r="BB1289" i="23"/>
  <c r="AT409" i="23" l="1"/>
  <c r="AU409" i="23" s="1"/>
  <c r="AV409" i="23" s="1"/>
  <c r="AT406" i="23"/>
  <c r="AU406" i="23" s="1"/>
  <c r="AV406" i="23" s="1"/>
  <c r="AT405" i="23"/>
  <c r="AU405" i="23" s="1"/>
  <c r="AV405" i="23" s="1"/>
  <c r="AT410" i="23"/>
  <c r="AU410" i="23" s="1"/>
  <c r="AT408" i="23"/>
  <c r="AU408" i="23" s="1"/>
  <c r="AV408" i="23" s="1"/>
  <c r="AT407" i="23"/>
  <c r="AU407" i="23" s="1"/>
  <c r="AV407" i="23" s="1"/>
  <c r="AT404" i="23"/>
  <c r="AU404" i="23" s="1"/>
  <c r="AV404" i="23" s="1"/>
  <c r="AT977" i="23"/>
  <c r="AU977" i="23" s="1"/>
  <c r="AV977" i="23" s="1"/>
  <c r="AT976" i="23"/>
  <c r="AU976" i="23" s="1"/>
  <c r="AV976" i="23" s="1"/>
  <c r="AT980" i="23"/>
  <c r="AU980" i="23" s="1"/>
  <c r="AV980" i="23" s="1"/>
  <c r="AT484" i="23"/>
  <c r="AU484" i="23" s="1"/>
  <c r="AV484" i="23" s="1"/>
  <c r="AT454" i="23"/>
  <c r="AU454" i="23" s="1"/>
  <c r="AV454" i="23" s="1"/>
  <c r="AT165" i="23"/>
  <c r="AU165" i="23" s="1"/>
  <c r="AV165" i="23" s="1"/>
  <c r="AZ165" i="23" s="1"/>
  <c r="BA165" i="23" s="1"/>
  <c r="AT166" i="23"/>
  <c r="AU166" i="23" s="1"/>
  <c r="AV166" i="23" s="1"/>
  <c r="BD166" i="23" s="1"/>
  <c r="BE166" i="23" s="1"/>
  <c r="AT492" i="23"/>
  <c r="AU492" i="23" s="1"/>
  <c r="AV492" i="23" s="1"/>
  <c r="AT1036" i="23"/>
  <c r="AU1036" i="23" s="1"/>
  <c r="AV1036" i="23" s="1"/>
  <c r="AT1037" i="23"/>
  <c r="AU1037" i="23" s="1"/>
  <c r="AV1037" i="23" s="1"/>
  <c r="AZ409" i="23" l="1"/>
  <c r="BA409" i="23" s="1"/>
  <c r="BD409" i="23"/>
  <c r="BE409" i="23" s="1"/>
  <c r="AZ405" i="23"/>
  <c r="BA405" i="23" s="1"/>
  <c r="BD405" i="23"/>
  <c r="BE405" i="23" s="1"/>
  <c r="AZ406" i="23"/>
  <c r="BA406" i="23" s="1"/>
  <c r="BD406" i="23"/>
  <c r="BE406" i="23" s="1"/>
  <c r="AZ410" i="23"/>
  <c r="BA410" i="23" s="1"/>
  <c r="BD410" i="23"/>
  <c r="BE410" i="23" s="1"/>
  <c r="BF410" i="23" s="1"/>
  <c r="AZ408" i="23"/>
  <c r="BA408" i="23" s="1"/>
  <c r="BD408" i="23"/>
  <c r="BE408" i="23" s="1"/>
  <c r="AZ407" i="23"/>
  <c r="BA407" i="23" s="1"/>
  <c r="BD407" i="23"/>
  <c r="BE407" i="23" s="1"/>
  <c r="AZ404" i="23"/>
  <c r="BA404" i="23" s="1"/>
  <c r="BD404" i="23"/>
  <c r="BE404" i="23" s="1"/>
  <c r="AZ977" i="23"/>
  <c r="BA977" i="23" s="1"/>
  <c r="BD977" i="23"/>
  <c r="BE977" i="23" s="1"/>
  <c r="BF977" i="23" s="1"/>
  <c r="BG977" i="23" s="1"/>
  <c r="BD976" i="23"/>
  <c r="BE976" i="23" s="1"/>
  <c r="BF976" i="23" s="1"/>
  <c r="BG976" i="23" s="1"/>
  <c r="AZ976" i="23"/>
  <c r="BA976" i="23" s="1"/>
  <c r="AZ980" i="23"/>
  <c r="BA980" i="23" s="1"/>
  <c r="BD980" i="23"/>
  <c r="BE980" i="23" s="1"/>
  <c r="BF980" i="23" s="1"/>
  <c r="BG980" i="23" s="1"/>
  <c r="AZ484" i="23"/>
  <c r="BA484" i="23" s="1"/>
  <c r="BD484" i="23"/>
  <c r="BE484" i="23" s="1"/>
  <c r="BD454" i="23"/>
  <c r="BE454" i="23" s="1"/>
  <c r="AZ454" i="23"/>
  <c r="BA454" i="23" s="1"/>
  <c r="AZ166" i="23"/>
  <c r="BA166" i="23" s="1"/>
  <c r="BD165" i="23"/>
  <c r="BE165" i="23" s="1"/>
  <c r="BF165" i="23" s="1"/>
  <c r="BG165" i="23" s="1"/>
  <c r="BB165" i="23"/>
  <c r="BD492" i="23"/>
  <c r="BE492" i="23" s="1"/>
  <c r="AZ492" i="23"/>
  <c r="BA492" i="23" s="1"/>
  <c r="BD1036" i="23"/>
  <c r="BE1036" i="23" s="1"/>
  <c r="AZ1036" i="23"/>
  <c r="BA1036" i="23" s="1"/>
  <c r="AZ1037" i="23"/>
  <c r="BA1037" i="23" s="1"/>
  <c r="BD1037" i="23"/>
  <c r="BE1037" i="23" s="1"/>
  <c r="BF409" i="23" l="1"/>
  <c r="BF405" i="23"/>
  <c r="BF406" i="23"/>
  <c r="BF404" i="23"/>
  <c r="BF408" i="23"/>
  <c r="BF407" i="23"/>
  <c r="BB409" i="23"/>
  <c r="BB406" i="23"/>
  <c r="BB405" i="23"/>
  <c r="BB410" i="23"/>
  <c r="BB408" i="23"/>
  <c r="BB407" i="23"/>
  <c r="BB404" i="23"/>
  <c r="BB977" i="23"/>
  <c r="BB976" i="23"/>
  <c r="BB980" i="23"/>
  <c r="BB484" i="23"/>
  <c r="BF484" i="23"/>
  <c r="BG484" i="23" s="1"/>
  <c r="BB454" i="23"/>
  <c r="BF454" i="23"/>
  <c r="BG454" i="23" s="1"/>
  <c r="BF166" i="23"/>
  <c r="BG166" i="23" s="1"/>
  <c r="BB166" i="23"/>
  <c r="BB492" i="23"/>
  <c r="BF492" i="23"/>
  <c r="BG492" i="23" s="1"/>
  <c r="BF1036" i="23"/>
  <c r="BG1036" i="23" s="1"/>
  <c r="BB1036" i="23"/>
  <c r="BF1037" i="23"/>
  <c r="BG1037" i="23" s="1"/>
  <c r="BB1037" i="23"/>
  <c r="AT361" i="23" l="1"/>
  <c r="AU361" i="23" s="1"/>
  <c r="AV361" i="23" s="1"/>
  <c r="AT354" i="23"/>
  <c r="AU354" i="23" s="1"/>
  <c r="AV354" i="23" s="1"/>
  <c r="AT126" i="23"/>
  <c r="AU126" i="23" s="1"/>
  <c r="AV126" i="23" s="1"/>
  <c r="AT125" i="23"/>
  <c r="AU125" i="23" s="1"/>
  <c r="AV125" i="23" s="1"/>
  <c r="AT72" i="23"/>
  <c r="AJ72" i="23"/>
  <c r="AE72" i="23"/>
  <c r="AT73" i="23"/>
  <c r="AU73" i="23" s="1"/>
  <c r="AV73" i="23" s="1"/>
  <c r="AT96" i="23"/>
  <c r="AJ96" i="23"/>
  <c r="AT70" i="23"/>
  <c r="AJ70" i="23"/>
  <c r="AE70" i="23"/>
  <c r="AT999" i="23"/>
  <c r="AU999" i="23" s="1"/>
  <c r="AV999" i="23" s="1"/>
  <c r="AT1256" i="23"/>
  <c r="AU1256" i="23" s="1"/>
  <c r="AV1256" i="23" s="1"/>
  <c r="AU72" i="23" l="1"/>
  <c r="AU96" i="23"/>
  <c r="BD96" i="23" s="1"/>
  <c r="BE96" i="23" s="1"/>
  <c r="AU70" i="23"/>
  <c r="AZ361" i="23"/>
  <c r="BA361" i="23" s="1"/>
  <c r="BD361" i="23"/>
  <c r="BE361" i="23" s="1"/>
  <c r="AZ354" i="23"/>
  <c r="BA354" i="23" s="1"/>
  <c r="BD354" i="23"/>
  <c r="BE354" i="23" s="1"/>
  <c r="AZ126" i="23"/>
  <c r="BA126" i="23" s="1"/>
  <c r="BD126" i="23"/>
  <c r="BE126" i="23" s="1"/>
  <c r="BD125" i="23"/>
  <c r="BE125" i="23" s="1"/>
  <c r="AZ125" i="23"/>
  <c r="BA125" i="23" s="1"/>
  <c r="BD73" i="23"/>
  <c r="BE73" i="23" s="1"/>
  <c r="AZ73" i="23"/>
  <c r="BA73" i="23" s="1"/>
  <c r="BD999" i="23"/>
  <c r="BE999" i="23" s="1"/>
  <c r="BF999" i="23" s="1"/>
  <c r="BG999" i="23" s="1"/>
  <c r="AZ999" i="23"/>
  <c r="BA999" i="23" s="1"/>
  <c r="BD1256" i="23"/>
  <c r="BE1256" i="23" s="1"/>
  <c r="BF1256" i="23" s="1"/>
  <c r="BG1256" i="23" s="1"/>
  <c r="AZ1256" i="23"/>
  <c r="BA1256" i="23" s="1"/>
  <c r="BD72" i="23" l="1"/>
  <c r="BE72" i="23" s="1"/>
  <c r="BD70" i="23"/>
  <c r="BE70" i="23" s="1"/>
  <c r="AZ96" i="23"/>
  <c r="BA96" i="23" s="1"/>
  <c r="BF73" i="23"/>
  <c r="BG73" i="23" s="1"/>
  <c r="BF125" i="23"/>
  <c r="BG125" i="23" s="1"/>
  <c r="BB361" i="23"/>
  <c r="BF361" i="23"/>
  <c r="BG361" i="23" s="1"/>
  <c r="BF354" i="23"/>
  <c r="BG354" i="23" s="1"/>
  <c r="BB354" i="23"/>
  <c r="BF126" i="23"/>
  <c r="BG126" i="23" s="1"/>
  <c r="BB126" i="23"/>
  <c r="BB125" i="23"/>
  <c r="BB73" i="23"/>
  <c r="BB999" i="23"/>
  <c r="BB1256" i="23"/>
  <c r="AZ70" i="23" l="1"/>
  <c r="BA70" i="23" s="1"/>
  <c r="AZ72" i="23"/>
  <c r="BA72" i="23" s="1"/>
  <c r="BB96" i="23"/>
  <c r="BF96" i="23"/>
  <c r="BG96" i="23" s="1"/>
  <c r="BF70" i="23" l="1"/>
  <c r="BG70" i="23" s="1"/>
  <c r="BB70" i="23"/>
  <c r="BB72" i="23"/>
  <c r="BF72" i="23"/>
  <c r="BG72" i="23" s="1"/>
  <c r="AT992" i="23"/>
  <c r="AU992" i="23" s="1"/>
  <c r="BD992" i="23" l="1"/>
  <c r="BE992" i="23" s="1"/>
  <c r="AZ992" i="23"/>
  <c r="BA992" i="23" s="1"/>
  <c r="AT998" i="23"/>
  <c r="AU998" i="23" s="1"/>
  <c r="AV998" i="23" s="1"/>
  <c r="AT1000" i="23"/>
  <c r="AU1000" i="23" s="1"/>
  <c r="AV1000" i="23" s="1"/>
  <c r="AT997" i="23"/>
  <c r="AU997" i="23" s="1"/>
  <c r="AV997" i="23" s="1"/>
  <c r="AT996" i="23"/>
  <c r="AU996" i="23" s="1"/>
  <c r="AV996" i="23" s="1"/>
  <c r="AT1253" i="23"/>
  <c r="AU1253" i="23" s="1"/>
  <c r="AV1253" i="23" s="1"/>
  <c r="AT1252" i="23"/>
  <c r="AU1252" i="23" s="1"/>
  <c r="AV1252" i="23" s="1"/>
  <c r="AT1251" i="23"/>
  <c r="AU1251" i="23" s="1"/>
  <c r="AV1251" i="23" s="1"/>
  <c r="AT1250" i="23"/>
  <c r="AU1250" i="23" s="1"/>
  <c r="AV1250" i="23" s="1"/>
  <c r="AT1249" i="23"/>
  <c r="AU1249" i="23" s="1"/>
  <c r="AV1249" i="23" s="1"/>
  <c r="AT504" i="23"/>
  <c r="AU504" i="23" s="1"/>
  <c r="AV504" i="23" s="1"/>
  <c r="AT505" i="23"/>
  <c r="AU505" i="23" s="1"/>
  <c r="AV505" i="23" s="1"/>
  <c r="AT506" i="23"/>
  <c r="AU506" i="23" s="1"/>
  <c r="AV506" i="23" s="1"/>
  <c r="AT507" i="23"/>
  <c r="AU507" i="23" s="1"/>
  <c r="AV507" i="23" s="1"/>
  <c r="AT508" i="23"/>
  <c r="AU508" i="23" s="1"/>
  <c r="AV508" i="23" s="1"/>
  <c r="AT509" i="23"/>
  <c r="AU509" i="23" s="1"/>
  <c r="AV509" i="23" s="1"/>
  <c r="BD1252" i="23" l="1"/>
  <c r="BE1252" i="23" s="1"/>
  <c r="AZ1252" i="23"/>
  <c r="BA1252" i="23" s="1"/>
  <c r="AZ508" i="23"/>
  <c r="BA508" i="23" s="1"/>
  <c r="BD508" i="23"/>
  <c r="BE508" i="23" s="1"/>
  <c r="BD1253" i="23"/>
  <c r="BE1253" i="23" s="1"/>
  <c r="AZ1253" i="23"/>
  <c r="BA1253" i="23" s="1"/>
  <c r="BD507" i="23"/>
  <c r="BE507" i="23" s="1"/>
  <c r="AZ507" i="23"/>
  <c r="BA507" i="23" s="1"/>
  <c r="BD505" i="23"/>
  <c r="BE505" i="23" s="1"/>
  <c r="AZ505" i="23"/>
  <c r="BA505" i="23" s="1"/>
  <c r="BD1249" i="23"/>
  <c r="BE1249" i="23" s="1"/>
  <c r="AZ1249" i="23"/>
  <c r="BA1249" i="23" s="1"/>
  <c r="BD1250" i="23"/>
  <c r="BE1250" i="23" s="1"/>
  <c r="AZ1250" i="23"/>
  <c r="BA1250" i="23" s="1"/>
  <c r="AZ506" i="23"/>
  <c r="BA506" i="23" s="1"/>
  <c r="BD506" i="23"/>
  <c r="BE506" i="23" s="1"/>
  <c r="BD504" i="23"/>
  <c r="BE504" i="23" s="1"/>
  <c r="AZ504" i="23"/>
  <c r="BA504" i="23" s="1"/>
  <c r="BD509" i="23"/>
  <c r="BE509" i="23" s="1"/>
  <c r="AZ509" i="23"/>
  <c r="BA509" i="23" s="1"/>
  <c r="BD1251" i="23"/>
  <c r="BE1251" i="23" s="1"/>
  <c r="AZ1251" i="23"/>
  <c r="BA1251" i="23" s="1"/>
  <c r="BF992" i="23"/>
  <c r="BG992" i="23" s="1"/>
  <c r="BB992" i="23"/>
  <c r="BD998" i="23"/>
  <c r="BE998" i="23" s="1"/>
  <c r="AZ998" i="23"/>
  <c r="BA998" i="23" s="1"/>
  <c r="BD997" i="23"/>
  <c r="BE997" i="23" s="1"/>
  <c r="AZ997" i="23"/>
  <c r="BA997" i="23" s="1"/>
  <c r="AZ996" i="23"/>
  <c r="BA996" i="23" s="1"/>
  <c r="BD996" i="23"/>
  <c r="BE996" i="23" s="1"/>
  <c r="AZ1000" i="23"/>
  <c r="BA1000" i="23" s="1"/>
  <c r="BD1000" i="23"/>
  <c r="BE1000" i="23" s="1"/>
  <c r="BF507" i="23" l="1"/>
  <c r="BG507" i="23" s="1"/>
  <c r="BF505" i="23"/>
  <c r="BG505" i="23" s="1"/>
  <c r="BF504" i="23"/>
  <c r="BG504" i="23" s="1"/>
  <c r="BF508" i="23"/>
  <c r="BG508" i="23" s="1"/>
  <c r="BF1252" i="23"/>
  <c r="BG1252" i="23" s="1"/>
  <c r="BF1250" i="23"/>
  <c r="BG1250" i="23" s="1"/>
  <c r="BF1251" i="23"/>
  <c r="BG1251" i="23" s="1"/>
  <c r="BF1253" i="23"/>
  <c r="BG1253" i="23" s="1"/>
  <c r="BF506" i="23"/>
  <c r="BG506" i="23" s="1"/>
  <c r="BB507" i="23"/>
  <c r="BB506" i="23"/>
  <c r="BB1251" i="23"/>
  <c r="BB1250" i="23"/>
  <c r="BB1253" i="23"/>
  <c r="BB1249" i="23"/>
  <c r="BF509" i="23"/>
  <c r="BG509" i="23" s="1"/>
  <c r="BB508" i="23"/>
  <c r="BB509" i="23"/>
  <c r="BF1249" i="23"/>
  <c r="BG1249" i="23" s="1"/>
  <c r="BB504" i="23"/>
  <c r="BB505" i="23"/>
  <c r="BB1252" i="23"/>
  <c r="BF1000" i="23"/>
  <c r="BG1000" i="23" s="1"/>
  <c r="BF997" i="23"/>
  <c r="BG997" i="23" s="1"/>
  <c r="BF996" i="23"/>
  <c r="BG996" i="23" s="1"/>
  <c r="BF998" i="23"/>
  <c r="BG998" i="23" s="1"/>
  <c r="BB998" i="23"/>
  <c r="BB1000" i="23"/>
  <c r="BB996" i="23"/>
  <c r="BB997" i="23"/>
  <c r="BG1261" i="23" l="1"/>
  <c r="BG1264" i="23"/>
  <c r="BG1284" i="23"/>
  <c r="BD6" i="23"/>
  <c r="BE6" i="23" s="1"/>
  <c r="BD7" i="23"/>
  <c r="BE7" i="23" s="1"/>
  <c r="BD8" i="23"/>
  <c r="BE8" i="23" s="1"/>
  <c r="BD9" i="23"/>
  <c r="BE9" i="23" s="1"/>
  <c r="BD10" i="23"/>
  <c r="BE10" i="23" s="1"/>
  <c r="BD101" i="23"/>
  <c r="BE101" i="23" s="1"/>
  <c r="BD102" i="23"/>
  <c r="BE102" i="23" s="1"/>
  <c r="BD103" i="23"/>
  <c r="BE103" i="23" s="1"/>
  <c r="BD164" i="23"/>
  <c r="BE164" i="23" s="1"/>
  <c r="BD167" i="23"/>
  <c r="BE167" i="23" s="1"/>
  <c r="BD168" i="23"/>
  <c r="BE168" i="23" s="1"/>
  <c r="BD169" i="23"/>
  <c r="BE169" i="23" s="1"/>
  <c r="BD170" i="23"/>
  <c r="BE170" i="23" s="1"/>
  <c r="BD171" i="23"/>
  <c r="BE171" i="23" s="1"/>
  <c r="BD246" i="23"/>
  <c r="BE246" i="23" s="1"/>
  <c r="BD247" i="23"/>
  <c r="BE247" i="23" s="1"/>
  <c r="BD248" i="23"/>
  <c r="BE248" i="23" s="1"/>
  <c r="BD249" i="23"/>
  <c r="BE249" i="23" s="1"/>
  <c r="BD250" i="23"/>
  <c r="BE250" i="23" s="1"/>
  <c r="BD256" i="23"/>
  <c r="BE256" i="23" s="1"/>
  <c r="BD257" i="23"/>
  <c r="BE257" i="23" s="1"/>
  <c r="BD258" i="23"/>
  <c r="BE258" i="23" s="1"/>
  <c r="BD259" i="23"/>
  <c r="BE259" i="23" s="1"/>
  <c r="BD260" i="23"/>
  <c r="BE260" i="23" s="1"/>
  <c r="BD275" i="23"/>
  <c r="BE275" i="23" s="1"/>
  <c r="BD279" i="23"/>
  <c r="BE279" i="23" s="1"/>
  <c r="BD281" i="23"/>
  <c r="BE281" i="23" s="1"/>
  <c r="BD297" i="23"/>
  <c r="BE297" i="23" s="1"/>
  <c r="BD302" i="23"/>
  <c r="BE302" i="23" s="1"/>
  <c r="BD307" i="23"/>
  <c r="BE307" i="23" s="1"/>
  <c r="BD308" i="23"/>
  <c r="BE308" i="23" s="1"/>
  <c r="BD313" i="23"/>
  <c r="BE313" i="23" s="1"/>
  <c r="BD314" i="23"/>
  <c r="BE314" i="23" s="1"/>
  <c r="BD316" i="23"/>
  <c r="BE316" i="23" s="1"/>
  <c r="BD317" i="23"/>
  <c r="BE317" i="23" s="1"/>
  <c r="BD319" i="23"/>
  <c r="BE319" i="23" s="1"/>
  <c r="BD321" i="23"/>
  <c r="BE321" i="23" s="1"/>
  <c r="BD322" i="23"/>
  <c r="BE322" i="23" s="1"/>
  <c r="BD324" i="23"/>
  <c r="BE324" i="23" s="1"/>
  <c r="BD325" i="23"/>
  <c r="BE325" i="23" s="1"/>
  <c r="BD327" i="23"/>
  <c r="BE327" i="23" s="1"/>
  <c r="BD382" i="23"/>
  <c r="BE382" i="23" s="1"/>
  <c r="BD383" i="23"/>
  <c r="BE383" i="23" s="1"/>
  <c r="BD384" i="23"/>
  <c r="BE384" i="23" s="1"/>
  <c r="BD385" i="23"/>
  <c r="BE385" i="23" s="1"/>
  <c r="BD386" i="23"/>
  <c r="BE386" i="23" s="1"/>
  <c r="BD387" i="23"/>
  <c r="BE387" i="23" s="1"/>
  <c r="BD399" i="23"/>
  <c r="BE399" i="23" s="1"/>
  <c r="BD412" i="23"/>
  <c r="BE412" i="23" s="1"/>
  <c r="BD415" i="23"/>
  <c r="BE415" i="23" s="1"/>
  <c r="BD423" i="23"/>
  <c r="BE423" i="23" s="1"/>
  <c r="BD479" i="23"/>
  <c r="BE479" i="23" s="1"/>
  <c r="BD480" i="23"/>
  <c r="BE480" i="23" s="1"/>
  <c r="BD481" i="23"/>
  <c r="BE481" i="23" s="1"/>
  <c r="BD482" i="23"/>
  <c r="BE482" i="23" s="1"/>
  <c r="BD489" i="23"/>
  <c r="BE489" i="23" s="1"/>
  <c r="BD490" i="23"/>
  <c r="BE490" i="23" s="1"/>
  <c r="BD510" i="23"/>
  <c r="BE510" i="23" s="1"/>
  <c r="BD511" i="23"/>
  <c r="BE511" i="23" s="1"/>
  <c r="BD512" i="23"/>
  <c r="BE512" i="23" s="1"/>
  <c r="BD513" i="23"/>
  <c r="BE513" i="23" s="1"/>
  <c r="BD528" i="23"/>
  <c r="BE528" i="23" s="1"/>
  <c r="BD529" i="23"/>
  <c r="BE529" i="23" s="1"/>
  <c r="BD530" i="23"/>
  <c r="BE530" i="23" s="1"/>
  <c r="BD531" i="23"/>
  <c r="BE531" i="23" s="1"/>
  <c r="BD532" i="23"/>
  <c r="BE532" i="23" s="1"/>
  <c r="BD533" i="23"/>
  <c r="BE533" i="23" s="1"/>
  <c r="BD550" i="23"/>
  <c r="BE550" i="23" s="1"/>
  <c r="BD551" i="23"/>
  <c r="BE551" i="23" s="1"/>
  <c r="BD552" i="23"/>
  <c r="BE552" i="23" s="1"/>
  <c r="BD553" i="23"/>
  <c r="BE553" i="23" s="1"/>
  <c r="BD554" i="23"/>
  <c r="BE554" i="23" s="1"/>
  <c r="BD559" i="23"/>
  <c r="BE559" i="23" s="1"/>
  <c r="BD560" i="23"/>
  <c r="BE560" i="23" s="1"/>
  <c r="BD561" i="23"/>
  <c r="BE561" i="23" s="1"/>
  <c r="BD562" i="23"/>
  <c r="BE562" i="23" s="1"/>
  <c r="BD588" i="23"/>
  <c r="BE588" i="23" s="1"/>
  <c r="BD589" i="23"/>
  <c r="BE589" i="23" s="1"/>
  <c r="BD592" i="23"/>
  <c r="BE592" i="23" s="1"/>
  <c r="BD593" i="23"/>
  <c r="BE593" i="23" s="1"/>
  <c r="BD594" i="23"/>
  <c r="BE594" i="23" s="1"/>
  <c r="BD595" i="23"/>
  <c r="BE595" i="23" s="1"/>
  <c r="BD596" i="23"/>
  <c r="BE596" i="23" s="1"/>
  <c r="BD688" i="23"/>
  <c r="BE688" i="23" s="1"/>
  <c r="BD689" i="23"/>
  <c r="BE689" i="23" s="1"/>
  <c r="BD690" i="23"/>
  <c r="BE690" i="23" s="1"/>
  <c r="BD691" i="23"/>
  <c r="BE691" i="23" s="1"/>
  <c r="BD692" i="23"/>
  <c r="BE692" i="23" s="1"/>
  <c r="BD693" i="23"/>
  <c r="BE693" i="23" s="1"/>
  <c r="BD694" i="23"/>
  <c r="BE694" i="23" s="1"/>
  <c r="BD695" i="23"/>
  <c r="BE695" i="23" s="1"/>
  <c r="BD696" i="23"/>
  <c r="BE696" i="23" s="1"/>
  <c r="BD697" i="23"/>
  <c r="BE697" i="23" s="1"/>
  <c r="BD698" i="23"/>
  <c r="BE698" i="23" s="1"/>
  <c r="BD699" i="23"/>
  <c r="BE699" i="23" s="1"/>
  <c r="BD700" i="23"/>
  <c r="BE700" i="23" s="1"/>
  <c r="BD704" i="23"/>
  <c r="BE704" i="23" s="1"/>
  <c r="BD734" i="23"/>
  <c r="BE734" i="23" s="1"/>
  <c r="BD736" i="23"/>
  <c r="BE736" i="23" s="1"/>
  <c r="BD741" i="23"/>
  <c r="BE741" i="23" s="1"/>
  <c r="BD785" i="23"/>
  <c r="BE785" i="23" s="1"/>
  <c r="BD786" i="23"/>
  <c r="BE786" i="23" s="1"/>
  <c r="BD787" i="23"/>
  <c r="BE787" i="23" s="1"/>
  <c r="BD788" i="23"/>
  <c r="BE788" i="23" s="1"/>
  <c r="BD865" i="23"/>
  <c r="BE865" i="23" s="1"/>
  <c r="BD866" i="23"/>
  <c r="BE866" i="23" s="1"/>
  <c r="BD836" i="23"/>
  <c r="BE836" i="23" s="1"/>
  <c r="BD837" i="23"/>
  <c r="BE837" i="23" s="1"/>
  <c r="BD838" i="23"/>
  <c r="BE838" i="23" s="1"/>
  <c r="BD839" i="23"/>
  <c r="BE839" i="23" s="1"/>
  <c r="BD840" i="23"/>
  <c r="BE840" i="23" s="1"/>
  <c r="BD841" i="23"/>
  <c r="BE841" i="23" s="1"/>
  <c r="BD842" i="23"/>
  <c r="BE842" i="23" s="1"/>
  <c r="BD843" i="23"/>
  <c r="BE843" i="23" s="1"/>
  <c r="BD844" i="23"/>
  <c r="BE844" i="23" s="1"/>
  <c r="BD845" i="23"/>
  <c r="BE845" i="23" s="1"/>
  <c r="BD846" i="23"/>
  <c r="BE846" i="23" s="1"/>
  <c r="BD847" i="23"/>
  <c r="BE847" i="23" s="1"/>
  <c r="BD848" i="23"/>
  <c r="BE848" i="23" s="1"/>
  <c r="BD849" i="23"/>
  <c r="BE849" i="23" s="1"/>
  <c r="BD850" i="23"/>
  <c r="BE850" i="23" s="1"/>
  <c r="BD965" i="23"/>
  <c r="BE965" i="23" s="1"/>
  <c r="BD966" i="23"/>
  <c r="BE966" i="23" s="1"/>
  <c r="BD1006" i="23"/>
  <c r="BE1006" i="23" s="1"/>
  <c r="BD1007" i="23"/>
  <c r="BE1007" i="23" s="1"/>
  <c r="BD1017" i="23"/>
  <c r="BE1017" i="23" s="1"/>
  <c r="BD1019" i="23"/>
  <c r="BE1019" i="23" s="1"/>
  <c r="BD1040" i="23"/>
  <c r="BE1040" i="23" s="1"/>
  <c r="BD1041" i="23"/>
  <c r="BE1041" i="23" s="1"/>
  <c r="BD1043" i="23"/>
  <c r="BE1043" i="23" s="1"/>
  <c r="BD1046" i="23"/>
  <c r="BE1046" i="23" s="1"/>
  <c r="BD1047" i="23"/>
  <c r="BE1047" i="23" s="1"/>
  <c r="BD1049" i="23"/>
  <c r="BE1049" i="23" s="1"/>
  <c r="BD1050" i="23"/>
  <c r="BE1050" i="23" s="1"/>
  <c r="BD1051" i="23"/>
  <c r="BE1051" i="23" s="1"/>
  <c r="BD1052" i="23"/>
  <c r="BE1052" i="23" s="1"/>
  <c r="BD1053" i="23"/>
  <c r="BE1053" i="23" s="1"/>
  <c r="BD1054" i="23"/>
  <c r="BE1054" i="23" s="1"/>
  <c r="BD1055" i="23"/>
  <c r="BE1055" i="23" s="1"/>
  <c r="BD1056" i="23"/>
  <c r="BE1056" i="23" s="1"/>
  <c r="BD1057" i="23"/>
  <c r="BE1057" i="23" s="1"/>
  <c r="BD1058" i="23"/>
  <c r="BE1058" i="23" s="1"/>
  <c r="BD1059" i="23"/>
  <c r="BE1059" i="23" s="1"/>
  <c r="BD1061" i="23"/>
  <c r="BE1061" i="23" s="1"/>
  <c r="BD1065" i="23"/>
  <c r="BE1065" i="23" s="1"/>
  <c r="BD1087" i="23"/>
  <c r="BE1087" i="23" s="1"/>
  <c r="BD1088" i="23"/>
  <c r="BE1088" i="23" s="1"/>
  <c r="BD1089" i="23"/>
  <c r="BE1089" i="23" s="1"/>
  <c r="BD1090" i="23"/>
  <c r="BE1090" i="23" s="1"/>
  <c r="BD1091" i="23"/>
  <c r="BE1091" i="23" s="1"/>
  <c r="BD1092" i="23"/>
  <c r="BE1092" i="23" s="1"/>
  <c r="BD1093" i="23"/>
  <c r="BE1093" i="23" s="1"/>
  <c r="BD1094" i="23"/>
  <c r="BE1094" i="23" s="1"/>
  <c r="BD1095" i="23"/>
  <c r="BE1095" i="23" s="1"/>
  <c r="BD1096" i="23"/>
  <c r="BE1096" i="23" s="1"/>
  <c r="BD1097" i="23"/>
  <c r="BE1097" i="23" s="1"/>
  <c r="BD1098" i="23"/>
  <c r="BE1098" i="23" s="1"/>
  <c r="BD1139" i="23"/>
  <c r="BE1139" i="23" s="1"/>
  <c r="BD1140" i="23"/>
  <c r="BE1140" i="23" s="1"/>
  <c r="BD1141" i="23"/>
  <c r="BE1141" i="23" s="1"/>
  <c r="BD1143" i="23"/>
  <c r="BE1143" i="23" s="1"/>
  <c r="BD1144" i="23"/>
  <c r="BE1144" i="23" s="1"/>
  <c r="BD1145" i="23"/>
  <c r="BE1145" i="23" s="1"/>
  <c r="BD1147" i="23"/>
  <c r="BE1147" i="23" s="1"/>
  <c r="BD1148" i="23"/>
  <c r="BE1148" i="23" s="1"/>
  <c r="BD1149" i="23"/>
  <c r="BE1149" i="23" s="1"/>
  <c r="BD1150" i="23"/>
  <c r="BE1150" i="23" s="1"/>
  <c r="BD1151" i="23"/>
  <c r="BE1151" i="23" s="1"/>
  <c r="BD1152" i="23"/>
  <c r="BE1152" i="23" s="1"/>
  <c r="BD1153" i="23"/>
  <c r="BE1153" i="23" s="1"/>
  <c r="BD1156" i="23"/>
  <c r="BE1156" i="23" s="1"/>
  <c r="BD1157" i="23"/>
  <c r="BE1157" i="23" s="1"/>
  <c r="BD1158" i="23"/>
  <c r="BE1158" i="23" s="1"/>
  <c r="BD1159" i="23"/>
  <c r="BE1159" i="23" s="1"/>
  <c r="BD1160" i="23"/>
  <c r="BE1160" i="23" s="1"/>
  <c r="BD1161" i="23"/>
  <c r="BE1161" i="23" s="1"/>
  <c r="BD1162" i="23"/>
  <c r="BE1162" i="23" s="1"/>
  <c r="BD1165" i="23"/>
  <c r="BE1165" i="23" s="1"/>
  <c r="BD1166" i="23"/>
  <c r="BE1166" i="23" s="1"/>
  <c r="BD1167" i="23"/>
  <c r="BE1167" i="23" s="1"/>
  <c r="BD1168" i="23"/>
  <c r="BE1168" i="23" s="1"/>
  <c r="BD1171" i="23"/>
  <c r="BE1171" i="23" s="1"/>
  <c r="BD1172" i="23"/>
  <c r="BE1172" i="23" s="1"/>
  <c r="BD1173" i="23"/>
  <c r="BE1173" i="23" s="1"/>
  <c r="BD1248" i="23"/>
  <c r="BE1248" i="23" s="1"/>
  <c r="BD1278" i="23"/>
  <c r="BE1278" i="23" s="1"/>
  <c r="BD1279" i="23"/>
  <c r="BE1279" i="23" s="1"/>
  <c r="BD1280" i="23"/>
  <c r="BE1280" i="23" s="1"/>
  <c r="BD1281" i="23"/>
  <c r="BE1281" i="23" s="1"/>
  <c r="BD1282" i="23"/>
  <c r="BE1282" i="23" s="1"/>
  <c r="BD1287" i="23"/>
  <c r="BE1287" i="23" s="1"/>
  <c r="AZ6" i="23" l="1"/>
  <c r="BA6" i="23" s="1"/>
  <c r="AZ7" i="23"/>
  <c r="BA7" i="23" s="1"/>
  <c r="AZ8" i="23"/>
  <c r="BA8" i="23" s="1"/>
  <c r="AZ9" i="23"/>
  <c r="BA9" i="23" s="1"/>
  <c r="AZ10" i="23"/>
  <c r="BA10" i="23" s="1"/>
  <c r="AZ101" i="23"/>
  <c r="BA101" i="23" s="1"/>
  <c r="AZ102" i="23"/>
  <c r="BA102" i="23" s="1"/>
  <c r="AZ103" i="23"/>
  <c r="BA103" i="23" s="1"/>
  <c r="AZ164" i="23"/>
  <c r="BA164" i="23" s="1"/>
  <c r="AZ167" i="23"/>
  <c r="BA167" i="23" s="1"/>
  <c r="AZ168" i="23"/>
  <c r="BA168" i="23" s="1"/>
  <c r="AZ169" i="23"/>
  <c r="BA169" i="23" s="1"/>
  <c r="AZ170" i="23"/>
  <c r="BA170" i="23" s="1"/>
  <c r="AZ171" i="23"/>
  <c r="BA171" i="23" s="1"/>
  <c r="AZ246" i="23"/>
  <c r="BA246" i="23" s="1"/>
  <c r="AZ247" i="23"/>
  <c r="BA247" i="23" s="1"/>
  <c r="AZ248" i="23"/>
  <c r="BA248" i="23" s="1"/>
  <c r="AZ249" i="23"/>
  <c r="BA249" i="23" s="1"/>
  <c r="AZ250" i="23"/>
  <c r="BA250" i="23" s="1"/>
  <c r="AZ256" i="23"/>
  <c r="BA256" i="23" s="1"/>
  <c r="AZ257" i="23"/>
  <c r="BA257" i="23" s="1"/>
  <c r="AZ258" i="23"/>
  <c r="BA258" i="23" s="1"/>
  <c r="AZ259" i="23"/>
  <c r="BA259" i="23" s="1"/>
  <c r="AZ260" i="23"/>
  <c r="BA260" i="23" s="1"/>
  <c r="AZ275" i="23"/>
  <c r="BA275" i="23" s="1"/>
  <c r="AZ279" i="23"/>
  <c r="BA279" i="23" s="1"/>
  <c r="AZ281" i="23"/>
  <c r="BA281" i="23" s="1"/>
  <c r="AZ297" i="23"/>
  <c r="BA297" i="23" s="1"/>
  <c r="AZ302" i="23"/>
  <c r="BA302" i="23" s="1"/>
  <c r="AZ307" i="23"/>
  <c r="BA307" i="23" s="1"/>
  <c r="AZ308" i="23"/>
  <c r="BA308" i="23" s="1"/>
  <c r="AZ313" i="23"/>
  <c r="BA313" i="23" s="1"/>
  <c r="AZ314" i="23"/>
  <c r="BA314" i="23" s="1"/>
  <c r="AZ316" i="23"/>
  <c r="BA316" i="23" s="1"/>
  <c r="AZ317" i="23"/>
  <c r="BA317" i="23" s="1"/>
  <c r="AZ319" i="23"/>
  <c r="BA319" i="23" s="1"/>
  <c r="AZ321" i="23"/>
  <c r="BA321" i="23" s="1"/>
  <c r="AZ322" i="23"/>
  <c r="BA322" i="23" s="1"/>
  <c r="AZ324" i="23"/>
  <c r="BA324" i="23" s="1"/>
  <c r="AZ325" i="23"/>
  <c r="BA325" i="23" s="1"/>
  <c r="AZ327" i="23"/>
  <c r="BA327" i="23" s="1"/>
  <c r="AZ382" i="23"/>
  <c r="BA382" i="23" s="1"/>
  <c r="AZ383" i="23"/>
  <c r="BA383" i="23" s="1"/>
  <c r="AZ384" i="23"/>
  <c r="BA384" i="23" s="1"/>
  <c r="AZ385" i="23"/>
  <c r="BA385" i="23" s="1"/>
  <c r="AZ386" i="23"/>
  <c r="BA386" i="23" s="1"/>
  <c r="AZ387" i="23"/>
  <c r="BA387" i="23" s="1"/>
  <c r="AZ399" i="23"/>
  <c r="BA399" i="23" s="1"/>
  <c r="AZ412" i="23"/>
  <c r="BA412" i="23" s="1"/>
  <c r="AZ415" i="23"/>
  <c r="BA415" i="23" s="1"/>
  <c r="AZ423" i="23"/>
  <c r="BA423" i="23" s="1"/>
  <c r="AZ479" i="23"/>
  <c r="BA479" i="23" s="1"/>
  <c r="AZ480" i="23"/>
  <c r="BA480" i="23" s="1"/>
  <c r="AZ481" i="23"/>
  <c r="BA481" i="23" s="1"/>
  <c r="AZ482" i="23"/>
  <c r="BA482" i="23" s="1"/>
  <c r="AZ489" i="23"/>
  <c r="BA489" i="23" s="1"/>
  <c r="AZ490" i="23"/>
  <c r="BA490" i="23" s="1"/>
  <c r="AZ510" i="23"/>
  <c r="BA510" i="23" s="1"/>
  <c r="AZ511" i="23"/>
  <c r="BA511" i="23" s="1"/>
  <c r="AZ512" i="23"/>
  <c r="BA512" i="23" s="1"/>
  <c r="AZ513" i="23"/>
  <c r="BA513" i="23" s="1"/>
  <c r="AZ528" i="23"/>
  <c r="BA528" i="23" s="1"/>
  <c r="AZ529" i="23"/>
  <c r="BA529" i="23" s="1"/>
  <c r="AZ530" i="23"/>
  <c r="BA530" i="23" s="1"/>
  <c r="AZ531" i="23"/>
  <c r="BA531" i="23" s="1"/>
  <c r="AZ532" i="23"/>
  <c r="BA532" i="23" s="1"/>
  <c r="AZ533" i="23"/>
  <c r="BA533" i="23" s="1"/>
  <c r="AZ550" i="23"/>
  <c r="BA550" i="23" s="1"/>
  <c r="AZ551" i="23"/>
  <c r="BA551" i="23" s="1"/>
  <c r="AZ552" i="23"/>
  <c r="BA552" i="23" s="1"/>
  <c r="AZ553" i="23"/>
  <c r="BA553" i="23" s="1"/>
  <c r="AZ554" i="23"/>
  <c r="BA554" i="23" s="1"/>
  <c r="AZ559" i="23"/>
  <c r="BA559" i="23" s="1"/>
  <c r="AZ560" i="23"/>
  <c r="BA560" i="23" s="1"/>
  <c r="AZ561" i="23"/>
  <c r="BA561" i="23" s="1"/>
  <c r="AZ562" i="23"/>
  <c r="BA562" i="23" s="1"/>
  <c r="AZ588" i="23"/>
  <c r="BA588" i="23" s="1"/>
  <c r="AZ589" i="23"/>
  <c r="BA589" i="23" s="1"/>
  <c r="AZ592" i="23"/>
  <c r="BA592" i="23" s="1"/>
  <c r="AZ593" i="23"/>
  <c r="BA593" i="23" s="1"/>
  <c r="AZ594" i="23"/>
  <c r="BA594" i="23" s="1"/>
  <c r="AZ595" i="23"/>
  <c r="BA595" i="23" s="1"/>
  <c r="AZ596" i="23"/>
  <c r="BA596" i="23" s="1"/>
  <c r="AZ688" i="23"/>
  <c r="BA688" i="23" s="1"/>
  <c r="AZ689" i="23"/>
  <c r="BA689" i="23" s="1"/>
  <c r="AZ690" i="23"/>
  <c r="BA690" i="23" s="1"/>
  <c r="AZ691" i="23"/>
  <c r="BA691" i="23" s="1"/>
  <c r="AZ692" i="23"/>
  <c r="BA692" i="23" s="1"/>
  <c r="AZ693" i="23"/>
  <c r="BA693" i="23" s="1"/>
  <c r="AZ694" i="23"/>
  <c r="BA694" i="23" s="1"/>
  <c r="AZ695" i="23"/>
  <c r="BA695" i="23" s="1"/>
  <c r="AZ696" i="23"/>
  <c r="BA696" i="23" s="1"/>
  <c r="AZ697" i="23"/>
  <c r="BA697" i="23" s="1"/>
  <c r="AZ698" i="23"/>
  <c r="BA698" i="23" s="1"/>
  <c r="AZ699" i="23"/>
  <c r="BA699" i="23" s="1"/>
  <c r="AZ700" i="23"/>
  <c r="BA700" i="23" s="1"/>
  <c r="AZ704" i="23"/>
  <c r="BA704" i="23" s="1"/>
  <c r="AZ734" i="23"/>
  <c r="BA734" i="23" s="1"/>
  <c r="AZ736" i="23"/>
  <c r="BA736" i="23" s="1"/>
  <c r="AZ741" i="23"/>
  <c r="BA741" i="23" s="1"/>
  <c r="AZ785" i="23"/>
  <c r="BA785" i="23" s="1"/>
  <c r="AZ786" i="23"/>
  <c r="BA786" i="23" s="1"/>
  <c r="AZ787" i="23"/>
  <c r="BA787" i="23" s="1"/>
  <c r="AZ788" i="23"/>
  <c r="BA788" i="23" s="1"/>
  <c r="AZ865" i="23"/>
  <c r="BA865" i="23" s="1"/>
  <c r="AZ866" i="23"/>
  <c r="BA866" i="23" s="1"/>
  <c r="AZ836" i="23"/>
  <c r="BA836" i="23" s="1"/>
  <c r="AZ837" i="23"/>
  <c r="BA837" i="23" s="1"/>
  <c r="AZ838" i="23"/>
  <c r="BA838" i="23" s="1"/>
  <c r="AZ839" i="23"/>
  <c r="BA839" i="23" s="1"/>
  <c r="AZ840" i="23"/>
  <c r="BA840" i="23" s="1"/>
  <c r="AZ841" i="23"/>
  <c r="BA841" i="23" s="1"/>
  <c r="AZ842" i="23"/>
  <c r="BA842" i="23" s="1"/>
  <c r="AZ843" i="23"/>
  <c r="BA843" i="23" s="1"/>
  <c r="AZ844" i="23"/>
  <c r="BA844" i="23" s="1"/>
  <c r="AZ845" i="23"/>
  <c r="BA845" i="23" s="1"/>
  <c r="AZ846" i="23"/>
  <c r="BA846" i="23" s="1"/>
  <c r="AZ847" i="23"/>
  <c r="BA847" i="23" s="1"/>
  <c r="AZ848" i="23"/>
  <c r="BA848" i="23" s="1"/>
  <c r="AZ849" i="23"/>
  <c r="BA849" i="23" s="1"/>
  <c r="AZ850" i="23"/>
  <c r="BA850" i="23" s="1"/>
  <c r="AZ965" i="23"/>
  <c r="BA965" i="23" s="1"/>
  <c r="AZ966" i="23"/>
  <c r="BA966" i="23" s="1"/>
  <c r="AZ1006" i="23"/>
  <c r="BA1006" i="23" s="1"/>
  <c r="AZ1007" i="23"/>
  <c r="BA1007" i="23" s="1"/>
  <c r="AZ1017" i="23"/>
  <c r="BA1017" i="23" s="1"/>
  <c r="AZ1019" i="23"/>
  <c r="BA1019" i="23" s="1"/>
  <c r="AZ1040" i="23"/>
  <c r="BA1040" i="23" s="1"/>
  <c r="AZ1041" i="23"/>
  <c r="BA1041" i="23" s="1"/>
  <c r="AZ1043" i="23"/>
  <c r="BA1043" i="23" s="1"/>
  <c r="AZ1046" i="23"/>
  <c r="BA1046" i="23" s="1"/>
  <c r="AZ1047" i="23"/>
  <c r="BA1047" i="23" s="1"/>
  <c r="AZ1049" i="23"/>
  <c r="BA1049" i="23" s="1"/>
  <c r="AZ1050" i="23"/>
  <c r="BA1050" i="23" s="1"/>
  <c r="AZ1051" i="23"/>
  <c r="BA1051" i="23" s="1"/>
  <c r="AZ1052" i="23"/>
  <c r="BA1052" i="23" s="1"/>
  <c r="AZ1053" i="23"/>
  <c r="BA1053" i="23" s="1"/>
  <c r="AZ1054" i="23"/>
  <c r="BA1054" i="23" s="1"/>
  <c r="AZ1055" i="23"/>
  <c r="BA1055" i="23" s="1"/>
  <c r="AZ1056" i="23"/>
  <c r="BA1056" i="23" s="1"/>
  <c r="AZ1057" i="23"/>
  <c r="BA1057" i="23" s="1"/>
  <c r="AZ1058" i="23"/>
  <c r="BA1058" i="23" s="1"/>
  <c r="AZ1059" i="23"/>
  <c r="BA1059" i="23" s="1"/>
  <c r="AZ1061" i="23"/>
  <c r="BA1061" i="23" s="1"/>
  <c r="AZ1065" i="23"/>
  <c r="BA1065" i="23" s="1"/>
  <c r="AZ1087" i="23"/>
  <c r="BA1087" i="23" s="1"/>
  <c r="AZ1088" i="23"/>
  <c r="BA1088" i="23" s="1"/>
  <c r="AZ1089" i="23"/>
  <c r="BA1089" i="23" s="1"/>
  <c r="AZ1090" i="23"/>
  <c r="BA1090" i="23" s="1"/>
  <c r="AZ1091" i="23"/>
  <c r="BA1091" i="23" s="1"/>
  <c r="AZ1092" i="23"/>
  <c r="BA1092" i="23" s="1"/>
  <c r="AZ1093" i="23"/>
  <c r="BA1093" i="23" s="1"/>
  <c r="AZ1094" i="23"/>
  <c r="BA1094" i="23" s="1"/>
  <c r="AZ1095" i="23"/>
  <c r="BA1095" i="23" s="1"/>
  <c r="AZ1096" i="23"/>
  <c r="BA1096" i="23" s="1"/>
  <c r="AZ1097" i="23"/>
  <c r="BA1097" i="23" s="1"/>
  <c r="AZ1098" i="23"/>
  <c r="BA1098" i="23" s="1"/>
  <c r="AZ1139" i="23"/>
  <c r="BA1139" i="23" s="1"/>
  <c r="AZ1140" i="23"/>
  <c r="BA1140" i="23" s="1"/>
  <c r="AZ1141" i="23"/>
  <c r="BA1141" i="23" s="1"/>
  <c r="AZ1143" i="23"/>
  <c r="BA1143" i="23" s="1"/>
  <c r="AZ1144" i="23"/>
  <c r="BA1144" i="23" s="1"/>
  <c r="AZ1145" i="23"/>
  <c r="BA1145" i="23" s="1"/>
  <c r="AZ1147" i="23"/>
  <c r="BA1147" i="23" s="1"/>
  <c r="AZ1148" i="23"/>
  <c r="BA1148" i="23" s="1"/>
  <c r="AZ1149" i="23"/>
  <c r="BA1149" i="23" s="1"/>
  <c r="AZ1150" i="23"/>
  <c r="BA1150" i="23" s="1"/>
  <c r="AZ1151" i="23"/>
  <c r="BA1151" i="23" s="1"/>
  <c r="AZ1152" i="23"/>
  <c r="BA1152" i="23" s="1"/>
  <c r="AZ1153" i="23"/>
  <c r="BA1153" i="23" s="1"/>
  <c r="AZ1156" i="23"/>
  <c r="BA1156" i="23" s="1"/>
  <c r="AZ1157" i="23"/>
  <c r="BA1157" i="23" s="1"/>
  <c r="AZ1158" i="23"/>
  <c r="BA1158" i="23" s="1"/>
  <c r="AZ1159" i="23"/>
  <c r="BA1159" i="23" s="1"/>
  <c r="AZ1160" i="23"/>
  <c r="BA1160" i="23" s="1"/>
  <c r="AZ1161" i="23"/>
  <c r="BA1161" i="23" s="1"/>
  <c r="AZ1162" i="23"/>
  <c r="BA1162" i="23" s="1"/>
  <c r="AZ1165" i="23"/>
  <c r="BA1165" i="23" s="1"/>
  <c r="AZ1166" i="23"/>
  <c r="BA1166" i="23" s="1"/>
  <c r="AZ1167" i="23"/>
  <c r="BA1167" i="23" s="1"/>
  <c r="AZ1168" i="23"/>
  <c r="BA1168" i="23" s="1"/>
  <c r="AZ1171" i="23"/>
  <c r="BA1171" i="23" s="1"/>
  <c r="AZ1172" i="23"/>
  <c r="BA1172" i="23" s="1"/>
  <c r="AZ1173" i="23"/>
  <c r="BA1173" i="23" s="1"/>
  <c r="AZ1248" i="23"/>
  <c r="BA1248" i="23" s="1"/>
  <c r="AZ1278" i="23"/>
  <c r="BA1278" i="23" s="1"/>
  <c r="AZ1279" i="23"/>
  <c r="BA1279" i="23" s="1"/>
  <c r="AZ1280" i="23"/>
  <c r="BA1280" i="23" s="1"/>
  <c r="AZ1281" i="23"/>
  <c r="BA1281" i="23" s="1"/>
  <c r="AZ1282" i="23"/>
  <c r="BA1282" i="23" s="1"/>
  <c r="AZ1287" i="23"/>
  <c r="BA1287" i="23" s="1"/>
  <c r="AT5" i="23"/>
  <c r="AU5" i="23" s="1"/>
  <c r="AV5" i="23" s="1"/>
  <c r="AT6" i="23"/>
  <c r="AT7" i="23"/>
  <c r="AT8" i="23"/>
  <c r="AT9" i="23"/>
  <c r="AT10" i="23"/>
  <c r="AT11" i="23"/>
  <c r="AT12" i="23"/>
  <c r="AT13" i="23"/>
  <c r="AT14" i="23"/>
  <c r="AT15" i="23"/>
  <c r="AT16" i="23"/>
  <c r="AT17" i="23"/>
  <c r="AT18" i="23"/>
  <c r="AT19" i="23"/>
  <c r="AT20" i="23"/>
  <c r="AT21" i="23"/>
  <c r="AT22" i="23"/>
  <c r="AT23" i="23"/>
  <c r="AU23" i="23" s="1"/>
  <c r="AV23" i="23" s="1"/>
  <c r="AT24" i="23"/>
  <c r="AU24" i="23" s="1"/>
  <c r="AV24" i="23" s="1"/>
  <c r="AT25" i="23"/>
  <c r="AT26" i="23"/>
  <c r="AT27" i="23"/>
  <c r="AT28" i="23"/>
  <c r="AT29" i="23"/>
  <c r="AT30" i="23"/>
  <c r="AT31" i="23"/>
  <c r="AT32" i="23"/>
  <c r="AT33" i="23"/>
  <c r="AT34" i="23"/>
  <c r="AT35" i="23"/>
  <c r="AT36" i="23"/>
  <c r="AT37" i="23"/>
  <c r="AT38" i="23"/>
  <c r="AT39" i="23"/>
  <c r="AT40" i="23"/>
  <c r="AT41" i="23"/>
  <c r="AT42" i="23"/>
  <c r="AT43" i="23"/>
  <c r="AT44" i="23"/>
  <c r="AT45" i="23"/>
  <c r="AT46" i="23"/>
  <c r="AT47" i="23"/>
  <c r="AT48" i="23"/>
  <c r="AT49" i="23"/>
  <c r="AT50" i="23"/>
  <c r="AT51" i="23"/>
  <c r="AT52" i="23"/>
  <c r="AT53" i="23"/>
  <c r="AT54" i="23"/>
  <c r="AT55" i="23"/>
  <c r="AT56" i="23"/>
  <c r="AT57" i="23"/>
  <c r="AT58" i="23"/>
  <c r="AT59" i="23"/>
  <c r="AT60" i="23"/>
  <c r="AU60" i="23" s="1"/>
  <c r="AV60" i="23" s="1"/>
  <c r="AT61" i="23"/>
  <c r="AU61" i="23" s="1"/>
  <c r="AV61" i="23" s="1"/>
  <c r="AT62" i="23"/>
  <c r="AU62" i="23" s="1"/>
  <c r="AV62" i="23" s="1"/>
  <c r="AT63" i="23"/>
  <c r="AT64" i="23"/>
  <c r="AT65" i="23"/>
  <c r="AU65" i="23" s="1"/>
  <c r="AV65" i="23" s="1"/>
  <c r="AT66" i="23"/>
  <c r="AU66" i="23" s="1"/>
  <c r="AV66" i="23" s="1"/>
  <c r="AT67" i="23"/>
  <c r="AU67" i="23" s="1"/>
  <c r="AV67" i="23" s="1"/>
  <c r="AT68" i="23"/>
  <c r="AT69" i="23"/>
  <c r="AT71" i="23"/>
  <c r="AT74" i="23"/>
  <c r="AT75" i="23"/>
  <c r="AT76" i="23"/>
  <c r="AT77" i="23"/>
  <c r="AT78" i="23"/>
  <c r="AT79" i="23"/>
  <c r="AT80" i="23"/>
  <c r="AT81" i="23"/>
  <c r="AT82" i="23"/>
  <c r="AT83" i="23"/>
  <c r="AT84" i="23"/>
  <c r="AT85" i="23"/>
  <c r="AT86" i="23"/>
  <c r="AT87" i="23"/>
  <c r="AT88" i="23"/>
  <c r="AT89" i="23"/>
  <c r="AT90" i="23"/>
  <c r="AT91" i="23"/>
  <c r="AT92" i="23"/>
  <c r="AT93" i="23"/>
  <c r="AT94" i="23"/>
  <c r="AT95" i="23"/>
  <c r="AT97" i="23"/>
  <c r="AT98" i="23"/>
  <c r="AT99" i="23"/>
  <c r="AT100" i="23"/>
  <c r="AT101" i="23"/>
  <c r="AT102" i="23"/>
  <c r="AT103" i="23"/>
  <c r="AT104" i="23"/>
  <c r="AT105" i="23"/>
  <c r="AT106" i="23"/>
  <c r="AT107" i="23"/>
  <c r="AT108" i="23"/>
  <c r="AT109" i="23"/>
  <c r="AT110" i="23"/>
  <c r="AT111" i="23"/>
  <c r="AT112" i="23"/>
  <c r="AT113" i="23"/>
  <c r="AT114" i="23"/>
  <c r="AU114" i="23" s="1"/>
  <c r="AV114" i="23" s="1"/>
  <c r="AT115" i="23"/>
  <c r="AU115" i="23" s="1"/>
  <c r="AV115" i="23" s="1"/>
  <c r="AT116" i="23"/>
  <c r="AU116" i="23" s="1"/>
  <c r="AV116" i="23" s="1"/>
  <c r="AT117" i="23"/>
  <c r="AU117" i="23" s="1"/>
  <c r="AV117" i="23" s="1"/>
  <c r="AT118" i="23"/>
  <c r="AU118" i="23" s="1"/>
  <c r="AV118" i="23" s="1"/>
  <c r="AT119" i="23"/>
  <c r="AT120" i="23"/>
  <c r="AT121" i="23"/>
  <c r="AU121" i="23" s="1"/>
  <c r="AV121" i="23" s="1"/>
  <c r="AT122" i="23"/>
  <c r="AU122" i="23" s="1"/>
  <c r="AV122" i="23" s="1"/>
  <c r="AT123" i="23"/>
  <c r="AU123" i="23" s="1"/>
  <c r="AV123" i="23" s="1"/>
  <c r="AT124" i="23"/>
  <c r="AT127" i="23"/>
  <c r="AU127" i="23" s="1"/>
  <c r="AV127" i="23" s="1"/>
  <c r="AT128" i="23"/>
  <c r="AU128" i="23" s="1"/>
  <c r="AV128" i="23" s="1"/>
  <c r="AT129" i="23"/>
  <c r="AU129" i="23" s="1"/>
  <c r="AT130" i="23"/>
  <c r="AT131" i="23"/>
  <c r="AU131" i="23" s="1"/>
  <c r="AV131" i="23" s="1"/>
  <c r="AT132" i="23"/>
  <c r="AU132" i="23" s="1"/>
  <c r="AV132" i="23" s="1"/>
  <c r="AT133" i="23"/>
  <c r="AU133" i="23" s="1"/>
  <c r="AV133" i="23" s="1"/>
  <c r="AT134" i="23"/>
  <c r="AU134" i="23" s="1"/>
  <c r="AV134" i="23" s="1"/>
  <c r="AT135" i="23"/>
  <c r="AU135" i="23" s="1"/>
  <c r="AV135" i="23" s="1"/>
  <c r="AT136" i="23"/>
  <c r="AU136" i="23" s="1"/>
  <c r="AV136" i="23" s="1"/>
  <c r="AT137" i="23"/>
  <c r="AU137" i="23" s="1"/>
  <c r="AV137" i="23" s="1"/>
  <c r="AT138" i="23"/>
  <c r="AT139" i="23"/>
  <c r="AU139" i="23" s="1"/>
  <c r="AV139" i="23" s="1"/>
  <c r="AT140" i="23"/>
  <c r="AU140" i="23" s="1"/>
  <c r="AV140" i="23" s="1"/>
  <c r="AT141" i="23"/>
  <c r="AU141" i="23" s="1"/>
  <c r="AV141" i="23" s="1"/>
  <c r="AT142" i="23"/>
  <c r="AU142" i="23" s="1"/>
  <c r="AV142" i="23" s="1"/>
  <c r="AT143" i="23"/>
  <c r="AU143" i="23" s="1"/>
  <c r="AV143" i="23" s="1"/>
  <c r="AT144" i="23"/>
  <c r="AU144" i="23" s="1"/>
  <c r="AV144" i="23" s="1"/>
  <c r="AT145" i="23"/>
  <c r="AU145" i="23" s="1"/>
  <c r="AV145" i="23" s="1"/>
  <c r="AT146" i="23"/>
  <c r="AT147" i="23"/>
  <c r="AT148" i="23"/>
  <c r="AT149" i="23"/>
  <c r="AT150" i="23"/>
  <c r="AT151" i="23"/>
  <c r="AT152" i="23"/>
  <c r="AT153" i="23"/>
  <c r="AT154" i="23"/>
  <c r="AT155" i="23"/>
  <c r="AT156" i="23"/>
  <c r="AT157" i="23"/>
  <c r="AT158" i="23"/>
  <c r="AT159" i="23"/>
  <c r="AT160" i="23"/>
  <c r="AT161" i="23"/>
  <c r="AT162" i="23"/>
  <c r="AT163" i="23"/>
  <c r="AT164" i="23"/>
  <c r="AU164" i="23" s="1"/>
  <c r="AT167" i="23"/>
  <c r="AT168" i="23"/>
  <c r="AT169" i="23"/>
  <c r="AT170" i="23"/>
  <c r="AT171" i="23"/>
  <c r="AT172" i="23"/>
  <c r="AT173" i="23"/>
  <c r="AT174" i="23"/>
  <c r="AT175" i="23"/>
  <c r="AT176" i="23"/>
  <c r="AT177" i="23"/>
  <c r="AT178" i="23"/>
  <c r="AT179" i="23"/>
  <c r="AT180" i="23"/>
  <c r="AT181" i="23"/>
  <c r="AT182" i="23"/>
  <c r="AT183" i="23"/>
  <c r="AT184" i="23"/>
  <c r="AT185" i="23"/>
  <c r="AT186" i="23"/>
  <c r="AT187" i="23"/>
  <c r="AT188" i="23"/>
  <c r="AT189" i="23"/>
  <c r="AT190" i="23"/>
  <c r="AT191" i="23"/>
  <c r="AT192" i="23"/>
  <c r="AT193" i="23"/>
  <c r="AT194" i="23"/>
  <c r="AT195" i="23"/>
  <c r="AT196" i="23"/>
  <c r="AT197" i="23"/>
  <c r="AT198" i="23"/>
  <c r="AT199" i="23"/>
  <c r="AT200" i="23"/>
  <c r="AU200" i="23" s="1"/>
  <c r="AV200" i="23" s="1"/>
  <c r="AT201" i="23"/>
  <c r="AU201" i="23" s="1"/>
  <c r="AV201" i="23" s="1"/>
  <c r="AT202" i="23"/>
  <c r="AU202" i="23" s="1"/>
  <c r="AV202" i="23" s="1"/>
  <c r="AT203" i="23"/>
  <c r="AT204" i="23"/>
  <c r="AU204" i="23" s="1"/>
  <c r="AV204" i="23" s="1"/>
  <c r="AT205" i="23"/>
  <c r="AU205" i="23" s="1"/>
  <c r="AV205" i="23" s="1"/>
  <c r="AT206" i="23"/>
  <c r="AU206" i="23" s="1"/>
  <c r="AV206" i="23" s="1"/>
  <c r="AT207" i="23"/>
  <c r="AU207" i="23" s="1"/>
  <c r="AV207" i="23" s="1"/>
  <c r="AT208" i="23"/>
  <c r="AT209" i="23"/>
  <c r="AU209" i="23" s="1"/>
  <c r="AT210" i="23"/>
  <c r="AT211" i="23"/>
  <c r="AU211" i="23" s="1"/>
  <c r="AV211" i="23" s="1"/>
  <c r="AT212" i="23"/>
  <c r="AU212" i="23" s="1"/>
  <c r="AV212" i="23" s="1"/>
  <c r="AT213" i="23"/>
  <c r="AU213" i="23" s="1"/>
  <c r="AV213" i="23" s="1"/>
  <c r="AT214" i="23"/>
  <c r="AU214" i="23" s="1"/>
  <c r="AV214" i="23" s="1"/>
  <c r="AT215" i="23"/>
  <c r="AU215" i="23" s="1"/>
  <c r="AV215" i="23" s="1"/>
  <c r="AT216" i="23"/>
  <c r="AU216" i="23" s="1"/>
  <c r="AV216" i="23" s="1"/>
  <c r="AT217" i="23"/>
  <c r="AU217" i="23" s="1"/>
  <c r="AV217" i="23" s="1"/>
  <c r="AT218" i="23"/>
  <c r="AU218" i="23" s="1"/>
  <c r="AV218" i="23" s="1"/>
  <c r="AT219" i="23"/>
  <c r="AT220" i="23"/>
  <c r="AU220" i="23" s="1"/>
  <c r="AV220" i="23" s="1"/>
  <c r="AT221" i="23"/>
  <c r="AU221" i="23" s="1"/>
  <c r="AV221" i="23" s="1"/>
  <c r="AT222" i="23"/>
  <c r="AU222" i="23" s="1"/>
  <c r="AV222" i="23" s="1"/>
  <c r="AT223" i="23"/>
  <c r="AU223" i="23" s="1"/>
  <c r="AV223" i="23" s="1"/>
  <c r="AT224" i="23"/>
  <c r="AT225" i="23"/>
  <c r="AU225" i="23" s="1"/>
  <c r="AV225" i="23" s="1"/>
  <c r="AT226" i="23"/>
  <c r="AU226" i="23" s="1"/>
  <c r="AV226" i="23" s="1"/>
  <c r="AT227" i="23"/>
  <c r="AU227" i="23" s="1"/>
  <c r="AV227" i="23" s="1"/>
  <c r="AT228" i="23"/>
  <c r="AU228" i="23" s="1"/>
  <c r="AV228" i="23" s="1"/>
  <c r="AT229" i="23"/>
  <c r="AU229" i="23" s="1"/>
  <c r="AT230" i="23"/>
  <c r="AU230" i="23" s="1"/>
  <c r="AV230" i="23" s="1"/>
  <c r="AT231" i="23"/>
  <c r="AU231" i="23" s="1"/>
  <c r="AV231" i="23" s="1"/>
  <c r="AT232" i="23"/>
  <c r="AU232" i="23" s="1"/>
  <c r="AV232" i="23" s="1"/>
  <c r="AT233" i="23"/>
  <c r="AU233" i="23" s="1"/>
  <c r="AV233" i="23" s="1"/>
  <c r="AT234" i="23"/>
  <c r="AT235" i="23"/>
  <c r="AU235" i="23" s="1"/>
  <c r="AV235" i="23" s="1"/>
  <c r="AT236" i="23"/>
  <c r="AU236" i="23" s="1"/>
  <c r="AV236" i="23" s="1"/>
  <c r="AT237" i="23"/>
  <c r="AU237" i="23" s="1"/>
  <c r="AV237" i="23" s="1"/>
  <c r="AT238" i="23"/>
  <c r="AU238" i="23" s="1"/>
  <c r="AV238" i="23" s="1"/>
  <c r="AT239" i="23"/>
  <c r="AU239" i="23" s="1"/>
  <c r="AV239" i="23" s="1"/>
  <c r="AT240" i="23"/>
  <c r="AT241" i="23"/>
  <c r="AU241" i="23" s="1"/>
  <c r="AV241" i="23" s="1"/>
  <c r="AT242" i="23"/>
  <c r="AU242" i="23" s="1"/>
  <c r="AV242" i="23" s="1"/>
  <c r="AT243" i="23"/>
  <c r="AU243" i="23" s="1"/>
  <c r="AV243" i="23" s="1"/>
  <c r="AT244" i="23"/>
  <c r="AU244" i="23" s="1"/>
  <c r="AV244" i="23" s="1"/>
  <c r="AT245" i="23"/>
  <c r="AU245" i="23" s="1"/>
  <c r="AV245" i="23" s="1"/>
  <c r="AT246" i="23"/>
  <c r="AU246" i="23" s="1"/>
  <c r="AT247" i="23"/>
  <c r="AU247" i="23" s="1"/>
  <c r="AT248" i="23"/>
  <c r="AU248" i="23" s="1"/>
  <c r="AT249" i="23"/>
  <c r="AU249" i="23" s="1"/>
  <c r="AT250" i="23"/>
  <c r="AU250" i="23" s="1"/>
  <c r="AT251" i="23"/>
  <c r="AU251" i="23" s="1"/>
  <c r="AV251" i="23" s="1"/>
  <c r="AT252" i="23"/>
  <c r="AT253" i="23"/>
  <c r="AU253" i="23" s="1"/>
  <c r="AV253" i="23" s="1"/>
  <c r="AT254" i="23"/>
  <c r="AT255" i="23"/>
  <c r="AU255" i="23" s="1"/>
  <c r="AV255" i="23" s="1"/>
  <c r="AT256" i="23"/>
  <c r="AU256" i="23" s="1"/>
  <c r="AT257" i="23"/>
  <c r="AU257" i="23" s="1"/>
  <c r="AT258" i="23"/>
  <c r="AU258" i="23" s="1"/>
  <c r="AT259" i="23"/>
  <c r="AU259" i="23" s="1"/>
  <c r="AT260" i="23"/>
  <c r="AU260" i="23" s="1"/>
  <c r="AT261" i="23"/>
  <c r="AU261" i="23" s="1"/>
  <c r="AV261" i="23" s="1"/>
  <c r="AT262" i="23"/>
  <c r="AU262" i="23" s="1"/>
  <c r="AV262" i="23" s="1"/>
  <c r="AT263" i="23"/>
  <c r="AU263" i="23" s="1"/>
  <c r="AV263" i="23" s="1"/>
  <c r="AT264" i="23"/>
  <c r="AU264" i="23" s="1"/>
  <c r="AV264" i="23" s="1"/>
  <c r="AT265" i="23"/>
  <c r="AU265" i="23" s="1"/>
  <c r="AV265" i="23" s="1"/>
  <c r="AT266" i="23"/>
  <c r="AU266" i="23" s="1"/>
  <c r="AV266" i="23" s="1"/>
  <c r="AT267" i="23"/>
  <c r="AU267" i="23" s="1"/>
  <c r="AV267" i="23" s="1"/>
  <c r="AT268" i="23"/>
  <c r="AU268" i="23" s="1"/>
  <c r="AV268" i="23" s="1"/>
  <c r="AT269" i="23"/>
  <c r="AU269" i="23" s="1"/>
  <c r="AV269" i="23" s="1"/>
  <c r="AT270" i="23"/>
  <c r="AU270" i="23" s="1"/>
  <c r="AV270" i="23" s="1"/>
  <c r="AT271" i="23"/>
  <c r="AU271" i="23" s="1"/>
  <c r="AV271" i="23" s="1"/>
  <c r="AT272" i="23"/>
  <c r="AU272" i="23" s="1"/>
  <c r="AV272" i="23" s="1"/>
  <c r="AT273" i="23"/>
  <c r="AT274" i="23"/>
  <c r="AT275" i="23"/>
  <c r="AT276" i="23"/>
  <c r="AT277" i="23"/>
  <c r="AT278" i="23"/>
  <c r="AT280" i="23"/>
  <c r="AT281" i="23"/>
  <c r="AU281" i="23" s="1"/>
  <c r="AT282" i="23"/>
  <c r="AU282" i="23" s="1"/>
  <c r="AV282" i="23" s="1"/>
  <c r="AT283" i="23"/>
  <c r="AU283" i="23" s="1"/>
  <c r="AV283" i="23" s="1"/>
  <c r="AT284" i="23"/>
  <c r="AU284" i="23" s="1"/>
  <c r="AV284" i="23" s="1"/>
  <c r="AT285" i="23"/>
  <c r="AU285" i="23" s="1"/>
  <c r="AV285" i="23" s="1"/>
  <c r="AT286" i="23"/>
  <c r="AU286" i="23" s="1"/>
  <c r="AV286" i="23" s="1"/>
  <c r="AT287" i="23"/>
  <c r="AU287" i="23" s="1"/>
  <c r="AV287" i="23" s="1"/>
  <c r="AT288" i="23"/>
  <c r="AU288" i="23" s="1"/>
  <c r="AV288" i="23" s="1"/>
  <c r="AT289" i="23"/>
  <c r="AU289" i="23" s="1"/>
  <c r="AV289" i="23" s="1"/>
  <c r="AT290" i="23"/>
  <c r="AT291" i="23"/>
  <c r="AT292" i="23"/>
  <c r="AU292" i="23" s="1"/>
  <c r="AV292" i="23" s="1"/>
  <c r="AT293" i="23"/>
  <c r="AU293" i="23" s="1"/>
  <c r="AV293" i="23" s="1"/>
  <c r="AT294" i="23"/>
  <c r="AU294" i="23" s="1"/>
  <c r="AV294" i="23" s="1"/>
  <c r="AT295" i="23"/>
  <c r="AU295" i="23" s="1"/>
  <c r="AV295" i="23" s="1"/>
  <c r="AT296" i="23"/>
  <c r="AT297" i="23"/>
  <c r="AT298" i="23"/>
  <c r="AU298" i="23" s="1"/>
  <c r="AV298" i="23" s="1"/>
  <c r="AT299" i="23"/>
  <c r="AU299" i="23" s="1"/>
  <c r="AV299" i="23" s="1"/>
  <c r="AT300" i="23"/>
  <c r="AU300" i="23" s="1"/>
  <c r="AV300" i="23" s="1"/>
  <c r="AT301" i="23"/>
  <c r="AU301" i="23" s="1"/>
  <c r="AV301" i="23" s="1"/>
  <c r="AT302" i="23"/>
  <c r="AU302" i="23" s="1"/>
  <c r="AT303" i="23"/>
  <c r="AU303" i="23" s="1"/>
  <c r="AV303" i="23" s="1"/>
  <c r="AT304" i="23"/>
  <c r="AU304" i="23" s="1"/>
  <c r="AV304" i="23" s="1"/>
  <c r="AT305" i="23"/>
  <c r="AU305" i="23" s="1"/>
  <c r="AV305" i="23" s="1"/>
  <c r="AT306" i="23"/>
  <c r="AU306" i="23" s="1"/>
  <c r="AV306" i="23" s="1"/>
  <c r="AT307" i="23"/>
  <c r="AU307" i="23" s="1"/>
  <c r="AT308" i="23"/>
  <c r="AT309" i="23"/>
  <c r="AU309" i="23" s="1"/>
  <c r="AV309" i="23" s="1"/>
  <c r="AT310" i="23"/>
  <c r="AU310" i="23" s="1"/>
  <c r="AV310" i="23" s="1"/>
  <c r="AT311" i="23"/>
  <c r="AU311" i="23" s="1"/>
  <c r="AV311" i="23" s="1"/>
  <c r="AT312" i="23"/>
  <c r="AU312" i="23" s="1"/>
  <c r="AV312" i="23" s="1"/>
  <c r="AT313" i="23"/>
  <c r="AT314" i="23"/>
  <c r="AT315" i="23"/>
  <c r="AT316" i="23"/>
  <c r="AT317" i="23"/>
  <c r="AT318" i="23"/>
  <c r="AT319" i="23"/>
  <c r="AT320" i="23"/>
  <c r="AT321" i="23"/>
  <c r="AT322" i="23"/>
  <c r="AT323" i="23"/>
  <c r="AT324" i="23"/>
  <c r="AT325" i="23"/>
  <c r="AT326" i="23"/>
  <c r="AT327" i="23"/>
  <c r="AT328" i="23"/>
  <c r="AT329" i="23"/>
  <c r="AT330" i="23"/>
  <c r="AT331" i="23"/>
  <c r="AT332" i="23"/>
  <c r="AT333" i="23"/>
  <c r="AT334" i="23"/>
  <c r="AT335" i="23"/>
  <c r="AT336" i="23"/>
  <c r="AT337" i="23"/>
  <c r="AT338" i="23"/>
  <c r="AT339" i="23"/>
  <c r="AT340" i="23"/>
  <c r="AT341" i="23"/>
  <c r="AT342" i="23"/>
  <c r="AT343" i="23"/>
  <c r="AT344" i="23"/>
  <c r="AT345" i="23"/>
  <c r="AT346" i="23"/>
  <c r="AT347" i="23"/>
  <c r="AT348" i="23"/>
  <c r="AT349" i="23"/>
  <c r="AT350" i="23"/>
  <c r="AT351" i="23"/>
  <c r="AT352" i="23"/>
  <c r="AT353" i="23"/>
  <c r="AT355" i="23"/>
  <c r="AT356" i="23"/>
  <c r="AT357" i="23"/>
  <c r="AU357" i="23" s="1"/>
  <c r="AV357" i="23" s="1"/>
  <c r="AT358" i="23"/>
  <c r="AT359" i="23"/>
  <c r="AT360" i="23"/>
  <c r="AT362" i="23"/>
  <c r="AT363" i="23"/>
  <c r="AT364" i="23"/>
  <c r="AU364" i="23" s="1"/>
  <c r="AV364" i="23" s="1"/>
  <c r="AT365" i="23"/>
  <c r="AT366" i="23"/>
  <c r="AU366" i="23" s="1"/>
  <c r="AV366" i="23" s="1"/>
  <c r="AT367" i="23"/>
  <c r="AT368" i="23"/>
  <c r="AT369" i="23"/>
  <c r="AU369" i="23" s="1"/>
  <c r="AV369" i="23" s="1"/>
  <c r="AT370" i="23"/>
  <c r="AT371" i="23"/>
  <c r="AT372" i="23"/>
  <c r="AU372" i="23" s="1"/>
  <c r="AV372" i="23" s="1"/>
  <c r="AT373" i="23"/>
  <c r="AT374" i="23"/>
  <c r="AT375" i="23"/>
  <c r="AU375" i="23" s="1"/>
  <c r="AV375" i="23" s="1"/>
  <c r="AT376" i="23"/>
  <c r="AT377" i="23"/>
  <c r="AT378" i="23"/>
  <c r="AU378" i="23" s="1"/>
  <c r="AV378" i="23" s="1"/>
  <c r="AT379" i="23"/>
  <c r="AT380" i="23"/>
  <c r="AT381" i="23"/>
  <c r="AU381" i="23" s="1"/>
  <c r="AV381" i="23" s="1"/>
  <c r="AT382" i="23"/>
  <c r="AU382" i="23" s="1"/>
  <c r="AT383" i="23"/>
  <c r="AU383" i="23" s="1"/>
  <c r="AT384" i="23"/>
  <c r="AU384" i="23" s="1"/>
  <c r="AT385" i="23"/>
  <c r="AU385" i="23" s="1"/>
  <c r="AT386" i="23"/>
  <c r="AU386" i="23" s="1"/>
  <c r="AT387" i="23"/>
  <c r="AU387" i="23" s="1"/>
  <c r="AT388" i="23"/>
  <c r="AT389" i="23"/>
  <c r="AU389" i="23" s="1"/>
  <c r="AV389" i="23" s="1"/>
  <c r="AT390" i="23"/>
  <c r="AU390" i="23" s="1"/>
  <c r="AV390" i="23" s="1"/>
  <c r="AT391" i="23"/>
  <c r="AU391" i="23" s="1"/>
  <c r="AV391" i="23" s="1"/>
  <c r="AT392" i="23"/>
  <c r="AU392" i="23" s="1"/>
  <c r="AV392" i="23" s="1"/>
  <c r="AT393" i="23"/>
  <c r="AU393" i="23" s="1"/>
  <c r="AV393" i="23" s="1"/>
  <c r="AT394" i="23"/>
  <c r="AU394" i="23" s="1"/>
  <c r="AV394" i="23" s="1"/>
  <c r="AT395" i="23"/>
  <c r="AU395" i="23" s="1"/>
  <c r="AV395" i="23" s="1"/>
  <c r="AT396" i="23"/>
  <c r="AU396" i="23" s="1"/>
  <c r="AV396" i="23" s="1"/>
  <c r="AT397" i="23"/>
  <c r="AT398" i="23"/>
  <c r="AT399" i="23"/>
  <c r="AT400" i="23"/>
  <c r="AT401" i="23"/>
  <c r="AT402" i="23"/>
  <c r="AT403" i="23"/>
  <c r="AT411" i="23"/>
  <c r="AT412" i="23"/>
  <c r="AT413" i="23"/>
  <c r="AT414" i="23"/>
  <c r="AU414" i="23" s="1"/>
  <c r="AT415" i="23"/>
  <c r="AT416" i="23"/>
  <c r="AT417" i="23"/>
  <c r="AT418" i="23"/>
  <c r="AU418" i="23" s="1"/>
  <c r="AT419" i="23"/>
  <c r="AT420" i="23"/>
  <c r="AT421" i="23"/>
  <c r="AT422" i="23"/>
  <c r="AU422" i="23" s="1"/>
  <c r="AV422" i="23" s="1"/>
  <c r="AT423" i="23"/>
  <c r="AT424" i="23"/>
  <c r="AU424" i="23" s="1"/>
  <c r="AV424" i="23" s="1"/>
  <c r="BD424" i="23" s="1"/>
  <c r="BE424" i="23" s="1"/>
  <c r="AT425" i="23"/>
  <c r="AT426" i="23"/>
  <c r="AU426" i="23" s="1"/>
  <c r="AV426" i="23" s="1"/>
  <c r="AT427" i="23"/>
  <c r="AU427" i="23" s="1"/>
  <c r="AV427" i="23" s="1"/>
  <c r="AT428" i="23"/>
  <c r="AT429" i="23"/>
  <c r="AU429" i="23" s="1"/>
  <c r="AV429" i="23" s="1"/>
  <c r="AT430" i="23"/>
  <c r="AU430" i="23" s="1"/>
  <c r="AV430" i="23" s="1"/>
  <c r="AT431" i="23"/>
  <c r="AT432" i="23"/>
  <c r="AT433" i="23"/>
  <c r="AT434" i="23"/>
  <c r="AT435" i="23"/>
  <c r="AT436" i="23"/>
  <c r="AT437" i="23"/>
  <c r="AT438" i="23"/>
  <c r="AT439" i="23"/>
  <c r="AT440" i="23"/>
  <c r="AT441" i="23"/>
  <c r="AU441" i="23" s="1"/>
  <c r="AV441" i="23" s="1"/>
  <c r="AT442" i="23"/>
  <c r="AT443" i="23"/>
  <c r="AT444" i="23"/>
  <c r="AT445" i="23"/>
  <c r="AT446" i="23"/>
  <c r="AT447" i="23"/>
  <c r="AT448" i="23"/>
  <c r="AT449" i="23"/>
  <c r="AT450" i="23"/>
  <c r="AT451" i="23"/>
  <c r="AT452" i="23"/>
  <c r="AT453" i="23"/>
  <c r="AT455" i="23"/>
  <c r="AT456" i="23"/>
  <c r="AT457" i="23"/>
  <c r="AT458" i="23"/>
  <c r="AT459" i="23"/>
  <c r="AT460" i="23"/>
  <c r="AT461" i="23"/>
  <c r="AT462" i="23"/>
  <c r="AT463" i="23"/>
  <c r="AT464" i="23"/>
  <c r="AT465" i="23"/>
  <c r="AT466" i="23"/>
  <c r="AT467" i="23"/>
  <c r="AT468" i="23"/>
  <c r="AT469" i="23"/>
  <c r="AT470" i="23"/>
  <c r="AU470" i="23" s="1"/>
  <c r="AV470" i="23" s="1"/>
  <c r="AT471" i="23"/>
  <c r="AT472" i="23"/>
  <c r="AT473" i="23"/>
  <c r="AT474" i="23"/>
  <c r="AT475" i="23"/>
  <c r="AT476" i="23"/>
  <c r="AT477" i="23"/>
  <c r="AT478" i="23"/>
  <c r="AT479" i="23"/>
  <c r="AT480" i="23"/>
  <c r="AT481" i="23"/>
  <c r="AT482" i="23"/>
  <c r="AT483" i="23"/>
  <c r="AT485" i="23"/>
  <c r="AT486" i="23"/>
  <c r="AT487" i="23"/>
  <c r="AU487" i="23" s="1"/>
  <c r="AV487" i="23" s="1"/>
  <c r="AT488" i="23"/>
  <c r="AT489" i="23"/>
  <c r="AU489" i="23" s="1"/>
  <c r="AT490" i="23"/>
  <c r="AT491" i="23"/>
  <c r="AT493" i="23"/>
  <c r="AT494" i="23"/>
  <c r="AT495" i="23"/>
  <c r="AT496" i="23"/>
  <c r="AU496" i="23" s="1"/>
  <c r="AV496" i="23" s="1"/>
  <c r="AT497" i="23"/>
  <c r="AU497" i="23" s="1"/>
  <c r="AV497" i="23" s="1"/>
  <c r="AT498" i="23"/>
  <c r="AT499" i="23"/>
  <c r="AT500" i="23"/>
  <c r="AU500" i="23" s="1"/>
  <c r="AV500" i="23" s="1"/>
  <c r="AT501" i="23"/>
  <c r="AU501" i="23" s="1"/>
  <c r="AV501" i="23" s="1"/>
  <c r="AT502" i="23"/>
  <c r="AT503" i="23"/>
  <c r="AT510" i="23"/>
  <c r="AU510" i="23" s="1"/>
  <c r="AT511" i="23"/>
  <c r="AT512" i="23"/>
  <c r="AT513" i="23"/>
  <c r="AT514" i="23"/>
  <c r="AT515" i="23"/>
  <c r="AT516" i="23"/>
  <c r="AT517" i="23"/>
  <c r="AT518" i="23"/>
  <c r="AT519" i="23"/>
  <c r="AT523" i="23"/>
  <c r="AU523" i="23" s="1"/>
  <c r="AV523" i="23" s="1"/>
  <c r="AT524" i="23"/>
  <c r="AU524" i="23" s="1"/>
  <c r="AV524" i="23" s="1"/>
  <c r="AT525" i="23"/>
  <c r="AU525" i="23" s="1"/>
  <c r="AV525" i="23" s="1"/>
  <c r="AT526" i="23"/>
  <c r="AT527" i="23"/>
  <c r="AT528" i="23"/>
  <c r="AT529" i="23"/>
  <c r="AU529" i="23" s="1"/>
  <c r="AT530" i="23"/>
  <c r="AT531" i="23"/>
  <c r="AT532" i="23"/>
  <c r="AT533" i="23"/>
  <c r="AU533" i="23" s="1"/>
  <c r="AT534" i="23"/>
  <c r="AT535" i="23"/>
  <c r="AT536" i="23"/>
  <c r="AT537" i="23"/>
  <c r="AU537" i="23" s="1"/>
  <c r="AV537" i="23" s="1"/>
  <c r="AT538" i="23"/>
  <c r="AT539" i="23"/>
  <c r="AU539" i="23" s="1"/>
  <c r="AV539" i="23" s="1"/>
  <c r="AT540" i="23"/>
  <c r="AT541" i="23"/>
  <c r="AU541" i="23" s="1"/>
  <c r="AV541" i="23" s="1"/>
  <c r="AT542" i="23"/>
  <c r="AT543" i="23"/>
  <c r="AT544" i="23"/>
  <c r="AT545" i="23"/>
  <c r="AU545" i="23" s="1"/>
  <c r="AV545" i="23" s="1"/>
  <c r="AT546" i="23"/>
  <c r="AT547" i="23"/>
  <c r="AU547" i="23" s="1"/>
  <c r="AV547" i="23" s="1"/>
  <c r="AT548" i="23"/>
  <c r="AT549" i="23"/>
  <c r="AU549" i="23" s="1"/>
  <c r="AV549" i="23" s="1"/>
  <c r="AT550" i="23"/>
  <c r="AT551" i="23"/>
  <c r="AT552" i="23"/>
  <c r="AT553" i="23"/>
  <c r="AT554" i="23"/>
  <c r="AT555" i="23"/>
  <c r="AU555" i="23" s="1"/>
  <c r="AV555" i="23" s="1"/>
  <c r="AT556" i="23"/>
  <c r="AU556" i="23" s="1"/>
  <c r="AV556" i="23" s="1"/>
  <c r="AT557" i="23"/>
  <c r="AU557" i="23" s="1"/>
  <c r="AV557" i="23" s="1"/>
  <c r="AT558" i="23"/>
  <c r="AT559" i="23"/>
  <c r="AT560" i="23"/>
  <c r="AT561" i="23"/>
  <c r="AU561" i="23" s="1"/>
  <c r="AT562" i="23"/>
  <c r="AT563" i="23"/>
  <c r="AT564" i="23"/>
  <c r="AT565" i="23"/>
  <c r="AU565" i="23" s="1"/>
  <c r="AV565" i="23" s="1"/>
  <c r="AT566" i="23"/>
  <c r="AU566" i="23" s="1"/>
  <c r="AV566" i="23" s="1"/>
  <c r="AT567" i="23"/>
  <c r="AU567" i="23" s="1"/>
  <c r="AV567" i="23" s="1"/>
  <c r="AT568" i="23"/>
  <c r="AU568" i="23" s="1"/>
  <c r="AV568" i="23" s="1"/>
  <c r="AT569" i="23"/>
  <c r="AU569" i="23" s="1"/>
  <c r="AV569" i="23" s="1"/>
  <c r="AT570" i="23"/>
  <c r="AU570" i="23" s="1"/>
  <c r="AV570" i="23" s="1"/>
  <c r="AT571" i="23"/>
  <c r="AU571" i="23" s="1"/>
  <c r="AV571" i="23" s="1"/>
  <c r="AT572" i="23"/>
  <c r="AU572" i="23" s="1"/>
  <c r="AV572" i="23" s="1"/>
  <c r="AT573" i="23"/>
  <c r="AU573" i="23" s="1"/>
  <c r="AV573" i="23" s="1"/>
  <c r="AT574" i="23"/>
  <c r="AT575" i="23"/>
  <c r="AU575" i="23" s="1"/>
  <c r="AV575" i="23" s="1"/>
  <c r="AT576" i="23"/>
  <c r="AT577" i="23"/>
  <c r="AU577" i="23" s="1"/>
  <c r="AV577" i="23" s="1"/>
  <c r="AT578" i="23"/>
  <c r="AU578" i="23" s="1"/>
  <c r="AV578" i="23" s="1"/>
  <c r="AT579" i="23"/>
  <c r="AU579" i="23" s="1"/>
  <c r="AV579" i="23" s="1"/>
  <c r="AT580" i="23"/>
  <c r="AU580" i="23" s="1"/>
  <c r="AV580" i="23" s="1"/>
  <c r="AT581" i="23"/>
  <c r="AU581" i="23" s="1"/>
  <c r="AV581" i="23" s="1"/>
  <c r="AT582" i="23"/>
  <c r="AU582" i="23" s="1"/>
  <c r="AV582" i="23" s="1"/>
  <c r="AT583" i="23"/>
  <c r="AT584" i="23"/>
  <c r="AT585" i="23"/>
  <c r="AU585" i="23" s="1"/>
  <c r="AV585" i="23" s="1"/>
  <c r="AT586" i="23"/>
  <c r="AU586" i="23" s="1"/>
  <c r="AV586" i="23" s="1"/>
  <c r="AT587" i="23"/>
  <c r="AT588" i="23"/>
  <c r="AT589" i="23"/>
  <c r="AU589" i="23" s="1"/>
  <c r="AT590" i="23"/>
  <c r="AT591" i="23"/>
  <c r="AT592" i="23"/>
  <c r="AT593" i="23"/>
  <c r="AU593" i="23" s="1"/>
  <c r="AT594" i="23"/>
  <c r="AT595" i="23"/>
  <c r="AU595" i="23" s="1"/>
  <c r="AT596" i="23"/>
  <c r="AT597" i="23"/>
  <c r="AT598" i="23"/>
  <c r="AT599" i="23"/>
  <c r="AT600" i="23"/>
  <c r="AT601" i="23"/>
  <c r="AT602" i="23"/>
  <c r="AT603" i="23"/>
  <c r="AT604" i="23"/>
  <c r="AT605" i="23"/>
  <c r="AT606" i="23"/>
  <c r="AT607" i="23"/>
  <c r="AT608" i="23"/>
  <c r="AT609" i="23"/>
  <c r="AT610" i="23"/>
  <c r="AT611" i="23"/>
  <c r="AT612" i="23"/>
  <c r="AT613" i="23"/>
  <c r="AT614" i="23"/>
  <c r="AT615" i="23"/>
  <c r="AT616" i="23"/>
  <c r="AT617" i="23"/>
  <c r="AT618" i="23"/>
  <c r="AT619" i="23"/>
  <c r="AT620" i="23"/>
  <c r="AT621" i="23"/>
  <c r="AT622" i="23"/>
  <c r="AT623" i="23"/>
  <c r="AT624" i="23"/>
  <c r="AT625" i="23"/>
  <c r="AT626" i="23"/>
  <c r="AT627" i="23"/>
  <c r="AT628" i="23"/>
  <c r="AT629" i="23"/>
  <c r="AT630" i="23"/>
  <c r="AT631" i="23"/>
  <c r="AT632" i="23"/>
  <c r="AT633" i="23"/>
  <c r="AT634" i="23"/>
  <c r="AT635" i="23"/>
  <c r="AT636" i="23"/>
  <c r="AT637" i="23"/>
  <c r="AT638" i="23"/>
  <c r="AT639" i="23"/>
  <c r="AT640" i="23"/>
  <c r="AT641" i="23"/>
  <c r="AT642" i="23"/>
  <c r="AT643" i="23"/>
  <c r="AT644" i="23"/>
  <c r="AT645" i="23"/>
  <c r="AT646" i="23"/>
  <c r="AT647" i="23"/>
  <c r="AT648" i="23"/>
  <c r="AT649" i="23"/>
  <c r="AT650" i="23"/>
  <c r="AT651" i="23"/>
  <c r="AT652" i="23"/>
  <c r="AT653" i="23"/>
  <c r="AT654" i="23"/>
  <c r="AT655" i="23"/>
  <c r="AT656" i="23"/>
  <c r="AT657" i="23"/>
  <c r="AT658" i="23"/>
  <c r="AT659" i="23"/>
  <c r="AT660" i="23"/>
  <c r="AT661" i="23"/>
  <c r="AT662" i="23"/>
  <c r="AT663" i="23"/>
  <c r="AT664" i="23"/>
  <c r="AT665" i="23"/>
  <c r="AT666" i="23"/>
  <c r="AT667" i="23"/>
  <c r="AT668" i="23"/>
  <c r="AT669" i="23"/>
  <c r="AT670" i="23"/>
  <c r="AT671" i="23"/>
  <c r="AT672" i="23"/>
  <c r="AT673" i="23"/>
  <c r="AT674" i="23"/>
  <c r="AT675" i="23"/>
  <c r="AT676" i="23"/>
  <c r="AT677" i="23"/>
  <c r="AT678" i="23"/>
  <c r="AT679" i="23"/>
  <c r="AT680" i="23"/>
  <c r="AT681" i="23"/>
  <c r="AT682" i="23"/>
  <c r="AT683" i="23"/>
  <c r="AT684" i="23"/>
  <c r="AT685" i="23"/>
  <c r="AT686" i="23"/>
  <c r="AT687" i="23"/>
  <c r="AT688" i="23"/>
  <c r="AT689" i="23"/>
  <c r="AT690" i="23"/>
  <c r="AT691" i="23"/>
  <c r="AT692" i="23"/>
  <c r="AT693" i="23"/>
  <c r="AT694" i="23"/>
  <c r="AT695" i="23"/>
  <c r="AT696" i="23"/>
  <c r="AT697" i="23"/>
  <c r="AT698" i="23"/>
  <c r="AT699" i="23"/>
  <c r="AT700" i="23"/>
  <c r="AT701" i="23"/>
  <c r="AT702" i="23"/>
  <c r="AT703" i="23"/>
  <c r="AT704" i="23"/>
  <c r="AT705" i="23"/>
  <c r="AU705" i="23" s="1"/>
  <c r="AV705" i="23" s="1"/>
  <c r="AT706" i="23"/>
  <c r="AT707" i="23"/>
  <c r="AT708" i="23"/>
  <c r="AT709" i="23"/>
  <c r="AU709" i="23" s="1"/>
  <c r="AV709" i="23" s="1"/>
  <c r="AT710" i="23"/>
  <c r="AT711" i="23"/>
  <c r="AT712" i="23"/>
  <c r="AT713" i="23"/>
  <c r="AU713" i="23" s="1"/>
  <c r="AV713" i="23" s="1"/>
  <c r="AT714" i="23"/>
  <c r="AT715" i="23"/>
  <c r="AT716" i="23"/>
  <c r="AT717" i="23"/>
  <c r="AU717" i="23" s="1"/>
  <c r="AV717" i="23" s="1"/>
  <c r="AT718" i="23"/>
  <c r="AT719" i="23"/>
  <c r="AT720" i="23"/>
  <c r="AT721" i="23"/>
  <c r="AU721" i="23" s="1"/>
  <c r="AV721" i="23" s="1"/>
  <c r="AT722" i="23"/>
  <c r="AT723" i="23"/>
  <c r="AT724" i="23"/>
  <c r="AT725" i="23"/>
  <c r="AU725" i="23" s="1"/>
  <c r="AV725" i="23" s="1"/>
  <c r="AT726" i="23"/>
  <c r="AU726" i="23" s="1"/>
  <c r="AV726" i="23" s="1"/>
  <c r="AT727" i="23"/>
  <c r="AU727" i="23" s="1"/>
  <c r="AV727" i="23" s="1"/>
  <c r="AT728" i="23"/>
  <c r="AU728" i="23" s="1"/>
  <c r="AV728" i="23" s="1"/>
  <c r="AT729" i="23"/>
  <c r="AU729" i="23" s="1"/>
  <c r="AV729" i="23" s="1"/>
  <c r="AT730" i="23"/>
  <c r="AU730" i="23" s="1"/>
  <c r="AV730" i="23" s="1"/>
  <c r="AT731" i="23"/>
  <c r="AU731" i="23" s="1"/>
  <c r="AV731" i="23" s="1"/>
  <c r="AT732" i="23"/>
  <c r="AU732" i="23" s="1"/>
  <c r="AV732" i="23" s="1"/>
  <c r="AT733" i="23"/>
  <c r="AU733" i="23" s="1"/>
  <c r="AV733" i="23" s="1"/>
  <c r="AT734" i="23"/>
  <c r="AU734" i="23" s="1"/>
  <c r="AT735" i="23"/>
  <c r="AU735" i="23" s="1"/>
  <c r="AV735" i="23" s="1"/>
  <c r="AT736" i="23"/>
  <c r="AU736" i="23" s="1"/>
  <c r="AT737" i="23"/>
  <c r="AU737" i="23" s="1"/>
  <c r="AV737" i="23" s="1"/>
  <c r="AT738" i="23"/>
  <c r="AT739" i="23"/>
  <c r="AT740" i="23"/>
  <c r="AT741" i="23"/>
  <c r="AU741" i="23" s="1"/>
  <c r="AT742" i="23"/>
  <c r="AT743" i="23"/>
  <c r="AT744" i="23"/>
  <c r="AU744" i="23" s="1"/>
  <c r="AV744" i="23" s="1"/>
  <c r="AT745" i="23"/>
  <c r="AU745" i="23" s="1"/>
  <c r="AV745" i="23" s="1"/>
  <c r="AT746" i="23"/>
  <c r="AU746" i="23" s="1"/>
  <c r="AV746" i="23" s="1"/>
  <c r="AT747" i="23"/>
  <c r="AU747" i="23" s="1"/>
  <c r="AV747" i="23" s="1"/>
  <c r="AT748" i="23"/>
  <c r="AU748" i="23" s="1"/>
  <c r="AV748" i="23" s="1"/>
  <c r="AT749" i="23"/>
  <c r="AU749" i="23" s="1"/>
  <c r="AV749" i="23" s="1"/>
  <c r="AT750" i="23"/>
  <c r="AU750" i="23" s="1"/>
  <c r="AV750" i="23" s="1"/>
  <c r="AT751" i="23"/>
  <c r="AU751" i="23" s="1"/>
  <c r="AV751" i="23" s="1"/>
  <c r="AT752" i="23"/>
  <c r="AU752" i="23" s="1"/>
  <c r="AV752" i="23" s="1"/>
  <c r="AT753" i="23"/>
  <c r="AU753" i="23" s="1"/>
  <c r="AV753" i="23" s="1"/>
  <c r="AT754" i="23"/>
  <c r="AU754" i="23" s="1"/>
  <c r="AV754" i="23" s="1"/>
  <c r="AT755" i="23"/>
  <c r="AU755" i="23" s="1"/>
  <c r="AV755" i="23" s="1"/>
  <c r="AT756" i="23"/>
  <c r="AU756" i="23" s="1"/>
  <c r="AV756" i="23" s="1"/>
  <c r="AT757" i="23"/>
  <c r="AU757" i="23" s="1"/>
  <c r="AV757" i="23" s="1"/>
  <c r="AT758" i="23"/>
  <c r="AU758" i="23" s="1"/>
  <c r="AV758" i="23" s="1"/>
  <c r="AT759" i="23"/>
  <c r="AU759" i="23" s="1"/>
  <c r="AV759" i="23" s="1"/>
  <c r="AT760" i="23"/>
  <c r="AU760" i="23" s="1"/>
  <c r="AV760" i="23" s="1"/>
  <c r="AT761" i="23"/>
  <c r="AU761" i="23" s="1"/>
  <c r="AV761" i="23" s="1"/>
  <c r="AT762" i="23"/>
  <c r="AU762" i="23" s="1"/>
  <c r="AV762" i="23" s="1"/>
  <c r="AT763" i="23"/>
  <c r="AU763" i="23" s="1"/>
  <c r="AV763" i="23" s="1"/>
  <c r="AT764" i="23"/>
  <c r="AU764" i="23" s="1"/>
  <c r="AV764" i="23" s="1"/>
  <c r="AT765" i="23"/>
  <c r="AU765" i="23" s="1"/>
  <c r="AV765" i="23" s="1"/>
  <c r="AT766" i="23"/>
  <c r="AU766" i="23" s="1"/>
  <c r="AV766" i="23" s="1"/>
  <c r="AT767" i="23"/>
  <c r="AU767" i="23" s="1"/>
  <c r="AV767" i="23" s="1"/>
  <c r="AT768" i="23"/>
  <c r="AU768" i="23" s="1"/>
  <c r="AV768" i="23" s="1"/>
  <c r="AT769" i="23"/>
  <c r="AU769" i="23" s="1"/>
  <c r="AV769" i="23" s="1"/>
  <c r="AT770" i="23"/>
  <c r="AT771" i="23"/>
  <c r="AT772" i="23"/>
  <c r="AT773" i="23"/>
  <c r="AU773" i="23" s="1"/>
  <c r="AV773" i="23" s="1"/>
  <c r="AT774" i="23"/>
  <c r="AT775" i="23"/>
  <c r="AT776" i="23"/>
  <c r="AT777" i="23"/>
  <c r="AU777" i="23" s="1"/>
  <c r="AV777" i="23" s="1"/>
  <c r="AT778" i="23"/>
  <c r="AT779" i="23"/>
  <c r="AT780" i="23"/>
  <c r="AT781" i="23"/>
  <c r="AT782" i="23"/>
  <c r="AT783" i="23"/>
  <c r="AT784" i="23"/>
  <c r="AT785" i="23"/>
  <c r="AU785" i="23" s="1"/>
  <c r="AT786" i="23"/>
  <c r="AU786" i="23" s="1"/>
  <c r="AT787" i="23"/>
  <c r="AT788" i="23"/>
  <c r="AT789" i="23"/>
  <c r="AU789" i="23" s="1"/>
  <c r="AV789" i="23" s="1"/>
  <c r="AT790" i="23"/>
  <c r="AU790" i="23" s="1"/>
  <c r="AV790" i="23" s="1"/>
  <c r="AT791" i="23"/>
  <c r="AU791" i="23" s="1"/>
  <c r="AV791" i="23" s="1"/>
  <c r="AT792" i="23"/>
  <c r="AT793" i="23"/>
  <c r="AU793" i="23" s="1"/>
  <c r="AV793" i="23" s="1"/>
  <c r="AT794" i="23"/>
  <c r="AU794" i="23" s="1"/>
  <c r="AV794" i="23" s="1"/>
  <c r="AT795" i="23"/>
  <c r="AT796" i="23"/>
  <c r="AT797" i="23"/>
  <c r="AU797" i="23" s="1"/>
  <c r="AV797" i="23" s="1"/>
  <c r="AT798" i="23"/>
  <c r="AT799" i="23"/>
  <c r="AT800" i="23"/>
  <c r="AT801" i="23"/>
  <c r="AT802" i="23"/>
  <c r="AT803" i="23"/>
  <c r="AT854" i="23"/>
  <c r="AU854" i="23" s="1"/>
  <c r="AV854" i="23" s="1"/>
  <c r="AT917" i="23"/>
  <c r="AU917" i="23" s="1"/>
  <c r="AV917" i="23" s="1"/>
  <c r="AT918" i="23"/>
  <c r="AU918" i="23" s="1"/>
  <c r="AV918" i="23" s="1"/>
  <c r="AT852" i="23"/>
  <c r="AT853" i="23"/>
  <c r="AT820" i="23"/>
  <c r="AU820" i="23" s="1"/>
  <c r="AV820" i="23" s="1"/>
  <c r="AT912" i="23"/>
  <c r="AU912" i="23" s="1"/>
  <c r="AV912" i="23" s="1"/>
  <c r="AT914" i="23"/>
  <c r="AT915" i="23"/>
  <c r="AT821" i="23"/>
  <c r="AU821" i="23" s="1"/>
  <c r="AV821" i="23" s="1"/>
  <c r="AT822" i="23"/>
  <c r="AU822" i="23" s="1"/>
  <c r="AV822" i="23" s="1"/>
  <c r="AT823" i="23"/>
  <c r="AU823" i="23" s="1"/>
  <c r="AV823" i="23" s="1"/>
  <c r="AT824" i="23"/>
  <c r="AU824" i="23" s="1"/>
  <c r="AV824" i="23" s="1"/>
  <c r="AT825" i="23"/>
  <c r="AU825" i="23" s="1"/>
  <c r="AV825" i="23" s="1"/>
  <c r="AT826" i="23"/>
  <c r="AT827" i="23"/>
  <c r="AT828" i="23"/>
  <c r="AT911" i="23"/>
  <c r="AU911" i="23" s="1"/>
  <c r="AV911" i="23" s="1"/>
  <c r="AT916" i="23"/>
  <c r="AT913" i="23"/>
  <c r="AT907" i="23"/>
  <c r="AT908" i="23"/>
  <c r="AU908" i="23" s="1"/>
  <c r="AV908" i="23" s="1"/>
  <c r="AT882" i="23"/>
  <c r="AT883" i="23"/>
  <c r="AT884" i="23"/>
  <c r="AT885" i="23"/>
  <c r="AU885" i="23" s="1"/>
  <c r="AV885" i="23" s="1"/>
  <c r="AT886" i="23"/>
  <c r="AT887" i="23"/>
  <c r="AT888" i="23"/>
  <c r="AT889" i="23"/>
  <c r="AU889" i="23" s="1"/>
  <c r="AV889" i="23" s="1"/>
  <c r="AT890" i="23"/>
  <c r="AT891" i="23"/>
  <c r="AT892" i="23"/>
  <c r="AT893" i="23"/>
  <c r="AU893" i="23" s="1"/>
  <c r="AV893" i="23" s="1"/>
  <c r="AT894" i="23"/>
  <c r="AT895" i="23"/>
  <c r="AU895" i="23" s="1"/>
  <c r="AV895" i="23" s="1"/>
  <c r="AT896" i="23"/>
  <c r="AT897" i="23"/>
  <c r="AU897" i="23" s="1"/>
  <c r="AV897" i="23" s="1"/>
  <c r="AT898" i="23"/>
  <c r="AT899" i="23"/>
  <c r="AT900" i="23"/>
  <c r="AT901" i="23"/>
  <c r="AU901" i="23" s="1"/>
  <c r="AV901" i="23" s="1"/>
  <c r="AT902" i="23"/>
  <c r="AT865" i="23"/>
  <c r="AT866" i="23"/>
  <c r="AT867" i="23"/>
  <c r="AU867" i="23" s="1"/>
  <c r="AV867" i="23" s="1"/>
  <c r="AT868" i="23"/>
  <c r="AU868" i="23" s="1"/>
  <c r="AV868" i="23" s="1"/>
  <c r="AT869" i="23"/>
  <c r="AU869" i="23" s="1"/>
  <c r="AV869" i="23" s="1"/>
  <c r="AT870" i="23"/>
  <c r="AU870" i="23" s="1"/>
  <c r="AV870" i="23" s="1"/>
  <c r="AT871" i="23"/>
  <c r="AU871" i="23" s="1"/>
  <c r="AV871" i="23" s="1"/>
  <c r="AT872" i="23"/>
  <c r="AU872" i="23" s="1"/>
  <c r="AV872" i="23" s="1"/>
  <c r="AT873" i="23"/>
  <c r="AU873" i="23" s="1"/>
  <c r="AV873" i="23" s="1"/>
  <c r="AT874" i="23"/>
  <c r="AU874" i="23" s="1"/>
  <c r="AV874" i="23" s="1"/>
  <c r="AT875" i="23"/>
  <c r="AU875" i="23" s="1"/>
  <c r="AV875" i="23" s="1"/>
  <c r="AT876" i="23"/>
  <c r="AU876" i="23" s="1"/>
  <c r="AV876" i="23" s="1"/>
  <c r="AT877" i="23"/>
  <c r="AU877" i="23" s="1"/>
  <c r="AV877" i="23" s="1"/>
  <c r="AT878" i="23"/>
  <c r="AU878" i="23" s="1"/>
  <c r="AV878" i="23" s="1"/>
  <c r="AT879" i="23"/>
  <c r="AU879" i="23" s="1"/>
  <c r="AV879" i="23" s="1"/>
  <c r="AT880" i="23"/>
  <c r="AU880" i="23" s="1"/>
  <c r="AV880" i="23" s="1"/>
  <c r="AT881" i="23"/>
  <c r="AU881" i="23" s="1"/>
  <c r="AV881" i="23" s="1"/>
  <c r="AT903" i="23"/>
  <c r="AU903" i="23" s="1"/>
  <c r="AV903" i="23" s="1"/>
  <c r="AT904" i="23"/>
  <c r="AU904" i="23" s="1"/>
  <c r="AV904" i="23" s="1"/>
  <c r="AT905" i="23"/>
  <c r="AU905" i="23" s="1"/>
  <c r="AV905" i="23" s="1"/>
  <c r="AT906" i="23"/>
  <c r="AU906" i="23" s="1"/>
  <c r="AV906" i="23" s="1"/>
  <c r="AT829" i="23"/>
  <c r="AT830" i="23"/>
  <c r="AU830" i="23" s="1"/>
  <c r="AV830" i="23" s="1"/>
  <c r="AT831" i="23"/>
  <c r="AT832" i="23"/>
  <c r="AT833" i="23"/>
  <c r="AT834" i="23"/>
  <c r="AU834" i="23" s="1"/>
  <c r="AV834" i="23" s="1"/>
  <c r="AT835" i="23"/>
  <c r="AT836" i="23"/>
  <c r="AU836" i="23" s="1"/>
  <c r="AT837" i="23"/>
  <c r="AU837" i="23" s="1"/>
  <c r="AT838" i="23"/>
  <c r="AU838" i="23" s="1"/>
  <c r="AT839" i="23"/>
  <c r="AU839" i="23" s="1"/>
  <c r="AT840" i="23"/>
  <c r="AU840" i="23" s="1"/>
  <c r="AT841" i="23"/>
  <c r="AU841" i="23" s="1"/>
  <c r="AT842" i="23"/>
  <c r="AU842" i="23" s="1"/>
  <c r="AT843" i="23"/>
  <c r="AU843" i="23" s="1"/>
  <c r="AT844" i="23"/>
  <c r="AU844" i="23" s="1"/>
  <c r="AT845" i="23"/>
  <c r="AU845" i="23" s="1"/>
  <c r="AT846" i="23"/>
  <c r="AU846" i="23" s="1"/>
  <c r="AT847" i="23"/>
  <c r="AU847" i="23" s="1"/>
  <c r="AT848" i="23"/>
  <c r="AU848" i="23" s="1"/>
  <c r="AT849" i="23"/>
  <c r="AU849" i="23" s="1"/>
  <c r="AT850" i="23"/>
  <c r="AU850" i="23" s="1"/>
  <c r="AT909" i="23"/>
  <c r="AU909" i="23" s="1"/>
  <c r="AV909" i="23" s="1"/>
  <c r="AT910" i="23"/>
  <c r="AU910" i="23" s="1"/>
  <c r="AV910" i="23" s="1"/>
  <c r="AT855" i="23"/>
  <c r="AU855" i="23" s="1"/>
  <c r="AV855" i="23" s="1"/>
  <c r="AT856" i="23"/>
  <c r="AU856" i="23" s="1"/>
  <c r="AV856" i="23" s="1"/>
  <c r="AT857" i="23"/>
  <c r="AU857" i="23" s="1"/>
  <c r="AV857" i="23" s="1"/>
  <c r="AT858" i="23"/>
  <c r="AU858" i="23" s="1"/>
  <c r="AV858" i="23" s="1"/>
  <c r="AT859" i="23"/>
  <c r="AU859" i="23" s="1"/>
  <c r="AV859" i="23" s="1"/>
  <c r="AT860" i="23"/>
  <c r="AU860" i="23" s="1"/>
  <c r="AV860" i="23" s="1"/>
  <c r="AT861" i="23"/>
  <c r="AU861" i="23" s="1"/>
  <c r="AV861" i="23" s="1"/>
  <c r="AT862" i="23"/>
  <c r="AU862" i="23" s="1"/>
  <c r="AV862" i="23" s="1"/>
  <c r="AT863" i="23"/>
  <c r="AU863" i="23" s="1"/>
  <c r="AV863" i="23" s="1"/>
  <c r="AT864" i="23"/>
  <c r="AU864" i="23" s="1"/>
  <c r="AV864" i="23" s="1"/>
  <c r="AT807" i="23"/>
  <c r="AT808" i="23"/>
  <c r="AT809" i="23"/>
  <c r="AU809" i="23" s="1"/>
  <c r="AV809" i="23" s="1"/>
  <c r="AT810" i="23"/>
  <c r="AU810" i="23" s="1"/>
  <c r="AV810" i="23" s="1"/>
  <c r="AT811" i="23"/>
  <c r="AU811" i="23" s="1"/>
  <c r="AV811" i="23" s="1"/>
  <c r="AT812" i="23"/>
  <c r="AU812" i="23" s="1"/>
  <c r="AV812" i="23" s="1"/>
  <c r="AT813" i="23"/>
  <c r="AU813" i="23" s="1"/>
  <c r="AV813" i="23" s="1"/>
  <c r="AT814" i="23"/>
  <c r="AU814" i="23" s="1"/>
  <c r="AV814" i="23" s="1"/>
  <c r="AT815" i="23"/>
  <c r="AT816" i="23"/>
  <c r="AU816" i="23" s="1"/>
  <c r="AV816" i="23" s="1"/>
  <c r="AT817" i="23"/>
  <c r="AU817" i="23" s="1"/>
  <c r="AV817" i="23" s="1"/>
  <c r="AT804" i="23"/>
  <c r="AU804" i="23" s="1"/>
  <c r="AV804" i="23" s="1"/>
  <c r="AT805" i="23"/>
  <c r="AU805" i="23" s="1"/>
  <c r="AV805" i="23" s="1"/>
  <c r="AT806" i="23"/>
  <c r="AU806" i="23" s="1"/>
  <c r="AV806" i="23" s="1"/>
  <c r="AT818" i="23"/>
  <c r="AU818" i="23" s="1"/>
  <c r="AV818" i="23" s="1"/>
  <c r="AT819" i="23"/>
  <c r="AU819" i="23" s="1"/>
  <c r="AV819" i="23" s="1"/>
  <c r="AT851" i="23"/>
  <c r="AU851" i="23" s="1"/>
  <c r="AV851" i="23" s="1"/>
  <c r="AT919" i="23"/>
  <c r="AT920" i="23"/>
  <c r="AT921" i="23"/>
  <c r="AU921" i="23" s="1"/>
  <c r="AV921" i="23" s="1"/>
  <c r="AT922" i="23"/>
  <c r="AT923" i="23"/>
  <c r="AT924" i="23"/>
  <c r="AT925" i="23"/>
  <c r="AU925" i="23" s="1"/>
  <c r="AV925" i="23" s="1"/>
  <c r="AT926" i="23"/>
  <c r="AT927" i="23"/>
  <c r="AT928" i="23"/>
  <c r="AT929" i="23"/>
  <c r="AU929" i="23" s="1"/>
  <c r="AV929" i="23" s="1"/>
  <c r="AT930" i="23"/>
  <c r="AT931" i="23"/>
  <c r="AT932" i="23"/>
  <c r="AT933" i="23"/>
  <c r="AU933" i="23" s="1"/>
  <c r="AV933" i="23" s="1"/>
  <c r="AT934" i="23"/>
  <c r="AT935" i="23"/>
  <c r="AT936" i="23"/>
  <c r="AT937" i="23"/>
  <c r="AU937" i="23" s="1"/>
  <c r="AV937" i="23" s="1"/>
  <c r="AT938" i="23"/>
  <c r="AT939" i="23"/>
  <c r="AT940" i="23"/>
  <c r="AT941" i="23"/>
  <c r="AU941" i="23" s="1"/>
  <c r="AV941" i="23" s="1"/>
  <c r="AT942" i="23"/>
  <c r="AU942" i="23" s="1"/>
  <c r="AV942" i="23" s="1"/>
  <c r="AT943" i="23"/>
  <c r="AU943" i="23" s="1"/>
  <c r="AV943" i="23" s="1"/>
  <c r="AT944" i="23"/>
  <c r="AU944" i="23" s="1"/>
  <c r="AV944" i="23" s="1"/>
  <c r="AT945" i="23"/>
  <c r="AU945" i="23" s="1"/>
  <c r="AV945" i="23" s="1"/>
  <c r="AT946" i="23"/>
  <c r="AU946" i="23" s="1"/>
  <c r="AV946" i="23" s="1"/>
  <c r="AT947" i="23"/>
  <c r="AU947" i="23" s="1"/>
  <c r="AV947" i="23" s="1"/>
  <c r="AT948" i="23"/>
  <c r="AU948" i="23" s="1"/>
  <c r="AV948" i="23" s="1"/>
  <c r="AT949" i="23"/>
  <c r="AU949" i="23" s="1"/>
  <c r="AV949" i="23" s="1"/>
  <c r="AT950" i="23"/>
  <c r="AU950" i="23" s="1"/>
  <c r="AV950" i="23" s="1"/>
  <c r="AT951" i="23"/>
  <c r="AU951" i="23" s="1"/>
  <c r="AV951" i="23" s="1"/>
  <c r="AT952" i="23"/>
  <c r="AU952" i="23" s="1"/>
  <c r="AV952" i="23" s="1"/>
  <c r="AT953" i="23"/>
  <c r="AU953" i="23" s="1"/>
  <c r="AV953" i="23" s="1"/>
  <c r="AT954" i="23"/>
  <c r="AU954" i="23" s="1"/>
  <c r="AV954" i="23" s="1"/>
  <c r="AT955" i="23"/>
  <c r="AU955" i="23" s="1"/>
  <c r="AV955" i="23" s="1"/>
  <c r="AT956" i="23"/>
  <c r="AU956" i="23" s="1"/>
  <c r="AV956" i="23" s="1"/>
  <c r="AT957" i="23"/>
  <c r="AU957" i="23" s="1"/>
  <c r="AV957" i="23" s="1"/>
  <c r="AT958" i="23"/>
  <c r="AU958" i="23" s="1"/>
  <c r="AV958" i="23" s="1"/>
  <c r="AT959" i="23"/>
  <c r="AU959" i="23" s="1"/>
  <c r="AV959" i="23" s="1"/>
  <c r="AT960" i="23"/>
  <c r="AU960" i="23" s="1"/>
  <c r="AV960" i="23" s="1"/>
  <c r="AT961" i="23"/>
  <c r="AU961" i="23" s="1"/>
  <c r="AV961" i="23" s="1"/>
  <c r="AT962" i="23"/>
  <c r="AU962" i="23" s="1"/>
  <c r="AV962" i="23" s="1"/>
  <c r="AT963" i="23"/>
  <c r="AU963" i="23" s="1"/>
  <c r="AV963" i="23" s="1"/>
  <c r="AT964" i="23"/>
  <c r="AU964" i="23" s="1"/>
  <c r="AV964" i="23" s="1"/>
  <c r="AT965" i="23"/>
  <c r="AT966" i="23"/>
  <c r="AT967" i="23"/>
  <c r="AT968" i="23"/>
  <c r="AT969" i="23"/>
  <c r="AT970" i="23"/>
  <c r="AT971" i="23"/>
  <c r="AT972" i="23"/>
  <c r="AT973" i="23"/>
  <c r="AT974" i="23"/>
  <c r="AT975" i="23"/>
  <c r="AT978" i="23"/>
  <c r="AT979" i="23"/>
  <c r="AT981" i="23"/>
  <c r="AT982" i="23"/>
  <c r="AT983" i="23"/>
  <c r="AT984" i="23"/>
  <c r="AT985" i="23"/>
  <c r="AT986" i="23"/>
  <c r="AT987" i="23"/>
  <c r="AT988" i="23"/>
  <c r="AT989" i="23"/>
  <c r="AT990" i="23"/>
  <c r="AT991" i="23"/>
  <c r="AT993" i="23"/>
  <c r="AT994" i="23"/>
  <c r="AT995" i="23"/>
  <c r="AT1001" i="23"/>
  <c r="AT1002" i="23"/>
  <c r="AU1002" i="23" s="1"/>
  <c r="AV1002" i="23" s="1"/>
  <c r="AT1003" i="23"/>
  <c r="AU1003" i="23" s="1"/>
  <c r="AV1003" i="23" s="1"/>
  <c r="AT1004" i="23"/>
  <c r="AT1005" i="23"/>
  <c r="AT1006" i="23"/>
  <c r="AU1006" i="23" s="1"/>
  <c r="AT1007" i="23"/>
  <c r="AU1007" i="23" s="1"/>
  <c r="AT1008" i="23"/>
  <c r="AU1008" i="23" s="1"/>
  <c r="AV1008" i="23" s="1"/>
  <c r="AT1009" i="23"/>
  <c r="AT1010" i="23"/>
  <c r="AU1010" i="23" s="1"/>
  <c r="AV1010" i="23" s="1"/>
  <c r="AT1011" i="23"/>
  <c r="AU1011" i="23" s="1"/>
  <c r="AV1011" i="23" s="1"/>
  <c r="AT1012" i="23"/>
  <c r="AT1013" i="23"/>
  <c r="AU1013" i="23" s="1"/>
  <c r="AV1013" i="23" s="1"/>
  <c r="AT1014" i="23"/>
  <c r="AU1014" i="23" s="1"/>
  <c r="AV1014" i="23" s="1"/>
  <c r="AT1015" i="23"/>
  <c r="AU1015" i="23" s="1"/>
  <c r="AV1015" i="23" s="1"/>
  <c r="AT1016" i="23"/>
  <c r="AT1017" i="23"/>
  <c r="AT1018" i="23"/>
  <c r="AT1019" i="23"/>
  <c r="AT1020" i="23"/>
  <c r="AT1030" i="23"/>
  <c r="AT1031" i="23"/>
  <c r="AU1031" i="23" s="1"/>
  <c r="AV1031" i="23" s="1"/>
  <c r="AT1032" i="23"/>
  <c r="AT1033" i="23"/>
  <c r="AU1033" i="23" s="1"/>
  <c r="AV1033" i="23" s="1"/>
  <c r="AT1034" i="23"/>
  <c r="AU1034" i="23" s="1"/>
  <c r="AV1034" i="23" s="1"/>
  <c r="AT1035" i="23"/>
  <c r="AU1035" i="23" s="1"/>
  <c r="AV1035" i="23" s="1"/>
  <c r="AT1038" i="23"/>
  <c r="AT1039" i="23"/>
  <c r="AT1040" i="23"/>
  <c r="AT1041" i="23"/>
  <c r="AT1042" i="23"/>
  <c r="AT1043" i="23"/>
  <c r="AT1044" i="23"/>
  <c r="AT1045" i="23"/>
  <c r="AT1046" i="23"/>
  <c r="AT1047" i="23"/>
  <c r="AT1048" i="23"/>
  <c r="AT1049" i="23"/>
  <c r="AT1050" i="23"/>
  <c r="AT1051" i="23"/>
  <c r="AT1052" i="23"/>
  <c r="AT1053" i="23"/>
  <c r="AT1054" i="23"/>
  <c r="AT1055" i="23"/>
  <c r="AT1056" i="23"/>
  <c r="AU1056" i="23" s="1"/>
  <c r="AT1057" i="23"/>
  <c r="AU1057" i="23" s="1"/>
  <c r="AT1058" i="23"/>
  <c r="AU1058" i="23" s="1"/>
  <c r="AT1059" i="23"/>
  <c r="AU1059" i="23" s="1"/>
  <c r="AT1060" i="23"/>
  <c r="AT1061" i="23"/>
  <c r="AU1061" i="23" s="1"/>
  <c r="AT1062" i="23"/>
  <c r="AU1062" i="23" s="1"/>
  <c r="AV1062" i="23" s="1"/>
  <c r="AT1063" i="23"/>
  <c r="AT1064" i="23"/>
  <c r="AU1064" i="23" s="1"/>
  <c r="AV1064" i="23" s="1"/>
  <c r="AT1065" i="23"/>
  <c r="AT1066" i="23"/>
  <c r="AT1067" i="23"/>
  <c r="AT1068" i="23"/>
  <c r="AT1069" i="23"/>
  <c r="AT1070" i="23"/>
  <c r="AT1071" i="23"/>
  <c r="AT1072" i="23"/>
  <c r="AT1073" i="23"/>
  <c r="AT1074" i="23"/>
  <c r="AT1075" i="23"/>
  <c r="AT1076" i="23"/>
  <c r="AT1077" i="23"/>
  <c r="AT1078" i="23"/>
  <c r="AT1079" i="23"/>
  <c r="AT1080" i="23"/>
  <c r="AT1081" i="23"/>
  <c r="AT1082" i="23"/>
  <c r="AT1083" i="23"/>
  <c r="AT1084" i="23"/>
  <c r="AT1085" i="23"/>
  <c r="AT1086" i="23"/>
  <c r="AT1087" i="23"/>
  <c r="AT1088" i="23"/>
  <c r="AT1089" i="23"/>
  <c r="AT1090" i="23"/>
  <c r="AT1091" i="23"/>
  <c r="AT1092" i="23"/>
  <c r="AT1093" i="23"/>
  <c r="AT1094" i="23"/>
  <c r="AT1095" i="23"/>
  <c r="AT1096" i="23"/>
  <c r="AT1097" i="23"/>
  <c r="AT1098" i="23"/>
  <c r="AT1099" i="23"/>
  <c r="AU1099" i="23" s="1"/>
  <c r="AV1099" i="23" s="1"/>
  <c r="AT1100" i="23"/>
  <c r="AU1100" i="23" s="1"/>
  <c r="AV1100" i="23" s="1"/>
  <c r="AT1101" i="23"/>
  <c r="AU1101" i="23" s="1"/>
  <c r="AV1101" i="23" s="1"/>
  <c r="AT1102" i="23"/>
  <c r="AU1102" i="23" s="1"/>
  <c r="AV1102" i="23" s="1"/>
  <c r="AT1103" i="23"/>
  <c r="AU1103" i="23" s="1"/>
  <c r="AV1103" i="23" s="1"/>
  <c r="AT1104" i="23"/>
  <c r="AU1104" i="23" s="1"/>
  <c r="AV1104" i="23" s="1"/>
  <c r="AT1105" i="23"/>
  <c r="AU1105" i="23" s="1"/>
  <c r="AV1105" i="23" s="1"/>
  <c r="AT1106" i="23"/>
  <c r="AU1106" i="23" s="1"/>
  <c r="AV1106" i="23" s="1"/>
  <c r="AT1107" i="23"/>
  <c r="AU1107" i="23" s="1"/>
  <c r="AV1107" i="23" s="1"/>
  <c r="AT1108" i="23"/>
  <c r="AU1108" i="23" s="1"/>
  <c r="AV1108" i="23" s="1"/>
  <c r="AT1109" i="23"/>
  <c r="AU1109" i="23" s="1"/>
  <c r="AV1109" i="23" s="1"/>
  <c r="AT1110" i="23"/>
  <c r="AU1110" i="23" s="1"/>
  <c r="AV1110" i="23" s="1"/>
  <c r="AT1111" i="23"/>
  <c r="AU1111" i="23" s="1"/>
  <c r="AV1111" i="23" s="1"/>
  <c r="AT1112" i="23"/>
  <c r="AU1112" i="23" s="1"/>
  <c r="AV1112" i="23" s="1"/>
  <c r="AT1113" i="23"/>
  <c r="AU1113" i="23" s="1"/>
  <c r="AV1113" i="23" s="1"/>
  <c r="AT1114" i="23"/>
  <c r="AU1114" i="23" s="1"/>
  <c r="AV1114" i="23" s="1"/>
  <c r="AT1115" i="23"/>
  <c r="AU1115" i="23" s="1"/>
  <c r="AV1115" i="23" s="1"/>
  <c r="AT1116" i="23"/>
  <c r="AT1117" i="23"/>
  <c r="AT1118" i="23"/>
  <c r="AT1119" i="23"/>
  <c r="AT1120" i="23"/>
  <c r="AT1121" i="23"/>
  <c r="AT1122" i="23"/>
  <c r="AT1123" i="23"/>
  <c r="AT1124" i="23"/>
  <c r="AT1125" i="23"/>
  <c r="AT1126" i="23"/>
  <c r="AT1127" i="23"/>
  <c r="AT1128" i="23"/>
  <c r="AT1129" i="23"/>
  <c r="AT1130" i="23"/>
  <c r="AT1131" i="23"/>
  <c r="AT1132" i="23"/>
  <c r="AT1133" i="23"/>
  <c r="AT1134" i="23"/>
  <c r="AT1135" i="23"/>
  <c r="AT1136" i="23"/>
  <c r="AT1137" i="23"/>
  <c r="AT1138" i="23"/>
  <c r="AT1139" i="23"/>
  <c r="AT1140" i="23"/>
  <c r="AT1141" i="23"/>
  <c r="AT1142" i="23"/>
  <c r="AT1143" i="23"/>
  <c r="AT1144" i="23"/>
  <c r="AT1145" i="23"/>
  <c r="AT1146" i="23"/>
  <c r="AU1146" i="23" s="1"/>
  <c r="AV1146" i="23" s="1"/>
  <c r="AT1147" i="23"/>
  <c r="AU1147" i="23" s="1"/>
  <c r="AT1148" i="23"/>
  <c r="AU1148" i="23" s="1"/>
  <c r="AT1149" i="23"/>
  <c r="AU1149" i="23" s="1"/>
  <c r="AT1150" i="23"/>
  <c r="AU1150" i="23" s="1"/>
  <c r="AT1151" i="23"/>
  <c r="AU1151" i="23" s="1"/>
  <c r="AT1152" i="23"/>
  <c r="AU1152" i="23" s="1"/>
  <c r="AT1153" i="23"/>
  <c r="AU1153" i="23" s="1"/>
  <c r="AT1154" i="23"/>
  <c r="AT1155" i="23"/>
  <c r="AT1156" i="23"/>
  <c r="AT1157" i="23"/>
  <c r="AT1158" i="23"/>
  <c r="AT1159" i="23"/>
  <c r="AT1160" i="23"/>
  <c r="AT1161" i="23"/>
  <c r="AT1162" i="23"/>
  <c r="AT1163" i="23"/>
  <c r="AT1164" i="23"/>
  <c r="AT1165" i="23"/>
  <c r="AT1166" i="23"/>
  <c r="AT1167" i="23"/>
  <c r="AT1168" i="23"/>
  <c r="AT1169" i="23"/>
  <c r="AU1169" i="23" s="1"/>
  <c r="AV1169" i="23" s="1"/>
  <c r="AT1170" i="23"/>
  <c r="AU1170" i="23" s="1"/>
  <c r="AV1170" i="23" s="1"/>
  <c r="AT1171" i="23"/>
  <c r="AT1172" i="23"/>
  <c r="AT1173" i="23"/>
  <c r="AT1174" i="23"/>
  <c r="AT1175" i="23"/>
  <c r="AT1176" i="23"/>
  <c r="AT1177" i="23"/>
  <c r="AT1178" i="23"/>
  <c r="AT1179" i="23"/>
  <c r="AT1180" i="23"/>
  <c r="AT1181" i="23"/>
  <c r="AT1182" i="23"/>
  <c r="AT1183" i="23"/>
  <c r="AT1184" i="23"/>
  <c r="AT1185" i="23"/>
  <c r="AT1186" i="23"/>
  <c r="AT1187" i="23"/>
  <c r="AT1188" i="23"/>
  <c r="AT1189" i="23"/>
  <c r="AT1190" i="23"/>
  <c r="AT1191" i="23"/>
  <c r="AT1192" i="23"/>
  <c r="AT1193" i="23"/>
  <c r="AT1194" i="23"/>
  <c r="AT1195" i="23"/>
  <c r="AT1196" i="23"/>
  <c r="AT1197" i="23"/>
  <c r="AT1198" i="23"/>
  <c r="AT1199" i="23"/>
  <c r="AT1200" i="23"/>
  <c r="AT1201" i="23"/>
  <c r="AT1202" i="23"/>
  <c r="AT1203" i="23"/>
  <c r="AT1204" i="23"/>
  <c r="AT1205" i="23"/>
  <c r="AT1206" i="23"/>
  <c r="AT1207" i="23"/>
  <c r="AT1208" i="23"/>
  <c r="AT1209" i="23"/>
  <c r="AT1210" i="23"/>
  <c r="AT1211" i="23"/>
  <c r="AT1212" i="23"/>
  <c r="AT1213" i="23"/>
  <c r="AT1214" i="23"/>
  <c r="AT1215" i="23"/>
  <c r="AT1216" i="23"/>
  <c r="AT1217" i="23"/>
  <c r="AT1218" i="23"/>
  <c r="AT1219" i="23"/>
  <c r="AT1220" i="23"/>
  <c r="AT1221" i="23"/>
  <c r="AT1222" i="23"/>
  <c r="AT1223" i="23"/>
  <c r="AT1224" i="23"/>
  <c r="AT1225" i="23"/>
  <c r="AT1226" i="23"/>
  <c r="AT1227" i="23"/>
  <c r="AT1228" i="23"/>
  <c r="AT1229" i="23"/>
  <c r="AT1230" i="23"/>
  <c r="AT1231" i="23"/>
  <c r="AT1232" i="23"/>
  <c r="AT1233" i="23"/>
  <c r="AT1234" i="23"/>
  <c r="AT1235" i="23"/>
  <c r="AT1236" i="23"/>
  <c r="AT1237" i="23"/>
  <c r="AT1238" i="23"/>
  <c r="AT1239" i="23"/>
  <c r="AT1240" i="23"/>
  <c r="AT1241" i="23"/>
  <c r="AT1242" i="23"/>
  <c r="AT1243" i="23"/>
  <c r="AT1244" i="23"/>
  <c r="AT1245" i="23"/>
  <c r="AT1246" i="23"/>
  <c r="AT1247" i="23"/>
  <c r="AT1248" i="23"/>
  <c r="AT1254" i="23"/>
  <c r="AT1255" i="23"/>
  <c r="AT1257" i="23"/>
  <c r="AT1258" i="23"/>
  <c r="AT1259" i="23"/>
  <c r="AU1259" i="23" s="1"/>
  <c r="AV1259" i="23" s="1"/>
  <c r="AT1260" i="23"/>
  <c r="AT1261" i="23"/>
  <c r="AU1261" i="23" s="1"/>
  <c r="AV1261" i="23" s="1"/>
  <c r="AT1262" i="23"/>
  <c r="AT1263" i="23"/>
  <c r="AU1263" i="23" s="1"/>
  <c r="AV1263" i="23" s="1"/>
  <c r="AT1264" i="23"/>
  <c r="AU1264" i="23" s="1"/>
  <c r="AV1264" i="23" s="1"/>
  <c r="AT1265" i="23"/>
  <c r="AT1266" i="23"/>
  <c r="AT1267" i="23"/>
  <c r="AU1267" i="23" s="1"/>
  <c r="AV1267" i="23" s="1"/>
  <c r="AT1268" i="23"/>
  <c r="AT1269" i="23"/>
  <c r="AT1270" i="23"/>
  <c r="AT1271" i="23"/>
  <c r="AU1271" i="23" s="1"/>
  <c r="AV1271" i="23" s="1"/>
  <c r="AT1272" i="23"/>
  <c r="AT1273" i="23"/>
  <c r="AT1274" i="23"/>
  <c r="AT1275" i="23"/>
  <c r="AU1275" i="23" s="1"/>
  <c r="AV1275" i="23" s="1"/>
  <c r="AT1276" i="23"/>
  <c r="AT1277" i="23"/>
  <c r="AT1278" i="23"/>
  <c r="AT1279" i="23"/>
  <c r="AT1280" i="23"/>
  <c r="AT1281" i="23"/>
  <c r="AT1282" i="23"/>
  <c r="AT1283" i="23"/>
  <c r="AT1284" i="23"/>
  <c r="AU1284" i="23" s="1"/>
  <c r="AT1285" i="23"/>
  <c r="AU1285" i="23" s="1"/>
  <c r="AT1286" i="23"/>
  <c r="AT1287" i="23"/>
  <c r="AT4" i="23"/>
  <c r="AU4" i="23" s="1"/>
  <c r="AV4" i="23" s="1"/>
  <c r="AJ1287" i="23"/>
  <c r="AJ1283" i="23"/>
  <c r="AJ1282" i="23"/>
  <c r="AJ1281" i="23"/>
  <c r="AJ1280" i="23"/>
  <c r="AJ1279" i="23"/>
  <c r="AJ1278" i="23"/>
  <c r="AJ1266" i="23"/>
  <c r="AJ1262" i="23"/>
  <c r="AJ1261" i="23"/>
  <c r="AJ1260" i="23"/>
  <c r="AJ1259" i="23"/>
  <c r="AB1226" i="23"/>
  <c r="AB1225" i="23"/>
  <c r="AB1224" i="23"/>
  <c r="AB1223" i="23"/>
  <c r="AB1222" i="23"/>
  <c r="AB1221" i="23"/>
  <c r="AB1220" i="23"/>
  <c r="AB1219" i="23"/>
  <c r="AB1218" i="23"/>
  <c r="AB1217" i="23"/>
  <c r="AB1216" i="23"/>
  <c r="AB1215" i="23"/>
  <c r="AB1214" i="23"/>
  <c r="AB1213" i="23"/>
  <c r="AB1212" i="23"/>
  <c r="AB1211" i="23"/>
  <c r="AJ1204" i="23"/>
  <c r="AJ1203" i="23"/>
  <c r="AJ1194" i="23"/>
  <c r="AJ1193" i="23"/>
  <c r="AJ1192" i="23"/>
  <c r="AJ1191" i="23"/>
  <c r="AJ1190" i="23"/>
  <c r="AJ1189" i="23"/>
  <c r="AJ1188" i="23"/>
  <c r="AJ1187" i="23"/>
  <c r="AJ1186" i="23"/>
  <c r="AJ1185" i="23"/>
  <c r="AJ1184" i="23"/>
  <c r="AJ1183" i="23"/>
  <c r="AJ1182" i="23"/>
  <c r="AJ1181" i="23"/>
  <c r="AJ1180" i="23"/>
  <c r="AJ1179" i="23"/>
  <c r="AJ1178" i="23"/>
  <c r="AJ1177" i="23"/>
  <c r="AJ1176" i="23"/>
  <c r="AJ1175" i="23"/>
  <c r="AJ1174" i="23"/>
  <c r="AJ1155" i="23"/>
  <c r="AJ1154" i="23"/>
  <c r="AJ1035" i="23"/>
  <c r="AJ1034" i="23"/>
  <c r="AJ1033" i="23"/>
  <c r="AJ1032" i="23"/>
  <c r="AJ1020" i="23"/>
  <c r="AJ1019" i="23"/>
  <c r="AJ1018" i="23"/>
  <c r="AJ1017" i="23"/>
  <c r="AJ1007" i="23"/>
  <c r="AJ1006" i="23"/>
  <c r="AJ1005" i="23"/>
  <c r="AJ1004" i="23"/>
  <c r="AJ1003" i="23"/>
  <c r="AJ1002" i="23"/>
  <c r="AJ1001" i="23"/>
  <c r="AJ911" i="23"/>
  <c r="AB820" i="23"/>
  <c r="AB853" i="23"/>
  <c r="AB852" i="23"/>
  <c r="AF854" i="23"/>
  <c r="AE854" i="23"/>
  <c r="AB730" i="23"/>
  <c r="AB729" i="23"/>
  <c r="AB728" i="23"/>
  <c r="AB727" i="23"/>
  <c r="AB726" i="23"/>
  <c r="AB725" i="23"/>
  <c r="AJ700" i="23"/>
  <c r="AJ699" i="23"/>
  <c r="AB596" i="23"/>
  <c r="AB595" i="23"/>
  <c r="AB594" i="23"/>
  <c r="AJ591" i="23"/>
  <c r="AJ590" i="23"/>
  <c r="AJ589" i="23"/>
  <c r="AJ588" i="23"/>
  <c r="AE571" i="23"/>
  <c r="AE570" i="23"/>
  <c r="AE569" i="23"/>
  <c r="AE568" i="23"/>
  <c r="AE567" i="23"/>
  <c r="AE566" i="23"/>
  <c r="AE565" i="23"/>
  <c r="AE564" i="23"/>
  <c r="AE563" i="23"/>
  <c r="AJ554" i="23"/>
  <c r="AJ553" i="23"/>
  <c r="AJ552" i="23"/>
  <c r="AJ551" i="23"/>
  <c r="AJ550" i="23"/>
  <c r="AF533" i="23"/>
  <c r="AE533" i="23"/>
  <c r="AF532" i="23"/>
  <c r="AE532" i="23"/>
  <c r="AF531" i="23"/>
  <c r="AE531" i="23"/>
  <c r="AF530" i="23"/>
  <c r="AE530" i="23"/>
  <c r="AF529" i="23"/>
  <c r="AE529" i="23"/>
  <c r="AF528" i="23"/>
  <c r="AE528" i="23"/>
  <c r="AJ519" i="23"/>
  <c r="AJ518" i="23"/>
  <c r="AE518" i="23"/>
  <c r="AJ517" i="23"/>
  <c r="AE517" i="23"/>
  <c r="AJ516" i="23"/>
  <c r="AE516" i="23"/>
  <c r="AJ486" i="23"/>
  <c r="AJ482" i="23"/>
  <c r="AJ481" i="23"/>
  <c r="AJ480" i="23"/>
  <c r="AJ479" i="23"/>
  <c r="AJ478" i="23"/>
  <c r="AB478" i="23"/>
  <c r="V478" i="23"/>
  <c r="AJ463" i="23"/>
  <c r="AB463" i="23"/>
  <c r="AJ462" i="23"/>
  <c r="AB462" i="23"/>
  <c r="AJ461" i="23"/>
  <c r="AB461" i="23"/>
  <c r="AJ460" i="23"/>
  <c r="AJ459" i="23"/>
  <c r="AJ458" i="23"/>
  <c r="AJ457" i="23"/>
  <c r="AJ453" i="23"/>
  <c r="AJ452" i="23"/>
  <c r="AJ451" i="23"/>
  <c r="AJ450" i="23"/>
  <c r="AJ449" i="23"/>
  <c r="AJ448" i="23"/>
  <c r="AJ447" i="23"/>
  <c r="AJ446" i="23"/>
  <c r="AJ445" i="23"/>
  <c r="AJ444" i="23"/>
  <c r="AJ443" i="23"/>
  <c r="AJ442" i="23"/>
  <c r="AJ425" i="23"/>
  <c r="AJ423" i="23"/>
  <c r="AJ403" i="23"/>
  <c r="AJ402" i="23"/>
  <c r="AJ401" i="23"/>
  <c r="AJ400" i="23"/>
  <c r="AJ399" i="23"/>
  <c r="AJ387" i="23"/>
  <c r="AE387" i="23"/>
  <c r="AJ386" i="23"/>
  <c r="AE386" i="23"/>
  <c r="AJ385" i="23"/>
  <c r="AE385" i="23"/>
  <c r="AJ384" i="23"/>
  <c r="AE384" i="23"/>
  <c r="AJ383" i="23"/>
  <c r="AE383" i="23"/>
  <c r="AJ382" i="23"/>
  <c r="AE382" i="23"/>
  <c r="AB358" i="23"/>
  <c r="AJ357" i="23"/>
  <c r="V357" i="23"/>
  <c r="AJ352" i="23"/>
  <c r="AJ351" i="23"/>
  <c r="AJ350" i="23"/>
  <c r="AJ349" i="23"/>
  <c r="AJ348" i="23"/>
  <c r="AJ347" i="23"/>
  <c r="AJ338" i="23"/>
  <c r="AJ337" i="23"/>
  <c r="AJ336" i="23"/>
  <c r="AJ335" i="23"/>
  <c r="AJ334" i="23"/>
  <c r="AJ312" i="23"/>
  <c r="AE312" i="23"/>
  <c r="AJ311" i="23"/>
  <c r="AE311" i="23"/>
  <c r="AJ310" i="23"/>
  <c r="AE310" i="23"/>
  <c r="AJ306" i="23"/>
  <c r="AJ305" i="23"/>
  <c r="AJ304" i="23"/>
  <c r="AJ303" i="23"/>
  <c r="V301" i="23"/>
  <c r="AJ299" i="23"/>
  <c r="V299" i="23"/>
  <c r="AJ298" i="23"/>
  <c r="AJ297" i="23"/>
  <c r="AJ296" i="23"/>
  <c r="AJ279" i="23"/>
  <c r="AU279" i="23" s="1"/>
  <c r="AJ278" i="23"/>
  <c r="AJ277" i="23"/>
  <c r="AJ276" i="23"/>
  <c r="AJ275" i="23"/>
  <c r="AJ274" i="23"/>
  <c r="AJ273" i="23"/>
  <c r="AF260" i="23"/>
  <c r="AE260" i="23"/>
  <c r="AF259" i="23"/>
  <c r="AE259" i="23"/>
  <c r="AF258" i="23"/>
  <c r="AE258" i="23"/>
  <c r="AF257" i="23"/>
  <c r="AE257" i="23"/>
  <c r="AF256" i="23"/>
  <c r="AE256" i="23"/>
  <c r="AF255" i="23"/>
  <c r="AE255" i="23"/>
  <c r="AF254" i="23"/>
  <c r="AE254" i="23"/>
  <c r="AF253" i="23"/>
  <c r="AE253" i="23"/>
  <c r="AF252" i="23"/>
  <c r="AE252" i="23"/>
  <c r="AF251" i="23"/>
  <c r="AE251" i="23"/>
  <c r="AF250" i="23"/>
  <c r="AE250" i="23"/>
  <c r="AF249" i="23"/>
  <c r="AE249" i="23"/>
  <c r="AF248" i="23"/>
  <c r="AE248" i="23"/>
  <c r="AF247" i="23"/>
  <c r="AE247" i="23"/>
  <c r="AF246" i="23"/>
  <c r="AE246" i="23"/>
  <c r="AF245" i="23"/>
  <c r="AE245" i="23"/>
  <c r="AF244" i="23"/>
  <c r="AE244" i="23"/>
  <c r="AF243" i="23"/>
  <c r="AE243" i="23"/>
  <c r="AF242" i="23"/>
  <c r="AE242" i="23"/>
  <c r="AF241" i="23"/>
  <c r="AE241" i="23"/>
  <c r="AF240" i="23"/>
  <c r="AE240" i="23"/>
  <c r="AF239" i="23"/>
  <c r="AE239" i="23"/>
  <c r="AF238" i="23"/>
  <c r="AE238" i="23"/>
  <c r="AF237" i="23"/>
  <c r="AE237" i="23"/>
  <c r="AF236" i="23"/>
  <c r="AE236" i="23"/>
  <c r="AF235" i="23"/>
  <c r="AE235" i="23"/>
  <c r="AF234" i="23"/>
  <c r="AE234" i="23"/>
  <c r="AF233" i="23"/>
  <c r="AE233" i="23"/>
  <c r="AF232" i="23"/>
  <c r="AE232" i="23"/>
  <c r="AF231" i="23"/>
  <c r="AE231" i="23"/>
  <c r="AF230" i="23"/>
  <c r="AE230" i="23"/>
  <c r="AF229" i="23"/>
  <c r="AE229" i="23"/>
  <c r="AF228" i="23"/>
  <c r="AE228" i="23"/>
  <c r="AF227" i="23"/>
  <c r="AE227" i="23"/>
  <c r="AF226" i="23"/>
  <c r="AE226" i="23"/>
  <c r="AF225" i="23"/>
  <c r="AE225" i="23"/>
  <c r="AF224" i="23"/>
  <c r="AE224" i="23"/>
  <c r="AF223" i="23"/>
  <c r="AE223" i="23"/>
  <c r="AF222" i="23"/>
  <c r="AE222" i="23"/>
  <c r="AF221" i="23"/>
  <c r="AE221" i="23"/>
  <c r="AF220" i="23"/>
  <c r="AE220" i="23"/>
  <c r="AF219" i="23"/>
  <c r="AE219" i="23"/>
  <c r="AF218" i="23"/>
  <c r="AE218" i="23"/>
  <c r="AF217" i="23"/>
  <c r="AE217" i="23"/>
  <c r="AF216" i="23"/>
  <c r="AE216" i="23"/>
  <c r="AF215" i="23"/>
  <c r="AE215" i="23"/>
  <c r="AF214" i="23"/>
  <c r="AE214" i="23"/>
  <c r="AF213" i="23"/>
  <c r="AE213" i="23"/>
  <c r="AF212" i="23"/>
  <c r="AE212" i="23"/>
  <c r="AF211" i="23"/>
  <c r="AE211" i="23"/>
  <c r="AF210" i="23"/>
  <c r="AE210" i="23"/>
  <c r="AF209" i="23"/>
  <c r="AE209" i="23"/>
  <c r="AF208" i="23"/>
  <c r="AE208" i="23"/>
  <c r="AF207" i="23"/>
  <c r="AE207" i="23"/>
  <c r="AF206" i="23"/>
  <c r="AE206" i="23"/>
  <c r="AF205" i="23"/>
  <c r="AE205" i="23"/>
  <c r="AF204" i="23"/>
  <c r="AE204" i="23"/>
  <c r="AF203" i="23"/>
  <c r="AE203" i="23"/>
  <c r="AF202" i="23"/>
  <c r="AE202" i="23"/>
  <c r="AF201" i="23"/>
  <c r="AE201" i="23"/>
  <c r="AF200" i="23"/>
  <c r="AE200" i="23"/>
  <c r="AJ199" i="23"/>
  <c r="AF199" i="23"/>
  <c r="AE199" i="23"/>
  <c r="AJ198" i="23"/>
  <c r="AF198" i="23"/>
  <c r="AE198" i="23"/>
  <c r="AJ197" i="23"/>
  <c r="AF197" i="23"/>
  <c r="AE197" i="23"/>
  <c r="AJ196" i="23"/>
  <c r="AF196" i="23"/>
  <c r="AE196" i="23"/>
  <c r="AJ195" i="23"/>
  <c r="AF195" i="23"/>
  <c r="AE195" i="23"/>
  <c r="AJ194" i="23"/>
  <c r="AF194" i="23"/>
  <c r="AE194" i="23"/>
  <c r="AJ193" i="23"/>
  <c r="AF193" i="23"/>
  <c r="AE193" i="23"/>
  <c r="AJ192" i="23"/>
  <c r="AF192" i="23"/>
  <c r="AE192" i="23"/>
  <c r="AJ191" i="23"/>
  <c r="AF191" i="23"/>
  <c r="AE191" i="23"/>
  <c r="AJ190" i="23"/>
  <c r="AF190" i="23"/>
  <c r="AE190" i="23"/>
  <c r="AJ189" i="23"/>
  <c r="AF189" i="23"/>
  <c r="AJ188" i="23"/>
  <c r="AF188" i="23"/>
  <c r="AE188" i="23"/>
  <c r="AJ187" i="23"/>
  <c r="AF187" i="23"/>
  <c r="AE187" i="23"/>
  <c r="AJ186" i="23"/>
  <c r="AF186" i="23"/>
  <c r="AE186" i="23"/>
  <c r="AJ185" i="23"/>
  <c r="AF185" i="23"/>
  <c r="AE185" i="23"/>
  <c r="AJ184" i="23"/>
  <c r="AF184" i="23"/>
  <c r="AJ183" i="23"/>
  <c r="AF183" i="23"/>
  <c r="AE183" i="23"/>
  <c r="AJ182" i="23"/>
  <c r="AF182" i="23"/>
  <c r="AE182" i="23"/>
  <c r="AJ181" i="23"/>
  <c r="AF181" i="23"/>
  <c r="AE181" i="23"/>
  <c r="AJ180" i="23"/>
  <c r="AF180" i="23"/>
  <c r="AE180" i="23"/>
  <c r="AJ179" i="23"/>
  <c r="AF179" i="23"/>
  <c r="AE179" i="23"/>
  <c r="AJ178" i="23"/>
  <c r="AF178" i="23"/>
  <c r="AE178" i="23"/>
  <c r="AJ177" i="23"/>
  <c r="AF177" i="23"/>
  <c r="AE177" i="23"/>
  <c r="AJ176" i="23"/>
  <c r="AF176" i="23"/>
  <c r="AE176" i="23"/>
  <c r="AJ175" i="23"/>
  <c r="AF175" i="23"/>
  <c r="AE175" i="23"/>
  <c r="AJ174" i="23"/>
  <c r="AF174" i="23"/>
  <c r="AE174" i="23"/>
  <c r="AJ173" i="23"/>
  <c r="AF173" i="23"/>
  <c r="AE173" i="23"/>
  <c r="AJ172" i="23"/>
  <c r="AF172" i="23"/>
  <c r="AE172" i="23"/>
  <c r="AJ171" i="23"/>
  <c r="AF171" i="23"/>
  <c r="AE171" i="23"/>
  <c r="AJ170" i="23"/>
  <c r="AF170" i="23"/>
  <c r="AE170" i="23"/>
  <c r="AJ169" i="23"/>
  <c r="AF169" i="23"/>
  <c r="AE169" i="23"/>
  <c r="AJ168" i="23"/>
  <c r="AF168" i="23"/>
  <c r="AE168" i="23"/>
  <c r="AJ167" i="23"/>
  <c r="AF167" i="23"/>
  <c r="AE167" i="23"/>
  <c r="AJ164" i="23"/>
  <c r="AJ163" i="23"/>
  <c r="AJ162" i="23"/>
  <c r="AJ161" i="23"/>
  <c r="AJ160" i="23"/>
  <c r="AJ159" i="23"/>
  <c r="AJ158" i="23"/>
  <c r="AJ157" i="23"/>
  <c r="AJ156" i="23"/>
  <c r="AJ155" i="23"/>
  <c r="AJ154" i="23"/>
  <c r="AJ153" i="23"/>
  <c r="AJ152" i="23"/>
  <c r="AJ151" i="23"/>
  <c r="AJ150" i="23"/>
  <c r="AJ149" i="23"/>
  <c r="AJ148" i="23"/>
  <c r="AJ147" i="23"/>
  <c r="AJ146" i="23"/>
  <c r="AJ145" i="23"/>
  <c r="AJ144" i="23"/>
  <c r="V137" i="23"/>
  <c r="AJ122" i="23"/>
  <c r="AJ121" i="23"/>
  <c r="AQ120" i="23"/>
  <c r="AN120" i="23"/>
  <c r="AF120" i="23"/>
  <c r="AE120" i="23"/>
  <c r="AQ119" i="23"/>
  <c r="AN119" i="23"/>
  <c r="AF119" i="23"/>
  <c r="AE119" i="23"/>
  <c r="AE118" i="23"/>
  <c r="AE117" i="23"/>
  <c r="AE116" i="23"/>
  <c r="AE115" i="23"/>
  <c r="AE114" i="23"/>
  <c r="AQ113" i="23"/>
  <c r="AN113" i="23"/>
  <c r="AF113" i="23"/>
  <c r="AE113" i="23"/>
  <c r="AJ101" i="23"/>
  <c r="AJ100" i="23"/>
  <c r="AJ99" i="23"/>
  <c r="AJ95" i="23"/>
  <c r="AJ94" i="23"/>
  <c r="AJ93" i="23"/>
  <c r="AJ92" i="23"/>
  <c r="AJ91" i="23"/>
  <c r="AJ90" i="23"/>
  <c r="AJ89" i="23"/>
  <c r="AJ88" i="23"/>
  <c r="AJ87" i="23"/>
  <c r="AJ86" i="23"/>
  <c r="AJ85" i="23"/>
  <c r="AJ84" i="23"/>
  <c r="AJ83" i="23"/>
  <c r="AJ82" i="23"/>
  <c r="AJ81" i="23"/>
  <c r="AJ80" i="23"/>
  <c r="AJ71" i="23"/>
  <c r="AE71" i="23"/>
  <c r="AJ69" i="23"/>
  <c r="AE69" i="23"/>
  <c r="AJ55" i="23"/>
  <c r="AJ54" i="23"/>
  <c r="AJ53" i="23"/>
  <c r="AJ52" i="23"/>
  <c r="AJ51" i="23"/>
  <c r="AJ50" i="23"/>
  <c r="AJ49" i="23"/>
  <c r="AJ24" i="23"/>
  <c r="AJ23" i="23"/>
  <c r="AJ22" i="23"/>
  <c r="AJ10" i="23"/>
  <c r="AJ9" i="23"/>
  <c r="AJ8" i="23"/>
  <c r="AJ7" i="23"/>
  <c r="AJ6" i="23"/>
  <c r="AJ5" i="23"/>
  <c r="AJ4" i="23"/>
  <c r="AU2" i="23"/>
  <c r="AZ424" i="23" l="1"/>
  <c r="BA424" i="23" s="1"/>
  <c r="CD520" i="23"/>
  <c r="BB1282" i="23"/>
  <c r="BB1171" i="23"/>
  <c r="BB1149" i="23"/>
  <c r="BB839" i="23"/>
  <c r="BB698" i="23"/>
  <c r="BB246" i="23"/>
  <c r="BB102" i="23"/>
  <c r="BB1281" i="23"/>
  <c r="BB1168" i="23"/>
  <c r="BB1090" i="23"/>
  <c r="BB170" i="23"/>
  <c r="BB1166" i="23"/>
  <c r="BB1145" i="23"/>
  <c r="BB1046" i="23"/>
  <c r="BB511" i="23"/>
  <c r="BB384" i="23"/>
  <c r="BB1280" i="23"/>
  <c r="BB1278" i="23"/>
  <c r="BB1165" i="23"/>
  <c r="BB1153" i="23"/>
  <c r="BB1054" i="23"/>
  <c r="BB734" i="23"/>
  <c r="BB423" i="23"/>
  <c r="BB250" i="23"/>
  <c r="BB1089" i="23"/>
  <c r="BB479" i="23"/>
  <c r="BB594" i="23"/>
  <c r="BB415" i="23"/>
  <c r="BB1167" i="23"/>
  <c r="BB1097" i="23"/>
  <c r="BB562" i="23"/>
  <c r="BB302" i="23"/>
  <c r="BB1173" i="23"/>
  <c r="BB1161" i="23"/>
  <c r="BB1151" i="23"/>
  <c r="BB554" i="23"/>
  <c r="BB530" i="23"/>
  <c r="BB314" i="23"/>
  <c r="BB164" i="23"/>
  <c r="BB6" i="23"/>
  <c r="BB1172" i="23"/>
  <c r="BB1150" i="23"/>
  <c r="AU157" i="23"/>
  <c r="AV157" i="23" s="1"/>
  <c r="AZ157" i="23" s="1"/>
  <c r="BA157" i="23" s="1"/>
  <c r="AU274" i="23"/>
  <c r="AV274" i="23" s="1"/>
  <c r="AZ274" i="23" s="1"/>
  <c r="AU516" i="23"/>
  <c r="AV516" i="23" s="1"/>
  <c r="AZ516" i="23" s="1"/>
  <c r="BA516" i="23" s="1"/>
  <c r="AU275" i="23"/>
  <c r="AU273" i="23"/>
  <c r="AV273" i="23" s="1"/>
  <c r="AZ273" i="23" s="1"/>
  <c r="BA273" i="23" s="1"/>
  <c r="AU185" i="23"/>
  <c r="AV185" i="23" s="1"/>
  <c r="AZ185" i="23" s="1"/>
  <c r="BA185" i="23" s="1"/>
  <c r="AU169" i="23"/>
  <c r="AU159" i="23"/>
  <c r="AV159" i="23" s="1"/>
  <c r="AZ159" i="23" s="1"/>
  <c r="BA159" i="23" s="1"/>
  <c r="AU192" i="23"/>
  <c r="AV192" i="23" s="1"/>
  <c r="AZ192" i="23" s="1"/>
  <c r="BA192" i="23" s="1"/>
  <c r="AU168" i="23"/>
  <c r="AU158" i="23"/>
  <c r="AV158" i="23" s="1"/>
  <c r="AZ158" i="23" s="1"/>
  <c r="BA158" i="23" s="1"/>
  <c r="AU150" i="23"/>
  <c r="AV150" i="23" s="1"/>
  <c r="AZ150" i="23" s="1"/>
  <c r="BA150" i="23" s="1"/>
  <c r="AU1020" i="23"/>
  <c r="AV1020" i="23" s="1"/>
  <c r="AZ1020" i="23" s="1"/>
  <c r="BA1020" i="23" s="1"/>
  <c r="AU191" i="23"/>
  <c r="AV191" i="23" s="1"/>
  <c r="AZ191" i="23" s="1"/>
  <c r="BA191" i="23" s="1"/>
  <c r="AU55" i="23"/>
  <c r="AV55" i="23" s="1"/>
  <c r="BD55" i="23" s="1"/>
  <c r="BE55" i="23" s="1"/>
  <c r="AU278" i="23"/>
  <c r="AV278" i="23" s="1"/>
  <c r="AZ278" i="23" s="1"/>
  <c r="BA278" i="23" s="1"/>
  <c r="AU182" i="23"/>
  <c r="AV182" i="23" s="1"/>
  <c r="AZ182" i="23" s="1"/>
  <c r="BA182" i="23" s="1"/>
  <c r="AU156" i="23"/>
  <c r="AV156" i="23" s="1"/>
  <c r="BD156" i="23" s="1"/>
  <c r="BE156" i="23" s="1"/>
  <c r="AU10" i="23"/>
  <c r="AU277" i="23"/>
  <c r="AV277" i="23" s="1"/>
  <c r="AZ277" i="23" s="1"/>
  <c r="BA277" i="23" s="1"/>
  <c r="AU197" i="23"/>
  <c r="AV197" i="23" s="1"/>
  <c r="BD197" i="23" s="1"/>
  <c r="BE197" i="23" s="1"/>
  <c r="AU173" i="23"/>
  <c r="AV173" i="23" s="1"/>
  <c r="AZ173" i="23" s="1"/>
  <c r="BA173" i="23" s="1"/>
  <c r="AU163" i="23"/>
  <c r="AV163" i="23" s="1"/>
  <c r="AZ163" i="23" s="1"/>
  <c r="BA163" i="23" s="1"/>
  <c r="AU155" i="23"/>
  <c r="AV155" i="23" s="1"/>
  <c r="AZ155" i="23" s="1"/>
  <c r="BA155" i="23" s="1"/>
  <c r="AU53" i="23"/>
  <c r="AV53" i="23" s="1"/>
  <c r="AZ53" i="23" s="1"/>
  <c r="BA53" i="23" s="1"/>
  <c r="AU160" i="23"/>
  <c r="AV160" i="23" s="1"/>
  <c r="AZ160" i="23" s="1"/>
  <c r="BA160" i="23" s="1"/>
  <c r="AU517" i="23"/>
  <c r="AV517" i="23" s="1"/>
  <c r="AZ517" i="23" s="1"/>
  <c r="BA517" i="23" s="1"/>
  <c r="AU276" i="23"/>
  <c r="AV276" i="23" s="1"/>
  <c r="BD276" i="23" s="1"/>
  <c r="BE276" i="23" s="1"/>
  <c r="AU196" i="23"/>
  <c r="AV196" i="23" s="1"/>
  <c r="BD196" i="23" s="1"/>
  <c r="BE196" i="23" s="1"/>
  <c r="AU162" i="23"/>
  <c r="AV162" i="23" s="1"/>
  <c r="AZ162" i="23" s="1"/>
  <c r="BA162" i="23" s="1"/>
  <c r="AU146" i="23"/>
  <c r="AV146" i="23" s="1"/>
  <c r="BD146" i="23" s="1"/>
  <c r="BE146" i="23" s="1"/>
  <c r="AU195" i="23"/>
  <c r="AV195" i="23" s="1"/>
  <c r="AZ195" i="23" s="1"/>
  <c r="BA195" i="23" s="1"/>
  <c r="AU187" i="23"/>
  <c r="AV187" i="23" s="1"/>
  <c r="BD187" i="23" s="1"/>
  <c r="BE187" i="23" s="1"/>
  <c r="AU171" i="23"/>
  <c r="AU161" i="23"/>
  <c r="AV161" i="23" s="1"/>
  <c r="AZ161" i="23" s="1"/>
  <c r="BA161" i="23" s="1"/>
  <c r="AU153" i="23"/>
  <c r="AV153" i="23" s="1"/>
  <c r="BD153" i="23" s="1"/>
  <c r="BE153" i="23" s="1"/>
  <c r="AZ790" i="23"/>
  <c r="BA790" i="23" s="1"/>
  <c r="BD790" i="23"/>
  <c r="BE790" i="23" s="1"/>
  <c r="AZ286" i="23"/>
  <c r="BA286" i="23" s="1"/>
  <c r="BD286" i="23"/>
  <c r="BE286" i="23" s="1"/>
  <c r="AZ140" i="23"/>
  <c r="BA140" i="23" s="1"/>
  <c r="BD140" i="23"/>
  <c r="BE140" i="23" s="1"/>
  <c r="AZ122" i="23"/>
  <c r="BA122" i="23" s="1"/>
  <c r="BD122" i="23"/>
  <c r="BE122" i="23" s="1"/>
  <c r="BF122" i="23" s="1"/>
  <c r="BG122" i="23" s="1"/>
  <c r="AZ1267" i="23"/>
  <c r="BA1267" i="23" s="1"/>
  <c r="BD1267" i="23"/>
  <c r="BE1267" i="23" s="1"/>
  <c r="BF1267" i="23" s="1"/>
  <c r="BG1267" i="23" s="1"/>
  <c r="AZ1105" i="23"/>
  <c r="BA1105" i="23" s="1"/>
  <c r="BD1105" i="23"/>
  <c r="BE1105" i="23" s="1"/>
  <c r="AZ814" i="23"/>
  <c r="BA814" i="23" s="1"/>
  <c r="BD814" i="23"/>
  <c r="BE814" i="23" s="1"/>
  <c r="AZ962" i="23"/>
  <c r="BA962" i="23" s="1"/>
  <c r="BD962" i="23"/>
  <c r="BE962" i="23" s="1"/>
  <c r="AZ918" i="23"/>
  <c r="BA918" i="23" s="1"/>
  <c r="BD918" i="23"/>
  <c r="BE918" i="23" s="1"/>
  <c r="AZ726" i="23"/>
  <c r="BA726" i="23" s="1"/>
  <c r="BD726" i="23"/>
  <c r="BE726" i="23" s="1"/>
  <c r="AZ306" i="23"/>
  <c r="BA306" i="23" s="1"/>
  <c r="BD306" i="23"/>
  <c r="BE306" i="23" s="1"/>
  <c r="BF306" i="23" s="1"/>
  <c r="BG306" i="23" s="1"/>
  <c r="AZ238" i="23"/>
  <c r="BA238" i="23" s="1"/>
  <c r="BD238" i="23"/>
  <c r="BE238" i="23" s="1"/>
  <c r="AZ132" i="23"/>
  <c r="BA132" i="23" s="1"/>
  <c r="BD132" i="23"/>
  <c r="BE132" i="23" s="1"/>
  <c r="AZ118" i="23"/>
  <c r="BA118" i="23" s="1"/>
  <c r="BD118" i="23"/>
  <c r="BE118" i="23" s="1"/>
  <c r="AZ62" i="23"/>
  <c r="BA62" i="23" s="1"/>
  <c r="BD62" i="23"/>
  <c r="BE62" i="23" s="1"/>
  <c r="AZ1271" i="23"/>
  <c r="BA1271" i="23" s="1"/>
  <c r="BD1271" i="23"/>
  <c r="BE1271" i="23" s="1"/>
  <c r="AZ1109" i="23"/>
  <c r="BA1109" i="23" s="1"/>
  <c r="BD1109" i="23"/>
  <c r="BE1109" i="23" s="1"/>
  <c r="AZ1035" i="23"/>
  <c r="BA1035" i="23" s="1"/>
  <c r="BD1035" i="23"/>
  <c r="BE1035" i="23" s="1"/>
  <c r="AZ1010" i="23"/>
  <c r="BA1010" i="23" s="1"/>
  <c r="BD1010" i="23"/>
  <c r="BE1010" i="23" s="1"/>
  <c r="AZ957" i="23"/>
  <c r="BA957" i="23" s="1"/>
  <c r="BD957" i="23"/>
  <c r="BE957" i="23" s="1"/>
  <c r="AZ953" i="23"/>
  <c r="BA953" i="23" s="1"/>
  <c r="BD953" i="23"/>
  <c r="BE953" i="23" s="1"/>
  <c r="AZ941" i="23"/>
  <c r="BA941" i="23" s="1"/>
  <c r="BD941" i="23"/>
  <c r="BE941" i="23" s="1"/>
  <c r="BF941" i="23" s="1"/>
  <c r="BG941" i="23" s="1"/>
  <c r="AZ937" i="23"/>
  <c r="BA937" i="23" s="1"/>
  <c r="BD937" i="23"/>
  <c r="BE937" i="23" s="1"/>
  <c r="AZ925" i="23"/>
  <c r="BA925" i="23" s="1"/>
  <c r="BD925" i="23"/>
  <c r="BE925" i="23" s="1"/>
  <c r="AZ921" i="23"/>
  <c r="BA921" i="23" s="1"/>
  <c r="BD921" i="23"/>
  <c r="BE921" i="23" s="1"/>
  <c r="AZ810" i="23"/>
  <c r="BA810" i="23" s="1"/>
  <c r="BD810" i="23"/>
  <c r="BE810" i="23" s="1"/>
  <c r="AZ856" i="23"/>
  <c r="BA856" i="23" s="1"/>
  <c r="BD856" i="23"/>
  <c r="BE856" i="23" s="1"/>
  <c r="AZ904" i="23"/>
  <c r="BA904" i="23" s="1"/>
  <c r="BD904" i="23"/>
  <c r="BE904" i="23" s="1"/>
  <c r="AZ879" i="23"/>
  <c r="BA879" i="23" s="1"/>
  <c r="BD879" i="23"/>
  <c r="BE879" i="23" s="1"/>
  <c r="AZ867" i="23"/>
  <c r="BA867" i="23" s="1"/>
  <c r="BD867" i="23"/>
  <c r="BE867" i="23" s="1"/>
  <c r="AZ901" i="23"/>
  <c r="BA901" i="23" s="1"/>
  <c r="BD901" i="23"/>
  <c r="BE901" i="23" s="1"/>
  <c r="AZ889" i="23"/>
  <c r="BA889" i="23" s="1"/>
  <c r="BD889" i="23"/>
  <c r="BE889" i="23" s="1"/>
  <c r="AZ885" i="23"/>
  <c r="BA885" i="23" s="1"/>
  <c r="BD885" i="23"/>
  <c r="BE885" i="23" s="1"/>
  <c r="AZ825" i="23"/>
  <c r="BA825" i="23" s="1"/>
  <c r="BD825" i="23"/>
  <c r="BE825" i="23" s="1"/>
  <c r="AZ820" i="23"/>
  <c r="BA820" i="23" s="1"/>
  <c r="BD820" i="23"/>
  <c r="BE820" i="23" s="1"/>
  <c r="AZ917" i="23"/>
  <c r="BA917" i="23" s="1"/>
  <c r="BD917" i="23"/>
  <c r="BE917" i="23" s="1"/>
  <c r="AZ797" i="23"/>
  <c r="BA797" i="23" s="1"/>
  <c r="BD797" i="23"/>
  <c r="BE797" i="23" s="1"/>
  <c r="AZ793" i="23"/>
  <c r="BA793" i="23" s="1"/>
  <c r="BD793" i="23"/>
  <c r="BE793" i="23" s="1"/>
  <c r="AZ777" i="23"/>
  <c r="BA777" i="23" s="1"/>
  <c r="BD777" i="23"/>
  <c r="BE777" i="23" s="1"/>
  <c r="AZ765" i="23"/>
  <c r="BA765" i="23" s="1"/>
  <c r="BD765" i="23"/>
  <c r="BE765" i="23" s="1"/>
  <c r="AZ761" i="23"/>
  <c r="BA761" i="23" s="1"/>
  <c r="BD761" i="23"/>
  <c r="BE761" i="23" s="1"/>
  <c r="AZ749" i="23"/>
  <c r="BA749" i="23" s="1"/>
  <c r="BD749" i="23"/>
  <c r="BE749" i="23" s="1"/>
  <c r="BF749" i="23" s="1"/>
  <c r="BG749" i="23" s="1"/>
  <c r="AZ745" i="23"/>
  <c r="BA745" i="23" s="1"/>
  <c r="BD745" i="23"/>
  <c r="BE745" i="23" s="1"/>
  <c r="AZ733" i="23"/>
  <c r="BA733" i="23" s="1"/>
  <c r="BD733" i="23"/>
  <c r="BE733" i="23" s="1"/>
  <c r="AZ725" i="23"/>
  <c r="BA725" i="23" s="1"/>
  <c r="BD725" i="23"/>
  <c r="BE725" i="23" s="1"/>
  <c r="AZ713" i="23"/>
  <c r="BA713" i="23" s="1"/>
  <c r="BD713" i="23"/>
  <c r="BE713" i="23" s="1"/>
  <c r="AZ709" i="23"/>
  <c r="BA709" i="23" s="1"/>
  <c r="BD709" i="23"/>
  <c r="BE709" i="23" s="1"/>
  <c r="AZ577" i="23"/>
  <c r="BA577" i="23" s="1"/>
  <c r="BD577" i="23"/>
  <c r="BE577" i="23" s="1"/>
  <c r="BF577" i="23" s="1"/>
  <c r="BG577" i="23" s="1"/>
  <c r="AZ573" i="23"/>
  <c r="BA573" i="23" s="1"/>
  <c r="BD573" i="23"/>
  <c r="BE573" i="23" s="1"/>
  <c r="BF573" i="23" s="1"/>
  <c r="BG573" i="23" s="1"/>
  <c r="AZ569" i="23"/>
  <c r="BA569" i="23" s="1"/>
  <c r="BD569" i="23"/>
  <c r="BE569" i="23" s="1"/>
  <c r="BF569" i="23" s="1"/>
  <c r="BG569" i="23" s="1"/>
  <c r="AZ565" i="23"/>
  <c r="BA565" i="23" s="1"/>
  <c r="BD565" i="23"/>
  <c r="BE565" i="23" s="1"/>
  <c r="AZ549" i="23"/>
  <c r="BA549" i="23" s="1"/>
  <c r="BD549" i="23"/>
  <c r="BE549" i="23" s="1"/>
  <c r="AZ545" i="23"/>
  <c r="BA545" i="23" s="1"/>
  <c r="BD545" i="23"/>
  <c r="BE545" i="23" s="1"/>
  <c r="BF545" i="23" s="1"/>
  <c r="BG545" i="23" s="1"/>
  <c r="AZ500" i="23"/>
  <c r="BA500" i="23" s="1"/>
  <c r="BD500" i="23"/>
  <c r="BE500" i="23" s="1"/>
  <c r="AZ496" i="23"/>
  <c r="BA496" i="23" s="1"/>
  <c r="BD496" i="23"/>
  <c r="BE496" i="23" s="1"/>
  <c r="AZ426" i="23"/>
  <c r="BA426" i="23" s="1"/>
  <c r="BD426" i="23"/>
  <c r="BE426" i="23" s="1"/>
  <c r="AZ418" i="23"/>
  <c r="BA418" i="23" s="1"/>
  <c r="BD418" i="23"/>
  <c r="BE418" i="23" s="1"/>
  <c r="AZ414" i="23"/>
  <c r="BA414" i="23" s="1"/>
  <c r="BD414" i="23"/>
  <c r="BE414" i="23" s="1"/>
  <c r="AZ395" i="23"/>
  <c r="BA395" i="23" s="1"/>
  <c r="BD395" i="23"/>
  <c r="BE395" i="23" s="1"/>
  <c r="AZ391" i="23"/>
  <c r="BA391" i="23" s="1"/>
  <c r="BD391" i="23"/>
  <c r="BE391" i="23" s="1"/>
  <c r="BF391" i="23" s="1"/>
  <c r="BG391" i="23" s="1"/>
  <c r="AZ375" i="23"/>
  <c r="BA375" i="23" s="1"/>
  <c r="BD375" i="23"/>
  <c r="BE375" i="23" s="1"/>
  <c r="AZ309" i="23"/>
  <c r="BA309" i="23" s="1"/>
  <c r="BD309" i="23"/>
  <c r="BE309" i="23" s="1"/>
  <c r="AZ305" i="23"/>
  <c r="BA305" i="23" s="1"/>
  <c r="BD305" i="23"/>
  <c r="BE305" i="23" s="1"/>
  <c r="AZ301" i="23"/>
  <c r="BA301" i="23" s="1"/>
  <c r="BD301" i="23"/>
  <c r="BE301" i="23" s="1"/>
  <c r="AZ289" i="23"/>
  <c r="BA289" i="23" s="1"/>
  <c r="BD289" i="23"/>
  <c r="BE289" i="23" s="1"/>
  <c r="AZ269" i="23"/>
  <c r="BA269" i="23" s="1"/>
  <c r="BD269" i="23"/>
  <c r="BE269" i="23" s="1"/>
  <c r="AZ245" i="23"/>
  <c r="BA245" i="23" s="1"/>
  <c r="BD245" i="23"/>
  <c r="BE245" i="23" s="1"/>
  <c r="AZ237" i="23"/>
  <c r="BA237" i="23" s="1"/>
  <c r="BD237" i="23"/>
  <c r="BE237" i="23" s="1"/>
  <c r="AZ233" i="23"/>
  <c r="BA233" i="23" s="1"/>
  <c r="BD233" i="23"/>
  <c r="BE233" i="23" s="1"/>
  <c r="AZ221" i="23"/>
  <c r="BA221" i="23" s="1"/>
  <c r="BD221" i="23"/>
  <c r="BE221" i="23" s="1"/>
  <c r="AZ217" i="23"/>
  <c r="BA217" i="23" s="1"/>
  <c r="BD217" i="23"/>
  <c r="BE217" i="23" s="1"/>
  <c r="AZ205" i="23"/>
  <c r="BA205" i="23" s="1"/>
  <c r="BD205" i="23"/>
  <c r="BE205" i="23" s="1"/>
  <c r="AZ201" i="23"/>
  <c r="BA201" i="23" s="1"/>
  <c r="BD201" i="23"/>
  <c r="BE201" i="23" s="1"/>
  <c r="AZ143" i="23"/>
  <c r="BA143" i="23" s="1"/>
  <c r="BD143" i="23"/>
  <c r="BE143" i="23" s="1"/>
  <c r="AZ135" i="23"/>
  <c r="BA135" i="23" s="1"/>
  <c r="BD135" i="23"/>
  <c r="BE135" i="23" s="1"/>
  <c r="AZ127" i="23"/>
  <c r="BA127" i="23" s="1"/>
  <c r="BD127" i="23"/>
  <c r="BE127" i="23" s="1"/>
  <c r="AZ65" i="23"/>
  <c r="BA65" i="23" s="1"/>
  <c r="BD65" i="23"/>
  <c r="BE65" i="23" s="1"/>
  <c r="AZ5" i="23"/>
  <c r="BA5" i="23" s="1"/>
  <c r="BD5" i="23"/>
  <c r="BE5" i="23" s="1"/>
  <c r="AZ117" i="23"/>
  <c r="BA117" i="23" s="1"/>
  <c r="BD117" i="23"/>
  <c r="BE117" i="23" s="1"/>
  <c r="AZ128" i="23"/>
  <c r="BA128" i="23" s="1"/>
  <c r="BD128" i="23"/>
  <c r="BE128" i="23" s="1"/>
  <c r="AZ209" i="23"/>
  <c r="BA209" i="23" s="1"/>
  <c r="BD209" i="23"/>
  <c r="BE209" i="23" s="1"/>
  <c r="AZ253" i="23"/>
  <c r="BA253" i="23" s="1"/>
  <c r="BD253" i="23"/>
  <c r="BE253" i="23" s="1"/>
  <c r="AZ261" i="23"/>
  <c r="BA261" i="23" s="1"/>
  <c r="BD261" i="23"/>
  <c r="BE261" i="23" s="1"/>
  <c r="AZ293" i="23"/>
  <c r="BA293" i="23" s="1"/>
  <c r="BD293" i="23"/>
  <c r="BE293" i="23" s="1"/>
  <c r="AZ422" i="23"/>
  <c r="BA422" i="23" s="1"/>
  <c r="BD422" i="23"/>
  <c r="BE422" i="23" s="1"/>
  <c r="AZ470" i="23"/>
  <c r="BA470" i="23" s="1"/>
  <c r="BD470" i="23"/>
  <c r="BE470" i="23" s="1"/>
  <c r="AZ581" i="23"/>
  <c r="BA581" i="23" s="1"/>
  <c r="BD581" i="23"/>
  <c r="BE581" i="23" s="1"/>
  <c r="AZ753" i="23"/>
  <c r="BA753" i="23" s="1"/>
  <c r="BD753" i="23"/>
  <c r="BE753" i="23" s="1"/>
  <c r="AZ789" i="23"/>
  <c r="BA789" i="23" s="1"/>
  <c r="BD789" i="23"/>
  <c r="BE789" i="23" s="1"/>
  <c r="AZ911" i="23"/>
  <c r="BA911" i="23" s="1"/>
  <c r="BD911" i="23"/>
  <c r="BE911" i="23" s="1"/>
  <c r="AZ893" i="23"/>
  <c r="BA893" i="23" s="1"/>
  <c r="BD893" i="23"/>
  <c r="BE893" i="23" s="1"/>
  <c r="AZ871" i="23"/>
  <c r="BA871" i="23" s="1"/>
  <c r="BD871" i="23"/>
  <c r="BE871" i="23" s="1"/>
  <c r="AZ860" i="23"/>
  <c r="BA860" i="23" s="1"/>
  <c r="BD860" i="23"/>
  <c r="BE860" i="23" s="1"/>
  <c r="AZ929" i="23"/>
  <c r="BA929" i="23" s="1"/>
  <c r="BD929" i="23"/>
  <c r="BE929" i="23" s="1"/>
  <c r="AZ961" i="23"/>
  <c r="BA961" i="23" s="1"/>
  <c r="BD961" i="23"/>
  <c r="BE961" i="23" s="1"/>
  <c r="AZ1014" i="23"/>
  <c r="BA1014" i="23" s="1"/>
  <c r="BD1014" i="23"/>
  <c r="BE1014" i="23" s="1"/>
  <c r="AZ1263" i="23"/>
  <c r="BA1263" i="23" s="1"/>
  <c r="BD1263" i="23"/>
  <c r="BE1263" i="23" s="1"/>
  <c r="BF1263" i="23" s="1"/>
  <c r="BG1263" i="23" s="1"/>
  <c r="BD4" i="23"/>
  <c r="BE4" i="23" s="1"/>
  <c r="AZ4" i="23"/>
  <c r="AZ1170" i="23"/>
  <c r="BA1170" i="23" s="1"/>
  <c r="BD1170" i="23"/>
  <c r="BE1170" i="23" s="1"/>
  <c r="AZ1110" i="23"/>
  <c r="BA1110" i="23" s="1"/>
  <c r="BD1110" i="23"/>
  <c r="BE1110" i="23" s="1"/>
  <c r="AZ1102" i="23"/>
  <c r="BA1102" i="23" s="1"/>
  <c r="BD1102" i="23"/>
  <c r="BE1102" i="23" s="1"/>
  <c r="AZ1011" i="23"/>
  <c r="BA1011" i="23" s="1"/>
  <c r="BD1011" i="23"/>
  <c r="BE1011" i="23" s="1"/>
  <c r="AZ958" i="23"/>
  <c r="BA958" i="23" s="1"/>
  <c r="BD958" i="23"/>
  <c r="BE958" i="23" s="1"/>
  <c r="AZ950" i="23"/>
  <c r="BA950" i="23" s="1"/>
  <c r="BD950" i="23"/>
  <c r="BE950" i="23" s="1"/>
  <c r="AZ942" i="23"/>
  <c r="BA942" i="23" s="1"/>
  <c r="BD942" i="23"/>
  <c r="BE942" i="23" s="1"/>
  <c r="AZ805" i="23"/>
  <c r="BA805" i="23" s="1"/>
  <c r="BD805" i="23"/>
  <c r="BE805" i="23" s="1"/>
  <c r="BF805" i="23" s="1"/>
  <c r="BG805" i="23" s="1"/>
  <c r="AZ861" i="23"/>
  <c r="BA861" i="23" s="1"/>
  <c r="BD861" i="23"/>
  <c r="BE861" i="23" s="1"/>
  <c r="AZ909" i="23"/>
  <c r="BA909" i="23" s="1"/>
  <c r="BD909" i="23"/>
  <c r="BE909" i="23" s="1"/>
  <c r="AZ905" i="23"/>
  <c r="BA905" i="23" s="1"/>
  <c r="BD905" i="23"/>
  <c r="BE905" i="23" s="1"/>
  <c r="AZ876" i="23"/>
  <c r="BA876" i="23" s="1"/>
  <c r="BD876" i="23"/>
  <c r="BE876" i="23" s="1"/>
  <c r="AZ868" i="23"/>
  <c r="BA868" i="23" s="1"/>
  <c r="BD868" i="23"/>
  <c r="BE868" i="23" s="1"/>
  <c r="AZ762" i="23"/>
  <c r="BA762" i="23" s="1"/>
  <c r="BD762" i="23"/>
  <c r="BE762" i="23" s="1"/>
  <c r="AZ754" i="23"/>
  <c r="BA754" i="23" s="1"/>
  <c r="BD754" i="23"/>
  <c r="BE754" i="23" s="1"/>
  <c r="BF754" i="23" s="1"/>
  <c r="BG754" i="23" s="1"/>
  <c r="AZ746" i="23"/>
  <c r="BA746" i="23" s="1"/>
  <c r="BD746" i="23"/>
  <c r="BE746" i="23" s="1"/>
  <c r="BF746" i="23" s="1"/>
  <c r="BG746" i="23" s="1"/>
  <c r="AZ582" i="23"/>
  <c r="BA582" i="23" s="1"/>
  <c r="BD582" i="23"/>
  <c r="BE582" i="23" s="1"/>
  <c r="AZ566" i="23"/>
  <c r="BA566" i="23" s="1"/>
  <c r="BD566" i="23"/>
  <c r="BE566" i="23" s="1"/>
  <c r="AZ497" i="23"/>
  <c r="BA497" i="23" s="1"/>
  <c r="BD497" i="23"/>
  <c r="BE497" i="23" s="1"/>
  <c r="AZ427" i="23"/>
  <c r="BA427" i="23" s="1"/>
  <c r="BD427" i="23"/>
  <c r="BE427" i="23" s="1"/>
  <c r="AZ392" i="23"/>
  <c r="BA392" i="23" s="1"/>
  <c r="BD392" i="23"/>
  <c r="BE392" i="23" s="1"/>
  <c r="AZ364" i="23"/>
  <c r="BA364" i="23" s="1"/>
  <c r="BD364" i="23"/>
  <c r="BE364" i="23" s="1"/>
  <c r="AZ310" i="23"/>
  <c r="BA310" i="23" s="1"/>
  <c r="BD310" i="23"/>
  <c r="BE310" i="23" s="1"/>
  <c r="AZ294" i="23"/>
  <c r="BA294" i="23" s="1"/>
  <c r="BD294" i="23"/>
  <c r="BE294" i="23" s="1"/>
  <c r="AZ270" i="23"/>
  <c r="BA270" i="23" s="1"/>
  <c r="BD270" i="23"/>
  <c r="BE270" i="23" s="1"/>
  <c r="AZ262" i="23"/>
  <c r="BA262" i="23" s="1"/>
  <c r="BD262" i="23"/>
  <c r="BE262" i="23" s="1"/>
  <c r="AZ226" i="23"/>
  <c r="BA226" i="23" s="1"/>
  <c r="BD226" i="23"/>
  <c r="BE226" i="23" s="1"/>
  <c r="AZ218" i="23"/>
  <c r="BA218" i="23" s="1"/>
  <c r="BD218" i="23"/>
  <c r="BE218" i="23" s="1"/>
  <c r="AZ202" i="23"/>
  <c r="BA202" i="23" s="1"/>
  <c r="BD202" i="23"/>
  <c r="BE202" i="23" s="1"/>
  <c r="AZ136" i="23"/>
  <c r="BA136" i="23" s="1"/>
  <c r="BD136" i="23"/>
  <c r="BE136" i="23" s="1"/>
  <c r="AZ61" i="23"/>
  <c r="BA61" i="23" s="1"/>
  <c r="BD61" i="23"/>
  <c r="BE61" i="23" s="1"/>
  <c r="AZ131" i="23"/>
  <c r="BA131" i="23" s="1"/>
  <c r="BD131" i="23"/>
  <c r="BE131" i="23" s="1"/>
  <c r="AZ213" i="23"/>
  <c r="BA213" i="23" s="1"/>
  <c r="BD213" i="23"/>
  <c r="BE213" i="23" s="1"/>
  <c r="AZ241" i="23"/>
  <c r="BA241" i="23" s="1"/>
  <c r="BD241" i="23"/>
  <c r="BE241" i="23" s="1"/>
  <c r="AZ265" i="23"/>
  <c r="BA265" i="23" s="1"/>
  <c r="BD265" i="23"/>
  <c r="BE265" i="23" s="1"/>
  <c r="AZ285" i="23"/>
  <c r="BA285" i="23" s="1"/>
  <c r="BD285" i="23"/>
  <c r="BE285" i="23" s="1"/>
  <c r="AZ487" i="23"/>
  <c r="BA487" i="23" s="1"/>
  <c r="BD487" i="23"/>
  <c r="BE487" i="23" s="1"/>
  <c r="BF487" i="23" s="1"/>
  <c r="BG487" i="23" s="1"/>
  <c r="AZ541" i="23"/>
  <c r="BA541" i="23" s="1"/>
  <c r="BD541" i="23"/>
  <c r="BE541" i="23" s="1"/>
  <c r="BF541" i="23" s="1"/>
  <c r="BG541" i="23" s="1"/>
  <c r="AZ585" i="23"/>
  <c r="BA585" i="23" s="1"/>
  <c r="BD585" i="23"/>
  <c r="BE585" i="23" s="1"/>
  <c r="AZ721" i="23"/>
  <c r="BA721" i="23" s="1"/>
  <c r="BD721" i="23"/>
  <c r="BE721" i="23" s="1"/>
  <c r="AZ773" i="23"/>
  <c r="BA773" i="23" s="1"/>
  <c r="BD773" i="23"/>
  <c r="BE773" i="23" s="1"/>
  <c r="AZ908" i="23"/>
  <c r="BA908" i="23" s="1"/>
  <c r="BD908" i="23"/>
  <c r="BE908" i="23" s="1"/>
  <c r="AZ875" i="23"/>
  <c r="BA875" i="23" s="1"/>
  <c r="BD875" i="23"/>
  <c r="BE875" i="23" s="1"/>
  <c r="AZ819" i="23"/>
  <c r="BA819" i="23" s="1"/>
  <c r="BD819" i="23"/>
  <c r="BE819" i="23" s="1"/>
  <c r="AZ949" i="23"/>
  <c r="BA949" i="23" s="1"/>
  <c r="BD949" i="23"/>
  <c r="BE949" i="23" s="1"/>
  <c r="AZ1031" i="23"/>
  <c r="BA1031" i="23" s="1"/>
  <c r="BD1031" i="23"/>
  <c r="BE1031" i="23" s="1"/>
  <c r="AZ1169" i="23"/>
  <c r="BA1169" i="23" s="1"/>
  <c r="BD1169" i="23"/>
  <c r="BE1169" i="23" s="1"/>
  <c r="AU189" i="23"/>
  <c r="AV189" i="23" s="1"/>
  <c r="AZ1112" i="23"/>
  <c r="BA1112" i="23" s="1"/>
  <c r="BD1112" i="23"/>
  <c r="BE1112" i="23" s="1"/>
  <c r="AZ1108" i="23"/>
  <c r="BA1108" i="23" s="1"/>
  <c r="BD1108" i="23"/>
  <c r="BE1108" i="23" s="1"/>
  <c r="AZ1104" i="23"/>
  <c r="BA1104" i="23" s="1"/>
  <c r="BD1104" i="23"/>
  <c r="BE1104" i="23" s="1"/>
  <c r="AZ1100" i="23"/>
  <c r="BA1100" i="23" s="1"/>
  <c r="BD1100" i="23"/>
  <c r="BE1100" i="23" s="1"/>
  <c r="AZ1064" i="23"/>
  <c r="BA1064" i="23" s="1"/>
  <c r="BD1064" i="23"/>
  <c r="BE1064" i="23" s="1"/>
  <c r="AZ1034" i="23"/>
  <c r="BA1034" i="23" s="1"/>
  <c r="BD1034" i="23"/>
  <c r="BE1034" i="23" s="1"/>
  <c r="AZ1013" i="23"/>
  <c r="BA1013" i="23" s="1"/>
  <c r="BD1013" i="23"/>
  <c r="BE1013" i="23" s="1"/>
  <c r="AZ964" i="23"/>
  <c r="BA964" i="23" s="1"/>
  <c r="BD964" i="23"/>
  <c r="BE964" i="23" s="1"/>
  <c r="AZ960" i="23"/>
  <c r="BA960" i="23" s="1"/>
  <c r="BD960" i="23"/>
  <c r="BE960" i="23" s="1"/>
  <c r="AZ956" i="23"/>
  <c r="BA956" i="23" s="1"/>
  <c r="BD956" i="23"/>
  <c r="BE956" i="23" s="1"/>
  <c r="AZ952" i="23"/>
  <c r="BA952" i="23" s="1"/>
  <c r="BD952" i="23"/>
  <c r="BE952" i="23" s="1"/>
  <c r="AZ948" i="23"/>
  <c r="BA948" i="23" s="1"/>
  <c r="BD948" i="23"/>
  <c r="BE948" i="23" s="1"/>
  <c r="AZ944" i="23"/>
  <c r="BA944" i="23" s="1"/>
  <c r="BD944" i="23"/>
  <c r="BE944" i="23" s="1"/>
  <c r="AZ818" i="23"/>
  <c r="BA818" i="23" s="1"/>
  <c r="BD818" i="23"/>
  <c r="BE818" i="23" s="1"/>
  <c r="AZ817" i="23"/>
  <c r="BA817" i="23" s="1"/>
  <c r="BD817" i="23"/>
  <c r="BE817" i="23" s="1"/>
  <c r="AZ813" i="23"/>
  <c r="BA813" i="23" s="1"/>
  <c r="BD813" i="23"/>
  <c r="BE813" i="23" s="1"/>
  <c r="AZ809" i="23"/>
  <c r="BA809" i="23" s="1"/>
  <c r="BD809" i="23"/>
  <c r="BE809" i="23" s="1"/>
  <c r="AZ863" i="23"/>
  <c r="BA863" i="23" s="1"/>
  <c r="BD863" i="23"/>
  <c r="BE863" i="23" s="1"/>
  <c r="AZ859" i="23"/>
  <c r="BA859" i="23" s="1"/>
  <c r="BD859" i="23"/>
  <c r="BE859" i="23" s="1"/>
  <c r="AZ855" i="23"/>
  <c r="BA855" i="23" s="1"/>
  <c r="BD855" i="23"/>
  <c r="BE855" i="23" s="1"/>
  <c r="AZ903" i="23"/>
  <c r="BA903" i="23" s="1"/>
  <c r="BD903" i="23"/>
  <c r="BE903" i="23" s="1"/>
  <c r="AZ878" i="23"/>
  <c r="BA878" i="23" s="1"/>
  <c r="BD878" i="23"/>
  <c r="BE878" i="23" s="1"/>
  <c r="AZ874" i="23"/>
  <c r="BA874" i="23" s="1"/>
  <c r="BD874" i="23"/>
  <c r="BE874" i="23" s="1"/>
  <c r="AZ870" i="23"/>
  <c r="BA870" i="23" s="1"/>
  <c r="BD870" i="23"/>
  <c r="BE870" i="23" s="1"/>
  <c r="AZ824" i="23"/>
  <c r="BA824" i="23" s="1"/>
  <c r="BD824" i="23"/>
  <c r="BE824" i="23" s="1"/>
  <c r="AZ854" i="23"/>
  <c r="BA854" i="23" s="1"/>
  <c r="BD854" i="23"/>
  <c r="BE854" i="23" s="1"/>
  <c r="AZ768" i="23"/>
  <c r="BA768" i="23" s="1"/>
  <c r="BD768" i="23"/>
  <c r="BE768" i="23" s="1"/>
  <c r="AZ764" i="23"/>
  <c r="BA764" i="23" s="1"/>
  <c r="BD764" i="23"/>
  <c r="BE764" i="23" s="1"/>
  <c r="AZ760" i="23"/>
  <c r="BA760" i="23" s="1"/>
  <c r="BD760" i="23"/>
  <c r="BE760" i="23" s="1"/>
  <c r="AZ756" i="23"/>
  <c r="BA756" i="23" s="1"/>
  <c r="BD756" i="23"/>
  <c r="BE756" i="23" s="1"/>
  <c r="AZ752" i="23"/>
  <c r="BA752" i="23" s="1"/>
  <c r="BD752" i="23"/>
  <c r="BE752" i="23" s="1"/>
  <c r="AZ748" i="23"/>
  <c r="BA748" i="23" s="1"/>
  <c r="BD748" i="23"/>
  <c r="BE748" i="23" s="1"/>
  <c r="AZ744" i="23"/>
  <c r="BD744" i="23"/>
  <c r="BE744" i="23" s="1"/>
  <c r="AZ732" i="23"/>
  <c r="BA732" i="23" s="1"/>
  <c r="BD732" i="23"/>
  <c r="BE732" i="23" s="1"/>
  <c r="AZ728" i="23"/>
  <c r="BA728" i="23" s="1"/>
  <c r="BD728" i="23"/>
  <c r="BE728" i="23" s="1"/>
  <c r="AZ580" i="23"/>
  <c r="BA580" i="23" s="1"/>
  <c r="BD580" i="23"/>
  <c r="BE580" i="23" s="1"/>
  <c r="BF580" i="23" s="1"/>
  <c r="BG580" i="23" s="1"/>
  <c r="AZ572" i="23"/>
  <c r="BA572" i="23" s="1"/>
  <c r="BD572" i="23"/>
  <c r="BE572" i="23" s="1"/>
  <c r="AZ568" i="23"/>
  <c r="BA568" i="23" s="1"/>
  <c r="BD568" i="23"/>
  <c r="BE568" i="23" s="1"/>
  <c r="AZ556" i="23"/>
  <c r="BA556" i="23" s="1"/>
  <c r="BD556" i="23"/>
  <c r="BE556" i="23" s="1"/>
  <c r="BF556" i="23" s="1"/>
  <c r="BG556" i="23" s="1"/>
  <c r="AZ524" i="23"/>
  <c r="BA524" i="23" s="1"/>
  <c r="BD524" i="23"/>
  <c r="BE524" i="23" s="1"/>
  <c r="AZ429" i="23"/>
  <c r="BA429" i="23" s="1"/>
  <c r="BD429" i="23"/>
  <c r="BE429" i="23" s="1"/>
  <c r="AZ394" i="23"/>
  <c r="BA394" i="23" s="1"/>
  <c r="BD394" i="23"/>
  <c r="BE394" i="23" s="1"/>
  <c r="AZ390" i="23"/>
  <c r="BA390" i="23" s="1"/>
  <c r="BD390" i="23"/>
  <c r="BE390" i="23" s="1"/>
  <c r="AZ378" i="23"/>
  <c r="BA378" i="23" s="1"/>
  <c r="BD378" i="23"/>
  <c r="BE378" i="23" s="1"/>
  <c r="AZ366" i="23"/>
  <c r="BA366" i="23" s="1"/>
  <c r="BD366" i="23"/>
  <c r="BE366" i="23" s="1"/>
  <c r="AZ357" i="23"/>
  <c r="BA357" i="23" s="1"/>
  <c r="BD357" i="23"/>
  <c r="BE357" i="23" s="1"/>
  <c r="AZ312" i="23"/>
  <c r="BA312" i="23" s="1"/>
  <c r="BD312" i="23"/>
  <c r="BE312" i="23" s="1"/>
  <c r="AZ304" i="23"/>
  <c r="BA304" i="23" s="1"/>
  <c r="BD304" i="23"/>
  <c r="BE304" i="23" s="1"/>
  <c r="AZ300" i="23"/>
  <c r="BA300" i="23" s="1"/>
  <c r="BD300" i="23"/>
  <c r="BE300" i="23" s="1"/>
  <c r="AZ292" i="23"/>
  <c r="BA292" i="23" s="1"/>
  <c r="BD292" i="23"/>
  <c r="BE292" i="23" s="1"/>
  <c r="AZ288" i="23"/>
  <c r="BA288" i="23" s="1"/>
  <c r="BD288" i="23"/>
  <c r="BE288" i="23" s="1"/>
  <c r="AZ284" i="23"/>
  <c r="BA284" i="23" s="1"/>
  <c r="BD284" i="23"/>
  <c r="BE284" i="23" s="1"/>
  <c r="AZ272" i="23"/>
  <c r="BA272" i="23" s="1"/>
  <c r="BD272" i="23"/>
  <c r="BE272" i="23" s="1"/>
  <c r="AZ268" i="23"/>
  <c r="BA268" i="23" s="1"/>
  <c r="BD268" i="23"/>
  <c r="BE268" i="23" s="1"/>
  <c r="AZ264" i="23"/>
  <c r="BA264" i="23" s="1"/>
  <c r="BD264" i="23"/>
  <c r="BE264" i="23" s="1"/>
  <c r="AZ244" i="23"/>
  <c r="BA244" i="23" s="1"/>
  <c r="BD244" i="23"/>
  <c r="BE244" i="23" s="1"/>
  <c r="AZ236" i="23"/>
  <c r="BA236" i="23" s="1"/>
  <c r="BD236" i="23"/>
  <c r="BE236" i="23" s="1"/>
  <c r="AZ232" i="23"/>
  <c r="BA232" i="23" s="1"/>
  <c r="BD232" i="23"/>
  <c r="BE232" i="23" s="1"/>
  <c r="AZ228" i="23"/>
  <c r="BA228" i="23" s="1"/>
  <c r="BD228" i="23"/>
  <c r="BE228" i="23" s="1"/>
  <c r="AZ220" i="23"/>
  <c r="BA220" i="23" s="1"/>
  <c r="BD220" i="23"/>
  <c r="BE220" i="23" s="1"/>
  <c r="AZ216" i="23"/>
  <c r="BA216" i="23" s="1"/>
  <c r="BD216" i="23"/>
  <c r="BE216" i="23" s="1"/>
  <c r="AZ212" i="23"/>
  <c r="BA212" i="23" s="1"/>
  <c r="BD212" i="23"/>
  <c r="BE212" i="23" s="1"/>
  <c r="AZ204" i="23"/>
  <c r="BA204" i="23" s="1"/>
  <c r="BD204" i="23"/>
  <c r="BE204" i="23" s="1"/>
  <c r="AZ200" i="23"/>
  <c r="BA200" i="23" s="1"/>
  <c r="BD200" i="23"/>
  <c r="BE200" i="23" s="1"/>
  <c r="AZ142" i="23"/>
  <c r="BA142" i="23" s="1"/>
  <c r="BD142" i="23"/>
  <c r="BE142" i="23" s="1"/>
  <c r="BF142" i="23" s="1"/>
  <c r="BG142" i="23" s="1"/>
  <c r="AZ134" i="23"/>
  <c r="BA134" i="23" s="1"/>
  <c r="BD134" i="23"/>
  <c r="BE134" i="23" s="1"/>
  <c r="AZ116" i="23"/>
  <c r="BA116" i="23" s="1"/>
  <c r="BD116" i="23"/>
  <c r="BE116" i="23" s="1"/>
  <c r="AZ60" i="23"/>
  <c r="BA60" i="23" s="1"/>
  <c r="BD60" i="23"/>
  <c r="BE60" i="23" s="1"/>
  <c r="AZ24" i="23"/>
  <c r="BA24" i="23" s="1"/>
  <c r="BD24" i="23"/>
  <c r="BE24" i="23" s="1"/>
  <c r="AZ66" i="23"/>
  <c r="BA66" i="23" s="1"/>
  <c r="BD66" i="23"/>
  <c r="BE66" i="23" s="1"/>
  <c r="AZ121" i="23"/>
  <c r="BA121" i="23" s="1"/>
  <c r="BD121" i="23"/>
  <c r="BE121" i="23" s="1"/>
  <c r="AZ225" i="23"/>
  <c r="BA225" i="23" s="1"/>
  <c r="BD225" i="23"/>
  <c r="BE225" i="23" s="1"/>
  <c r="AZ396" i="23"/>
  <c r="BA396" i="23" s="1"/>
  <c r="BD396" i="23"/>
  <c r="BE396" i="23" s="1"/>
  <c r="AZ430" i="23"/>
  <c r="BA430" i="23" s="1"/>
  <c r="BD430" i="23"/>
  <c r="BE430" i="23" s="1"/>
  <c r="BF430" i="23" s="1"/>
  <c r="BG430" i="23" s="1"/>
  <c r="AZ537" i="23"/>
  <c r="BA537" i="23" s="1"/>
  <c r="BD537" i="23"/>
  <c r="BE537" i="23" s="1"/>
  <c r="AZ717" i="23"/>
  <c r="BA717" i="23" s="1"/>
  <c r="BD717" i="23"/>
  <c r="BE717" i="23" s="1"/>
  <c r="BF717" i="23" s="1"/>
  <c r="BG717" i="23" s="1"/>
  <c r="AZ737" i="23"/>
  <c r="BA737" i="23" s="1"/>
  <c r="BD737" i="23"/>
  <c r="BE737" i="23" s="1"/>
  <c r="AZ769" i="23"/>
  <c r="BA769" i="23" s="1"/>
  <c r="BD769" i="23"/>
  <c r="BE769" i="23" s="1"/>
  <c r="AZ912" i="23"/>
  <c r="BA912" i="23" s="1"/>
  <c r="BD912" i="23"/>
  <c r="BE912" i="23" s="1"/>
  <c r="AZ830" i="23"/>
  <c r="BA830" i="23" s="1"/>
  <c r="BD830" i="23"/>
  <c r="BE830" i="23" s="1"/>
  <c r="AZ804" i="23"/>
  <c r="BA804" i="23" s="1"/>
  <c r="BD804" i="23"/>
  <c r="BE804" i="23" s="1"/>
  <c r="AZ945" i="23"/>
  <c r="BA945" i="23" s="1"/>
  <c r="BD945" i="23"/>
  <c r="BE945" i="23" s="1"/>
  <c r="AZ1002" i="23"/>
  <c r="BA1002" i="23" s="1"/>
  <c r="BD1002" i="23"/>
  <c r="BE1002" i="23" s="1"/>
  <c r="AZ1113" i="23"/>
  <c r="BA1113" i="23" s="1"/>
  <c r="BD1113" i="23"/>
  <c r="BE1113" i="23" s="1"/>
  <c r="AZ1275" i="23"/>
  <c r="BA1275" i="23" s="1"/>
  <c r="BD1275" i="23"/>
  <c r="BE1275" i="23" s="1"/>
  <c r="BF1275" i="23" s="1"/>
  <c r="BG1275" i="23" s="1"/>
  <c r="AZ1284" i="23"/>
  <c r="BA1284" i="23" s="1"/>
  <c r="BD1284" i="23"/>
  <c r="BE1284" i="23" s="1"/>
  <c r="AZ1264" i="23"/>
  <c r="BA1264" i="23" s="1"/>
  <c r="BD1264" i="23"/>
  <c r="BE1264" i="23" s="1"/>
  <c r="AZ1259" i="23"/>
  <c r="BA1259" i="23" s="1"/>
  <c r="BD1259" i="23"/>
  <c r="BE1259" i="23" s="1"/>
  <c r="BF1259" i="23" s="1"/>
  <c r="BG1259" i="23" s="1"/>
  <c r="AZ1146" i="23"/>
  <c r="BA1146" i="23" s="1"/>
  <c r="BD1146" i="23"/>
  <c r="BE1146" i="23" s="1"/>
  <c r="AZ1114" i="23"/>
  <c r="BA1114" i="23" s="1"/>
  <c r="BD1114" i="23"/>
  <c r="BE1114" i="23" s="1"/>
  <c r="AZ1106" i="23"/>
  <c r="BA1106" i="23" s="1"/>
  <c r="BD1106" i="23"/>
  <c r="BE1106" i="23" s="1"/>
  <c r="AZ1062" i="23"/>
  <c r="BA1062" i="23" s="1"/>
  <c r="BD1062" i="23"/>
  <c r="BE1062" i="23" s="1"/>
  <c r="AZ1015" i="23"/>
  <c r="BA1015" i="23" s="1"/>
  <c r="BD1015" i="23"/>
  <c r="BE1015" i="23" s="1"/>
  <c r="AZ1003" i="23"/>
  <c r="BA1003" i="23" s="1"/>
  <c r="BD1003" i="23"/>
  <c r="BE1003" i="23" s="1"/>
  <c r="AZ954" i="23"/>
  <c r="BA954" i="23" s="1"/>
  <c r="BD954" i="23"/>
  <c r="BE954" i="23" s="1"/>
  <c r="AZ946" i="23"/>
  <c r="BA946" i="23" s="1"/>
  <c r="BD946" i="23"/>
  <c r="BE946" i="23" s="1"/>
  <c r="BF946" i="23" s="1"/>
  <c r="BG946" i="23" s="1"/>
  <c r="AZ851" i="23"/>
  <c r="BA851" i="23" s="1"/>
  <c r="BD851" i="23"/>
  <c r="BE851" i="23" s="1"/>
  <c r="BF851" i="23" s="1"/>
  <c r="BG851" i="23" s="1"/>
  <c r="AZ811" i="23"/>
  <c r="BA811" i="23" s="1"/>
  <c r="BD811" i="23"/>
  <c r="BE811" i="23" s="1"/>
  <c r="AZ857" i="23"/>
  <c r="BA857" i="23" s="1"/>
  <c r="BD857" i="23"/>
  <c r="BE857" i="23" s="1"/>
  <c r="AZ880" i="23"/>
  <c r="BA880" i="23" s="1"/>
  <c r="BD880" i="23"/>
  <c r="BE880" i="23" s="1"/>
  <c r="AZ872" i="23"/>
  <c r="BD872" i="23"/>
  <c r="BE872" i="23" s="1"/>
  <c r="AZ822" i="23"/>
  <c r="BA822" i="23" s="1"/>
  <c r="BD822" i="23"/>
  <c r="BE822" i="23" s="1"/>
  <c r="AZ794" i="23"/>
  <c r="BA794" i="23" s="1"/>
  <c r="BD794" i="23"/>
  <c r="BE794" i="23" s="1"/>
  <c r="AZ766" i="23"/>
  <c r="BA766" i="23" s="1"/>
  <c r="BD766" i="23"/>
  <c r="BE766" i="23" s="1"/>
  <c r="AZ758" i="23"/>
  <c r="BA758" i="23" s="1"/>
  <c r="BD758" i="23"/>
  <c r="BE758" i="23" s="1"/>
  <c r="BF758" i="23" s="1"/>
  <c r="BG758" i="23" s="1"/>
  <c r="AZ750" i="23"/>
  <c r="BA750" i="23" s="1"/>
  <c r="BD750" i="23"/>
  <c r="BE750" i="23" s="1"/>
  <c r="AZ730" i="23"/>
  <c r="BA730" i="23" s="1"/>
  <c r="BD730" i="23"/>
  <c r="BE730" i="23" s="1"/>
  <c r="AZ586" i="23"/>
  <c r="BA586" i="23" s="1"/>
  <c r="BD586" i="23"/>
  <c r="BE586" i="23" s="1"/>
  <c r="AZ578" i="23"/>
  <c r="BA578" i="23" s="1"/>
  <c r="BD578" i="23"/>
  <c r="BE578" i="23" s="1"/>
  <c r="AZ570" i="23"/>
  <c r="BA570" i="23" s="1"/>
  <c r="BD570" i="23"/>
  <c r="BE570" i="23" s="1"/>
  <c r="AZ501" i="23"/>
  <c r="BA501" i="23" s="1"/>
  <c r="BD501" i="23"/>
  <c r="BE501" i="23" s="1"/>
  <c r="AZ372" i="23"/>
  <c r="BA372" i="23" s="1"/>
  <c r="BD372" i="23"/>
  <c r="BE372" i="23" s="1"/>
  <c r="AZ298" i="23"/>
  <c r="BA298" i="23" s="1"/>
  <c r="BD298" i="23"/>
  <c r="BE298" i="23" s="1"/>
  <c r="AZ282" i="23"/>
  <c r="BA282" i="23" s="1"/>
  <c r="BD282" i="23"/>
  <c r="BE282" i="23" s="1"/>
  <c r="AZ266" i="23"/>
  <c r="BA266" i="23" s="1"/>
  <c r="BD266" i="23"/>
  <c r="BE266" i="23" s="1"/>
  <c r="AZ242" i="23"/>
  <c r="BD242" i="23"/>
  <c r="BE242" i="23" s="1"/>
  <c r="AZ230" i="23"/>
  <c r="BA230" i="23" s="1"/>
  <c r="BD230" i="23"/>
  <c r="BE230" i="23" s="1"/>
  <c r="AZ222" i="23"/>
  <c r="BA222" i="23" s="1"/>
  <c r="BD222" i="23"/>
  <c r="BE222" i="23" s="1"/>
  <c r="AZ214" i="23"/>
  <c r="BA214" i="23" s="1"/>
  <c r="BD214" i="23"/>
  <c r="BE214" i="23" s="1"/>
  <c r="AZ206" i="23"/>
  <c r="BA206" i="23" s="1"/>
  <c r="BD206" i="23"/>
  <c r="BE206" i="23" s="1"/>
  <c r="AZ144" i="23"/>
  <c r="BA144" i="23" s="1"/>
  <c r="BD144" i="23"/>
  <c r="BE144" i="23" s="1"/>
  <c r="AZ114" i="23"/>
  <c r="BA114" i="23" s="1"/>
  <c r="BD114" i="23"/>
  <c r="BE114" i="23" s="1"/>
  <c r="AZ139" i="23"/>
  <c r="BA139" i="23" s="1"/>
  <c r="BD139" i="23"/>
  <c r="BE139" i="23" s="1"/>
  <c r="AZ229" i="23"/>
  <c r="BA229" i="23" s="1"/>
  <c r="BD229" i="23"/>
  <c r="BE229" i="23" s="1"/>
  <c r="AZ441" i="23"/>
  <c r="BA441" i="23" s="1"/>
  <c r="BD441" i="23"/>
  <c r="BE441" i="23" s="1"/>
  <c r="AZ525" i="23"/>
  <c r="BA525" i="23" s="1"/>
  <c r="BD525" i="23"/>
  <c r="BE525" i="23" s="1"/>
  <c r="BF525" i="23" s="1"/>
  <c r="BG525" i="23" s="1"/>
  <c r="AZ557" i="23"/>
  <c r="BA557" i="23" s="1"/>
  <c r="BD557" i="23"/>
  <c r="BE557" i="23" s="1"/>
  <c r="AZ705" i="23"/>
  <c r="BA705" i="23" s="1"/>
  <c r="BD705" i="23"/>
  <c r="BE705" i="23" s="1"/>
  <c r="BF705" i="23" s="1"/>
  <c r="BG705" i="23" s="1"/>
  <c r="AZ729" i="23"/>
  <c r="BA729" i="23" s="1"/>
  <c r="BD729" i="23"/>
  <c r="BE729" i="23" s="1"/>
  <c r="AZ757" i="23"/>
  <c r="BA757" i="23" s="1"/>
  <c r="BD757" i="23"/>
  <c r="BE757" i="23" s="1"/>
  <c r="AZ821" i="23"/>
  <c r="BA821" i="23" s="1"/>
  <c r="BD821" i="23"/>
  <c r="BE821" i="23" s="1"/>
  <c r="AZ897" i="23"/>
  <c r="BA897" i="23" s="1"/>
  <c r="BD897" i="23"/>
  <c r="BE897" i="23" s="1"/>
  <c r="AZ834" i="23"/>
  <c r="BA834" i="23" s="1"/>
  <c r="BD834" i="23"/>
  <c r="BE834" i="23" s="1"/>
  <c r="AZ864" i="23"/>
  <c r="BA864" i="23" s="1"/>
  <c r="BD864" i="23"/>
  <c r="BE864" i="23" s="1"/>
  <c r="AZ933" i="23"/>
  <c r="BA933" i="23" s="1"/>
  <c r="BD933" i="23"/>
  <c r="BE933" i="23" s="1"/>
  <c r="AZ1101" i="23"/>
  <c r="BA1101" i="23" s="1"/>
  <c r="BD1101" i="23"/>
  <c r="BE1101" i="23" s="1"/>
  <c r="AU147" i="23"/>
  <c r="AV147" i="23" s="1"/>
  <c r="AU151" i="23"/>
  <c r="AV151" i="23" s="1"/>
  <c r="AU177" i="23"/>
  <c r="AV177" i="23" s="1"/>
  <c r="AU1019" i="23"/>
  <c r="AZ1285" i="23"/>
  <c r="BA1285" i="23" s="1"/>
  <c r="BD1285" i="23"/>
  <c r="BE1285" i="23" s="1"/>
  <c r="AZ1261" i="23"/>
  <c r="BA1261" i="23" s="1"/>
  <c r="BD1261" i="23"/>
  <c r="BE1261" i="23" s="1"/>
  <c r="AZ1115" i="23"/>
  <c r="BD1115" i="23"/>
  <c r="BE1115" i="23" s="1"/>
  <c r="AZ1111" i="23"/>
  <c r="BA1111" i="23" s="1"/>
  <c r="BD1111" i="23"/>
  <c r="BE1111" i="23" s="1"/>
  <c r="AZ1107" i="23"/>
  <c r="BA1107" i="23" s="1"/>
  <c r="BD1107" i="23"/>
  <c r="BE1107" i="23" s="1"/>
  <c r="AZ1103" i="23"/>
  <c r="BA1103" i="23" s="1"/>
  <c r="BD1103" i="23"/>
  <c r="BE1103" i="23" s="1"/>
  <c r="AZ1099" i="23"/>
  <c r="BA1099" i="23" s="1"/>
  <c r="BD1099" i="23"/>
  <c r="BE1099" i="23" s="1"/>
  <c r="AZ1033" i="23"/>
  <c r="BA1033" i="23" s="1"/>
  <c r="BD1033" i="23"/>
  <c r="BE1033" i="23" s="1"/>
  <c r="AZ1008" i="23"/>
  <c r="BA1008" i="23" s="1"/>
  <c r="BD1008" i="23"/>
  <c r="BE1008" i="23" s="1"/>
  <c r="AZ963" i="23"/>
  <c r="BA963" i="23" s="1"/>
  <c r="BD963" i="23"/>
  <c r="BE963" i="23" s="1"/>
  <c r="AZ959" i="23"/>
  <c r="BA959" i="23" s="1"/>
  <c r="BD959" i="23"/>
  <c r="BE959" i="23" s="1"/>
  <c r="AZ955" i="23"/>
  <c r="BA955" i="23" s="1"/>
  <c r="BD955" i="23"/>
  <c r="BE955" i="23" s="1"/>
  <c r="AZ951" i="23"/>
  <c r="BA951" i="23" s="1"/>
  <c r="BD951" i="23"/>
  <c r="BE951" i="23" s="1"/>
  <c r="AZ947" i="23"/>
  <c r="BA947" i="23" s="1"/>
  <c r="BD947" i="23"/>
  <c r="BE947" i="23" s="1"/>
  <c r="AZ943" i="23"/>
  <c r="BA943" i="23" s="1"/>
  <c r="BD943" i="23"/>
  <c r="BE943" i="23" s="1"/>
  <c r="AZ806" i="23"/>
  <c r="BA806" i="23" s="1"/>
  <c r="BD806" i="23"/>
  <c r="BE806" i="23" s="1"/>
  <c r="AZ816" i="23"/>
  <c r="BA816" i="23" s="1"/>
  <c r="BD816" i="23"/>
  <c r="BE816" i="23" s="1"/>
  <c r="AZ812" i="23"/>
  <c r="BA812" i="23" s="1"/>
  <c r="BD812" i="23"/>
  <c r="BE812" i="23" s="1"/>
  <c r="AZ862" i="23"/>
  <c r="BA862" i="23" s="1"/>
  <c r="BD862" i="23"/>
  <c r="BE862" i="23" s="1"/>
  <c r="AZ858" i="23"/>
  <c r="BA858" i="23" s="1"/>
  <c r="BD858" i="23"/>
  <c r="BE858" i="23" s="1"/>
  <c r="AZ910" i="23"/>
  <c r="BA910" i="23" s="1"/>
  <c r="BD910" i="23"/>
  <c r="BE910" i="23" s="1"/>
  <c r="AZ906" i="23"/>
  <c r="BA906" i="23" s="1"/>
  <c r="BD906" i="23"/>
  <c r="BE906" i="23" s="1"/>
  <c r="AZ881" i="23"/>
  <c r="BA881" i="23" s="1"/>
  <c r="BD881" i="23"/>
  <c r="BE881" i="23" s="1"/>
  <c r="AZ877" i="23"/>
  <c r="BD877" i="23"/>
  <c r="BE877" i="23" s="1"/>
  <c r="AZ873" i="23"/>
  <c r="BA873" i="23" s="1"/>
  <c r="BD873" i="23"/>
  <c r="BE873" i="23" s="1"/>
  <c r="AZ869" i="23"/>
  <c r="BD869" i="23"/>
  <c r="BE869" i="23" s="1"/>
  <c r="AZ895" i="23"/>
  <c r="BA895" i="23" s="1"/>
  <c r="BD895" i="23"/>
  <c r="BE895" i="23" s="1"/>
  <c r="AZ823" i="23"/>
  <c r="BA823" i="23" s="1"/>
  <c r="BD823" i="23"/>
  <c r="BE823" i="23" s="1"/>
  <c r="AZ791" i="23"/>
  <c r="BA791" i="23" s="1"/>
  <c r="BD791" i="23"/>
  <c r="BE791" i="23" s="1"/>
  <c r="BF791" i="23" s="1"/>
  <c r="BG791" i="23" s="1"/>
  <c r="AZ767" i="23"/>
  <c r="BA767" i="23" s="1"/>
  <c r="BD767" i="23"/>
  <c r="BE767" i="23" s="1"/>
  <c r="BF767" i="23" s="1"/>
  <c r="BG767" i="23" s="1"/>
  <c r="AZ763" i="23"/>
  <c r="BA763" i="23" s="1"/>
  <c r="BD763" i="23"/>
  <c r="BE763" i="23" s="1"/>
  <c r="AZ759" i="23"/>
  <c r="BA759" i="23" s="1"/>
  <c r="BD759" i="23"/>
  <c r="BE759" i="23" s="1"/>
  <c r="AZ755" i="23"/>
  <c r="BA755" i="23" s="1"/>
  <c r="BD755" i="23"/>
  <c r="BE755" i="23" s="1"/>
  <c r="AZ751" i="23"/>
  <c r="BA751" i="23" s="1"/>
  <c r="BD751" i="23"/>
  <c r="BE751" i="23" s="1"/>
  <c r="AZ747" i="23"/>
  <c r="BA747" i="23" s="1"/>
  <c r="BD747" i="23"/>
  <c r="BE747" i="23" s="1"/>
  <c r="BF747" i="23" s="1"/>
  <c r="BG747" i="23" s="1"/>
  <c r="AZ735" i="23"/>
  <c r="BA735" i="23" s="1"/>
  <c r="BD735" i="23"/>
  <c r="BE735" i="23" s="1"/>
  <c r="AZ731" i="23"/>
  <c r="BA731" i="23" s="1"/>
  <c r="BD731" i="23"/>
  <c r="BE731" i="23" s="1"/>
  <c r="AZ727" i="23"/>
  <c r="BD727" i="23"/>
  <c r="BE727" i="23" s="1"/>
  <c r="AZ579" i="23"/>
  <c r="BA579" i="23" s="1"/>
  <c r="BD579" i="23"/>
  <c r="BE579" i="23" s="1"/>
  <c r="BF579" i="23" s="1"/>
  <c r="BG579" i="23" s="1"/>
  <c r="AZ575" i="23"/>
  <c r="BA575" i="23" s="1"/>
  <c r="BD575" i="23"/>
  <c r="BE575" i="23" s="1"/>
  <c r="BF575" i="23" s="1"/>
  <c r="BG575" i="23" s="1"/>
  <c r="AZ571" i="23"/>
  <c r="BA571" i="23" s="1"/>
  <c r="BD571" i="23"/>
  <c r="BE571" i="23" s="1"/>
  <c r="AZ567" i="23"/>
  <c r="BA567" i="23" s="1"/>
  <c r="BD567" i="23"/>
  <c r="BE567" i="23" s="1"/>
  <c r="AZ555" i="23"/>
  <c r="BA555" i="23" s="1"/>
  <c r="BD555" i="23"/>
  <c r="BE555" i="23" s="1"/>
  <c r="AZ547" i="23"/>
  <c r="BA547" i="23" s="1"/>
  <c r="BD547" i="23"/>
  <c r="BE547" i="23" s="1"/>
  <c r="AZ539" i="23"/>
  <c r="BA539" i="23" s="1"/>
  <c r="BD539" i="23"/>
  <c r="BE539" i="23" s="1"/>
  <c r="AZ523" i="23"/>
  <c r="BA523" i="23" s="1"/>
  <c r="BD523" i="23"/>
  <c r="BE523" i="23" s="1"/>
  <c r="AZ393" i="23"/>
  <c r="BA393" i="23" s="1"/>
  <c r="BD393" i="23"/>
  <c r="BE393" i="23" s="1"/>
  <c r="AZ389" i="23"/>
  <c r="BA389" i="23" s="1"/>
  <c r="BD389" i="23"/>
  <c r="BE389" i="23" s="1"/>
  <c r="BF389" i="23" s="1"/>
  <c r="BG389" i="23" s="1"/>
  <c r="AZ381" i="23"/>
  <c r="BA381" i="23" s="1"/>
  <c r="BD381" i="23"/>
  <c r="BE381" i="23" s="1"/>
  <c r="AZ369" i="23"/>
  <c r="BA369" i="23" s="1"/>
  <c r="BD369" i="23"/>
  <c r="BE369" i="23" s="1"/>
  <c r="AZ311" i="23"/>
  <c r="BA311" i="23" s="1"/>
  <c r="BD311" i="23"/>
  <c r="BE311" i="23" s="1"/>
  <c r="AZ303" i="23"/>
  <c r="BA303" i="23" s="1"/>
  <c r="BD303" i="23"/>
  <c r="BE303" i="23" s="1"/>
  <c r="AZ299" i="23"/>
  <c r="BA299" i="23" s="1"/>
  <c r="BD299" i="23"/>
  <c r="BE299" i="23" s="1"/>
  <c r="AZ295" i="23"/>
  <c r="BD295" i="23"/>
  <c r="BE295" i="23" s="1"/>
  <c r="AZ287" i="23"/>
  <c r="BA287" i="23" s="1"/>
  <c r="BD287" i="23"/>
  <c r="BE287" i="23" s="1"/>
  <c r="AZ283" i="23"/>
  <c r="BA283" i="23" s="1"/>
  <c r="BD283" i="23"/>
  <c r="BE283" i="23" s="1"/>
  <c r="AZ271" i="23"/>
  <c r="BA271" i="23" s="1"/>
  <c r="BD271" i="23"/>
  <c r="BE271" i="23" s="1"/>
  <c r="AZ267" i="23"/>
  <c r="BA267" i="23" s="1"/>
  <c r="BD267" i="23"/>
  <c r="BE267" i="23" s="1"/>
  <c r="BF267" i="23" s="1"/>
  <c r="BG267" i="23" s="1"/>
  <c r="AZ263" i="23"/>
  <c r="BA263" i="23" s="1"/>
  <c r="BD263" i="23"/>
  <c r="BE263" i="23" s="1"/>
  <c r="AZ255" i="23"/>
  <c r="BA255" i="23" s="1"/>
  <c r="BD255" i="23"/>
  <c r="BE255" i="23" s="1"/>
  <c r="AZ251" i="23"/>
  <c r="BA251" i="23" s="1"/>
  <c r="BD251" i="23"/>
  <c r="BE251" i="23" s="1"/>
  <c r="AZ243" i="23"/>
  <c r="BA243" i="23" s="1"/>
  <c r="BD243" i="23"/>
  <c r="BE243" i="23" s="1"/>
  <c r="AZ239" i="23"/>
  <c r="BA239" i="23" s="1"/>
  <c r="BD239" i="23"/>
  <c r="BE239" i="23" s="1"/>
  <c r="AZ235" i="23"/>
  <c r="BA235" i="23" s="1"/>
  <c r="BD235" i="23"/>
  <c r="BE235" i="23" s="1"/>
  <c r="AZ231" i="23"/>
  <c r="BA231" i="23" s="1"/>
  <c r="BD231" i="23"/>
  <c r="BE231" i="23" s="1"/>
  <c r="AZ227" i="23"/>
  <c r="BA227" i="23" s="1"/>
  <c r="BD227" i="23"/>
  <c r="BE227" i="23" s="1"/>
  <c r="AZ223" i="23"/>
  <c r="BA223" i="23" s="1"/>
  <c r="BD223" i="23"/>
  <c r="BE223" i="23" s="1"/>
  <c r="AZ215" i="23"/>
  <c r="BA215" i="23" s="1"/>
  <c r="BD215" i="23"/>
  <c r="BE215" i="23" s="1"/>
  <c r="AZ211" i="23"/>
  <c r="BA211" i="23" s="1"/>
  <c r="BD211" i="23"/>
  <c r="BE211" i="23" s="1"/>
  <c r="AZ207" i="23"/>
  <c r="BD207" i="23"/>
  <c r="BE207" i="23" s="1"/>
  <c r="AZ145" i="23"/>
  <c r="BA145" i="23" s="1"/>
  <c r="BD145" i="23"/>
  <c r="BE145" i="23" s="1"/>
  <c r="AZ141" i="23"/>
  <c r="BA141" i="23" s="1"/>
  <c r="BD141" i="23"/>
  <c r="BE141" i="23" s="1"/>
  <c r="BF141" i="23" s="1"/>
  <c r="BG141" i="23" s="1"/>
  <c r="AZ137" i="23"/>
  <c r="BA137" i="23" s="1"/>
  <c r="BD137" i="23"/>
  <c r="BE137" i="23" s="1"/>
  <c r="AZ133" i="23"/>
  <c r="BA133" i="23" s="1"/>
  <c r="BD133" i="23"/>
  <c r="BE133" i="23" s="1"/>
  <c r="AZ123" i="23"/>
  <c r="BA123" i="23" s="1"/>
  <c r="BD123" i="23"/>
  <c r="BE123" i="23" s="1"/>
  <c r="AZ115" i="23"/>
  <c r="BA115" i="23" s="1"/>
  <c r="BD115" i="23"/>
  <c r="BE115" i="23" s="1"/>
  <c r="AZ67" i="23"/>
  <c r="BA67" i="23" s="1"/>
  <c r="BD67" i="23"/>
  <c r="BE67" i="23" s="1"/>
  <c r="AZ23" i="23"/>
  <c r="BA23" i="23" s="1"/>
  <c r="BD23" i="23"/>
  <c r="BE23" i="23" s="1"/>
  <c r="AV129" i="23"/>
  <c r="AU174" i="23"/>
  <c r="AV174" i="23" s="1"/>
  <c r="AU178" i="23"/>
  <c r="AV178" i="23" s="1"/>
  <c r="AU198" i="23"/>
  <c r="AV198" i="23" s="1"/>
  <c r="AU149" i="23"/>
  <c r="AV149" i="23" s="1"/>
  <c r="AU175" i="23"/>
  <c r="AV175" i="23" s="1"/>
  <c r="BF843" i="23"/>
  <c r="BG843" i="23" s="1"/>
  <c r="AU1032" i="23"/>
  <c r="AV1032" i="23" s="1"/>
  <c r="AU148" i="23"/>
  <c r="AV148" i="23" s="1"/>
  <c r="AU152" i="23"/>
  <c r="AV152" i="23" s="1"/>
  <c r="AU190" i="23"/>
  <c r="AV190" i="23" s="1"/>
  <c r="AU234" i="23"/>
  <c r="AU254" i="23"/>
  <c r="AV254" i="23" s="1"/>
  <c r="AU411" i="23"/>
  <c r="AV411" i="23" s="1"/>
  <c r="AU415" i="23"/>
  <c r="AU419" i="23"/>
  <c r="AU526" i="23"/>
  <c r="AV526" i="23" s="1"/>
  <c r="AU534" i="23"/>
  <c r="AV534" i="23" s="1"/>
  <c r="AU538" i="23"/>
  <c r="AV538" i="23" s="1"/>
  <c r="AU542" i="23"/>
  <c r="AV542" i="23" s="1"/>
  <c r="AU546" i="23"/>
  <c r="AV546" i="23" s="1"/>
  <c r="AU550" i="23"/>
  <c r="AU558" i="23"/>
  <c r="AV558" i="23" s="1"/>
  <c r="AU562" i="23"/>
  <c r="AU770" i="23"/>
  <c r="AV770" i="23" s="1"/>
  <c r="AU774" i="23"/>
  <c r="AV774" i="23" s="1"/>
  <c r="AU778" i="23"/>
  <c r="AV778" i="23" s="1"/>
  <c r="AU807" i="23"/>
  <c r="AV807" i="23" s="1"/>
  <c r="AU170" i="23"/>
  <c r="AU186" i="23"/>
  <c r="AU210" i="23"/>
  <c r="AV210" i="23" s="1"/>
  <c r="AU290" i="23"/>
  <c r="AV290" i="23" s="1"/>
  <c r="AU431" i="23"/>
  <c r="AV431" i="23" s="1"/>
  <c r="AU488" i="23"/>
  <c r="AV488" i="23" s="1"/>
  <c r="AU738" i="23"/>
  <c r="AV738" i="23" s="1"/>
  <c r="AU742" i="23"/>
  <c r="AV742" i="23" s="1"/>
  <c r="AU798" i="23"/>
  <c r="AV798" i="23" s="1"/>
  <c r="AU826" i="23"/>
  <c r="AV826" i="23" s="1"/>
  <c r="AU831" i="23"/>
  <c r="AV831" i="23" s="1"/>
  <c r="AU835" i="23"/>
  <c r="AV835" i="23" s="1"/>
  <c r="AU815" i="23"/>
  <c r="AV815" i="23" s="1"/>
  <c r="AU922" i="23"/>
  <c r="AV922" i="23" s="1"/>
  <c r="AU926" i="23"/>
  <c r="AV926" i="23" s="1"/>
  <c r="AU930" i="23"/>
  <c r="AV930" i="23" s="1"/>
  <c r="AU934" i="23"/>
  <c r="AV934" i="23" s="1"/>
  <c r="AU938" i="23"/>
  <c r="AV938" i="23" s="1"/>
  <c r="AU194" i="23"/>
  <c r="AV194" i="23" s="1"/>
  <c r="AU388" i="23"/>
  <c r="AV388" i="23" s="1"/>
  <c r="AU511" i="23"/>
  <c r="AU530" i="23"/>
  <c r="AU554" i="23"/>
  <c r="AU574" i="23"/>
  <c r="AV574" i="23" s="1"/>
  <c r="AU594" i="23"/>
  <c r="AU706" i="23"/>
  <c r="AV706" i="23" s="1"/>
  <c r="AU710" i="23"/>
  <c r="AV710" i="23" s="1"/>
  <c r="AU714" i="23"/>
  <c r="AV714" i="23" s="1"/>
  <c r="AU718" i="23"/>
  <c r="AV718" i="23" s="1"/>
  <c r="AU722" i="23"/>
  <c r="AV722" i="23" s="1"/>
  <c r="AU916" i="23"/>
  <c r="AV916" i="23" s="1"/>
  <c r="AU882" i="23"/>
  <c r="AV882" i="23" s="1"/>
  <c r="AU886" i="23"/>
  <c r="AV886" i="23" s="1"/>
  <c r="AU890" i="23"/>
  <c r="AV890" i="23" s="1"/>
  <c r="AU894" i="23"/>
  <c r="AV894" i="23" s="1"/>
  <c r="AU898" i="23"/>
  <c r="AV898" i="23" s="1"/>
  <c r="AU902" i="23"/>
  <c r="AV902" i="23" s="1"/>
  <c r="AU1268" i="23"/>
  <c r="AV1268" i="23" s="1"/>
  <c r="AU219" i="23"/>
  <c r="AV219" i="23" s="1"/>
  <c r="AU291" i="23"/>
  <c r="AV291" i="23" s="1"/>
  <c r="AU397" i="23"/>
  <c r="AV397" i="23" s="1"/>
  <c r="AU543" i="23"/>
  <c r="AV543" i="23" s="1"/>
  <c r="AU799" i="23"/>
  <c r="AV799" i="23" s="1"/>
  <c r="AU63" i="23"/>
  <c r="AV63" i="23" s="1"/>
  <c r="AU183" i="23"/>
  <c r="AV183" i="23" s="1"/>
  <c r="AU199" i="23"/>
  <c r="AV199" i="23" s="1"/>
  <c r="AU412" i="23"/>
  <c r="AU416" i="23"/>
  <c r="AU420" i="23"/>
  <c r="BF510" i="23"/>
  <c r="BG510" i="23" s="1"/>
  <c r="AU559" i="23"/>
  <c r="AU832" i="23"/>
  <c r="AV832" i="23" s="1"/>
  <c r="AU923" i="23"/>
  <c r="AV923" i="23" s="1"/>
  <c r="AU927" i="23"/>
  <c r="AV927" i="23" s="1"/>
  <c r="AU939" i="23"/>
  <c r="AV939" i="23" s="1"/>
  <c r="BB1162" i="23"/>
  <c r="BB1141" i="23"/>
  <c r="BB1287" i="23"/>
  <c r="BB1007" i="23"/>
  <c r="BB553" i="23"/>
  <c r="BB1279" i="23"/>
  <c r="BB1098" i="23"/>
  <c r="BB1058" i="23"/>
  <c r="BB1050" i="23"/>
  <c r="BB1157" i="23"/>
  <c r="BB966" i="23"/>
  <c r="BB1248" i="23"/>
  <c r="BB1093" i="23"/>
  <c r="BB847" i="23"/>
  <c r="BB589" i="23"/>
  <c r="BB694" i="23"/>
  <c r="BB690" i="23"/>
  <c r="BB550" i="23"/>
  <c r="BB322" i="23"/>
  <c r="BB258" i="23"/>
  <c r="BB10" i="23"/>
  <c r="BB1095" i="23"/>
  <c r="BB1051" i="23"/>
  <c r="BB1043" i="23"/>
  <c r="BB848" i="23"/>
  <c r="BB695" i="23"/>
  <c r="BB595" i="23"/>
  <c r="BB559" i="23"/>
  <c r="BB551" i="23"/>
  <c r="BB531" i="23"/>
  <c r="BB480" i="23"/>
  <c r="BB275" i="23"/>
  <c r="BB259" i="23"/>
  <c r="BB171" i="23"/>
  <c r="BB103" i="23"/>
  <c r="BB1091" i="23"/>
  <c r="BB1059" i="23"/>
  <c r="BB1047" i="23"/>
  <c r="BB840" i="23"/>
  <c r="BB865" i="23"/>
  <c r="BB699" i="23"/>
  <c r="BB512" i="23"/>
  <c r="BB424" i="23"/>
  <c r="BB327" i="23"/>
  <c r="BB319" i="23"/>
  <c r="BB279" i="23"/>
  <c r="BB247" i="23"/>
  <c r="BB7" i="23"/>
  <c r="BB1159" i="23"/>
  <c r="BB1147" i="23"/>
  <c r="BB1143" i="23"/>
  <c r="BB1139" i="23"/>
  <c r="BB1087" i="23"/>
  <c r="BB1055" i="23"/>
  <c r="BB844" i="23"/>
  <c r="BB836" i="23"/>
  <c r="BB787" i="23"/>
  <c r="BB691" i="23"/>
  <c r="BB489" i="23"/>
  <c r="BB412" i="23"/>
  <c r="BB385" i="23"/>
  <c r="BB307" i="23"/>
  <c r="BB167" i="23"/>
  <c r="BF1058" i="23"/>
  <c r="BG1058" i="23" s="1"/>
  <c r="BB1158" i="23"/>
  <c r="BB1094" i="23"/>
  <c r="BB1019" i="23"/>
  <c r="BB843" i="23"/>
  <c r="BB786" i="23"/>
  <c r="BB689" i="23"/>
  <c r="BB510" i="23"/>
  <c r="BB1065" i="23"/>
  <c r="BB1061" i="23"/>
  <c r="BB1057" i="23"/>
  <c r="BB1053" i="23"/>
  <c r="BB1049" i="23"/>
  <c r="BB1041" i="23"/>
  <c r="BB1006" i="23"/>
  <c r="BB965" i="23"/>
  <c r="BB850" i="23"/>
  <c r="BB846" i="23"/>
  <c r="BB842" i="23"/>
  <c r="BB838" i="23"/>
  <c r="BB785" i="23"/>
  <c r="BB741" i="23"/>
  <c r="BB693" i="23"/>
  <c r="BB593" i="23"/>
  <c r="BB533" i="23"/>
  <c r="BB529" i="23"/>
  <c r="BB482" i="23"/>
  <c r="BB399" i="23"/>
  <c r="BB387" i="23"/>
  <c r="BB325" i="23"/>
  <c r="BB321" i="23"/>
  <c r="BB317" i="23"/>
  <c r="BB313" i="23"/>
  <c r="BB297" i="23"/>
  <c r="BB281" i="23"/>
  <c r="BB257" i="23"/>
  <c r="BB249" i="23"/>
  <c r="BB169" i="23"/>
  <c r="BB101" i="23"/>
  <c r="BB9" i="23"/>
  <c r="BB1160" i="23"/>
  <c r="BB1156" i="23"/>
  <c r="BB1152" i="23"/>
  <c r="BB1148" i="23"/>
  <c r="BB1144" i="23"/>
  <c r="BB1140" i="23"/>
  <c r="BB1096" i="23"/>
  <c r="BB1092" i="23"/>
  <c r="BB1088" i="23"/>
  <c r="BB1056" i="23"/>
  <c r="BB1052" i="23"/>
  <c r="BB1040" i="23"/>
  <c r="BB1017" i="23"/>
  <c r="BB849" i="23"/>
  <c r="BB845" i="23"/>
  <c r="BB841" i="23"/>
  <c r="BB837" i="23"/>
  <c r="BB866" i="23"/>
  <c r="BB788" i="23"/>
  <c r="BB736" i="23"/>
  <c r="BB704" i="23"/>
  <c r="BB700" i="23"/>
  <c r="BB696" i="23"/>
  <c r="BB692" i="23"/>
  <c r="BB688" i="23"/>
  <c r="BB596" i="23"/>
  <c r="BB592" i="23"/>
  <c r="BB588" i="23"/>
  <c r="BB560" i="23"/>
  <c r="BB552" i="23"/>
  <c r="BB532" i="23"/>
  <c r="BB528" i="23"/>
  <c r="BB513" i="23"/>
  <c r="BB490" i="23"/>
  <c r="BB481" i="23"/>
  <c r="BB386" i="23"/>
  <c r="BB382" i="23"/>
  <c r="BB324" i="23"/>
  <c r="BB316" i="23"/>
  <c r="BB308" i="23"/>
  <c r="BB260" i="23"/>
  <c r="BB256" i="23"/>
  <c r="BB248" i="23"/>
  <c r="BB168" i="23"/>
  <c r="BB8" i="23"/>
  <c r="BB697" i="23"/>
  <c r="BB561" i="23"/>
  <c r="BB383" i="23"/>
  <c r="AU180" i="23"/>
  <c r="AV180" i="23" s="1"/>
  <c r="AU154" i="23"/>
  <c r="AV154" i="23" s="1"/>
  <c r="AU296" i="23"/>
  <c r="AV296" i="23" s="1"/>
  <c r="BF695" i="23"/>
  <c r="BG695" i="23" s="1"/>
  <c r="AU808" i="23"/>
  <c r="AV808" i="23" s="1"/>
  <c r="AU1280" i="23"/>
  <c r="AU707" i="23"/>
  <c r="AV707" i="23" s="1"/>
  <c r="AU711" i="23"/>
  <c r="AV711" i="23" s="1"/>
  <c r="AU787" i="23"/>
  <c r="AU827" i="23"/>
  <c r="AV827" i="23" s="1"/>
  <c r="AU179" i="23"/>
  <c r="AV179" i="23" s="1"/>
  <c r="AU203" i="23"/>
  <c r="AV203" i="23" s="1"/>
  <c r="AU423" i="23"/>
  <c r="AU428" i="23"/>
  <c r="AV428" i="23" s="1"/>
  <c r="AU498" i="23"/>
  <c r="AV498" i="23" s="1"/>
  <c r="AU502" i="23"/>
  <c r="AV502" i="23" s="1"/>
  <c r="AU512" i="23"/>
  <c r="AU563" i="23"/>
  <c r="AV563" i="23" s="1"/>
  <c r="AU771" i="23"/>
  <c r="AV771" i="23" s="1"/>
  <c r="AU775" i="23"/>
  <c r="AV775" i="23" s="1"/>
  <c r="AU913" i="23"/>
  <c r="AV913" i="23" s="1"/>
  <c r="AU883" i="23"/>
  <c r="AV883" i="23" s="1"/>
  <c r="AU899" i="23"/>
  <c r="AV899" i="23" s="1"/>
  <c r="AU865" i="23"/>
  <c r="AU1269" i="23"/>
  <c r="AV1269" i="23" s="1"/>
  <c r="AU592" i="23"/>
  <c r="AU188" i="23"/>
  <c r="AV188" i="23" s="1"/>
  <c r="AU184" i="23"/>
  <c r="AV184" i="23" s="1"/>
  <c r="AU176" i="23"/>
  <c r="AV176" i="23" s="1"/>
  <c r="AU1270" i="23"/>
  <c r="AV1270" i="23" s="1"/>
  <c r="AU490" i="23"/>
  <c r="AU932" i="23"/>
  <c r="AV932" i="23" s="1"/>
  <c r="AU1286" i="23"/>
  <c r="AU413" i="23"/>
  <c r="AV413" i="23" s="1"/>
  <c r="AU417" i="23"/>
  <c r="AU421" i="23"/>
  <c r="AU527" i="23"/>
  <c r="AV527" i="23" s="1"/>
  <c r="AU531" i="23"/>
  <c r="AU535" i="23"/>
  <c r="AV535" i="23" s="1"/>
  <c r="AU551" i="23"/>
  <c r="AU583" i="23"/>
  <c r="AV583" i="23" s="1"/>
  <c r="AU587" i="23"/>
  <c r="AV587" i="23" s="1"/>
  <c r="AU715" i="23"/>
  <c r="AV715" i="23" s="1"/>
  <c r="AU719" i="23"/>
  <c r="AV719" i="23" s="1"/>
  <c r="AU739" i="23"/>
  <c r="AV739" i="23" s="1"/>
  <c r="AU743" i="23"/>
  <c r="AV743" i="23" s="1"/>
  <c r="AU887" i="23"/>
  <c r="AV887" i="23" s="1"/>
  <c r="AU891" i="23"/>
  <c r="AV891" i="23" s="1"/>
  <c r="AU931" i="23"/>
  <c r="AV931" i="23" s="1"/>
  <c r="AU935" i="23"/>
  <c r="AV935" i="23" s="1"/>
  <c r="AU936" i="23"/>
  <c r="AV936" i="23" s="1"/>
  <c r="AU986" i="23"/>
  <c r="AV986" i="23" s="1"/>
  <c r="AU1016" i="23"/>
  <c r="AV1016" i="23" s="1"/>
  <c r="AU1260" i="23"/>
  <c r="AV1260" i="23" s="1"/>
  <c r="AU1273" i="23"/>
  <c r="AV1273" i="23" s="1"/>
  <c r="AU1277" i="23"/>
  <c r="AV1277" i="23" s="1"/>
  <c r="AU308" i="23"/>
  <c r="AU723" i="23"/>
  <c r="AV723" i="23" s="1"/>
  <c r="AU852" i="23"/>
  <c r="AV852" i="23" s="1"/>
  <c r="AU914" i="23"/>
  <c r="AV914" i="23" s="1"/>
  <c r="AU915" i="23"/>
  <c r="AV915" i="23" s="1"/>
  <c r="AU828" i="23"/>
  <c r="AV828" i="23" s="1"/>
  <c r="AU900" i="23"/>
  <c r="AV900" i="23" s="1"/>
  <c r="AU919" i="23"/>
  <c r="AV919" i="23" s="1"/>
  <c r="AU940" i="23"/>
  <c r="AV940" i="23" s="1"/>
  <c r="AU995" i="23"/>
  <c r="AV995" i="23" s="1"/>
  <c r="AU1001" i="23"/>
  <c r="AV1001" i="23" s="1"/>
  <c r="AU1004" i="23"/>
  <c r="AV1004" i="23" s="1"/>
  <c r="AU1005" i="23"/>
  <c r="AV1005" i="23" s="1"/>
  <c r="AU1012" i="23"/>
  <c r="AV1012" i="23" s="1"/>
  <c r="BF1158" i="23"/>
  <c r="BG1158" i="23" s="1"/>
  <c r="AU124" i="23"/>
  <c r="AV124" i="23" s="1"/>
  <c r="AU130" i="23"/>
  <c r="AV130" i="23" s="1"/>
  <c r="AU495" i="23"/>
  <c r="AV495" i="23" s="1"/>
  <c r="AU536" i="23"/>
  <c r="AV536" i="23" s="1"/>
  <c r="AU564" i="23"/>
  <c r="AV564" i="23" s="1"/>
  <c r="AU576" i="23"/>
  <c r="AV576" i="23" s="1"/>
  <c r="AU584" i="23"/>
  <c r="AV584" i="23" s="1"/>
  <c r="AU596" i="23"/>
  <c r="AU708" i="23"/>
  <c r="AV708" i="23" s="1"/>
  <c r="AU712" i="23"/>
  <c r="AV712" i="23" s="1"/>
  <c r="AU853" i="23"/>
  <c r="AV853" i="23" s="1"/>
  <c r="AU907" i="23"/>
  <c r="AV907" i="23" s="1"/>
  <c r="AU866" i="23"/>
  <c r="AU829" i="23"/>
  <c r="AV829" i="23" s="1"/>
  <c r="AU833" i="23"/>
  <c r="AV833" i="23" s="1"/>
  <c r="AU1030" i="23"/>
  <c r="AV1030" i="23" s="1"/>
  <c r="AU1272" i="23"/>
  <c r="AV1272" i="23" s="1"/>
  <c r="AU1274" i="23"/>
  <c r="AV1274" i="23" s="1"/>
  <c r="AU1276" i="23"/>
  <c r="AV1276" i="23" s="1"/>
  <c r="AU138" i="23"/>
  <c r="AV138" i="23" s="1"/>
  <c r="AU208" i="23"/>
  <c r="AV208" i="23" s="1"/>
  <c r="AU224" i="23"/>
  <c r="AU240" i="23"/>
  <c r="AV240" i="23" s="1"/>
  <c r="AU398" i="23"/>
  <c r="AV398" i="23" s="1"/>
  <c r="AU432" i="23"/>
  <c r="AU444" i="23"/>
  <c r="AV444" i="23" s="1"/>
  <c r="AU540" i="23"/>
  <c r="AV540" i="23" s="1"/>
  <c r="AU544" i="23"/>
  <c r="AV544" i="23" s="1"/>
  <c r="AU588" i="23"/>
  <c r="AU716" i="23"/>
  <c r="AV716" i="23" s="1"/>
  <c r="AU720" i="23"/>
  <c r="AV720" i="23" s="1"/>
  <c r="AU740" i="23"/>
  <c r="AV740" i="23" s="1"/>
  <c r="AU784" i="23"/>
  <c r="AV784" i="23" s="1"/>
  <c r="AU788" i="23"/>
  <c r="AU800" i="23"/>
  <c r="AV800" i="23" s="1"/>
  <c r="AU884" i="23"/>
  <c r="AV884" i="23" s="1"/>
  <c r="AU888" i="23"/>
  <c r="AV888" i="23" s="1"/>
  <c r="AU892" i="23"/>
  <c r="AV892" i="23" s="1"/>
  <c r="AU920" i="23"/>
  <c r="AV920" i="23" s="1"/>
  <c r="AU924" i="23"/>
  <c r="AV924" i="23" s="1"/>
  <c r="AU64" i="23"/>
  <c r="AV64" i="23" s="1"/>
  <c r="AU68" i="23"/>
  <c r="AV68" i="23" s="1"/>
  <c r="AU252" i="23"/>
  <c r="AV252" i="23" s="1"/>
  <c r="AU280" i="23"/>
  <c r="AV280" i="23" s="1"/>
  <c r="AU499" i="23"/>
  <c r="AV499" i="23" s="1"/>
  <c r="AU503" i="23"/>
  <c r="AV503" i="23" s="1"/>
  <c r="AU513" i="23"/>
  <c r="AU528" i="23"/>
  <c r="AU532" i="23"/>
  <c r="AU548" i="23"/>
  <c r="AV548" i="23" s="1"/>
  <c r="AU560" i="23"/>
  <c r="AU772" i="23"/>
  <c r="AV772" i="23" s="1"/>
  <c r="AU776" i="23"/>
  <c r="AV776" i="23" s="1"/>
  <c r="AU792" i="23"/>
  <c r="AV792" i="23" s="1"/>
  <c r="AU896" i="23"/>
  <c r="AV896" i="23" s="1"/>
  <c r="AU928" i="23"/>
  <c r="AV928" i="23" s="1"/>
  <c r="AU1009" i="23"/>
  <c r="AV1009" i="23" s="1"/>
  <c r="AU1262" i="23"/>
  <c r="AV1262" i="23" s="1"/>
  <c r="AU1265" i="23"/>
  <c r="AV1265" i="23" s="1"/>
  <c r="AU172" i="23"/>
  <c r="AV172" i="23" s="1"/>
  <c r="AU519" i="23"/>
  <c r="AV519" i="23" s="1"/>
  <c r="AU1279" i="23"/>
  <c r="BF1019" i="23"/>
  <c r="BG1019" i="23" s="1"/>
  <c r="BF383" i="23"/>
  <c r="BG383" i="23" s="1"/>
  <c r="AU6" i="23"/>
  <c r="BF689" i="23"/>
  <c r="BG689" i="23" s="1"/>
  <c r="AU181" i="23"/>
  <c r="AV181" i="23" s="1"/>
  <c r="BF1281" i="23"/>
  <c r="BG1281" i="23" s="1"/>
  <c r="AU1282" i="23"/>
  <c r="BF1162" i="23"/>
  <c r="BG1162" i="23" s="1"/>
  <c r="AU1283" i="23"/>
  <c r="BF169" i="23"/>
  <c r="BG169" i="23" s="1"/>
  <c r="BF532" i="23"/>
  <c r="BG532" i="23" s="1"/>
  <c r="BF561" i="23"/>
  <c r="BG561" i="23" s="1"/>
  <c r="BF697" i="23"/>
  <c r="BG697" i="23" s="1"/>
  <c r="BF839" i="23"/>
  <c r="BG839" i="23" s="1"/>
  <c r="BF1279" i="23"/>
  <c r="BG1279" i="23" s="1"/>
  <c r="BF1054" i="23"/>
  <c r="BG1054" i="23" s="1"/>
  <c r="BF1098" i="23"/>
  <c r="BG1098" i="23" s="1"/>
  <c r="AU167" i="23"/>
  <c r="AU193" i="23"/>
  <c r="AV193" i="23" s="1"/>
  <c r="AU297" i="23"/>
  <c r="AU400" i="23"/>
  <c r="AV400" i="23" s="1"/>
  <c r="AU518" i="23"/>
  <c r="AV518" i="23" s="1"/>
  <c r="AU401" i="23"/>
  <c r="AV401" i="23" s="1"/>
  <c r="AU403" i="23"/>
  <c r="AV403" i="23" s="1"/>
  <c r="AU482" i="23"/>
  <c r="BF1147" i="23"/>
  <c r="BG1147" i="23" s="1"/>
  <c r="AU399" i="23"/>
  <c r="AU402" i="23"/>
  <c r="AV402" i="23" s="1"/>
  <c r="AU425" i="23"/>
  <c r="BF786" i="23"/>
  <c r="BG786" i="23" s="1"/>
  <c r="BF1094" i="23"/>
  <c r="BG1094" i="23" s="1"/>
  <c r="BF1050" i="23"/>
  <c r="BG1050" i="23" s="1"/>
  <c r="AU1018" i="23"/>
  <c r="AV1018" i="23" s="1"/>
  <c r="BF1065" i="23"/>
  <c r="BG1065" i="23" s="1"/>
  <c r="AU1281" i="23"/>
  <c r="AU1266" i="23"/>
  <c r="AV1266" i="23" s="1"/>
  <c r="AU1278" i="23"/>
  <c r="AU1287" i="23"/>
  <c r="AU1017" i="23"/>
  <c r="BF170" i="23"/>
  <c r="BG170" i="23" s="1"/>
  <c r="BF384" i="23"/>
  <c r="BG384" i="23" s="1"/>
  <c r="BF481" i="23"/>
  <c r="BG481" i="23" s="1"/>
  <c r="BF533" i="23"/>
  <c r="BG533" i="23" s="1"/>
  <c r="BF690" i="23"/>
  <c r="BG690" i="23" s="1"/>
  <c r="BF699" i="23"/>
  <c r="BG699" i="23" s="1"/>
  <c r="BF838" i="23"/>
  <c r="BG838" i="23" s="1"/>
  <c r="BF1061" i="23"/>
  <c r="BG1061" i="23" s="1"/>
  <c r="BF966" i="23"/>
  <c r="BG966" i="23" s="1"/>
  <c r="BF1171" i="23"/>
  <c r="BG1171" i="23" s="1"/>
  <c r="BF1161" i="23"/>
  <c r="BG1161" i="23" s="1"/>
  <c r="AZ276" i="23" l="1"/>
  <c r="BA276" i="23" s="1"/>
  <c r="BD157" i="23"/>
  <c r="BE157" i="23" s="1"/>
  <c r="BB1101" i="23"/>
  <c r="BB880" i="23"/>
  <c r="BB1113" i="23"/>
  <c r="BB220" i="23"/>
  <c r="BB218" i="23"/>
  <c r="BB746" i="23"/>
  <c r="BB876" i="23"/>
  <c r="BB1011" i="23"/>
  <c r="BB911" i="23"/>
  <c r="BB253" i="23"/>
  <c r="BB5" i="23"/>
  <c r="BB221" i="23"/>
  <c r="BB269" i="23"/>
  <c r="BB309" i="23"/>
  <c r="BB867" i="23"/>
  <c r="BB810" i="23"/>
  <c r="BB1035" i="23"/>
  <c r="BB118" i="23"/>
  <c r="BB726" i="23"/>
  <c r="BB1105" i="23"/>
  <c r="BB286" i="23"/>
  <c r="BB500" i="23"/>
  <c r="BB1267" i="23"/>
  <c r="BB211" i="23"/>
  <c r="BB231" i="23"/>
  <c r="BB381" i="23"/>
  <c r="BB539" i="23"/>
  <c r="BB731" i="23"/>
  <c r="BB1285" i="23"/>
  <c r="BB524" i="23"/>
  <c r="BB580" i="23"/>
  <c r="BB748" i="23"/>
  <c r="BB870" i="23"/>
  <c r="BB855" i="23"/>
  <c r="BB813" i="23"/>
  <c r="BB948" i="23"/>
  <c r="BB964" i="23"/>
  <c r="BB1100" i="23"/>
  <c r="BB158" i="23"/>
  <c r="BB516" i="23"/>
  <c r="BB265" i="23"/>
  <c r="BB885" i="23"/>
  <c r="BB921" i="23"/>
  <c r="BB953" i="23"/>
  <c r="BB1109" i="23"/>
  <c r="BB918" i="23"/>
  <c r="BB182" i="23"/>
  <c r="BB141" i="23"/>
  <c r="BB139" i="23"/>
  <c r="BB266" i="23"/>
  <c r="BB794" i="23"/>
  <c r="BB1002" i="23"/>
  <c r="BB537" i="23"/>
  <c r="BB226" i="23"/>
  <c r="BB310" i="23"/>
  <c r="BB860" i="23"/>
  <c r="BB1111" i="23"/>
  <c r="BB288" i="23"/>
  <c r="BB390" i="23"/>
  <c r="BB155" i="23"/>
  <c r="BB278" i="23"/>
  <c r="BB192" i="23"/>
  <c r="BB229" i="23"/>
  <c r="BB766" i="23"/>
  <c r="BB721" i="23"/>
  <c r="BB214" i="23"/>
  <c r="BB1106" i="23"/>
  <c r="BB497" i="23"/>
  <c r="BB1102" i="23"/>
  <c r="BB289" i="23"/>
  <c r="BB797" i="23"/>
  <c r="BB222" i="23"/>
  <c r="BB282" i="23"/>
  <c r="BB570" i="23"/>
  <c r="BB750" i="23"/>
  <c r="BB822" i="23"/>
  <c r="BB811" i="23"/>
  <c r="BB1003" i="23"/>
  <c r="BB1114" i="23"/>
  <c r="BB769" i="23"/>
  <c r="BB66" i="23"/>
  <c r="BB134" i="23"/>
  <c r="BB232" i="23"/>
  <c r="BB908" i="23"/>
  <c r="BB136" i="23"/>
  <c r="BB262" i="23"/>
  <c r="BB762" i="23"/>
  <c r="BB909" i="23"/>
  <c r="BB950" i="23"/>
  <c r="BB753" i="23"/>
  <c r="BB293" i="23"/>
  <c r="BB127" i="23"/>
  <c r="BB301" i="23"/>
  <c r="BB426" i="23"/>
  <c r="BB549" i="23"/>
  <c r="BB733" i="23"/>
  <c r="BB917" i="23"/>
  <c r="BB889" i="23"/>
  <c r="BB925" i="23"/>
  <c r="BB957" i="23"/>
  <c r="BB1271" i="23"/>
  <c r="BB238" i="23"/>
  <c r="BB962" i="23"/>
  <c r="BB122" i="23"/>
  <c r="BB163" i="23"/>
  <c r="BB137" i="23"/>
  <c r="BB897" i="23"/>
  <c r="BB372" i="23"/>
  <c r="BB131" i="23"/>
  <c r="BB933" i="23"/>
  <c r="BB557" i="23"/>
  <c r="BB954" i="23"/>
  <c r="BB422" i="23"/>
  <c r="BB233" i="23"/>
  <c r="BB418" i="23"/>
  <c r="BB879" i="23"/>
  <c r="BB749" i="23"/>
  <c r="AZ187" i="23"/>
  <c r="BA187" i="23" s="1"/>
  <c r="BB187" i="23" s="1"/>
  <c r="BB263" i="23"/>
  <c r="BB287" i="23"/>
  <c r="BB555" i="23"/>
  <c r="BB579" i="23"/>
  <c r="BB763" i="23"/>
  <c r="BB895" i="23"/>
  <c r="BB881" i="23"/>
  <c r="BB862" i="23"/>
  <c r="BB732" i="23"/>
  <c r="BB863" i="23"/>
  <c r="BB818" i="23"/>
  <c r="BB956" i="23"/>
  <c r="BB1034" i="23"/>
  <c r="BB1108" i="23"/>
  <c r="BB173" i="23"/>
  <c r="BB294" i="23"/>
  <c r="BB1264" i="23"/>
  <c r="BB905" i="23"/>
  <c r="BB1263" i="23"/>
  <c r="BB789" i="23"/>
  <c r="BB201" i="23"/>
  <c r="BB725" i="23"/>
  <c r="BB132" i="23"/>
  <c r="BB230" i="23"/>
  <c r="BB396" i="23"/>
  <c r="BB949" i="23"/>
  <c r="BB773" i="23"/>
  <c r="BB202" i="23"/>
  <c r="BB270" i="23"/>
  <c r="BB861" i="23"/>
  <c r="BB1170" i="23"/>
  <c r="BB961" i="23"/>
  <c r="BB893" i="23"/>
  <c r="BB581" i="23"/>
  <c r="BB261" i="23"/>
  <c r="BB117" i="23"/>
  <c r="BB135" i="23"/>
  <c r="BB245" i="23"/>
  <c r="BB305" i="23"/>
  <c r="BB395" i="23"/>
  <c r="BB709" i="23"/>
  <c r="BB777" i="23"/>
  <c r="BB820" i="23"/>
  <c r="BB901" i="23"/>
  <c r="BB856" i="23"/>
  <c r="BB937" i="23"/>
  <c r="BB1010" i="23"/>
  <c r="BB62" i="23"/>
  <c r="BB140" i="23"/>
  <c r="BB586" i="23"/>
  <c r="BB1169" i="23"/>
  <c r="BB751" i="23"/>
  <c r="BB1103" i="23"/>
  <c r="BB1261" i="23"/>
  <c r="BB273" i="23"/>
  <c r="BB790" i="23"/>
  <c r="BB209" i="23"/>
  <c r="BD273" i="23"/>
  <c r="BE273" i="23" s="1"/>
  <c r="BF273" i="23" s="1"/>
  <c r="BG273" i="23" s="1"/>
  <c r="BD432" i="23"/>
  <c r="BE432" i="23" s="1"/>
  <c r="BF432" i="23" s="1"/>
  <c r="BG432" i="23" s="1"/>
  <c r="AZ432" i="23"/>
  <c r="BA432" i="23" s="1"/>
  <c r="BF414" i="23"/>
  <c r="BG414" i="23" s="1"/>
  <c r="AZ153" i="23"/>
  <c r="BA153" i="23" s="1"/>
  <c r="BB713" i="23"/>
  <c r="BB814" i="23"/>
  <c r="BD1020" i="23"/>
  <c r="BE1020" i="23" s="1"/>
  <c r="BF1020" i="23" s="1"/>
  <c r="BG1020" i="23" s="1"/>
  <c r="BD277" i="23"/>
  <c r="BE277" i="23" s="1"/>
  <c r="BF277" i="23" s="1"/>
  <c r="BG277" i="23" s="1"/>
  <c r="AZ196" i="23"/>
  <c r="BA196" i="23" s="1"/>
  <c r="BD274" i="23"/>
  <c r="BE274" i="23" s="1"/>
  <c r="BF274" i="23" s="1"/>
  <c r="BG274" i="23" s="1"/>
  <c r="BD182" i="23"/>
  <c r="BE182" i="23" s="1"/>
  <c r="BF182" i="23" s="1"/>
  <c r="BG182" i="23" s="1"/>
  <c r="BD516" i="23"/>
  <c r="BE516" i="23" s="1"/>
  <c r="BF516" i="23" s="1"/>
  <c r="BG516" i="23" s="1"/>
  <c r="BD160" i="23"/>
  <c r="BE160" i="23" s="1"/>
  <c r="BF160" i="23" s="1"/>
  <c r="BG160" i="23" s="1"/>
  <c r="BD158" i="23"/>
  <c r="BE158" i="23" s="1"/>
  <c r="BF158" i="23" s="1"/>
  <c r="BG158" i="23" s="1"/>
  <c r="BF1110" i="23"/>
  <c r="BG1110" i="23" s="1"/>
  <c r="BB765" i="23"/>
  <c r="AZ55" i="23"/>
  <c r="BA55" i="23" s="1"/>
  <c r="BB205" i="23"/>
  <c r="BB237" i="23"/>
  <c r="BB306" i="23"/>
  <c r="BB825" i="23"/>
  <c r="BB569" i="23"/>
  <c r="BB414" i="23"/>
  <c r="BB375" i="23"/>
  <c r="BD173" i="23"/>
  <c r="BE173" i="23" s="1"/>
  <c r="BF173" i="23" s="1"/>
  <c r="BG173" i="23" s="1"/>
  <c r="BB904" i="23"/>
  <c r="BF364" i="23"/>
  <c r="BG364" i="23" s="1"/>
  <c r="BF128" i="23"/>
  <c r="BG128" i="23" s="1"/>
  <c r="AZ146" i="23"/>
  <c r="BA146" i="23" s="1"/>
  <c r="BD185" i="23"/>
  <c r="BE185" i="23" s="1"/>
  <c r="BF185" i="23" s="1"/>
  <c r="BG185" i="23" s="1"/>
  <c r="AZ197" i="23"/>
  <c r="BA197" i="23" s="1"/>
  <c r="BB185" i="23"/>
  <c r="BB241" i="23"/>
  <c r="BB793" i="23"/>
  <c r="BB941" i="23"/>
  <c r="BF500" i="23"/>
  <c r="BG500" i="23" s="1"/>
  <c r="BB541" i="23"/>
  <c r="BB128" i="23"/>
  <c r="BB565" i="23"/>
  <c r="BB871" i="23"/>
  <c r="BB1014" i="23"/>
  <c r="BB496" i="23"/>
  <c r="BB65" i="23"/>
  <c r="BF470" i="23"/>
  <c r="BG470" i="23" s="1"/>
  <c r="BD162" i="23"/>
  <c r="BE162" i="23" s="1"/>
  <c r="BF162" i="23" s="1"/>
  <c r="BG162" i="23" s="1"/>
  <c r="BD191" i="23"/>
  <c r="BE191" i="23" s="1"/>
  <c r="BF191" i="23" s="1"/>
  <c r="BG191" i="23" s="1"/>
  <c r="BF925" i="23"/>
  <c r="BG925" i="23" s="1"/>
  <c r="AZ156" i="23"/>
  <c r="BA156" i="23" s="1"/>
  <c r="BF294" i="23"/>
  <c r="BG294" i="23" s="1"/>
  <c r="BB764" i="23"/>
  <c r="BB312" i="23"/>
  <c r="BF1100" i="23"/>
  <c r="BG1100" i="23" s="1"/>
  <c r="BB585" i="23"/>
  <c r="BB61" i="23"/>
  <c r="BB878" i="23"/>
  <c r="BB159" i="23"/>
  <c r="BD278" i="23"/>
  <c r="BE278" i="23" s="1"/>
  <c r="BF278" i="23" s="1"/>
  <c r="BG278" i="23" s="1"/>
  <c r="BB577" i="23"/>
  <c r="BB391" i="23"/>
  <c r="BD159" i="23"/>
  <c r="BE159" i="23" s="1"/>
  <c r="BF159" i="23" s="1"/>
  <c r="BG159" i="23" s="1"/>
  <c r="BD163" i="23"/>
  <c r="BE163" i="23" s="1"/>
  <c r="BF163" i="23" s="1"/>
  <c r="BG163" i="23" s="1"/>
  <c r="BB568" i="23"/>
  <c r="BB854" i="23"/>
  <c r="BB277" i="23"/>
  <c r="BD192" i="23"/>
  <c r="BE192" i="23" s="1"/>
  <c r="BF192" i="23" s="1"/>
  <c r="BG192" i="23" s="1"/>
  <c r="BD155" i="23"/>
  <c r="BE155" i="23" s="1"/>
  <c r="BF155" i="23" s="1"/>
  <c r="BG155" i="23" s="1"/>
  <c r="BB819" i="23"/>
  <c r="BD195" i="23"/>
  <c r="BE195" i="23" s="1"/>
  <c r="BF195" i="23" s="1"/>
  <c r="BG195" i="23" s="1"/>
  <c r="BB285" i="23"/>
  <c r="BB470" i="23"/>
  <c r="BB429" i="23"/>
  <c r="BB756" i="23"/>
  <c r="BB143" i="23"/>
  <c r="BB566" i="23"/>
  <c r="BB244" i="23"/>
  <c r="BB60" i="23"/>
  <c r="BB217" i="23"/>
  <c r="BB929" i="23"/>
  <c r="BB200" i="23"/>
  <c r="BB1259" i="23"/>
  <c r="BB805" i="23"/>
  <c r="BB300" i="23"/>
  <c r="BB366" i="23"/>
  <c r="BB427" i="23"/>
  <c r="BB1110" i="23"/>
  <c r="BB364" i="23"/>
  <c r="BB830" i="23"/>
  <c r="BB945" i="23"/>
  <c r="BB745" i="23"/>
  <c r="BB268" i="23"/>
  <c r="BB717" i="23"/>
  <c r="BB212" i="23"/>
  <c r="BB430" i="23"/>
  <c r="BB525" i="23"/>
  <c r="BB276" i="23"/>
  <c r="BB1284" i="23"/>
  <c r="BB943" i="23"/>
  <c r="BB757" i="23"/>
  <c r="BB864" i="23"/>
  <c r="BB157" i="23"/>
  <c r="BB959" i="23"/>
  <c r="BB705" i="23"/>
  <c r="BB299" i="23"/>
  <c r="BB239" i="23"/>
  <c r="BF878" i="23"/>
  <c r="BG878" i="23" s="1"/>
  <c r="BB910" i="23"/>
  <c r="BB755" i="23"/>
  <c r="BB1031" i="23"/>
  <c r="BB53" i="23"/>
  <c r="BD53" i="23"/>
  <c r="BE53" i="23" s="1"/>
  <c r="BF53" i="23" s="1"/>
  <c r="BB115" i="23"/>
  <c r="BB761" i="23"/>
  <c r="BD517" i="23"/>
  <c r="BE517" i="23" s="1"/>
  <c r="BF517" i="23" s="1"/>
  <c r="BG517" i="23" s="1"/>
  <c r="BD161" i="23"/>
  <c r="BE161" i="23" s="1"/>
  <c r="BF161" i="23" s="1"/>
  <c r="BG161" i="23" s="1"/>
  <c r="BD150" i="23"/>
  <c r="BE150" i="23" s="1"/>
  <c r="BF150" i="23" s="1"/>
  <c r="BG150" i="23" s="1"/>
  <c r="BB873" i="23"/>
  <c r="BB951" i="23"/>
  <c r="BB1033" i="23"/>
  <c r="BB144" i="23"/>
  <c r="BB816" i="23"/>
  <c r="BB223" i="23"/>
  <c r="BB747" i="23"/>
  <c r="BB571" i="23"/>
  <c r="BB1062" i="23"/>
  <c r="BB271" i="23"/>
  <c r="BB311" i="23"/>
  <c r="BF223" i="23"/>
  <c r="BG223" i="23" s="1"/>
  <c r="BF381" i="23"/>
  <c r="BG381" i="23" s="1"/>
  <c r="BF873" i="23"/>
  <c r="BG873" i="23" s="1"/>
  <c r="BF943" i="23"/>
  <c r="BG943" i="23" s="1"/>
  <c r="BF1111" i="23"/>
  <c r="BG1111" i="23" s="1"/>
  <c r="BF1062" i="23"/>
  <c r="BG1062" i="23" s="1"/>
  <c r="BF232" i="23"/>
  <c r="BG232" i="23" s="1"/>
  <c r="BF366" i="23"/>
  <c r="BG366" i="23" s="1"/>
  <c r="BF732" i="23"/>
  <c r="BG732" i="23" s="1"/>
  <c r="BF854" i="23"/>
  <c r="BG854" i="23" s="1"/>
  <c r="BF863" i="23"/>
  <c r="BG863" i="23" s="1"/>
  <c r="BB215" i="23"/>
  <c r="BB946" i="23"/>
  <c r="BB251" i="23"/>
  <c r="BB791" i="23"/>
  <c r="BB1008" i="23"/>
  <c r="BF893" i="23"/>
  <c r="BG893" i="23" s="1"/>
  <c r="BF496" i="23"/>
  <c r="BG496" i="23" s="1"/>
  <c r="BF726" i="23"/>
  <c r="BG726" i="23" s="1"/>
  <c r="BB133" i="23"/>
  <c r="BB393" i="23"/>
  <c r="BB195" i="23"/>
  <c r="BB213" i="23"/>
  <c r="BB573" i="23"/>
  <c r="BB392" i="23"/>
  <c r="BB958" i="23"/>
  <c r="BB859" i="23"/>
  <c r="BB284" i="23"/>
  <c r="BB952" i="23"/>
  <c r="BB116" i="23"/>
  <c r="BB545" i="23"/>
  <c r="BB875" i="23"/>
  <c r="BB582" i="23"/>
  <c r="BB942" i="23"/>
  <c r="BB161" i="23"/>
  <c r="BB235" i="23"/>
  <c r="BB369" i="23"/>
  <c r="BB547" i="23"/>
  <c r="BB858" i="23"/>
  <c r="BB160" i="23"/>
  <c r="BA242" i="23"/>
  <c r="BF242" i="23"/>
  <c r="BG242" i="23" s="1"/>
  <c r="BB578" i="23"/>
  <c r="BB912" i="23"/>
  <c r="BB204" i="23"/>
  <c r="BB394" i="23"/>
  <c r="BB728" i="23"/>
  <c r="BB1112" i="23"/>
  <c r="BB903" i="23"/>
  <c r="BB1064" i="23"/>
  <c r="BB67" i="23"/>
  <c r="BB267" i="23"/>
  <c r="BB735" i="23"/>
  <c r="BB23" i="23"/>
  <c r="BB123" i="23"/>
  <c r="BB191" i="23"/>
  <c r="BB243" i="23"/>
  <c r="BA295" i="23"/>
  <c r="BF295" i="23"/>
  <c r="BG295" i="23" s="1"/>
  <c r="BB303" i="23"/>
  <c r="BB567" i="23"/>
  <c r="BA727" i="23"/>
  <c r="BF727" i="23"/>
  <c r="BG727" i="23" s="1"/>
  <c r="BB759" i="23"/>
  <c r="BB823" i="23"/>
  <c r="BB906" i="23"/>
  <c r="BB812" i="23"/>
  <c r="BB1020" i="23"/>
  <c r="BB729" i="23"/>
  <c r="BB114" i="23"/>
  <c r="BB206" i="23"/>
  <c r="BB298" i="23"/>
  <c r="BB730" i="23"/>
  <c r="BB857" i="23"/>
  <c r="BB1015" i="23"/>
  <c r="BB1146" i="23"/>
  <c r="BB1275" i="23"/>
  <c r="BB737" i="23"/>
  <c r="BB228" i="23"/>
  <c r="BB236" i="23"/>
  <c r="BB357" i="23"/>
  <c r="BB824" i="23"/>
  <c r="BB1104" i="23"/>
  <c r="BF501" i="23"/>
  <c r="BG501" i="23" s="1"/>
  <c r="BB24" i="23"/>
  <c r="BB162" i="23"/>
  <c r="BB272" i="23"/>
  <c r="BB768" i="23"/>
  <c r="BB944" i="23"/>
  <c r="BF963" i="23"/>
  <c r="BG963" i="23" s="1"/>
  <c r="BB150" i="23"/>
  <c r="BB264" i="23"/>
  <c r="BB304" i="23"/>
  <c r="BB760" i="23"/>
  <c r="BB874" i="23"/>
  <c r="BB817" i="23"/>
  <c r="BB1013" i="23"/>
  <c r="BB283" i="23"/>
  <c r="BB1099" i="23"/>
  <c r="BB575" i="23"/>
  <c r="BB523" i="23"/>
  <c r="BB955" i="23"/>
  <c r="BB851" i="23"/>
  <c r="BB145" i="23"/>
  <c r="BA207" i="23"/>
  <c r="BF207" i="23"/>
  <c r="BG207" i="23" s="1"/>
  <c r="BB255" i="23"/>
  <c r="BB767" i="23"/>
  <c r="BA869" i="23"/>
  <c r="BF869" i="23"/>
  <c r="BG869" i="23" s="1"/>
  <c r="BA877" i="23"/>
  <c r="BF877" i="23"/>
  <c r="BG877" i="23" s="1"/>
  <c r="BB947" i="23"/>
  <c r="BB963" i="23"/>
  <c r="BB1107" i="23"/>
  <c r="BA1115" i="23"/>
  <c r="BF1115" i="23"/>
  <c r="BG1115" i="23" s="1"/>
  <c r="BB834" i="23"/>
  <c r="BB821" i="23"/>
  <c r="BB441" i="23"/>
  <c r="BA274" i="23"/>
  <c r="BB501" i="23"/>
  <c r="BB758" i="23"/>
  <c r="BA872" i="23"/>
  <c r="BF872" i="23"/>
  <c r="BG872" i="23" s="1"/>
  <c r="BB804" i="23"/>
  <c r="BB225" i="23"/>
  <c r="BB121" i="23"/>
  <c r="BB216" i="23"/>
  <c r="BB378" i="23"/>
  <c r="BB517" i="23"/>
  <c r="BB572" i="23"/>
  <c r="BA744" i="23"/>
  <c r="BF744" i="23"/>
  <c r="BG744" i="23" s="1"/>
  <c r="BF728" i="23"/>
  <c r="BG728" i="23" s="1"/>
  <c r="BB556" i="23"/>
  <c r="BF206" i="23"/>
  <c r="BG206" i="23" s="1"/>
  <c r="BB142" i="23"/>
  <c r="BB292" i="23"/>
  <c r="BB752" i="23"/>
  <c r="BB809" i="23"/>
  <c r="BB960" i="23"/>
  <c r="BB227" i="23"/>
  <c r="BB806" i="23"/>
  <c r="BB389" i="23"/>
  <c r="AZ425" i="23"/>
  <c r="BA425" i="23" s="1"/>
  <c r="BD425" i="23"/>
  <c r="BE425" i="23" s="1"/>
  <c r="AZ401" i="23"/>
  <c r="BA401" i="23" s="1"/>
  <c r="BD401" i="23"/>
  <c r="BE401" i="23" s="1"/>
  <c r="AZ1283" i="23"/>
  <c r="BA1283" i="23" s="1"/>
  <c r="BD1283" i="23"/>
  <c r="BE1283" i="23" s="1"/>
  <c r="AZ792" i="23"/>
  <c r="BA792" i="23" s="1"/>
  <c r="BD792" i="23"/>
  <c r="BE792" i="23" s="1"/>
  <c r="AZ503" i="23"/>
  <c r="BA503" i="23" s="1"/>
  <c r="BD503" i="23"/>
  <c r="BE503" i="23" s="1"/>
  <c r="AZ892" i="23"/>
  <c r="BA892" i="23" s="1"/>
  <c r="BD892" i="23"/>
  <c r="BE892" i="23" s="1"/>
  <c r="AZ224" i="23"/>
  <c r="BA224" i="23" s="1"/>
  <c r="BD224" i="23"/>
  <c r="BE224" i="23" s="1"/>
  <c r="AZ829" i="23"/>
  <c r="BA829" i="23" s="1"/>
  <c r="BD829" i="23"/>
  <c r="BE829" i="23" s="1"/>
  <c r="AZ576" i="23"/>
  <c r="BA576" i="23" s="1"/>
  <c r="BD576" i="23"/>
  <c r="BE576" i="23" s="1"/>
  <c r="AZ130" i="23"/>
  <c r="BA130" i="23" s="1"/>
  <c r="BD130" i="23"/>
  <c r="BE130" i="23" s="1"/>
  <c r="AZ940" i="23"/>
  <c r="BA940" i="23" s="1"/>
  <c r="BD940" i="23"/>
  <c r="BE940" i="23" s="1"/>
  <c r="AZ723" i="23"/>
  <c r="BA723" i="23" s="1"/>
  <c r="BD723" i="23"/>
  <c r="BE723" i="23" s="1"/>
  <c r="AZ935" i="23"/>
  <c r="BA935" i="23" s="1"/>
  <c r="BD935" i="23"/>
  <c r="BE935" i="23" s="1"/>
  <c r="AZ587" i="23"/>
  <c r="BA587" i="23" s="1"/>
  <c r="BD587" i="23"/>
  <c r="BE587" i="23" s="1"/>
  <c r="AZ184" i="23"/>
  <c r="BA184" i="23" s="1"/>
  <c r="BD184" i="23"/>
  <c r="BE184" i="23" s="1"/>
  <c r="AZ775" i="23"/>
  <c r="BA775" i="23" s="1"/>
  <c r="BD775" i="23"/>
  <c r="BE775" i="23" s="1"/>
  <c r="AZ203" i="23"/>
  <c r="BA203" i="23" s="1"/>
  <c r="BD203" i="23"/>
  <c r="BE203" i="23" s="1"/>
  <c r="AZ939" i="23"/>
  <c r="BA939" i="23" s="1"/>
  <c r="BD939" i="23"/>
  <c r="BE939" i="23" s="1"/>
  <c r="AZ799" i="23"/>
  <c r="BA799" i="23" s="1"/>
  <c r="BD799" i="23"/>
  <c r="BE799" i="23" s="1"/>
  <c r="BF799" i="23" s="1"/>
  <c r="BG799" i="23" s="1"/>
  <c r="AZ291" i="23"/>
  <c r="BA291" i="23" s="1"/>
  <c r="BD291" i="23"/>
  <c r="BE291" i="23" s="1"/>
  <c r="AZ898" i="23"/>
  <c r="BA898" i="23" s="1"/>
  <c r="BD898" i="23"/>
  <c r="BE898" i="23" s="1"/>
  <c r="AZ882" i="23"/>
  <c r="BA882" i="23" s="1"/>
  <c r="BD882" i="23"/>
  <c r="BE882" i="23" s="1"/>
  <c r="BF882" i="23" s="1"/>
  <c r="BG882" i="23" s="1"/>
  <c r="AZ714" i="23"/>
  <c r="BA714" i="23" s="1"/>
  <c r="BD714" i="23"/>
  <c r="BE714" i="23" s="1"/>
  <c r="BF714" i="23" s="1"/>
  <c r="BG714" i="23" s="1"/>
  <c r="AZ574" i="23"/>
  <c r="BA574" i="23" s="1"/>
  <c r="BD574" i="23"/>
  <c r="BE574" i="23" s="1"/>
  <c r="AZ388" i="23"/>
  <c r="BA388" i="23" s="1"/>
  <c r="BD388" i="23"/>
  <c r="BE388" i="23" s="1"/>
  <c r="AZ930" i="23"/>
  <c r="BA930" i="23" s="1"/>
  <c r="BD930" i="23"/>
  <c r="BE930" i="23" s="1"/>
  <c r="BF930" i="23" s="1"/>
  <c r="BG930" i="23" s="1"/>
  <c r="AZ835" i="23"/>
  <c r="BA835" i="23" s="1"/>
  <c r="BD835" i="23"/>
  <c r="BE835" i="23" s="1"/>
  <c r="AZ742" i="23"/>
  <c r="BA742" i="23" s="1"/>
  <c r="BD742" i="23"/>
  <c r="BE742" i="23" s="1"/>
  <c r="AZ290" i="23"/>
  <c r="BA290" i="23" s="1"/>
  <c r="BD290" i="23"/>
  <c r="BE290" i="23" s="1"/>
  <c r="AZ807" i="23"/>
  <c r="BA807" i="23" s="1"/>
  <c r="BD807" i="23"/>
  <c r="BE807" i="23" s="1"/>
  <c r="AZ542" i="23"/>
  <c r="BA542" i="23" s="1"/>
  <c r="BD542" i="23"/>
  <c r="BE542" i="23" s="1"/>
  <c r="BF542" i="23" s="1"/>
  <c r="BG542" i="23" s="1"/>
  <c r="AZ419" i="23"/>
  <c r="BA419" i="23" s="1"/>
  <c r="BD419" i="23"/>
  <c r="BE419" i="23" s="1"/>
  <c r="AZ234" i="23"/>
  <c r="BA234" i="23" s="1"/>
  <c r="BD234" i="23"/>
  <c r="BE234" i="23" s="1"/>
  <c r="AZ1032" i="23"/>
  <c r="BA1032" i="23" s="1"/>
  <c r="BD1032" i="23"/>
  <c r="BE1032" i="23" s="1"/>
  <c r="AZ198" i="23"/>
  <c r="BA198" i="23" s="1"/>
  <c r="BD198" i="23"/>
  <c r="BE198" i="23" s="1"/>
  <c r="AZ129" i="23"/>
  <c r="BA129" i="23" s="1"/>
  <c r="BD129" i="23"/>
  <c r="BE129" i="23" s="1"/>
  <c r="BA4" i="23"/>
  <c r="AZ518" i="23"/>
  <c r="BA518" i="23" s="1"/>
  <c r="BD518" i="23"/>
  <c r="BE518" i="23" s="1"/>
  <c r="AZ1262" i="23"/>
  <c r="BA1262" i="23" s="1"/>
  <c r="BD1262" i="23"/>
  <c r="BE1262" i="23" s="1"/>
  <c r="BF1262" i="23" s="1"/>
  <c r="BG1262" i="23" s="1"/>
  <c r="AZ548" i="23"/>
  <c r="BA548" i="23" s="1"/>
  <c r="BD548" i="23"/>
  <c r="BE548" i="23" s="1"/>
  <c r="BF548" i="23" s="1"/>
  <c r="BG548" i="23" s="1"/>
  <c r="AZ68" i="23"/>
  <c r="BA68" i="23" s="1"/>
  <c r="BD68" i="23"/>
  <c r="BE68" i="23" s="1"/>
  <c r="AZ716" i="23"/>
  <c r="BA716" i="23" s="1"/>
  <c r="BD716" i="23"/>
  <c r="BE716" i="23" s="1"/>
  <c r="BF716" i="23" s="1"/>
  <c r="BG716" i="23" s="1"/>
  <c r="AZ444" i="23"/>
  <c r="BA444" i="23" s="1"/>
  <c r="BD444" i="23"/>
  <c r="BE444" i="23" s="1"/>
  <c r="AZ1274" i="23"/>
  <c r="BA1274" i="23" s="1"/>
  <c r="BD1274" i="23"/>
  <c r="BE1274" i="23" s="1"/>
  <c r="AZ712" i="23"/>
  <c r="BA712" i="23" s="1"/>
  <c r="BD712" i="23"/>
  <c r="BE712" i="23" s="1"/>
  <c r="AZ1005" i="23"/>
  <c r="BA1005" i="23" s="1"/>
  <c r="BD1005" i="23"/>
  <c r="BE1005" i="23" s="1"/>
  <c r="BF1005" i="23" s="1"/>
  <c r="BG1005" i="23" s="1"/>
  <c r="AZ828" i="23"/>
  <c r="BA828" i="23" s="1"/>
  <c r="BD828" i="23"/>
  <c r="BE828" i="23" s="1"/>
  <c r="BF828" i="23" s="1"/>
  <c r="BG828" i="23" s="1"/>
  <c r="AZ1260" i="23"/>
  <c r="BA1260" i="23" s="1"/>
  <c r="BD1260" i="23"/>
  <c r="BE1260" i="23" s="1"/>
  <c r="AZ743" i="23"/>
  <c r="BA743" i="23" s="1"/>
  <c r="BD743" i="23"/>
  <c r="BE743" i="23" s="1"/>
  <c r="AZ413" i="23"/>
  <c r="BA413" i="23" s="1"/>
  <c r="BD413" i="23"/>
  <c r="BE413" i="23" s="1"/>
  <c r="AZ502" i="23"/>
  <c r="BA502" i="23" s="1"/>
  <c r="BD502" i="23"/>
  <c r="BE502" i="23" s="1"/>
  <c r="AZ711" i="23"/>
  <c r="BA711" i="23" s="1"/>
  <c r="BD711" i="23"/>
  <c r="BE711" i="23" s="1"/>
  <c r="AZ832" i="23"/>
  <c r="BA832" i="23" s="1"/>
  <c r="BD832" i="23"/>
  <c r="BE832" i="23" s="1"/>
  <c r="AZ416" i="23"/>
  <c r="BA416" i="23" s="1"/>
  <c r="BD416" i="23"/>
  <c r="BE416" i="23" s="1"/>
  <c r="AZ397" i="23"/>
  <c r="BA397" i="23" s="1"/>
  <c r="BD397" i="23"/>
  <c r="BE397" i="23" s="1"/>
  <c r="AZ886" i="23"/>
  <c r="BA886" i="23" s="1"/>
  <c r="BD886" i="23"/>
  <c r="BE886" i="23" s="1"/>
  <c r="AZ934" i="23"/>
  <c r="BA934" i="23" s="1"/>
  <c r="BD934" i="23"/>
  <c r="BE934" i="23" s="1"/>
  <c r="AZ815" i="23"/>
  <c r="BA815" i="23" s="1"/>
  <c r="BD815" i="23"/>
  <c r="BE815" i="23" s="1"/>
  <c r="AZ431" i="23"/>
  <c r="BA431" i="23" s="1"/>
  <c r="BD431" i="23"/>
  <c r="BE431" i="23" s="1"/>
  <c r="BF431" i="23" s="1"/>
  <c r="BG431" i="23" s="1"/>
  <c r="AZ770" i="23"/>
  <c r="BA770" i="23" s="1"/>
  <c r="BD770" i="23"/>
  <c r="BE770" i="23" s="1"/>
  <c r="BF770" i="23" s="1"/>
  <c r="BG770" i="23" s="1"/>
  <c r="AZ546" i="23"/>
  <c r="BA546" i="23" s="1"/>
  <c r="BD546" i="23"/>
  <c r="BE546" i="23" s="1"/>
  <c r="BF546" i="23" s="1"/>
  <c r="BG546" i="23" s="1"/>
  <c r="AZ526" i="23"/>
  <c r="BA526" i="23" s="1"/>
  <c r="BD526" i="23"/>
  <c r="BE526" i="23" s="1"/>
  <c r="BF526" i="23" s="1"/>
  <c r="BG526" i="23" s="1"/>
  <c r="AZ148" i="23"/>
  <c r="BA148" i="23" s="1"/>
  <c r="BD148" i="23"/>
  <c r="BE148" i="23" s="1"/>
  <c r="BF868" i="23"/>
  <c r="BG868" i="23" s="1"/>
  <c r="AZ1018" i="23"/>
  <c r="BA1018" i="23" s="1"/>
  <c r="BD1018" i="23"/>
  <c r="BE1018" i="23" s="1"/>
  <c r="AZ402" i="23"/>
  <c r="BA402" i="23" s="1"/>
  <c r="BD402" i="23"/>
  <c r="BE402" i="23" s="1"/>
  <c r="AZ400" i="23"/>
  <c r="BA400" i="23" s="1"/>
  <c r="BD400" i="23"/>
  <c r="BE400" i="23" s="1"/>
  <c r="AZ1009" i="23"/>
  <c r="BA1009" i="23" s="1"/>
  <c r="BD1009" i="23"/>
  <c r="BE1009" i="23" s="1"/>
  <c r="AZ64" i="23"/>
  <c r="BA64" i="23" s="1"/>
  <c r="BD64" i="23"/>
  <c r="BE64" i="23" s="1"/>
  <c r="BF64" i="23" s="1"/>
  <c r="BG64" i="23" s="1"/>
  <c r="AZ888" i="23"/>
  <c r="BA888" i="23" s="1"/>
  <c r="BD888" i="23"/>
  <c r="BE888" i="23" s="1"/>
  <c r="AZ1272" i="23"/>
  <c r="BA1272" i="23" s="1"/>
  <c r="BD1272" i="23"/>
  <c r="BE1272" i="23" s="1"/>
  <c r="AZ564" i="23"/>
  <c r="BA564" i="23" s="1"/>
  <c r="BD564" i="23"/>
  <c r="BE564" i="23" s="1"/>
  <c r="BF564" i="23" s="1"/>
  <c r="BG564" i="23" s="1"/>
  <c r="AZ1004" i="23"/>
  <c r="BA1004" i="23" s="1"/>
  <c r="BD1004" i="23"/>
  <c r="BE1004" i="23" s="1"/>
  <c r="AZ915" i="23"/>
  <c r="BA915" i="23" s="1"/>
  <c r="BD915" i="23"/>
  <c r="BE915" i="23" s="1"/>
  <c r="BF915" i="23" s="1"/>
  <c r="BG915" i="23" s="1"/>
  <c r="AZ739" i="23"/>
  <c r="BA739" i="23" s="1"/>
  <c r="BD739" i="23"/>
  <c r="BE739" i="23" s="1"/>
  <c r="AZ1286" i="23"/>
  <c r="BA1286" i="23" s="1"/>
  <c r="BD1286" i="23"/>
  <c r="BE1286" i="23" s="1"/>
  <c r="AZ899" i="23"/>
  <c r="BA899" i="23" s="1"/>
  <c r="BD899" i="23"/>
  <c r="BE899" i="23" s="1"/>
  <c r="AZ179" i="23"/>
  <c r="BA179" i="23" s="1"/>
  <c r="BD179" i="23"/>
  <c r="BE179" i="23" s="1"/>
  <c r="AZ707" i="23"/>
  <c r="BA707" i="23" s="1"/>
  <c r="BD707" i="23"/>
  <c r="BE707" i="23" s="1"/>
  <c r="BF1102" i="23"/>
  <c r="BG1102" i="23" s="1"/>
  <c r="BF958" i="23"/>
  <c r="BG958" i="23" s="1"/>
  <c r="AZ181" i="23"/>
  <c r="BA181" i="23" s="1"/>
  <c r="BD181" i="23"/>
  <c r="BE181" i="23" s="1"/>
  <c r="AZ172" i="23"/>
  <c r="BA172" i="23" s="1"/>
  <c r="BD172" i="23"/>
  <c r="BE172" i="23" s="1"/>
  <c r="AZ928" i="23"/>
  <c r="BA928" i="23" s="1"/>
  <c r="BD928" i="23"/>
  <c r="BE928" i="23" s="1"/>
  <c r="AZ772" i="23"/>
  <c r="BA772" i="23" s="1"/>
  <c r="BD772" i="23"/>
  <c r="BE772" i="23" s="1"/>
  <c r="BF772" i="23" s="1"/>
  <c r="BG772" i="23" s="1"/>
  <c r="AZ280" i="23"/>
  <c r="BA280" i="23" s="1"/>
  <c r="BD280" i="23"/>
  <c r="BE280" i="23" s="1"/>
  <c r="AZ924" i="23"/>
  <c r="BA924" i="23" s="1"/>
  <c r="BD924" i="23"/>
  <c r="BE924" i="23" s="1"/>
  <c r="AZ884" i="23"/>
  <c r="BA884" i="23" s="1"/>
  <c r="BD884" i="23"/>
  <c r="BE884" i="23" s="1"/>
  <c r="AZ740" i="23"/>
  <c r="BA740" i="23" s="1"/>
  <c r="BD740" i="23"/>
  <c r="BE740" i="23" s="1"/>
  <c r="AZ544" i="23"/>
  <c r="BA544" i="23" s="1"/>
  <c r="BD544" i="23"/>
  <c r="BE544" i="23" s="1"/>
  <c r="AZ398" i="23"/>
  <c r="BA398" i="23" s="1"/>
  <c r="BD398" i="23"/>
  <c r="BE398" i="23" s="1"/>
  <c r="BF398" i="23" s="1"/>
  <c r="BG398" i="23" s="1"/>
  <c r="AZ138" i="23"/>
  <c r="BA138" i="23" s="1"/>
  <c r="BD138" i="23"/>
  <c r="BE138" i="23" s="1"/>
  <c r="AZ1030" i="23"/>
  <c r="BA1030" i="23" s="1"/>
  <c r="BD1030" i="23"/>
  <c r="BE1030" i="23" s="1"/>
  <c r="AZ907" i="23"/>
  <c r="BA907" i="23" s="1"/>
  <c r="BD907" i="23"/>
  <c r="BE907" i="23" s="1"/>
  <c r="AZ536" i="23"/>
  <c r="BA536" i="23" s="1"/>
  <c r="BD536" i="23"/>
  <c r="BE536" i="23" s="1"/>
  <c r="AZ1001" i="23"/>
  <c r="BA1001" i="23" s="1"/>
  <c r="BD1001" i="23"/>
  <c r="BE1001" i="23" s="1"/>
  <c r="AZ914" i="23"/>
  <c r="BA914" i="23" s="1"/>
  <c r="BD914" i="23"/>
  <c r="BE914" i="23" s="1"/>
  <c r="AZ1277" i="23"/>
  <c r="BA1277" i="23" s="1"/>
  <c r="BD1277" i="23"/>
  <c r="BE1277" i="23" s="1"/>
  <c r="AZ986" i="23"/>
  <c r="BA986" i="23" s="1"/>
  <c r="BD986" i="23"/>
  <c r="BE986" i="23" s="1"/>
  <c r="AZ891" i="23"/>
  <c r="BA891" i="23" s="1"/>
  <c r="BD891" i="23"/>
  <c r="BE891" i="23" s="1"/>
  <c r="AZ719" i="23"/>
  <c r="BA719" i="23" s="1"/>
  <c r="BD719" i="23"/>
  <c r="BE719" i="23" s="1"/>
  <c r="AZ421" i="23"/>
  <c r="BA421" i="23" s="1"/>
  <c r="BD421" i="23"/>
  <c r="BE421" i="23" s="1"/>
  <c r="AZ932" i="23"/>
  <c r="BA932" i="23" s="1"/>
  <c r="BD932" i="23"/>
  <c r="BE932" i="23" s="1"/>
  <c r="AZ1270" i="23"/>
  <c r="BA1270" i="23" s="1"/>
  <c r="BD1270" i="23"/>
  <c r="BE1270" i="23" s="1"/>
  <c r="AZ883" i="23"/>
  <c r="BA883" i="23" s="1"/>
  <c r="BD883" i="23"/>
  <c r="BE883" i="23" s="1"/>
  <c r="AZ563" i="23"/>
  <c r="BA563" i="23" s="1"/>
  <c r="BD563" i="23"/>
  <c r="BE563" i="23" s="1"/>
  <c r="BF563" i="23" s="1"/>
  <c r="BG563" i="23" s="1"/>
  <c r="AZ428" i="23"/>
  <c r="BA428" i="23" s="1"/>
  <c r="BD428" i="23"/>
  <c r="BE428" i="23" s="1"/>
  <c r="AZ827" i="23"/>
  <c r="BA827" i="23" s="1"/>
  <c r="BD827" i="23"/>
  <c r="BE827" i="23" s="1"/>
  <c r="AZ154" i="23"/>
  <c r="BA154" i="23" s="1"/>
  <c r="BD154" i="23"/>
  <c r="BE154" i="23" s="1"/>
  <c r="BB487" i="23"/>
  <c r="BB868" i="23"/>
  <c r="AZ927" i="23"/>
  <c r="BA927" i="23" s="1"/>
  <c r="BD927" i="23"/>
  <c r="BE927" i="23" s="1"/>
  <c r="AZ199" i="23"/>
  <c r="BA199" i="23" s="1"/>
  <c r="BD199" i="23"/>
  <c r="BE199" i="23" s="1"/>
  <c r="AZ219" i="23"/>
  <c r="BA219" i="23" s="1"/>
  <c r="BD219" i="23"/>
  <c r="BE219" i="23" s="1"/>
  <c r="AZ894" i="23"/>
  <c r="BA894" i="23" s="1"/>
  <c r="BD894" i="23"/>
  <c r="BE894" i="23" s="1"/>
  <c r="AZ916" i="23"/>
  <c r="BA916" i="23" s="1"/>
  <c r="BD916" i="23"/>
  <c r="BE916" i="23" s="1"/>
  <c r="BF916" i="23" s="1"/>
  <c r="BG916" i="23" s="1"/>
  <c r="AZ710" i="23"/>
  <c r="BA710" i="23" s="1"/>
  <c r="BD710" i="23"/>
  <c r="BE710" i="23" s="1"/>
  <c r="BF710" i="23" s="1"/>
  <c r="BG710" i="23" s="1"/>
  <c r="AZ194" i="23"/>
  <c r="BA194" i="23" s="1"/>
  <c r="BD194" i="23"/>
  <c r="BE194" i="23" s="1"/>
  <c r="AZ926" i="23"/>
  <c r="BA926" i="23" s="1"/>
  <c r="BD926" i="23"/>
  <c r="BE926" i="23" s="1"/>
  <c r="AZ831" i="23"/>
  <c r="BA831" i="23" s="1"/>
  <c r="BD831" i="23"/>
  <c r="BE831" i="23" s="1"/>
  <c r="BF831" i="23" s="1"/>
  <c r="BG831" i="23" s="1"/>
  <c r="AZ738" i="23"/>
  <c r="BA738" i="23" s="1"/>
  <c r="BD738" i="23"/>
  <c r="BE738" i="23" s="1"/>
  <c r="AZ210" i="23"/>
  <c r="BA210" i="23" s="1"/>
  <c r="BD210" i="23"/>
  <c r="BE210" i="23" s="1"/>
  <c r="AZ778" i="23"/>
  <c r="BA778" i="23" s="1"/>
  <c r="BD778" i="23"/>
  <c r="BE778" i="23" s="1"/>
  <c r="BF778" i="23" s="1"/>
  <c r="BG778" i="23" s="1"/>
  <c r="AZ558" i="23"/>
  <c r="BA558" i="23" s="1"/>
  <c r="BD558" i="23"/>
  <c r="BE558" i="23" s="1"/>
  <c r="BF558" i="23" s="1"/>
  <c r="BG558" i="23" s="1"/>
  <c r="AZ538" i="23"/>
  <c r="BA538" i="23" s="1"/>
  <c r="BD538" i="23"/>
  <c r="BE538" i="23" s="1"/>
  <c r="BF538" i="23" s="1"/>
  <c r="BG538" i="23" s="1"/>
  <c r="AZ190" i="23"/>
  <c r="BA190" i="23" s="1"/>
  <c r="BD190" i="23"/>
  <c r="BE190" i="23" s="1"/>
  <c r="AZ178" i="23"/>
  <c r="BA178" i="23" s="1"/>
  <c r="BD178" i="23"/>
  <c r="BE178" i="23" s="1"/>
  <c r="AZ151" i="23"/>
  <c r="BA151" i="23" s="1"/>
  <c r="BD151" i="23"/>
  <c r="BE151" i="23" s="1"/>
  <c r="AZ63" i="23"/>
  <c r="BA63" i="23" s="1"/>
  <c r="BD63" i="23"/>
  <c r="BE63" i="23" s="1"/>
  <c r="BF63" i="23" s="1"/>
  <c r="BG63" i="23" s="1"/>
  <c r="AZ902" i="23"/>
  <c r="BA902" i="23" s="1"/>
  <c r="BD902" i="23"/>
  <c r="BE902" i="23" s="1"/>
  <c r="AZ718" i="23"/>
  <c r="BA718" i="23" s="1"/>
  <c r="BD718" i="23"/>
  <c r="BE718" i="23" s="1"/>
  <c r="BF718" i="23" s="1"/>
  <c r="BG718" i="23" s="1"/>
  <c r="AZ798" i="23"/>
  <c r="BA798" i="23" s="1"/>
  <c r="BD798" i="23"/>
  <c r="BE798" i="23" s="1"/>
  <c r="BF798" i="23" s="1"/>
  <c r="BG798" i="23" s="1"/>
  <c r="AZ254" i="23"/>
  <c r="BA254" i="23" s="1"/>
  <c r="BD254" i="23"/>
  <c r="BE254" i="23" s="1"/>
  <c r="AZ149" i="23"/>
  <c r="BA149" i="23" s="1"/>
  <c r="BD149" i="23"/>
  <c r="BE149" i="23" s="1"/>
  <c r="AZ189" i="23"/>
  <c r="BA189" i="23" s="1"/>
  <c r="BD189" i="23"/>
  <c r="BE189" i="23" s="1"/>
  <c r="AZ1266" i="23"/>
  <c r="BA1266" i="23" s="1"/>
  <c r="BD1266" i="23"/>
  <c r="BE1266" i="23" s="1"/>
  <c r="AZ193" i="23"/>
  <c r="BA193" i="23" s="1"/>
  <c r="BD193" i="23"/>
  <c r="BE193" i="23" s="1"/>
  <c r="AZ776" i="23"/>
  <c r="BA776" i="23" s="1"/>
  <c r="BD776" i="23"/>
  <c r="BE776" i="23" s="1"/>
  <c r="AZ499" i="23"/>
  <c r="BA499" i="23" s="1"/>
  <c r="BD499" i="23"/>
  <c r="BE499" i="23" s="1"/>
  <c r="AZ784" i="23"/>
  <c r="BA784" i="23" s="1"/>
  <c r="BD784" i="23"/>
  <c r="BE784" i="23" s="1"/>
  <c r="AZ208" i="23"/>
  <c r="BA208" i="23" s="1"/>
  <c r="BD208" i="23"/>
  <c r="BE208" i="23" s="1"/>
  <c r="AZ708" i="23"/>
  <c r="BA708" i="23" s="1"/>
  <c r="BD708" i="23"/>
  <c r="BE708" i="23" s="1"/>
  <c r="BF708" i="23" s="1"/>
  <c r="BG708" i="23" s="1"/>
  <c r="AZ124" i="23"/>
  <c r="BA124" i="23" s="1"/>
  <c r="BD124" i="23"/>
  <c r="BE124" i="23" s="1"/>
  <c r="AZ919" i="23"/>
  <c r="BA919" i="23" s="1"/>
  <c r="BD919" i="23"/>
  <c r="BE919" i="23" s="1"/>
  <c r="AZ1016" i="23"/>
  <c r="BA1016" i="23" s="1"/>
  <c r="BD1016" i="23"/>
  <c r="BE1016" i="23" s="1"/>
  <c r="AZ931" i="23"/>
  <c r="BA931" i="23" s="1"/>
  <c r="BD931" i="23"/>
  <c r="BE931" i="23" s="1"/>
  <c r="AZ583" i="23"/>
  <c r="BA583" i="23" s="1"/>
  <c r="BD583" i="23"/>
  <c r="BE583" i="23" s="1"/>
  <c r="AZ527" i="23"/>
  <c r="BA527" i="23" s="1"/>
  <c r="BD527" i="23"/>
  <c r="BE527" i="23" s="1"/>
  <c r="AZ188" i="23"/>
  <c r="BA188" i="23" s="1"/>
  <c r="BD188" i="23"/>
  <c r="BE188" i="23" s="1"/>
  <c r="AZ771" i="23"/>
  <c r="BA771" i="23" s="1"/>
  <c r="BD771" i="23"/>
  <c r="BE771" i="23" s="1"/>
  <c r="AZ498" i="23"/>
  <c r="BA498" i="23" s="1"/>
  <c r="BD498" i="23"/>
  <c r="BE498" i="23" s="1"/>
  <c r="AZ296" i="23"/>
  <c r="BA296" i="23" s="1"/>
  <c r="BD296" i="23"/>
  <c r="BE296" i="23" s="1"/>
  <c r="BF497" i="23"/>
  <c r="BG497" i="23" s="1"/>
  <c r="AZ403" i="23"/>
  <c r="BA403" i="23" s="1"/>
  <c r="BD403" i="23"/>
  <c r="BE403" i="23" s="1"/>
  <c r="BF218" i="23"/>
  <c r="BG218" i="23" s="1"/>
  <c r="AZ519" i="23"/>
  <c r="BA519" i="23" s="1"/>
  <c r="BD519" i="23"/>
  <c r="BE519" i="23" s="1"/>
  <c r="AZ1265" i="23"/>
  <c r="BA1265" i="23" s="1"/>
  <c r="BD1265" i="23"/>
  <c r="BE1265" i="23" s="1"/>
  <c r="AZ896" i="23"/>
  <c r="BA896" i="23" s="1"/>
  <c r="BD896" i="23"/>
  <c r="BE896" i="23" s="1"/>
  <c r="AZ252" i="23"/>
  <c r="BA252" i="23" s="1"/>
  <c r="BD252" i="23"/>
  <c r="BE252" i="23" s="1"/>
  <c r="AZ920" i="23"/>
  <c r="BA920" i="23" s="1"/>
  <c r="BD920" i="23"/>
  <c r="BE920" i="23" s="1"/>
  <c r="AZ800" i="23"/>
  <c r="BA800" i="23" s="1"/>
  <c r="BD800" i="23"/>
  <c r="BE800" i="23" s="1"/>
  <c r="AZ720" i="23"/>
  <c r="BA720" i="23" s="1"/>
  <c r="BD720" i="23"/>
  <c r="BE720" i="23" s="1"/>
  <c r="AZ540" i="23"/>
  <c r="BA540" i="23" s="1"/>
  <c r="BD540" i="23"/>
  <c r="BE540" i="23" s="1"/>
  <c r="BF540" i="23" s="1"/>
  <c r="BG540" i="23" s="1"/>
  <c r="AZ240" i="23"/>
  <c r="BA240" i="23" s="1"/>
  <c r="BD240" i="23"/>
  <c r="BE240" i="23" s="1"/>
  <c r="AZ1276" i="23"/>
  <c r="BA1276" i="23" s="1"/>
  <c r="BD1276" i="23"/>
  <c r="BE1276" i="23" s="1"/>
  <c r="AZ833" i="23"/>
  <c r="BA833" i="23" s="1"/>
  <c r="BD833" i="23"/>
  <c r="BE833" i="23" s="1"/>
  <c r="AZ853" i="23"/>
  <c r="BA853" i="23" s="1"/>
  <c r="BD853" i="23"/>
  <c r="BE853" i="23" s="1"/>
  <c r="AZ584" i="23"/>
  <c r="BA584" i="23" s="1"/>
  <c r="BD584" i="23"/>
  <c r="BE584" i="23" s="1"/>
  <c r="AZ495" i="23"/>
  <c r="BA495" i="23" s="1"/>
  <c r="BD495" i="23"/>
  <c r="BE495" i="23" s="1"/>
  <c r="AZ1012" i="23"/>
  <c r="BA1012" i="23" s="1"/>
  <c r="BD1012" i="23"/>
  <c r="BE1012" i="23" s="1"/>
  <c r="AZ995" i="23"/>
  <c r="BA995" i="23" s="1"/>
  <c r="BD995" i="23"/>
  <c r="BE995" i="23" s="1"/>
  <c r="AZ900" i="23"/>
  <c r="BA900" i="23" s="1"/>
  <c r="BD900" i="23"/>
  <c r="BE900" i="23" s="1"/>
  <c r="AZ852" i="23"/>
  <c r="BA852" i="23" s="1"/>
  <c r="BD852" i="23"/>
  <c r="BE852" i="23" s="1"/>
  <c r="BF852" i="23" s="1"/>
  <c r="BG852" i="23" s="1"/>
  <c r="AZ1273" i="23"/>
  <c r="BA1273" i="23" s="1"/>
  <c r="BD1273" i="23"/>
  <c r="BE1273" i="23" s="1"/>
  <c r="AZ936" i="23"/>
  <c r="BA936" i="23" s="1"/>
  <c r="BD936" i="23"/>
  <c r="BE936" i="23" s="1"/>
  <c r="AZ887" i="23"/>
  <c r="BA887" i="23" s="1"/>
  <c r="BD887" i="23"/>
  <c r="BE887" i="23" s="1"/>
  <c r="AZ715" i="23"/>
  <c r="BA715" i="23" s="1"/>
  <c r="BD715" i="23"/>
  <c r="BE715" i="23" s="1"/>
  <c r="BF715" i="23" s="1"/>
  <c r="BG715" i="23" s="1"/>
  <c r="AZ535" i="23"/>
  <c r="BA535" i="23" s="1"/>
  <c r="BD535" i="23"/>
  <c r="BE535" i="23" s="1"/>
  <c r="BF535" i="23" s="1"/>
  <c r="BG535" i="23" s="1"/>
  <c r="AZ417" i="23"/>
  <c r="BA417" i="23" s="1"/>
  <c r="BD417" i="23"/>
  <c r="BE417" i="23" s="1"/>
  <c r="AZ176" i="23"/>
  <c r="BA176" i="23" s="1"/>
  <c r="BD176" i="23"/>
  <c r="BE176" i="23" s="1"/>
  <c r="AZ1269" i="23"/>
  <c r="BA1269" i="23" s="1"/>
  <c r="BD1269" i="23"/>
  <c r="BE1269" i="23" s="1"/>
  <c r="AZ913" i="23"/>
  <c r="BA913" i="23" s="1"/>
  <c r="BD913" i="23"/>
  <c r="BE913" i="23" s="1"/>
  <c r="AZ808" i="23"/>
  <c r="BA808" i="23" s="1"/>
  <c r="BD808" i="23"/>
  <c r="BE808" i="23" s="1"/>
  <c r="BF808" i="23" s="1"/>
  <c r="BG808" i="23" s="1"/>
  <c r="AZ180" i="23"/>
  <c r="BA180" i="23" s="1"/>
  <c r="BD180" i="23"/>
  <c r="BE180" i="23" s="1"/>
  <c r="BB754" i="23"/>
  <c r="AZ923" i="23"/>
  <c r="BA923" i="23" s="1"/>
  <c r="BD923" i="23"/>
  <c r="BE923" i="23" s="1"/>
  <c r="AZ420" i="23"/>
  <c r="BA420" i="23" s="1"/>
  <c r="BD420" i="23"/>
  <c r="BE420" i="23" s="1"/>
  <c r="AZ183" i="23"/>
  <c r="BA183" i="23" s="1"/>
  <c r="BD183" i="23"/>
  <c r="BE183" i="23" s="1"/>
  <c r="AZ543" i="23"/>
  <c r="BA543" i="23" s="1"/>
  <c r="BD543" i="23"/>
  <c r="BE543" i="23" s="1"/>
  <c r="BF543" i="23" s="1"/>
  <c r="BG543" i="23" s="1"/>
  <c r="AZ1268" i="23"/>
  <c r="BA1268" i="23" s="1"/>
  <c r="BD1268" i="23"/>
  <c r="BE1268" i="23" s="1"/>
  <c r="BF1268" i="23" s="1"/>
  <c r="BG1268" i="23" s="1"/>
  <c r="AZ890" i="23"/>
  <c r="BA890" i="23" s="1"/>
  <c r="BD890" i="23"/>
  <c r="BE890" i="23" s="1"/>
  <c r="AZ722" i="23"/>
  <c r="BA722" i="23" s="1"/>
  <c r="BD722" i="23"/>
  <c r="BE722" i="23" s="1"/>
  <c r="BF722" i="23" s="1"/>
  <c r="BG722" i="23" s="1"/>
  <c r="AZ706" i="23"/>
  <c r="BA706" i="23" s="1"/>
  <c r="BD706" i="23"/>
  <c r="BE706" i="23" s="1"/>
  <c r="BF706" i="23" s="1"/>
  <c r="BG706" i="23" s="1"/>
  <c r="AZ938" i="23"/>
  <c r="BA938" i="23" s="1"/>
  <c r="BD938" i="23"/>
  <c r="BE938" i="23" s="1"/>
  <c r="BF938" i="23" s="1"/>
  <c r="BG938" i="23" s="1"/>
  <c r="AZ922" i="23"/>
  <c r="BA922" i="23" s="1"/>
  <c r="BD922" i="23"/>
  <c r="BE922" i="23" s="1"/>
  <c r="BF922" i="23" s="1"/>
  <c r="BG922" i="23" s="1"/>
  <c r="AZ826" i="23"/>
  <c r="BA826" i="23" s="1"/>
  <c r="BD826" i="23"/>
  <c r="BE826" i="23" s="1"/>
  <c r="BF826" i="23" s="1"/>
  <c r="BG826" i="23" s="1"/>
  <c r="AZ488" i="23"/>
  <c r="BA488" i="23" s="1"/>
  <c r="BD488" i="23"/>
  <c r="BE488" i="23" s="1"/>
  <c r="BF488" i="23" s="1"/>
  <c r="BG488" i="23" s="1"/>
  <c r="AZ186" i="23"/>
  <c r="BA186" i="23" s="1"/>
  <c r="BD186" i="23"/>
  <c r="BE186" i="23" s="1"/>
  <c r="AZ774" i="23"/>
  <c r="BA774" i="23" s="1"/>
  <c r="BD774" i="23"/>
  <c r="BE774" i="23" s="1"/>
  <c r="BF774" i="23" s="1"/>
  <c r="BG774" i="23" s="1"/>
  <c r="AZ534" i="23"/>
  <c r="BA534" i="23" s="1"/>
  <c r="BD534" i="23"/>
  <c r="BE534" i="23" s="1"/>
  <c r="BF534" i="23" s="1"/>
  <c r="BG534" i="23" s="1"/>
  <c r="AZ411" i="23"/>
  <c r="BA411" i="23" s="1"/>
  <c r="BD411" i="23"/>
  <c r="BE411" i="23" s="1"/>
  <c r="AZ152" i="23"/>
  <c r="BA152" i="23" s="1"/>
  <c r="BD152" i="23"/>
  <c r="BE152" i="23" s="1"/>
  <c r="AZ175" i="23"/>
  <c r="BA175" i="23" s="1"/>
  <c r="BD175" i="23"/>
  <c r="BE175" i="23" s="1"/>
  <c r="AZ174" i="23"/>
  <c r="BA174" i="23" s="1"/>
  <c r="BD174" i="23"/>
  <c r="BE174" i="23" s="1"/>
  <c r="AZ177" i="23"/>
  <c r="BA177" i="23" s="1"/>
  <c r="BD177" i="23"/>
  <c r="BE177" i="23" s="1"/>
  <c r="AZ147" i="23"/>
  <c r="BA147" i="23" s="1"/>
  <c r="BD147" i="23"/>
  <c r="BE147" i="23" s="1"/>
  <c r="BF822" i="23"/>
  <c r="BG822" i="23" s="1"/>
  <c r="BF773" i="23"/>
  <c r="BG773" i="23" s="1"/>
  <c r="BF1280" i="23"/>
  <c r="BG1280" i="23" s="1"/>
  <c r="BF282" i="23"/>
  <c r="BG282" i="23" s="1"/>
  <c r="BF594" i="23"/>
  <c r="BG594" i="23" s="1"/>
  <c r="BF1113" i="23"/>
  <c r="BG1113" i="23" s="1"/>
  <c r="BF135" i="23"/>
  <c r="BG135" i="23" s="1"/>
  <c r="BF123" i="23"/>
  <c r="BG123" i="23" s="1"/>
  <c r="BF567" i="23"/>
  <c r="BG567" i="23" s="1"/>
  <c r="BF369" i="23"/>
  <c r="BG369" i="23" s="1"/>
  <c r="BF700" i="23"/>
  <c r="BG700" i="23" s="1"/>
  <c r="BF560" i="23"/>
  <c r="BG560" i="23" s="1"/>
  <c r="BF956" i="23"/>
  <c r="BG956" i="23" s="1"/>
  <c r="BF588" i="23"/>
  <c r="BG588" i="23" s="1"/>
  <c r="BF10" i="23"/>
  <c r="BG10" i="23" s="1"/>
  <c r="BF1159" i="23"/>
  <c r="BG1159" i="23" s="1"/>
  <c r="BF830" i="23"/>
  <c r="BG830" i="23" s="1"/>
  <c r="BF550" i="23"/>
  <c r="BG550" i="23" s="1"/>
  <c r="BF1271" i="23"/>
  <c r="BG1271" i="23" s="1"/>
  <c r="BF1157" i="23"/>
  <c r="BG1157" i="23" s="1"/>
  <c r="BF1112" i="23"/>
  <c r="BG1112" i="23" s="1"/>
  <c r="BF911" i="23"/>
  <c r="BG911" i="23" s="1"/>
  <c r="BF765" i="23"/>
  <c r="BG765" i="23" s="1"/>
  <c r="BF763" i="23"/>
  <c r="BG763" i="23" s="1"/>
  <c r="BF694" i="23"/>
  <c r="BG694" i="23" s="1"/>
  <c r="BF562" i="23"/>
  <c r="BG562" i="23" s="1"/>
  <c r="BF67" i="23"/>
  <c r="BG67" i="23" s="1"/>
  <c r="BF948" i="23"/>
  <c r="BG948" i="23" s="1"/>
  <c r="BF288" i="23"/>
  <c r="BG288" i="23" s="1"/>
  <c r="BF1149" i="23"/>
  <c r="BG1149" i="23" s="1"/>
  <c r="BF864" i="23"/>
  <c r="BG864" i="23" s="1"/>
  <c r="BF171" i="23"/>
  <c r="BG171" i="23" s="1"/>
  <c r="BF1059" i="23"/>
  <c r="BG1059" i="23" s="1"/>
  <c r="BF847" i="23"/>
  <c r="BG847" i="23" s="1"/>
  <c r="BF870" i="23"/>
  <c r="BG870" i="23" s="1"/>
  <c r="BF698" i="23"/>
  <c r="BG698" i="23" s="1"/>
  <c r="BF246" i="23"/>
  <c r="BG246" i="23" s="1"/>
  <c r="BF965" i="23"/>
  <c r="BG965" i="23" s="1"/>
  <c r="BF581" i="23"/>
  <c r="BG581" i="23" s="1"/>
  <c r="BF258" i="23"/>
  <c r="BG258" i="23" s="1"/>
  <c r="BF1035" i="23"/>
  <c r="BG1035" i="23" s="1"/>
  <c r="BF757" i="23"/>
  <c r="BG757" i="23" s="1"/>
  <c r="BF905" i="23"/>
  <c r="BG905" i="23" s="1"/>
  <c r="BF547" i="23"/>
  <c r="BG547" i="23" s="1"/>
  <c r="BF947" i="23"/>
  <c r="BG947" i="23" s="1"/>
  <c r="BF951" i="23"/>
  <c r="BG951" i="23" s="1"/>
  <c r="BF845" i="23"/>
  <c r="BG845" i="23" s="1"/>
  <c r="BF302" i="23"/>
  <c r="BG302" i="23" s="1"/>
  <c r="BF1152" i="23"/>
  <c r="BG1152" i="23" s="1"/>
  <c r="BF595" i="23"/>
  <c r="BG595" i="23" s="1"/>
  <c r="BF917" i="23"/>
  <c r="BG917" i="23" s="1"/>
  <c r="BF1008" i="23"/>
  <c r="BG1008" i="23" s="1"/>
  <c r="BF512" i="23"/>
  <c r="BG512" i="23" s="1"/>
  <c r="BF1285" i="23"/>
  <c r="BG1285" i="23" s="1"/>
  <c r="BF735" i="23"/>
  <c r="BG735" i="23" s="1"/>
  <c r="BF881" i="23"/>
  <c r="BG881" i="23" s="1"/>
  <c r="AU966" i="23"/>
  <c r="AU1098" i="23"/>
  <c r="BF918" i="23"/>
  <c r="BG918" i="23" s="1"/>
  <c r="AU700" i="23"/>
  <c r="BF578" i="23"/>
  <c r="BG578" i="23" s="1"/>
  <c r="AU481" i="23"/>
  <c r="BF378" i="23"/>
  <c r="BG378" i="23" s="1"/>
  <c r="BF276" i="23"/>
  <c r="BG276" i="23" s="1"/>
  <c r="AU1050" i="23"/>
  <c r="AU1054" i="23"/>
  <c r="AU1158" i="23"/>
  <c r="BF1167" i="23"/>
  <c r="BG1167" i="23" s="1"/>
  <c r="BF1146" i="23"/>
  <c r="BG1146" i="23" s="1"/>
  <c r="BF1141" i="23"/>
  <c r="BG1141" i="23" s="1"/>
  <c r="BF1093" i="23"/>
  <c r="BG1093" i="23" s="1"/>
  <c r="BF1064" i="23"/>
  <c r="BG1064" i="23" s="1"/>
  <c r="BF1015" i="23"/>
  <c r="BG1015" i="23" s="1"/>
  <c r="BF885" i="23"/>
  <c r="BG885" i="23" s="1"/>
  <c r="BF759" i="23"/>
  <c r="BG759" i="23" s="1"/>
  <c r="BF809" i="23"/>
  <c r="BG809" i="23" s="1"/>
  <c r="BF741" i="23"/>
  <c r="BG741" i="23" s="1"/>
  <c r="AU699" i="23"/>
  <c r="BF692" i="23"/>
  <c r="BG692" i="23" s="1"/>
  <c r="BF551" i="23"/>
  <c r="BG551" i="23" s="1"/>
  <c r="BF511" i="23"/>
  <c r="BG511" i="23" s="1"/>
  <c r="BF479" i="23"/>
  <c r="BG479" i="23" s="1"/>
  <c r="BF222" i="23"/>
  <c r="BG222" i="23" s="1"/>
  <c r="BF121" i="23"/>
  <c r="BG121" i="23" s="1"/>
  <c r="BF1014" i="23"/>
  <c r="BG1014" i="23" s="1"/>
  <c r="BF1047" i="23"/>
  <c r="BG1047" i="23" s="1"/>
  <c r="BF819" i="23"/>
  <c r="BG819" i="23" s="1"/>
  <c r="BF1006" i="23"/>
  <c r="BG1006" i="23" s="1"/>
  <c r="BF1043" i="23"/>
  <c r="BG1043" i="23" s="1"/>
  <c r="BF537" i="23"/>
  <c r="BG537" i="23" s="1"/>
  <c r="AU697" i="23"/>
  <c r="BF1049" i="23"/>
  <c r="BG1049" i="23" s="1"/>
  <c r="BF1013" i="23"/>
  <c r="BG1013" i="23" s="1"/>
  <c r="BF865" i="23"/>
  <c r="BG865" i="23" s="1"/>
  <c r="BF555" i="23"/>
  <c r="BG555" i="23" s="1"/>
  <c r="AU689" i="23"/>
  <c r="BF821" i="23"/>
  <c r="BG821" i="23" s="1"/>
  <c r="BF788" i="23"/>
  <c r="BG788" i="23" s="1"/>
  <c r="BF950" i="23"/>
  <c r="BG950" i="23" s="1"/>
  <c r="BF725" i="23"/>
  <c r="BG725" i="23" s="1"/>
  <c r="BF557" i="23"/>
  <c r="BG557" i="23" s="1"/>
  <c r="BF593" i="23"/>
  <c r="BG593" i="23" s="1"/>
  <c r="BF1287" i="23"/>
  <c r="BG1287" i="23" s="1"/>
  <c r="AU1159" i="23"/>
  <c r="AU1171" i="23"/>
  <c r="AU698" i="23"/>
  <c r="AU1065" i="23"/>
  <c r="AU965" i="23"/>
  <c r="AU1162" i="23"/>
  <c r="AU1157" i="23"/>
  <c r="BF1173" i="23"/>
  <c r="BG1173" i="23" s="1"/>
  <c r="AU694" i="23"/>
  <c r="BF372" i="23"/>
  <c r="BG372" i="23" s="1"/>
  <c r="BF145" i="23"/>
  <c r="BG145" i="23" s="1"/>
  <c r="BF167" i="23"/>
  <c r="BG167" i="23" s="1"/>
  <c r="BF134" i="23"/>
  <c r="BG134" i="23" s="1"/>
  <c r="AU695" i="23"/>
  <c r="AU1161" i="23"/>
  <c r="BF1114" i="23"/>
  <c r="BG1114" i="23" s="1"/>
  <c r="BF949" i="23"/>
  <c r="BG949" i="23" s="1"/>
  <c r="BF846" i="23"/>
  <c r="BG846" i="23" s="1"/>
  <c r="BF709" i="23"/>
  <c r="BG709" i="23" s="1"/>
  <c r="BF733" i="23"/>
  <c r="BG733" i="23" s="1"/>
  <c r="AU690" i="23"/>
  <c r="BF572" i="23"/>
  <c r="BG572" i="23" s="1"/>
  <c r="BF553" i="23"/>
  <c r="BG553" i="23" s="1"/>
  <c r="BF531" i="23"/>
  <c r="BG531" i="23" s="1"/>
  <c r="BF248" i="23"/>
  <c r="BG248" i="23" s="1"/>
  <c r="BF168" i="23"/>
  <c r="BG168" i="23" s="1"/>
  <c r="BF115" i="23"/>
  <c r="BG115" i="23" s="1"/>
  <c r="AU1094" i="23"/>
  <c r="BF1097" i="23"/>
  <c r="BG1097" i="23" s="1"/>
  <c r="BF858" i="23"/>
  <c r="BG858" i="23" s="1"/>
  <c r="BF216" i="23"/>
  <c r="BG216" i="23" s="1"/>
  <c r="BF1109" i="23"/>
  <c r="BG1109" i="23" s="1"/>
  <c r="BF1034" i="23"/>
  <c r="BG1034" i="23" s="1"/>
  <c r="BF133" i="23"/>
  <c r="BG133" i="23" s="1"/>
  <c r="BF7" i="23"/>
  <c r="BG7" i="23" s="1"/>
  <c r="BF901" i="23"/>
  <c r="BG901" i="23" s="1"/>
  <c r="BF322" i="23"/>
  <c r="BG322" i="23" s="1"/>
  <c r="BF871" i="23"/>
  <c r="BG871" i="23" s="1"/>
  <c r="BF823" i="23"/>
  <c r="BG823" i="23" s="1"/>
  <c r="BF859" i="23"/>
  <c r="BG859" i="23" s="1"/>
  <c r="BF814" i="23"/>
  <c r="BG814" i="23" s="1"/>
  <c r="BF855" i="23"/>
  <c r="BG855" i="23" s="1"/>
  <c r="BF818" i="23"/>
  <c r="BG818" i="23" s="1"/>
  <c r="BF304" i="23"/>
  <c r="BG304" i="23" s="1"/>
  <c r="BF1090" i="23"/>
  <c r="BG1090" i="23" s="1"/>
  <c r="BF837" i="23"/>
  <c r="BG837" i="23" s="1"/>
  <c r="BF960" i="23"/>
  <c r="BG960" i="23" s="1"/>
  <c r="BF1139" i="23"/>
  <c r="BG1139" i="23" s="1"/>
  <c r="BF1104" i="23"/>
  <c r="BG1104" i="23" s="1"/>
  <c r="BF866" i="23"/>
  <c r="BG866" i="23" s="1"/>
  <c r="BF790" i="23"/>
  <c r="BG790" i="23" s="1"/>
  <c r="BF721" i="23"/>
  <c r="BG721" i="23" s="1"/>
  <c r="BF713" i="23"/>
  <c r="BG713" i="23" s="1"/>
  <c r="BF582" i="23"/>
  <c r="BG582" i="23" s="1"/>
  <c r="BF554" i="23"/>
  <c r="BG554" i="23" s="1"/>
  <c r="BF513" i="23"/>
  <c r="BG513" i="23" s="1"/>
  <c r="BF524" i="23"/>
  <c r="BG524" i="23" s="1"/>
  <c r="BF1002" i="23"/>
  <c r="BG1002" i="23" s="1"/>
  <c r="BF745" i="23"/>
  <c r="BG745" i="23" s="1"/>
  <c r="BF214" i="23"/>
  <c r="BG214" i="23" s="1"/>
  <c r="BF1145" i="23"/>
  <c r="BG1145" i="23" s="1"/>
  <c r="BF1007" i="23"/>
  <c r="BG1007" i="23" s="1"/>
  <c r="BF566" i="23"/>
  <c r="BG566" i="23" s="1"/>
  <c r="BF272" i="23"/>
  <c r="BG272" i="23" s="1"/>
  <c r="BF704" i="23"/>
  <c r="BG704" i="23" s="1"/>
  <c r="BF1248" i="23"/>
  <c r="BG1248" i="23" s="1"/>
  <c r="BF1144" i="23"/>
  <c r="BG1144" i="23" s="1"/>
  <c r="BF874" i="23"/>
  <c r="BG874" i="23" s="1"/>
  <c r="BF789" i="23"/>
  <c r="BG789" i="23" s="1"/>
  <c r="BF761" i="23"/>
  <c r="BG761" i="23" s="1"/>
  <c r="BF394" i="23"/>
  <c r="BG394" i="23" s="1"/>
  <c r="BF314" i="23"/>
  <c r="BG314" i="23" s="1"/>
  <c r="BF386" i="23"/>
  <c r="BG386" i="23" s="1"/>
  <c r="BF942" i="23"/>
  <c r="BG942" i="23" s="1"/>
  <c r="BF1056" i="23"/>
  <c r="BG1056" i="23" s="1"/>
  <c r="BF813" i="23"/>
  <c r="BG813" i="23" s="1"/>
  <c r="BF1053" i="23"/>
  <c r="BG1053" i="23" s="1"/>
  <c r="BF286" i="23"/>
  <c r="BG286" i="23" s="1"/>
  <c r="BF284" i="23"/>
  <c r="BG284" i="23" s="1"/>
  <c r="BF1031" i="23"/>
  <c r="BG1031" i="23" s="1"/>
  <c r="BF937" i="23"/>
  <c r="BG937" i="23" s="1"/>
  <c r="BF964" i="23"/>
  <c r="BG964" i="23" s="1"/>
  <c r="BF748" i="23"/>
  <c r="BG748" i="23" s="1"/>
  <c r="BF571" i="23"/>
  <c r="BG571" i="23" s="1"/>
  <c r="BF236" i="23"/>
  <c r="BG236" i="23" s="1"/>
  <c r="BF243" i="23"/>
  <c r="BG243" i="23" s="1"/>
  <c r="BF415" i="23"/>
  <c r="BG415" i="23" s="1"/>
  <c r="BF264" i="23"/>
  <c r="BG264" i="23" s="1"/>
  <c r="BF268" i="23"/>
  <c r="BG268" i="23" s="1"/>
  <c r="BF797" i="23"/>
  <c r="BG797" i="23" s="1"/>
  <c r="BF777" i="23"/>
  <c r="BG777" i="23" s="1"/>
  <c r="BF753" i="23"/>
  <c r="BG753" i="23" s="1"/>
  <c r="BF737" i="23"/>
  <c r="BG737" i="23" s="1"/>
  <c r="BF1040" i="23"/>
  <c r="BG1040" i="23" s="1"/>
  <c r="BF889" i="23"/>
  <c r="BG889" i="23" s="1"/>
  <c r="BF1151" i="23"/>
  <c r="BG1151" i="23" s="1"/>
  <c r="BF4" i="23"/>
  <c r="BG4" i="23" s="1"/>
  <c r="BF1010" i="23"/>
  <c r="BG1010" i="23" s="1"/>
  <c r="BF693" i="23"/>
  <c r="BG693" i="23" s="1"/>
  <c r="BF750" i="23"/>
  <c r="BG750" i="23" s="1"/>
  <c r="BF144" i="23"/>
  <c r="BG144" i="23" s="1"/>
  <c r="BF427" i="23"/>
  <c r="BG427" i="23" s="1"/>
  <c r="BF114" i="23"/>
  <c r="BG114" i="23" s="1"/>
  <c r="BF824" i="23"/>
  <c r="BG824" i="23" s="1"/>
  <c r="BF549" i="23"/>
  <c r="BG549" i="23" s="1"/>
  <c r="BF565" i="23"/>
  <c r="BG565" i="23" s="1"/>
  <c r="BF820" i="23"/>
  <c r="BG820" i="23" s="1"/>
  <c r="BF842" i="23"/>
  <c r="BG842" i="23" s="1"/>
  <c r="BF755" i="23"/>
  <c r="BG755" i="23" s="1"/>
  <c r="BF316" i="23"/>
  <c r="BG316" i="23" s="1"/>
  <c r="BF132" i="23"/>
  <c r="BG132" i="23" s="1"/>
  <c r="BF592" i="23"/>
  <c r="BG592" i="23" s="1"/>
  <c r="BF760" i="23"/>
  <c r="BG760" i="23" s="1"/>
  <c r="BF768" i="23"/>
  <c r="BG768" i="23" s="1"/>
  <c r="BF1101" i="23"/>
  <c r="BG1101" i="23" s="1"/>
  <c r="BF245" i="23"/>
  <c r="BG245" i="23" s="1"/>
  <c r="BF793" i="23"/>
  <c r="BG793" i="23" s="1"/>
  <c r="BF263" i="23"/>
  <c r="BG263" i="23" s="1"/>
  <c r="BF307" i="23"/>
  <c r="BG307" i="23" s="1"/>
  <c r="BF1087" i="23"/>
  <c r="BG1087" i="23" s="1"/>
  <c r="BF857" i="23"/>
  <c r="BG857" i="23" s="1"/>
  <c r="BF301" i="23"/>
  <c r="BG301" i="23" s="1"/>
  <c r="BF1011" i="23"/>
  <c r="BG1011" i="23" s="1"/>
  <c r="BF292" i="23"/>
  <c r="BG292" i="23" s="1"/>
  <c r="BF812" i="23"/>
  <c r="BG812" i="23" s="1"/>
  <c r="BF810" i="23"/>
  <c r="BG810" i="23" s="1"/>
  <c r="BF586" i="23"/>
  <c r="BG586" i="23" s="1"/>
  <c r="BF811" i="23"/>
  <c r="BG811" i="23" s="1"/>
  <c r="BF736" i="23"/>
  <c r="BG736" i="23" s="1"/>
  <c r="BF102" i="23"/>
  <c r="BG102" i="23" s="1"/>
  <c r="BF962" i="23"/>
  <c r="BG962" i="23" s="1"/>
  <c r="BF729" i="23"/>
  <c r="BG729" i="23" s="1"/>
  <c r="BF769" i="23"/>
  <c r="BG769" i="23" s="1"/>
  <c r="BF308" i="23"/>
  <c r="BG308" i="23" s="1"/>
  <c r="BF357" i="23"/>
  <c r="BG357" i="23" s="1"/>
  <c r="BF552" i="23"/>
  <c r="BG552" i="23" s="1"/>
  <c r="BF529" i="23"/>
  <c r="BG529" i="23" s="1"/>
  <c r="BF897" i="23"/>
  <c r="BG897" i="23" s="1"/>
  <c r="BF875" i="23"/>
  <c r="BG875" i="23" s="1"/>
  <c r="BF904" i="23"/>
  <c r="BG904" i="23" s="1"/>
  <c r="BF804" i="23"/>
  <c r="BG804" i="23" s="1"/>
  <c r="BF921" i="23"/>
  <c r="BG921" i="23" s="1"/>
  <c r="BF929" i="23"/>
  <c r="BG929" i="23" s="1"/>
  <c r="BF1017" i="23"/>
  <c r="BG1017" i="23" s="1"/>
  <c r="BF953" i="23"/>
  <c r="BG953" i="23" s="1"/>
  <c r="BF762" i="23"/>
  <c r="BG762" i="23" s="1"/>
  <c r="BF1105" i="23"/>
  <c r="BG1105" i="23" s="1"/>
  <c r="BF212" i="23"/>
  <c r="BG212" i="23" s="1"/>
  <c r="BF752" i="23"/>
  <c r="BG752" i="23" s="1"/>
  <c r="BF944" i="23"/>
  <c r="BG944" i="23" s="1"/>
  <c r="BF952" i="23"/>
  <c r="BG952" i="23" s="1"/>
  <c r="BF1052" i="23"/>
  <c r="BG1052" i="23" s="1"/>
  <c r="BF1156" i="23"/>
  <c r="BG1156" i="23" s="1"/>
  <c r="BF766" i="23"/>
  <c r="BG766" i="23" s="1"/>
  <c r="BF954" i="23"/>
  <c r="BG954" i="23" s="1"/>
  <c r="BF237" i="23"/>
  <c r="BG237" i="23" s="1"/>
  <c r="BF285" i="23"/>
  <c r="BG285" i="23" s="1"/>
  <c r="BF238" i="23"/>
  <c r="BG238" i="23" s="1"/>
  <c r="BF850" i="23"/>
  <c r="BG850" i="23" s="1"/>
  <c r="BF903" i="23"/>
  <c r="BG903" i="23" s="1"/>
  <c r="BF834" i="23"/>
  <c r="BG834" i="23" s="1"/>
  <c r="BF908" i="23"/>
  <c r="BG908" i="23" s="1"/>
  <c r="BF785" i="23"/>
  <c r="BG785" i="23" s="1"/>
  <c r="BF585" i="23"/>
  <c r="BG585" i="23" s="1"/>
  <c r="BF317" i="23"/>
  <c r="BG317" i="23" s="1"/>
  <c r="BF390" i="23"/>
  <c r="BG390" i="23" s="1"/>
  <c r="BF382" i="23"/>
  <c r="BG382" i="23" s="1"/>
  <c r="BF213" i="23"/>
  <c r="BG213" i="23" s="1"/>
  <c r="BF1089" i="23"/>
  <c r="BG1089" i="23" s="1"/>
  <c r="BF228" i="23"/>
  <c r="BG228" i="23" s="1"/>
  <c r="BF221" i="23"/>
  <c r="BG221" i="23" s="1"/>
  <c r="BF1166" i="23"/>
  <c r="BG1166" i="23" s="1"/>
  <c r="BF528" i="23"/>
  <c r="BG528" i="23" s="1"/>
  <c r="BF867" i="23"/>
  <c r="BG867" i="23" s="1"/>
  <c r="BF909" i="23"/>
  <c r="BG909" i="23" s="1"/>
  <c r="BF1168" i="23"/>
  <c r="BG1168" i="23" s="1"/>
  <c r="BF688" i="23"/>
  <c r="BG688" i="23" s="1"/>
  <c r="BF696" i="23"/>
  <c r="BG696" i="23" s="1"/>
  <c r="BF841" i="23"/>
  <c r="BG841" i="23" s="1"/>
  <c r="BF849" i="23"/>
  <c r="BG849" i="23" s="1"/>
  <c r="BF817" i="23"/>
  <c r="BG817" i="23" s="1"/>
  <c r="BF1108" i="23"/>
  <c r="BG1108" i="23" s="1"/>
  <c r="BF250" i="23"/>
  <c r="BG250" i="23" s="1"/>
  <c r="BF1003" i="23"/>
  <c r="BG1003" i="23" s="1"/>
  <c r="BF1165" i="23"/>
  <c r="BG1165" i="23" s="1"/>
  <c r="BF5" i="23"/>
  <c r="BG5" i="23" s="1"/>
  <c r="BF61" i="23"/>
  <c r="BG61" i="23" s="1"/>
  <c r="BF139" i="23"/>
  <c r="BG139" i="23" s="1"/>
  <c r="BF441" i="23"/>
  <c r="BG441" i="23" s="1"/>
  <c r="BF530" i="23"/>
  <c r="BG530" i="23" s="1"/>
  <c r="BF751" i="23"/>
  <c r="BG751" i="23" s="1"/>
  <c r="BF862" i="23"/>
  <c r="BG862" i="23" s="1"/>
  <c r="BF589" i="23"/>
  <c r="BG589" i="23" s="1"/>
  <c r="BF422" i="23"/>
  <c r="BG422" i="23" s="1"/>
  <c r="BF392" i="23"/>
  <c r="BG392" i="23" s="1"/>
  <c r="BF226" i="23"/>
  <c r="BG226" i="23" s="1"/>
  <c r="BF375" i="23"/>
  <c r="BG375" i="23" s="1"/>
  <c r="BF1278" i="23"/>
  <c r="BG1278" i="23" s="1"/>
  <c r="BF66" i="23"/>
  <c r="BG66" i="23" s="1"/>
  <c r="BF265" i="23"/>
  <c r="BG265" i="23" s="1"/>
  <c r="BF321" i="23"/>
  <c r="BG321" i="23" s="1"/>
  <c r="BF489" i="23"/>
  <c r="BG489" i="23" s="1"/>
  <c r="BF231" i="23"/>
  <c r="BG231" i="23" s="1"/>
  <c r="BF523" i="23"/>
  <c r="BG523" i="23" s="1"/>
  <c r="BF1107" i="23"/>
  <c r="BG1107" i="23" s="1"/>
  <c r="BF289" i="23"/>
  <c r="BG289" i="23" s="1"/>
  <c r="BF259" i="23"/>
  <c r="BG259" i="23" s="1"/>
  <c r="BF137" i="23"/>
  <c r="BG137" i="23" s="1"/>
  <c r="BF65" i="23"/>
  <c r="BG65" i="23" s="1"/>
  <c r="BF906" i="23"/>
  <c r="BG906" i="23" s="1"/>
  <c r="BF734" i="23"/>
  <c r="BG734" i="23" s="1"/>
  <c r="BF861" i="23"/>
  <c r="BG861" i="23" s="1"/>
  <c r="BF559" i="23"/>
  <c r="BG559" i="23" s="1"/>
  <c r="BF1099" i="23"/>
  <c r="BG1099" i="23" s="1"/>
  <c r="BF101" i="23"/>
  <c r="BG101" i="23" s="1"/>
  <c r="BF9" i="23"/>
  <c r="BG9" i="23" s="1"/>
  <c r="BF959" i="23"/>
  <c r="BG959" i="23" s="1"/>
  <c r="BF730" i="23"/>
  <c r="BG730" i="23" s="1"/>
  <c r="BF305" i="23"/>
  <c r="BG305" i="23" s="1"/>
  <c r="BF1033" i="23"/>
  <c r="BG1033" i="23" s="1"/>
  <c r="BF164" i="23"/>
  <c r="BG164" i="23" s="1"/>
  <c r="BF230" i="23"/>
  <c r="BG230" i="23" s="1"/>
  <c r="BF912" i="23"/>
  <c r="BG912" i="23" s="1"/>
  <c r="BF1282" i="23"/>
  <c r="BG1282" i="23" s="1"/>
  <c r="BF8" i="23"/>
  <c r="BG8" i="23" s="1"/>
  <c r="BF24" i="23"/>
  <c r="BG24" i="23" s="1"/>
  <c r="BF116" i="23"/>
  <c r="BG116" i="23" s="1"/>
  <c r="BF200" i="23"/>
  <c r="BG200" i="23" s="1"/>
  <c r="BF256" i="23"/>
  <c r="BG256" i="23" s="1"/>
  <c r="BF312" i="23"/>
  <c r="BG312" i="23" s="1"/>
  <c r="BF490" i="23"/>
  <c r="BG490" i="23" s="1"/>
  <c r="BF596" i="23"/>
  <c r="BG596" i="23" s="1"/>
  <c r="BF756" i="23"/>
  <c r="BG756" i="23" s="1"/>
  <c r="BF764" i="23"/>
  <c r="BG764" i="23" s="1"/>
  <c r="BF1088" i="23"/>
  <c r="BG1088" i="23" s="1"/>
  <c r="BF1096" i="23"/>
  <c r="BG1096" i="23" s="1"/>
  <c r="BF1160" i="23"/>
  <c r="BG1160" i="23" s="1"/>
  <c r="BF1046" i="23"/>
  <c r="BG1046" i="23" s="1"/>
  <c r="BF418" i="23"/>
  <c r="BG418" i="23" s="1"/>
  <c r="BF825" i="23"/>
  <c r="BG825" i="23" s="1"/>
  <c r="BF860" i="23"/>
  <c r="BG860" i="23" s="1"/>
  <c r="BF945" i="23"/>
  <c r="BG945" i="23" s="1"/>
  <c r="BF961" i="23"/>
  <c r="BG961" i="23" s="1"/>
  <c r="BF423" i="23"/>
  <c r="BG423" i="23" s="1"/>
  <c r="BF235" i="23"/>
  <c r="BG235" i="23" s="1"/>
  <c r="BF255" i="23"/>
  <c r="BG255" i="23" s="1"/>
  <c r="BF279" i="23"/>
  <c r="BG279" i="23" s="1"/>
  <c r="BF327" i="23"/>
  <c r="BG327" i="23" s="1"/>
  <c r="BF225" i="23"/>
  <c r="BG225" i="23" s="1"/>
  <c r="BF313" i="23"/>
  <c r="BG313" i="23" s="1"/>
  <c r="BF426" i="23"/>
  <c r="BG426" i="23" s="1"/>
  <c r="BF270" i="23"/>
  <c r="BG270" i="23" s="1"/>
  <c r="BF311" i="23"/>
  <c r="BG311" i="23" s="1"/>
  <c r="BF385" i="23"/>
  <c r="BG385" i="23" s="1"/>
  <c r="BF844" i="23"/>
  <c r="BG844" i="23" s="1"/>
  <c r="BF23" i="23"/>
  <c r="BG23" i="23" s="1"/>
  <c r="BF287" i="23"/>
  <c r="BG287" i="23" s="1"/>
  <c r="BF1169" i="23"/>
  <c r="BG1169" i="23" s="1"/>
  <c r="BF794" i="23"/>
  <c r="BG794" i="23" s="1"/>
  <c r="BF787" i="23"/>
  <c r="BG787" i="23" s="1"/>
  <c r="BF271" i="23"/>
  <c r="BG271" i="23" s="1"/>
  <c r="BF257" i="23"/>
  <c r="BG257" i="23" s="1"/>
  <c r="BF143" i="23"/>
  <c r="BG143" i="23" s="1"/>
  <c r="BF140" i="23"/>
  <c r="BG140" i="23" s="1"/>
  <c r="BF880" i="23"/>
  <c r="BG880" i="23" s="1"/>
  <c r="BF691" i="23"/>
  <c r="BG691" i="23" s="1"/>
  <c r="BF895" i="23"/>
  <c r="BG895" i="23" s="1"/>
  <c r="BF539" i="23"/>
  <c r="BG539" i="23" s="1"/>
  <c r="BF127" i="23"/>
  <c r="BG127" i="23" s="1"/>
  <c r="BF233" i="23"/>
  <c r="BG233" i="23" s="1"/>
  <c r="BF955" i="23"/>
  <c r="BG955" i="23" s="1"/>
  <c r="BF299" i="23"/>
  <c r="BG299" i="23" s="1"/>
  <c r="BF387" i="23"/>
  <c r="BG387" i="23" s="1"/>
  <c r="BF241" i="23"/>
  <c r="BG241" i="23" s="1"/>
  <c r="BF310" i="23"/>
  <c r="BG310" i="23" s="1"/>
  <c r="BF570" i="23"/>
  <c r="BG570" i="23" s="1"/>
  <c r="BF1153" i="23"/>
  <c r="BG1153" i="23" s="1"/>
  <c r="BF298" i="23"/>
  <c r="BG298" i="23" s="1"/>
  <c r="BF131" i="23"/>
  <c r="BG131" i="23" s="1"/>
  <c r="BF205" i="23"/>
  <c r="BG205" i="23" s="1"/>
  <c r="BF229" i="23"/>
  <c r="BG229" i="23" s="1"/>
  <c r="BF253" i="23"/>
  <c r="BG253" i="23" s="1"/>
  <c r="BF261" i="23"/>
  <c r="BG261" i="23" s="1"/>
  <c r="BF269" i="23"/>
  <c r="BG269" i="23" s="1"/>
  <c r="BF293" i="23"/>
  <c r="BG293" i="23" s="1"/>
  <c r="BF309" i="23"/>
  <c r="BG309" i="23" s="1"/>
  <c r="BF325" i="23"/>
  <c r="BG325" i="23" s="1"/>
  <c r="BF395" i="23"/>
  <c r="BG395" i="23" s="1"/>
  <c r="BF211" i="23"/>
  <c r="BG211" i="23" s="1"/>
  <c r="BF239" i="23"/>
  <c r="BG239" i="23" s="1"/>
  <c r="BF283" i="23"/>
  <c r="BG283" i="23" s="1"/>
  <c r="BF393" i="23"/>
  <c r="BG393" i="23" s="1"/>
  <c r="BF836" i="23"/>
  <c r="BG836" i="23" s="1"/>
  <c r="BF910" i="23"/>
  <c r="BG910" i="23" s="1"/>
  <c r="BF215" i="23"/>
  <c r="BG215" i="23" s="1"/>
  <c r="BF275" i="23"/>
  <c r="BG275" i="23" s="1"/>
  <c r="BF303" i="23"/>
  <c r="BG303" i="23" s="1"/>
  <c r="BF848" i="23"/>
  <c r="BG848" i="23" s="1"/>
  <c r="BF1095" i="23"/>
  <c r="BG1095" i="23" s="1"/>
  <c r="BF876" i="23"/>
  <c r="BG876" i="23" s="1"/>
  <c r="BF202" i="23"/>
  <c r="BG202" i="23" s="1"/>
  <c r="BF266" i="23"/>
  <c r="BG266" i="23" s="1"/>
  <c r="BF209" i="23"/>
  <c r="BG209" i="23" s="1"/>
  <c r="BF249" i="23"/>
  <c r="BG249" i="23" s="1"/>
  <c r="BF6" i="23"/>
  <c r="BG6" i="23" s="1"/>
  <c r="BF251" i="23"/>
  <c r="BG251" i="23" s="1"/>
  <c r="BF1143" i="23"/>
  <c r="BG1143" i="23" s="1"/>
  <c r="BF103" i="23"/>
  <c r="BG103" i="23" s="1"/>
  <c r="BF480" i="23"/>
  <c r="BG480" i="23" s="1"/>
  <c r="BF1106" i="23"/>
  <c r="BG1106" i="23" s="1"/>
  <c r="BF1055" i="23"/>
  <c r="BG1055" i="23" s="1"/>
  <c r="BF1051" i="23"/>
  <c r="BG1051" i="23" s="1"/>
  <c r="BF731" i="23"/>
  <c r="BG731" i="23" s="1"/>
  <c r="BF412" i="23"/>
  <c r="BG412" i="23" s="1"/>
  <c r="BF297" i="23"/>
  <c r="BG297" i="23" s="1"/>
  <c r="BF281" i="23"/>
  <c r="BG281" i="23" s="1"/>
  <c r="BF201" i="23"/>
  <c r="BG201" i="23" s="1"/>
  <c r="BF217" i="23"/>
  <c r="BG217" i="23" s="1"/>
  <c r="BF117" i="23"/>
  <c r="BG117" i="23" s="1"/>
  <c r="BF227" i="23"/>
  <c r="BG227" i="23" s="1"/>
  <c r="BF816" i="23"/>
  <c r="BG816" i="23" s="1"/>
  <c r="BF1172" i="23"/>
  <c r="BG1172" i="23" s="1"/>
  <c r="BF399" i="23"/>
  <c r="BG399" i="23" s="1"/>
  <c r="BF136" i="23"/>
  <c r="BG136" i="23" s="1"/>
  <c r="BF1103" i="23"/>
  <c r="BG1103" i="23" s="1"/>
  <c r="BF157" i="23"/>
  <c r="BG157" i="23" s="1"/>
  <c r="BF1150" i="23"/>
  <c r="BG1150" i="23" s="1"/>
  <c r="BF62" i="23"/>
  <c r="BG62" i="23" s="1"/>
  <c r="BF262" i="23"/>
  <c r="BG262" i="23" s="1"/>
  <c r="BF60" i="23"/>
  <c r="BG60" i="23" s="1"/>
  <c r="BF204" i="23"/>
  <c r="BG204" i="23" s="1"/>
  <c r="BF220" i="23"/>
  <c r="BG220" i="23" s="1"/>
  <c r="BF244" i="23"/>
  <c r="BG244" i="23" s="1"/>
  <c r="BF260" i="23"/>
  <c r="BG260" i="23" s="1"/>
  <c r="BF300" i="23"/>
  <c r="BG300" i="23" s="1"/>
  <c r="BF324" i="23"/>
  <c r="BG324" i="23" s="1"/>
  <c r="BF429" i="23"/>
  <c r="BG429" i="23" s="1"/>
  <c r="BF568" i="23"/>
  <c r="BG568" i="23" s="1"/>
  <c r="BF1092" i="23"/>
  <c r="BG1092" i="23" s="1"/>
  <c r="BF1140" i="23"/>
  <c r="BG1140" i="23" s="1"/>
  <c r="BF1148" i="23"/>
  <c r="BG1148" i="23" s="1"/>
  <c r="BF118" i="23"/>
  <c r="BG118" i="23" s="1"/>
  <c r="BF396" i="23"/>
  <c r="BG396" i="23" s="1"/>
  <c r="BF482" i="23"/>
  <c r="BG482" i="23" s="1"/>
  <c r="BF879" i="23"/>
  <c r="BG879" i="23" s="1"/>
  <c r="BF856" i="23"/>
  <c r="BG856" i="23" s="1"/>
  <c r="BF933" i="23"/>
  <c r="BG933" i="23" s="1"/>
  <c r="BF957" i="23"/>
  <c r="BG957" i="23" s="1"/>
  <c r="BF1041" i="23"/>
  <c r="BG1041" i="23" s="1"/>
  <c r="BF1057" i="23"/>
  <c r="BG1057" i="23" s="1"/>
  <c r="BF1170" i="23"/>
  <c r="BG1170" i="23" s="1"/>
  <c r="BF247" i="23"/>
  <c r="BG247" i="23" s="1"/>
  <c r="BF319" i="23"/>
  <c r="BG319" i="23" s="1"/>
  <c r="BF424" i="23"/>
  <c r="BG424" i="23" s="1"/>
  <c r="BF840" i="23"/>
  <c r="BG840" i="23" s="1"/>
  <c r="BF806" i="23"/>
  <c r="BG806" i="23" s="1"/>
  <c r="BF1091" i="23"/>
  <c r="BG1091" i="23" s="1"/>
  <c r="BF187" i="23" l="1"/>
  <c r="BG187" i="23" s="1"/>
  <c r="BB931" i="23"/>
  <c r="BB776" i="23"/>
  <c r="BB883" i="23"/>
  <c r="BB1286" i="23"/>
  <c r="BB835" i="23"/>
  <c r="BB146" i="23"/>
  <c r="BB183" i="23"/>
  <c r="BB853" i="23"/>
  <c r="BB902" i="23"/>
  <c r="BB154" i="23"/>
  <c r="BB719" i="23"/>
  <c r="BB148" i="23"/>
  <c r="BB397" i="23"/>
  <c r="BB502" i="23"/>
  <c r="BB444" i="23"/>
  <c r="BB1262" i="23"/>
  <c r="BB153" i="23"/>
  <c r="BB936" i="23"/>
  <c r="BB252" i="23"/>
  <c r="BB1009" i="23"/>
  <c r="BB542" i="23"/>
  <c r="BB913" i="23"/>
  <c r="BB1273" i="23"/>
  <c r="BB833" i="23"/>
  <c r="BB720" i="23"/>
  <c r="BB896" i="23"/>
  <c r="BB188" i="23"/>
  <c r="BB193" i="23"/>
  <c r="BB254" i="23"/>
  <c r="BB63" i="23"/>
  <c r="BB827" i="23"/>
  <c r="BB1270" i="23"/>
  <c r="BB1001" i="23"/>
  <c r="BB138" i="23"/>
  <c r="BB928" i="23"/>
  <c r="BB707" i="23"/>
  <c r="BB1272" i="23"/>
  <c r="BB400" i="23"/>
  <c r="BB1032" i="23"/>
  <c r="BB807" i="23"/>
  <c r="BB930" i="23"/>
  <c r="BB882" i="23"/>
  <c r="BB130" i="23"/>
  <c r="BB401" i="23"/>
  <c r="BB1274" i="23"/>
  <c r="BB923" i="23"/>
  <c r="BB815" i="23"/>
  <c r="BB416" i="23"/>
  <c r="BB413" i="23"/>
  <c r="BB770" i="23"/>
  <c r="BB1260" i="23"/>
  <c r="BB995" i="23"/>
  <c r="BB495" i="23"/>
  <c r="BB800" i="23"/>
  <c r="BB1265" i="23"/>
  <c r="BB919" i="23"/>
  <c r="BB784" i="23"/>
  <c r="BB1266" i="23"/>
  <c r="BB798" i="23"/>
  <c r="BB428" i="23"/>
  <c r="BB986" i="23"/>
  <c r="BB536" i="23"/>
  <c r="BB398" i="23"/>
  <c r="BB172" i="23"/>
  <c r="BB179" i="23"/>
  <c r="BB888" i="23"/>
  <c r="BB234" i="23"/>
  <c r="BB290" i="23"/>
  <c r="BB388" i="23"/>
  <c r="BB576" i="23"/>
  <c r="BB503" i="23"/>
  <c r="BB55" i="23"/>
  <c r="BB196" i="23"/>
  <c r="BB934" i="23"/>
  <c r="BB832" i="23"/>
  <c r="BB743" i="23"/>
  <c r="BB712" i="23"/>
  <c r="BB68" i="23"/>
  <c r="BB156" i="23"/>
  <c r="BB180" i="23"/>
  <c r="BB584" i="23"/>
  <c r="BB920" i="23"/>
  <c r="BB519" i="23"/>
  <c r="BB498" i="23"/>
  <c r="BB583" i="23"/>
  <c r="BB718" i="23"/>
  <c r="BB421" i="23"/>
  <c r="BB1277" i="23"/>
  <c r="BB907" i="23"/>
  <c r="BB544" i="23"/>
  <c r="BB181" i="23"/>
  <c r="BB899" i="23"/>
  <c r="BB1004" i="23"/>
  <c r="BB1018" i="23"/>
  <c r="BB129" i="23"/>
  <c r="BB419" i="23"/>
  <c r="BB742" i="23"/>
  <c r="BB574" i="23"/>
  <c r="BB291" i="23"/>
  <c r="BB775" i="23"/>
  <c r="BB723" i="23"/>
  <c r="BB792" i="23"/>
  <c r="BF153" i="23"/>
  <c r="BG153" i="23" s="1"/>
  <c r="BB432" i="23"/>
  <c r="BF146" i="23"/>
  <c r="BG146" i="23" s="1"/>
  <c r="BF196" i="23"/>
  <c r="BG196" i="23" s="1"/>
  <c r="BF55" i="23"/>
  <c r="BB587" i="23"/>
  <c r="BF156" i="23"/>
  <c r="BG156" i="23" s="1"/>
  <c r="BF197" i="23"/>
  <c r="BG197" i="23" s="1"/>
  <c r="BB197" i="23"/>
  <c r="BF254" i="23"/>
  <c r="BG254" i="23" s="1"/>
  <c r="BF924" i="23"/>
  <c r="BG924" i="23" s="1"/>
  <c r="BB829" i="23"/>
  <c r="BF829" i="23"/>
  <c r="BG829" i="23" s="1"/>
  <c r="BB939" i="23"/>
  <c r="BF176" i="23"/>
  <c r="BG176" i="23" s="1"/>
  <c r="BB224" i="23"/>
  <c r="BB184" i="23"/>
  <c r="BF927" i="23"/>
  <c r="BG927" i="23" s="1"/>
  <c r="BB892" i="23"/>
  <c r="BB1012" i="23"/>
  <c r="BB535" i="23"/>
  <c r="BB772" i="23"/>
  <c r="BB740" i="23"/>
  <c r="BB891" i="23"/>
  <c r="BB915" i="23"/>
  <c r="BB240" i="23"/>
  <c r="BB887" i="23"/>
  <c r="BF240" i="23"/>
  <c r="BG240" i="23" s="1"/>
  <c r="BB900" i="23"/>
  <c r="BF884" i="23"/>
  <c r="BG884" i="23" s="1"/>
  <c r="BB540" i="23"/>
  <c r="BB711" i="23"/>
  <c r="BF148" i="23"/>
  <c r="BG148" i="23" s="1"/>
  <c r="BB417" i="23"/>
  <c r="BF576" i="23"/>
  <c r="BG576" i="23" s="1"/>
  <c r="BB564" i="23"/>
  <c r="BB563" i="23"/>
  <c r="BB940" i="23"/>
  <c r="BF425" i="23"/>
  <c r="BG425" i="23" s="1"/>
  <c r="BB799" i="23"/>
  <c r="BB425" i="23"/>
  <c r="BF935" i="23"/>
  <c r="BG935" i="23" s="1"/>
  <c r="BB1283" i="23"/>
  <c r="BB402" i="23"/>
  <c r="BB203" i="23"/>
  <c r="BB884" i="23"/>
  <c r="BB176" i="23"/>
  <c r="BF177" i="23"/>
  <c r="BG177" i="23" s="1"/>
  <c r="BF175" i="23"/>
  <c r="BG175" i="23" s="1"/>
  <c r="BF411" i="23"/>
  <c r="BG411" i="23" s="1"/>
  <c r="BF890" i="23"/>
  <c r="BG890" i="23" s="1"/>
  <c r="BF420" i="23"/>
  <c r="BG420" i="23" s="1"/>
  <c r="BF417" i="23"/>
  <c r="BG417" i="23" s="1"/>
  <c r="BB935" i="23"/>
  <c r="BB280" i="23"/>
  <c r="BF402" i="23"/>
  <c r="BG402" i="23" s="1"/>
  <c r="BF198" i="23"/>
  <c r="BG198" i="23" s="1"/>
  <c r="BF234" i="23"/>
  <c r="BG234" i="23" s="1"/>
  <c r="BF898" i="23"/>
  <c r="BG898" i="23" s="1"/>
  <c r="BF203" i="23"/>
  <c r="BG203" i="23" s="1"/>
  <c r="BF184" i="23"/>
  <c r="BG184" i="23" s="1"/>
  <c r="BF940" i="23"/>
  <c r="BG940" i="23" s="1"/>
  <c r="BF224" i="23"/>
  <c r="BG224" i="23" s="1"/>
  <c r="BB924" i="23"/>
  <c r="BF421" i="23"/>
  <c r="BG421" i="23" s="1"/>
  <c r="BF280" i="23"/>
  <c r="BG280" i="23" s="1"/>
  <c r="BB914" i="23"/>
  <c r="BF174" i="23"/>
  <c r="BG174" i="23" s="1"/>
  <c r="BF152" i="23"/>
  <c r="BG152" i="23" s="1"/>
  <c r="BF186" i="23"/>
  <c r="BG186" i="23" s="1"/>
  <c r="BF900" i="23"/>
  <c r="BG900" i="23" s="1"/>
  <c r="BF932" i="23"/>
  <c r="BG932" i="23" s="1"/>
  <c r="BF1030" i="23"/>
  <c r="BG1030" i="23" s="1"/>
  <c r="BF740" i="23"/>
  <c r="BG740" i="23" s="1"/>
  <c r="BF739" i="23"/>
  <c r="BG739" i="23" s="1"/>
  <c r="BF129" i="23"/>
  <c r="BG129" i="23" s="1"/>
  <c r="BF291" i="23"/>
  <c r="BG291" i="23" s="1"/>
  <c r="BF939" i="23"/>
  <c r="BG939" i="23" s="1"/>
  <c r="BF892" i="23"/>
  <c r="BG892" i="23" s="1"/>
  <c r="BF495" i="23"/>
  <c r="BG495" i="23" s="1"/>
  <c r="BB64" i="23"/>
  <c r="BB828" i="23"/>
  <c r="BF832" i="23"/>
  <c r="BG832" i="23" s="1"/>
  <c r="BB1269" i="23"/>
  <c r="BB852" i="23"/>
  <c r="BB715" i="23"/>
  <c r="BB296" i="23"/>
  <c r="BF210" i="23"/>
  <c r="BG210" i="23" s="1"/>
  <c r="BB771" i="23"/>
  <c r="BB527" i="23"/>
  <c r="BB403" i="23"/>
  <c r="BF833" i="23"/>
  <c r="BG833" i="23" s="1"/>
  <c r="BB526" i="23"/>
  <c r="BB295" i="23"/>
  <c r="BB744" i="23"/>
  <c r="BB869" i="23"/>
  <c r="BF416" i="23"/>
  <c r="BG416" i="23" s="1"/>
  <c r="BF180" i="23"/>
  <c r="BG180" i="23" s="1"/>
  <c r="BF518" i="23"/>
  <c r="BG518" i="23" s="1"/>
  <c r="BF888" i="23"/>
  <c r="BG888" i="23" s="1"/>
  <c r="BB708" i="23"/>
  <c r="BB1005" i="23"/>
  <c r="BB149" i="23"/>
  <c r="BB274" i="23"/>
  <c r="BB1115" i="23"/>
  <c r="BB877" i="23"/>
  <c r="BB207" i="23"/>
  <c r="BB872" i="23"/>
  <c r="BF296" i="23"/>
  <c r="BG296" i="23" s="1"/>
  <c r="BB548" i="23"/>
  <c r="BF219" i="23"/>
  <c r="BG219" i="23" s="1"/>
  <c r="BB518" i="23"/>
  <c r="BB716" i="23"/>
  <c r="BF181" i="23"/>
  <c r="BG181" i="23" s="1"/>
  <c r="BF1009" i="23"/>
  <c r="BG1009" i="23" s="1"/>
  <c r="BF403" i="23"/>
  <c r="BG403" i="23" s="1"/>
  <c r="BF149" i="23"/>
  <c r="BG149" i="23" s="1"/>
  <c r="BF902" i="23"/>
  <c r="BG902" i="23" s="1"/>
  <c r="BF151" i="23"/>
  <c r="BG151" i="23" s="1"/>
  <c r="BF190" i="23"/>
  <c r="BG190" i="23" s="1"/>
  <c r="BF194" i="23"/>
  <c r="BG194" i="23" s="1"/>
  <c r="BF886" i="23"/>
  <c r="BG886" i="23" s="1"/>
  <c r="BB727" i="23"/>
  <c r="BB242" i="23"/>
  <c r="BB189" i="23"/>
  <c r="BB738" i="23"/>
  <c r="BB894" i="23"/>
  <c r="BF199" i="23"/>
  <c r="BG199" i="23" s="1"/>
  <c r="BF208" i="23"/>
  <c r="BG208" i="23" s="1"/>
  <c r="BF189" i="23"/>
  <c r="BG189" i="23" s="1"/>
  <c r="BB208" i="23"/>
  <c r="BF738" i="23"/>
  <c r="BG738" i="23" s="1"/>
  <c r="BB175" i="23"/>
  <c r="BB774" i="23"/>
  <c r="BB922" i="23"/>
  <c r="BB706" i="23"/>
  <c r="BF926" i="23"/>
  <c r="BG926" i="23" s="1"/>
  <c r="BF178" i="23"/>
  <c r="BG178" i="23" s="1"/>
  <c r="BF401" i="23"/>
  <c r="BG401" i="23" s="1"/>
  <c r="BB1016" i="23"/>
  <c r="BF499" i="23"/>
  <c r="BG499" i="23" s="1"/>
  <c r="BB1276" i="23"/>
  <c r="BF502" i="23"/>
  <c r="BG502" i="23" s="1"/>
  <c r="BF784" i="23"/>
  <c r="BG784" i="23" s="1"/>
  <c r="BB499" i="23"/>
  <c r="BB1030" i="23"/>
  <c r="BB124" i="23"/>
  <c r="BF894" i="23"/>
  <c r="BG894" i="23" s="1"/>
  <c r="BB546" i="23"/>
  <c r="BF147" i="23"/>
  <c r="BG147" i="23" s="1"/>
  <c r="BB151" i="23"/>
  <c r="BB190" i="23"/>
  <c r="BB558" i="23"/>
  <c r="BB210" i="23"/>
  <c r="BB831" i="23"/>
  <c r="BB194" i="23"/>
  <c r="BB916" i="23"/>
  <c r="BB219" i="23"/>
  <c r="BB927" i="23"/>
  <c r="BB886" i="23"/>
  <c r="BF1283" i="23"/>
  <c r="BG1283" i="23" s="1"/>
  <c r="BB178" i="23"/>
  <c r="BB538" i="23"/>
  <c r="BB778" i="23"/>
  <c r="BB926" i="23"/>
  <c r="BB710" i="23"/>
  <c r="BB199" i="23"/>
  <c r="BF252" i="23"/>
  <c r="BG252" i="23" s="1"/>
  <c r="BB177" i="23"/>
  <c r="BB411" i="23"/>
  <c r="BB488" i="23"/>
  <c r="BB890" i="23"/>
  <c r="BB420" i="23"/>
  <c r="BB739" i="23"/>
  <c r="BB808" i="23"/>
  <c r="BB543" i="23"/>
  <c r="BF776" i="23"/>
  <c r="BG776" i="23" s="1"/>
  <c r="BB932" i="23"/>
  <c r="BF124" i="23"/>
  <c r="BG124" i="23" s="1"/>
  <c r="BB431" i="23"/>
  <c r="BB147" i="23"/>
  <c r="BB174" i="23"/>
  <c r="BB152" i="23"/>
  <c r="BB534" i="23"/>
  <c r="BB186" i="23"/>
  <c r="BB826" i="23"/>
  <c r="BB938" i="23"/>
  <c r="BB722" i="23"/>
  <c r="BB1268" i="23"/>
  <c r="BB4" i="23"/>
  <c r="BB198" i="23"/>
  <c r="BB714" i="23"/>
  <c r="BB898" i="23"/>
  <c r="BF707" i="23"/>
  <c r="BG707" i="23" s="1"/>
  <c r="BF130" i="23"/>
  <c r="BG130" i="23" s="1"/>
  <c r="BF899" i="23"/>
  <c r="BG899" i="23" s="1"/>
  <c r="BF923" i="23"/>
  <c r="BG923" i="23" s="1"/>
  <c r="BF1016" i="23"/>
  <c r="BG1016" i="23" s="1"/>
  <c r="BF397" i="23"/>
  <c r="BG397" i="23" s="1"/>
  <c r="BF1286" i="23"/>
  <c r="BG1286" i="23" s="1"/>
  <c r="BF815" i="23"/>
  <c r="BG815" i="23" s="1"/>
  <c r="BF138" i="23"/>
  <c r="BG138" i="23" s="1"/>
  <c r="BF775" i="23"/>
  <c r="BG775" i="23" s="1"/>
  <c r="BF419" i="23"/>
  <c r="BG419" i="23" s="1"/>
  <c r="BF792" i="23"/>
  <c r="BG792" i="23" s="1"/>
  <c r="BF934" i="23"/>
  <c r="BG934" i="23" s="1"/>
  <c r="AU1043" i="23"/>
  <c r="AU327" i="23"/>
  <c r="AU1160" i="23"/>
  <c r="AU9" i="23"/>
  <c r="AU321" i="23"/>
  <c r="AU696" i="23"/>
  <c r="AU1052" i="23"/>
  <c r="AU314" i="23"/>
  <c r="AU1144" i="23"/>
  <c r="AU1248" i="23"/>
  <c r="AU1141" i="23"/>
  <c r="BF574" i="23"/>
  <c r="BG574" i="23" s="1"/>
  <c r="BF388" i="23"/>
  <c r="BG388" i="23" s="1"/>
  <c r="AU1091" i="23"/>
  <c r="AU1051" i="23"/>
  <c r="AU1089" i="23"/>
  <c r="AU552" i="23"/>
  <c r="AU693" i="23"/>
  <c r="AU322" i="23"/>
  <c r="AU1093" i="23"/>
  <c r="AU101" i="23"/>
  <c r="BF807" i="23"/>
  <c r="BG807" i="23" s="1"/>
  <c r="AU1165" i="23"/>
  <c r="AU317" i="23"/>
  <c r="BF1270" i="23"/>
  <c r="BG1270" i="23" s="1"/>
  <c r="AU1087" i="23"/>
  <c r="AU1040" i="23"/>
  <c r="AU1139" i="23"/>
  <c r="AU7" i="23"/>
  <c r="AU1173" i="23"/>
  <c r="BF835" i="23"/>
  <c r="BG835" i="23" s="1"/>
  <c r="AU692" i="23"/>
  <c r="BF1032" i="23"/>
  <c r="BG1032" i="23" s="1"/>
  <c r="AU324" i="23"/>
  <c r="AU1096" i="23"/>
  <c r="AU8" i="23"/>
  <c r="AU1097" i="23"/>
  <c r="AU1049" i="23"/>
  <c r="AU1041" i="23"/>
  <c r="AU1172" i="23"/>
  <c r="AU1055" i="23"/>
  <c r="AU103" i="23"/>
  <c r="AU319" i="23"/>
  <c r="AU1140" i="23"/>
  <c r="AU1092" i="23"/>
  <c r="AU1046" i="23"/>
  <c r="AU1088" i="23"/>
  <c r="AU480" i="23"/>
  <c r="AU1143" i="23"/>
  <c r="AU1095" i="23"/>
  <c r="AU325" i="23"/>
  <c r="AU691" i="23"/>
  <c r="AU313" i="23"/>
  <c r="AU688" i="23"/>
  <c r="AU1168" i="23"/>
  <c r="AU1166" i="23"/>
  <c r="AU1156" i="23"/>
  <c r="AU102" i="23"/>
  <c r="BF536" i="23"/>
  <c r="BG536" i="23" s="1"/>
  <c r="AU316" i="23"/>
  <c r="AU1053" i="23"/>
  <c r="AU704" i="23"/>
  <c r="AU1145" i="23"/>
  <c r="AU1090" i="23"/>
  <c r="AU553" i="23"/>
  <c r="BF742" i="23"/>
  <c r="BG742" i="23" s="1"/>
  <c r="AU1047" i="23"/>
  <c r="AU479" i="23"/>
  <c r="AU1167" i="23"/>
  <c r="BF936" i="23"/>
  <c r="BG936" i="23" s="1"/>
  <c r="BF193" i="23"/>
  <c r="BG193" i="23" s="1"/>
  <c r="BF503" i="23"/>
  <c r="BG503" i="23" s="1"/>
  <c r="BF928" i="23"/>
  <c r="BG928" i="23" s="1"/>
  <c r="BF290" i="23"/>
  <c r="BG290" i="23" s="1"/>
  <c r="BF907" i="23"/>
  <c r="BG907" i="23" s="1"/>
  <c r="BF183" i="23"/>
  <c r="BG183" i="23" s="1"/>
  <c r="BF544" i="23"/>
  <c r="BG544" i="23" s="1"/>
  <c r="BF428" i="23"/>
  <c r="BG428" i="23" s="1"/>
  <c r="BF498" i="23"/>
  <c r="BG498" i="23" s="1"/>
  <c r="BF931" i="23"/>
  <c r="BG931" i="23" s="1"/>
  <c r="BF720" i="23"/>
  <c r="BG720" i="23" s="1"/>
  <c r="BF413" i="23"/>
  <c r="BG413" i="23" s="1"/>
  <c r="BF583" i="23"/>
  <c r="BG583" i="23" s="1"/>
  <c r="BF400" i="23"/>
  <c r="BG400" i="23" s="1"/>
  <c r="BF913" i="23"/>
  <c r="BG913" i="23" s="1"/>
  <c r="BF1001" i="23"/>
  <c r="BG1001" i="23" s="1"/>
  <c r="BF154" i="23"/>
  <c r="BG154" i="23" s="1"/>
  <c r="BF1273" i="23"/>
  <c r="BG1273" i="23" s="1"/>
  <c r="BF584" i="23"/>
  <c r="BG584" i="23" s="1"/>
  <c r="BF527" i="23"/>
  <c r="BG527" i="23" s="1"/>
  <c r="BF771" i="23"/>
  <c r="BG771" i="23" s="1"/>
  <c r="BF920" i="23"/>
  <c r="BG920" i="23" s="1"/>
  <c r="BF896" i="23"/>
  <c r="BG896" i="23" s="1"/>
  <c r="BF188" i="23"/>
  <c r="BG188" i="23" s="1"/>
  <c r="BF68" i="23"/>
  <c r="BG68" i="23" s="1"/>
  <c r="BF1266" i="23"/>
  <c r="BG1266" i="23" s="1"/>
  <c r="BF1012" i="23"/>
  <c r="BG1012" i="23" s="1"/>
  <c r="BF1277" i="23"/>
  <c r="BG1277" i="23" s="1"/>
  <c r="BF743" i="23"/>
  <c r="BG743" i="23" s="1"/>
  <c r="BF1004" i="23"/>
  <c r="BG1004" i="23" s="1"/>
  <c r="BF800" i="23"/>
  <c r="BG800" i="23" s="1"/>
  <c r="BF1272" i="23"/>
  <c r="BG1272" i="23" s="1"/>
  <c r="BF827" i="23"/>
  <c r="BG827" i="23" s="1"/>
  <c r="BF587" i="23"/>
  <c r="BG587" i="23" s="1"/>
  <c r="BF723" i="23"/>
  <c r="BG723" i="23" s="1"/>
  <c r="BF719" i="23"/>
  <c r="BG719" i="23" s="1"/>
  <c r="BF1276" i="23"/>
  <c r="BG1276" i="23" s="1"/>
  <c r="BF986" i="23"/>
  <c r="BG986" i="23" s="1"/>
  <c r="BF1274" i="23"/>
  <c r="BG1274" i="23" s="1"/>
  <c r="BF1018" i="23"/>
  <c r="BG1018" i="23" s="1"/>
  <c r="BF711" i="23"/>
  <c r="BG711" i="23" s="1"/>
  <c r="BF914" i="23"/>
  <c r="BG914" i="23" s="1"/>
  <c r="BF1269" i="23"/>
  <c r="BG1269" i="23" s="1"/>
  <c r="BF1260" i="23"/>
  <c r="BG1260" i="23" s="1"/>
  <c r="BF995" i="23"/>
  <c r="BG995" i="23" s="1"/>
  <c r="BF712" i="23"/>
  <c r="BG712" i="23" s="1"/>
  <c r="BF887" i="23"/>
  <c r="BG887" i="23" s="1"/>
  <c r="BF179" i="23"/>
  <c r="BG179" i="23" s="1"/>
  <c r="BF883" i="23"/>
  <c r="BG883" i="23" s="1"/>
  <c r="BF172" i="23"/>
  <c r="BG172" i="23" s="1"/>
  <c r="BF1265" i="23"/>
  <c r="BG1265" i="23" s="1"/>
  <c r="BF891" i="23"/>
  <c r="BG891" i="23" s="1"/>
  <c r="BF853" i="23"/>
  <c r="BG853" i="23" s="1"/>
  <c r="BF519" i="23"/>
  <c r="BG519" i="23" s="1"/>
  <c r="BF919" i="23" l="1"/>
  <c r="BG919" i="23" s="1"/>
  <c r="BF444" i="23"/>
  <c r="BG444" i="23" s="1"/>
  <c r="Y411" i="11"/>
  <c r="Y395" i="11"/>
  <c r="Y379" i="11"/>
  <c r="Y358" i="11"/>
  <c r="Y320" i="11"/>
  <c r="Y291" i="11"/>
  <c r="Y255" i="11"/>
  <c r="Y229" i="11"/>
  <c r="Y6" i="11"/>
  <c r="Y24" i="11"/>
  <c r="Y51" i="11"/>
  <c r="Y88" i="11"/>
  <c r="Y113" i="11"/>
  <c r="Y151" i="11"/>
  <c r="Y176" i="11"/>
  <c r="Y191" i="11"/>
  <c r="Y207" i="11"/>
  <c r="Z410" i="11"/>
  <c r="Z206" i="11"/>
  <c r="Z205" i="11"/>
  <c r="Z409" i="11"/>
  <c r="Z204" i="11"/>
  <c r="Z203" i="11"/>
  <c r="Z408" i="11"/>
  <c r="Z202" i="11"/>
  <c r="Z407" i="11"/>
  <c r="Z201" i="11"/>
  <c r="Z200" i="11"/>
  <c r="Z406" i="11"/>
  <c r="Z405" i="11"/>
  <c r="Z404" i="11"/>
  <c r="Z199" i="11"/>
  <c r="Z403" i="11"/>
  <c r="Z198" i="11"/>
  <c r="Z402" i="11"/>
  <c r="Z197" i="11"/>
  <c r="Z401" i="11"/>
  <c r="Z196" i="11"/>
  <c r="Z400" i="11"/>
  <c r="Z195" i="11"/>
  <c r="Z399" i="11"/>
  <c r="Z398" i="11"/>
  <c r="Z194" i="11"/>
  <c r="Z397" i="11"/>
  <c r="Z193" i="11"/>
  <c r="Z192" i="11"/>
  <c r="Z190" i="11"/>
  <c r="Z394" i="11"/>
  <c r="Z189" i="11"/>
  <c r="Z188" i="11"/>
  <c r="Z393" i="11"/>
  <c r="Z392" i="11"/>
  <c r="Z391" i="11"/>
  <c r="Z187" i="11"/>
  <c r="Z390" i="11"/>
  <c r="Z186" i="11"/>
  <c r="Z389" i="11"/>
  <c r="Z185" i="11"/>
  <c r="Z388" i="11"/>
  <c r="Z184" i="11"/>
  <c r="Z387" i="11"/>
  <c r="Z183" i="11"/>
  <c r="Z182" i="11"/>
  <c r="Z181" i="11"/>
  <c r="Z180" i="11"/>
  <c r="Z386" i="11"/>
  <c r="Z179" i="11"/>
  <c r="Z385" i="11"/>
  <c r="Z178" i="11"/>
  <c r="Z384" i="11"/>
  <c r="Z383" i="11"/>
  <c r="Z382" i="11"/>
  <c r="Z378" i="11"/>
  <c r="Z175" i="11"/>
  <c r="Z174" i="11"/>
  <c r="Z377" i="11"/>
  <c r="Z376" i="11"/>
  <c r="Z173" i="11"/>
  <c r="Z172" i="11"/>
  <c r="Z375" i="11"/>
  <c r="Z374" i="11"/>
  <c r="Z171" i="11"/>
  <c r="Z170" i="11"/>
  <c r="Z169" i="11"/>
  <c r="Z373" i="11"/>
  <c r="Z372" i="11"/>
  <c r="Z168" i="11"/>
  <c r="Z167" i="11"/>
  <c r="Z166" i="11"/>
  <c r="Z371" i="11"/>
  <c r="Z165" i="11"/>
  <c r="Z370" i="11"/>
  <c r="Z164" i="11"/>
  <c r="Z163" i="11"/>
  <c r="Z162" i="11"/>
  <c r="Z369" i="11"/>
  <c r="Z368" i="11"/>
  <c r="Z161" i="11"/>
  <c r="Z367" i="11"/>
  <c r="Z366" i="11"/>
  <c r="Z365" i="11"/>
  <c r="Z364" i="11"/>
  <c r="Z160" i="11"/>
  <c r="Z363" i="11"/>
  <c r="Z362" i="11"/>
  <c r="Z361" i="11"/>
  <c r="Z159" i="11"/>
  <c r="Z158" i="11"/>
  <c r="Z157" i="11"/>
  <c r="Z156" i="11"/>
  <c r="Z155" i="11"/>
  <c r="Z360" i="11"/>
  <c r="Z150" i="11"/>
  <c r="Z357" i="11"/>
  <c r="Z356" i="11"/>
  <c r="Z355" i="11"/>
  <c r="Z149" i="11"/>
  <c r="Z354" i="11"/>
  <c r="Z353" i="11"/>
  <c r="Z352" i="11"/>
  <c r="Z148" i="11"/>
  <c r="Z147" i="11"/>
  <c r="Z146" i="11"/>
  <c r="Z351" i="11"/>
  <c r="Z145" i="11"/>
  <c r="Z144" i="11"/>
  <c r="Z350" i="11"/>
  <c r="Z143" i="11"/>
  <c r="Z142" i="11"/>
  <c r="Z349" i="11"/>
  <c r="Z348" i="11"/>
  <c r="Z347" i="11"/>
  <c r="Z141" i="11"/>
  <c r="Z346" i="11"/>
  <c r="Z345" i="11"/>
  <c r="Z344" i="11"/>
  <c r="Z343" i="11"/>
  <c r="Z140" i="11"/>
  <c r="Z112" i="11"/>
  <c r="Z111" i="11"/>
  <c r="Z319" i="11"/>
  <c r="Z318" i="11"/>
  <c r="Z110" i="11"/>
  <c r="Z317" i="11"/>
  <c r="Z109" i="11"/>
  <c r="Z108" i="11"/>
  <c r="Z316" i="11"/>
  <c r="Z107" i="11"/>
  <c r="Z315" i="11"/>
  <c r="Z314" i="11"/>
  <c r="Z313" i="11"/>
  <c r="Z312" i="11"/>
  <c r="Z106" i="11"/>
  <c r="Z311" i="11"/>
  <c r="Z310" i="11"/>
  <c r="Z105" i="11"/>
  <c r="Z104" i="11"/>
  <c r="Z103" i="11"/>
  <c r="Z342" i="11"/>
  <c r="Z341" i="11"/>
  <c r="Z139" i="11"/>
  <c r="Z340" i="11"/>
  <c r="Z138" i="11"/>
  <c r="Z137" i="11"/>
  <c r="Z136" i="11"/>
  <c r="Z135" i="11"/>
  <c r="Z339" i="11"/>
  <c r="Z134" i="11"/>
  <c r="Z338" i="11"/>
  <c r="Z133" i="11"/>
  <c r="Z337" i="11"/>
  <c r="Z336" i="11"/>
  <c r="Z132" i="11"/>
  <c r="Z335" i="11"/>
  <c r="Z131" i="11"/>
  <c r="Z334" i="11"/>
  <c r="Z130" i="11"/>
  <c r="Z333" i="11"/>
  <c r="Z129" i="11"/>
  <c r="Z128" i="11"/>
  <c r="Z332" i="11"/>
  <c r="Z331" i="11"/>
  <c r="Z330" i="11"/>
  <c r="Z127" i="11"/>
  <c r="Z126" i="11"/>
  <c r="Z125" i="11"/>
  <c r="Z329" i="11"/>
  <c r="Z328" i="11"/>
  <c r="Z327" i="11"/>
  <c r="Z124" i="11"/>
  <c r="Z326" i="11"/>
  <c r="Z325" i="11"/>
  <c r="Z123" i="11"/>
  <c r="Z122" i="11"/>
  <c r="Z324" i="11"/>
  <c r="Z121" i="11"/>
  <c r="Z120" i="11"/>
  <c r="Z323" i="11"/>
  <c r="Z322" i="11"/>
  <c r="Z119" i="11"/>
  <c r="Z321" i="11"/>
  <c r="Z118" i="11"/>
  <c r="Z309" i="11"/>
  <c r="Z308" i="11"/>
  <c r="Z102" i="11"/>
  <c r="Z101" i="11"/>
  <c r="Z307" i="11"/>
  <c r="Z306" i="11"/>
  <c r="Z100" i="11"/>
  <c r="Z99" i="11"/>
  <c r="Z98" i="11"/>
  <c r="Z305" i="11"/>
  <c r="Z97" i="11"/>
  <c r="Z96" i="11"/>
  <c r="Z304" i="11"/>
  <c r="Z95" i="11"/>
  <c r="Z94" i="11"/>
  <c r="Z303" i="11"/>
  <c r="Z93" i="11"/>
  <c r="Z302" i="11"/>
  <c r="Z92" i="11"/>
  <c r="Z301" i="11"/>
  <c r="Z300" i="11"/>
  <c r="Z91" i="11"/>
  <c r="Z299" i="11"/>
  <c r="Z90" i="11"/>
  <c r="Z89" i="11"/>
  <c r="Z298" i="11"/>
  <c r="Z290" i="11"/>
  <c r="Z87" i="11"/>
  <c r="Z289" i="11"/>
  <c r="Z86" i="11"/>
  <c r="Z85" i="11"/>
  <c r="Z288" i="11"/>
  <c r="Z287" i="11"/>
  <c r="Z84" i="11"/>
  <c r="Z286" i="11"/>
  <c r="Z285" i="11"/>
  <c r="Z284" i="11"/>
  <c r="Z283" i="11"/>
  <c r="Z282" i="11"/>
  <c r="Z83" i="11"/>
  <c r="Z82" i="11"/>
  <c r="Z81" i="11"/>
  <c r="Z80" i="11"/>
  <c r="Z79" i="11"/>
  <c r="Z281" i="11"/>
  <c r="Z78" i="11"/>
  <c r="Z77" i="11"/>
  <c r="Z76" i="11"/>
  <c r="Z75" i="11"/>
  <c r="Z74" i="11"/>
  <c r="Z73" i="11"/>
  <c r="Z280" i="11"/>
  <c r="Z72" i="11"/>
  <c r="Z279" i="11"/>
  <c r="Z278" i="11"/>
  <c r="Z71" i="11"/>
  <c r="Z277" i="11"/>
  <c r="Z70" i="11"/>
  <c r="Z69" i="11"/>
  <c r="Z276" i="11"/>
  <c r="Z68" i="11"/>
  <c r="Z67" i="11"/>
  <c r="Z66" i="11"/>
  <c r="Z65" i="11"/>
  <c r="Z64" i="11"/>
  <c r="Z275" i="11"/>
  <c r="Z274" i="11"/>
  <c r="Z273" i="11"/>
  <c r="Z272" i="11"/>
  <c r="Z63" i="11"/>
  <c r="Z62" i="11"/>
  <c r="Z271" i="11"/>
  <c r="Z270" i="11"/>
  <c r="Z61" i="11"/>
  <c r="Z269" i="11"/>
  <c r="Z60" i="11"/>
  <c r="Z268" i="11"/>
  <c r="Z267" i="11"/>
  <c r="Z266" i="11"/>
  <c r="Z59" i="11"/>
  <c r="Z265" i="11"/>
  <c r="Z58" i="11"/>
  <c r="Z264" i="11"/>
  <c r="Z263" i="11"/>
  <c r="Z262" i="11"/>
  <c r="Z261" i="11"/>
  <c r="Z57" i="11"/>
  <c r="Z56" i="11"/>
  <c r="Z55" i="11"/>
  <c r="Z52" i="11"/>
  <c r="U52" i="11"/>
  <c r="Z254" i="11"/>
  <c r="Z50" i="11"/>
  <c r="Z49" i="11"/>
  <c r="Z48" i="11"/>
  <c r="Z47" i="11"/>
  <c r="Z46" i="11"/>
  <c r="Z253" i="11"/>
  <c r="Z45" i="11"/>
  <c r="Z44" i="11"/>
  <c r="Z43" i="11"/>
  <c r="Z42" i="11"/>
  <c r="Z252" i="11"/>
  <c r="Z251" i="11"/>
  <c r="Z250" i="11"/>
  <c r="Z41" i="11"/>
  <c r="Z249" i="11"/>
  <c r="Z248" i="11"/>
  <c r="Z247" i="11"/>
  <c r="Z246" i="11"/>
  <c r="Z245" i="11"/>
  <c r="Z40" i="11"/>
  <c r="Z39" i="11"/>
  <c r="Z244" i="11"/>
  <c r="Z38" i="11"/>
  <c r="Z37" i="11"/>
  <c r="Z36" i="11"/>
  <c r="Z243" i="11"/>
  <c r="Z242" i="11"/>
  <c r="Z241" i="11"/>
  <c r="Z240" i="11"/>
  <c r="Z35" i="11"/>
  <c r="Z34" i="11"/>
  <c r="Z33" i="11"/>
  <c r="Z32" i="11"/>
  <c r="Z239" i="11"/>
  <c r="Z238" i="11"/>
  <c r="Z237" i="11"/>
  <c r="Z31" i="11"/>
  <c r="Z236" i="11"/>
  <c r="Z30" i="11"/>
  <c r="Z29" i="11"/>
  <c r="Z235" i="11"/>
  <c r="Z28" i="11"/>
  <c r="Z228" i="11"/>
  <c r="Z227" i="11"/>
  <c r="Z23" i="11"/>
  <c r="Z226" i="11"/>
  <c r="Z225" i="11"/>
  <c r="Z22" i="11"/>
  <c r="Z224" i="11"/>
  <c r="Z21" i="11"/>
  <c r="Z223" i="11"/>
  <c r="Z222" i="11"/>
  <c r="Z20" i="11"/>
  <c r="Z221" i="11"/>
  <c r="Z19" i="11"/>
  <c r="Z18" i="11"/>
  <c r="Z220" i="11"/>
  <c r="Z219" i="11"/>
  <c r="Z218" i="11"/>
  <c r="Z17" i="11"/>
  <c r="Z16" i="11"/>
  <c r="Z15" i="11"/>
  <c r="Z14" i="11"/>
  <c r="Z217" i="11"/>
  <c r="Z216" i="11"/>
  <c r="Z13" i="11"/>
  <c r="Z12" i="11"/>
  <c r="Z11" i="11"/>
  <c r="Z10" i="11"/>
  <c r="Z9" i="11"/>
  <c r="Z5" i="11"/>
  <c r="Z210" i="11"/>
  <c r="Z4" i="11"/>
  <c r="Z396" i="11"/>
  <c r="Z381" i="11"/>
  <c r="Z380" i="11"/>
  <c r="Z177" i="11"/>
  <c r="Z359" i="11"/>
  <c r="Z154" i="11"/>
  <c r="Z153" i="11"/>
  <c r="Z152" i="11"/>
  <c r="Z117" i="11"/>
  <c r="Z116" i="11"/>
  <c r="Z115" i="11"/>
  <c r="Z114" i="11"/>
  <c r="Z297" i="11"/>
  <c r="Z296" i="11"/>
  <c r="Z295" i="11"/>
  <c r="Z294" i="11"/>
  <c r="Z293" i="11"/>
  <c r="Z292" i="11"/>
  <c r="Z54" i="11"/>
  <c r="Z53" i="11"/>
  <c r="Z260" i="11"/>
  <c r="Z259" i="11"/>
  <c r="Z258" i="11"/>
  <c r="Z257" i="11"/>
  <c r="Z256" i="11"/>
  <c r="Z27" i="11"/>
  <c r="Z26" i="11"/>
  <c r="Z234" i="11"/>
  <c r="Z25" i="11"/>
  <c r="Z233" i="11"/>
  <c r="Z232" i="11"/>
  <c r="Z231" i="11"/>
  <c r="Z230" i="11"/>
  <c r="Z8" i="11"/>
  <c r="Z215" i="11"/>
  <c r="Z214" i="11"/>
  <c r="Z213" i="11"/>
  <c r="Z212" i="11"/>
  <c r="Z211" i="11"/>
  <c r="Z7" i="11"/>
  <c r="F44" i="8"/>
  <c r="F43" i="8"/>
  <c r="F42" i="8"/>
  <c r="F41" i="8"/>
  <c r="F40" i="8"/>
  <c r="F39" i="8"/>
  <c r="B7" i="3"/>
  <c r="B22" i="3" s="1"/>
  <c r="B23" i="3" s="1"/>
  <c r="B4" i="3"/>
  <c r="B3" i="3"/>
  <c r="B14" i="3" s="1"/>
  <c r="B15" i="3" s="1"/>
  <c r="B5" i="3" l="1"/>
  <c r="B18" i="3" s="1"/>
  <c r="B19" i="3" s="1"/>
  <c r="AU374" i="23" l="1"/>
  <c r="AV374" i="23" s="1"/>
  <c r="AU87" i="23"/>
  <c r="AU52" i="23"/>
  <c r="AV52" i="23" s="1"/>
  <c r="AU49" i="23"/>
  <c r="AV49" i="23" s="1"/>
  <c r="AU456" i="23"/>
  <c r="AV456" i="23" s="1"/>
  <c r="AU1086" i="23"/>
  <c r="AV1086" i="23" s="1"/>
  <c r="AU603" i="23"/>
  <c r="AV603" i="23" s="1"/>
  <c r="AU591" i="23"/>
  <c r="AV591" i="23" s="1"/>
  <c r="AU1138" i="23"/>
  <c r="AV1138" i="23" s="1"/>
  <c r="AU19" i="23"/>
  <c r="AV19" i="23" s="1"/>
  <c r="AU683" i="23"/>
  <c r="AV683" i="23" s="1"/>
  <c r="AU1121" i="23"/>
  <c r="AV1121" i="23" s="1"/>
  <c r="AU331" i="23"/>
  <c r="AV331" i="23" s="1"/>
  <c r="AU1241" i="23"/>
  <c r="AV1241" i="23" s="1"/>
  <c r="AU1198" i="23"/>
  <c r="AV1198" i="23" s="1"/>
  <c r="AU54" i="23"/>
  <c r="AV54" i="23" s="1"/>
  <c r="AU1124" i="23"/>
  <c r="AV1124" i="23" s="1"/>
  <c r="AU1068" i="23"/>
  <c r="AV1068" i="23" s="1"/>
  <c r="AU79" i="23"/>
  <c r="AV79" i="23" s="1"/>
  <c r="AU1238" i="23"/>
  <c r="AV1238" i="23" s="1"/>
  <c r="AU463" i="23"/>
  <c r="AU619" i="23"/>
  <c r="AV619" i="23" s="1"/>
  <c r="AU622" i="23"/>
  <c r="AV622" i="23" s="1"/>
  <c r="AU39" i="23"/>
  <c r="AV39" i="23" s="1"/>
  <c r="AU367" i="23"/>
  <c r="AV367" i="23" s="1"/>
  <c r="AU57" i="23"/>
  <c r="AV57" i="23" s="1"/>
  <c r="AU1188" i="23"/>
  <c r="AV1188" i="23" s="1"/>
  <c r="AU43" i="23"/>
  <c r="AV43" i="23" s="1"/>
  <c r="AU1199" i="23"/>
  <c r="AV1199" i="23" s="1"/>
  <c r="AU76" i="23"/>
  <c r="AV76" i="23" s="1"/>
  <c r="AU1071" i="23"/>
  <c r="AV1071" i="23" s="1"/>
  <c r="AU485" i="23"/>
  <c r="AV485" i="23" s="1"/>
  <c r="AU86" i="23"/>
  <c r="BD86" i="23" s="1"/>
  <c r="BE86" i="23" s="1"/>
  <c r="AU363" i="23"/>
  <c r="AV363" i="23" s="1"/>
  <c r="AU1116" i="23"/>
  <c r="AV1116" i="23" s="1"/>
  <c r="AU1060" i="23"/>
  <c r="AV1060" i="23" s="1"/>
  <c r="AU332" i="23"/>
  <c r="AV332" i="23" s="1"/>
  <c r="AU120" i="23"/>
  <c r="AV120" i="23" s="1"/>
  <c r="AU28" i="23"/>
  <c r="AV28" i="23" s="1"/>
  <c r="AU12" i="23"/>
  <c r="AV12" i="23" s="1"/>
  <c r="AU437" i="23"/>
  <c r="AV437" i="23" s="1"/>
  <c r="AU353" i="23"/>
  <c r="AV353" i="23" s="1"/>
  <c r="AU345" i="23"/>
  <c r="AV345" i="23" s="1"/>
  <c r="AU1235" i="23"/>
  <c r="AV1235" i="23" s="1"/>
  <c r="AU1075" i="23"/>
  <c r="AV1075" i="23" s="1"/>
  <c r="AU47" i="23"/>
  <c r="AV47" i="23" s="1"/>
  <c r="AU88" i="23"/>
  <c r="AU975" i="23"/>
  <c r="AV975" i="23" s="1"/>
  <c r="AU334" i="23"/>
  <c r="AV334" i="23" s="1"/>
  <c r="AU643" i="23"/>
  <c r="AV643" i="23" s="1"/>
  <c r="AU658" i="23"/>
  <c r="AV658" i="23" s="1"/>
  <c r="AU1236" i="23"/>
  <c r="AV1236" i="23" s="1"/>
  <c r="AU460" i="23"/>
  <c r="AV460" i="23" s="1"/>
  <c r="AU1209" i="23"/>
  <c r="AV1209" i="23" s="1"/>
  <c r="AU514" i="23"/>
  <c r="AV514" i="23" s="1"/>
  <c r="AU1136" i="23"/>
  <c r="AV1136" i="23" s="1"/>
  <c r="AU1073" i="23"/>
  <c r="AV1073" i="23" s="1"/>
  <c r="AU71" i="23"/>
  <c r="AU663" i="23"/>
  <c r="AV663" i="23" s="1"/>
  <c r="AU803" i="23"/>
  <c r="AV803" i="23" s="1"/>
  <c r="AU1211" i="23"/>
  <c r="AV1211" i="23" s="1"/>
  <c r="AU360" i="23"/>
  <c r="AV360" i="23" s="1"/>
  <c r="AU1081" i="23"/>
  <c r="AV1081" i="23" s="1"/>
  <c r="AU371" i="23"/>
  <c r="AV371" i="23" s="1"/>
  <c r="AU1132" i="23"/>
  <c r="AV1132" i="23" s="1"/>
  <c r="AU1076" i="23"/>
  <c r="AV1076" i="23" s="1"/>
  <c r="AU486" i="23"/>
  <c r="AV486" i="23" s="1"/>
  <c r="AU1206" i="23"/>
  <c r="AV1206" i="23" s="1"/>
  <c r="AU17" i="23"/>
  <c r="AV17" i="23" s="1"/>
  <c r="AU1079" i="23"/>
  <c r="AV1079" i="23" s="1"/>
  <c r="AU476" i="23"/>
  <c r="AV476" i="23" s="1"/>
  <c r="AU1120" i="23"/>
  <c r="AV1120" i="23" s="1"/>
  <c r="AU1072" i="23"/>
  <c r="AV1072" i="23" s="1"/>
  <c r="AU33" i="23"/>
  <c r="AV33" i="23" s="1"/>
  <c r="AU970" i="23"/>
  <c r="AV970" i="23" s="1"/>
  <c r="AU50" i="23"/>
  <c r="AV50" i="23" s="1"/>
  <c r="AU461" i="23"/>
  <c r="AU41" i="23"/>
  <c r="AV41" i="23" s="1"/>
  <c r="AU342" i="23"/>
  <c r="AV342" i="23" s="1"/>
  <c r="AU1127" i="23"/>
  <c r="AV1127" i="23" s="1"/>
  <c r="AU343" i="23"/>
  <c r="AV343" i="23" s="1"/>
  <c r="BD343" i="23" s="1"/>
  <c r="BE343" i="23" s="1"/>
  <c r="AU468" i="23"/>
  <c r="AV468" i="23" s="1"/>
  <c r="AU31" i="23"/>
  <c r="AV31" i="23" s="1"/>
  <c r="AU379" i="23"/>
  <c r="AV379" i="23" s="1"/>
  <c r="AU1196" i="23"/>
  <c r="AV1196" i="23" s="1"/>
  <c r="AU1174" i="23"/>
  <c r="AV1174" i="23" s="1"/>
  <c r="AU458" i="23"/>
  <c r="AV458" i="23" s="1"/>
  <c r="AU94" i="23"/>
  <c r="AU1233" i="23"/>
  <c r="AV1233" i="23" s="1"/>
  <c r="AU22" i="23"/>
  <c r="AV22" i="23" s="1"/>
  <c r="AU474" i="23"/>
  <c r="AV474" i="23" s="1"/>
  <c r="AU989" i="23"/>
  <c r="AV989" i="23" s="1"/>
  <c r="AU440" i="23"/>
  <c r="AV440" i="23" s="1"/>
  <c r="AU75" i="23"/>
  <c r="AV75" i="23" s="1"/>
  <c r="BD75" i="23" s="1"/>
  <c r="BE75" i="23" s="1"/>
  <c r="AU56" i="23"/>
  <c r="AU16" i="23"/>
  <c r="AV16" i="23" s="1"/>
  <c r="AU315" i="23"/>
  <c r="AV315" i="23" s="1"/>
  <c r="AU339" i="23"/>
  <c r="AV339" i="23" s="1"/>
  <c r="AU1163" i="23"/>
  <c r="AV1163" i="23" s="1"/>
  <c r="AU472" i="23"/>
  <c r="AV472" i="23" s="1"/>
  <c r="AU1183" i="23"/>
  <c r="AV1183" i="23" s="1"/>
  <c r="AU1069" i="23"/>
  <c r="AV1069" i="23" s="1"/>
  <c r="AU1164" i="23"/>
  <c r="AV1164" i="23" s="1"/>
  <c r="AU1084" i="23"/>
  <c r="AV1084" i="23" s="1"/>
  <c r="AU452" i="23"/>
  <c r="AV452" i="23" s="1"/>
  <c r="AU95" i="23"/>
  <c r="BD95" i="23" s="1"/>
  <c r="BE95" i="23" s="1"/>
  <c r="AU20" i="23"/>
  <c r="AV20" i="23" s="1"/>
  <c r="AU445" i="23"/>
  <c r="AV445" i="23" s="1"/>
  <c r="AU1220" i="23"/>
  <c r="AV1220" i="23" s="1"/>
  <c r="AU81" i="23"/>
  <c r="AU602" i="23"/>
  <c r="AV602" i="23" s="1"/>
  <c r="AU119" i="23"/>
  <c r="AV119" i="23" s="1"/>
  <c r="AU27" i="23"/>
  <c r="AV27" i="23" s="1"/>
  <c r="AU329" i="23"/>
  <c r="AV329" i="23" s="1"/>
  <c r="AU464" i="23"/>
  <c r="AV464" i="23" s="1"/>
  <c r="AU35" i="23"/>
  <c r="AV35" i="23" s="1"/>
  <c r="AU351" i="23"/>
  <c r="AV351" i="23" s="1"/>
  <c r="AU51" i="23"/>
  <c r="AV51" i="23" s="1"/>
  <c r="AU1254" i="23"/>
  <c r="AV1254" i="23" s="1"/>
  <c r="AU341" i="23"/>
  <c r="AV341" i="23" s="1"/>
  <c r="AU590" i="23"/>
  <c r="AV590" i="23" s="1"/>
  <c r="AU99" i="23"/>
  <c r="AV99" i="23" s="1"/>
  <c r="AU1083" i="23"/>
  <c r="AV1083" i="23" s="1"/>
  <c r="AU666" i="23"/>
  <c r="AV666" i="23" s="1"/>
  <c r="AU1191" i="23"/>
  <c r="AV1191" i="23" s="1"/>
  <c r="AU330" i="23"/>
  <c r="AV330" i="23" s="1"/>
  <c r="AU78" i="23"/>
  <c r="AV78" i="23" s="1"/>
  <c r="AU491" i="23"/>
  <c r="AV491" i="23" s="1"/>
  <c r="AU18" i="23"/>
  <c r="AV18" i="23" s="1"/>
  <c r="AU1128" i="23"/>
  <c r="AV1128" i="23" s="1"/>
  <c r="AU1080" i="23"/>
  <c r="AV1080" i="23" s="1"/>
  <c r="AU983" i="23"/>
  <c r="AV983" i="23" s="1"/>
  <c r="AU448" i="23"/>
  <c r="AV448" i="23" s="1"/>
  <c r="AU336" i="23"/>
  <c r="AV336" i="23" s="1"/>
  <c r="AU1257" i="23"/>
  <c r="AU1255" i="23"/>
  <c r="AV1255" i="23" s="1"/>
  <c r="AU435" i="23"/>
  <c r="AV435" i="23" s="1"/>
  <c r="AU1195" i="23"/>
  <c r="AV1195" i="23" s="1"/>
  <c r="AU337" i="23"/>
  <c r="AV337" i="23" s="1"/>
  <c r="AU365" i="23"/>
  <c r="AV365" i="23" s="1"/>
  <c r="AU667" i="23"/>
  <c r="AV667" i="23" s="1"/>
  <c r="AU1247" i="23"/>
  <c r="AV1247" i="23" s="1"/>
  <c r="AU373" i="23"/>
  <c r="AV373" i="23" s="1"/>
  <c r="AU74" i="23"/>
  <c r="AV74" i="23" s="1"/>
  <c r="AU92" i="23"/>
  <c r="AU14" i="23"/>
  <c r="AV14" i="23" s="1"/>
  <c r="AU1245" i="23"/>
  <c r="AV1245" i="23" s="1"/>
  <c r="AU1213" i="23"/>
  <c r="AV1213" i="23" s="1"/>
  <c r="AU1078" i="23"/>
  <c r="AV1078" i="23" s="1"/>
  <c r="AU782" i="23"/>
  <c r="AV782" i="23" s="1"/>
  <c r="AU680" i="23"/>
  <c r="AV680" i="23" s="1"/>
  <c r="AU672" i="23"/>
  <c r="AV672" i="23" s="1"/>
  <c r="AU661" i="23"/>
  <c r="AV661" i="23" s="1"/>
  <c r="AU627" i="23"/>
  <c r="AV627" i="23" s="1"/>
  <c r="AU609" i="23"/>
  <c r="AV609" i="23" s="1"/>
  <c r="AU469" i="23"/>
  <c r="AV469" i="23" s="1"/>
  <c r="AU113" i="23"/>
  <c r="AV113" i="23" s="1"/>
  <c r="AU105" i="23"/>
  <c r="AV105" i="23" s="1"/>
  <c r="AU436" i="23"/>
  <c r="AV436" i="23" s="1"/>
  <c r="AU29" i="23"/>
  <c r="AV29" i="23" s="1"/>
  <c r="AU993" i="23"/>
  <c r="AU650" i="23"/>
  <c r="AV650" i="23" s="1"/>
  <c r="AU478" i="23"/>
  <c r="AV478" i="23" s="1"/>
  <c r="AU380" i="23"/>
  <c r="AV380" i="23" s="1"/>
  <c r="AU606" i="23"/>
  <c r="AV606" i="23" s="1"/>
  <c r="AU1201" i="23"/>
  <c r="AV1201" i="23" s="1"/>
  <c r="AU38" i="23"/>
  <c r="AV38" i="23" s="1"/>
  <c r="AU674" i="23"/>
  <c r="AV674" i="23" s="1"/>
  <c r="AU802" i="23"/>
  <c r="AV802" i="23" s="1"/>
  <c r="AU1210" i="23"/>
  <c r="AV1210" i="23" s="1"/>
  <c r="AU1219" i="23"/>
  <c r="AV1219" i="23" s="1"/>
  <c r="AU1178" i="23"/>
  <c r="AV1178" i="23" s="1"/>
  <c r="AU1190" i="23"/>
  <c r="AV1190" i="23" s="1"/>
  <c r="AU1137" i="23"/>
  <c r="AV1137" i="23" s="1"/>
  <c r="AU1134" i="23"/>
  <c r="AV1134" i="23" s="1"/>
  <c r="AU1125" i="23"/>
  <c r="AV1125" i="23" s="1"/>
  <c r="AU1066" i="23"/>
  <c r="AV1066" i="23" s="1"/>
  <c r="AU677" i="23"/>
  <c r="AV677" i="23" s="1"/>
  <c r="AU657" i="23"/>
  <c r="AV657" i="23" s="1"/>
  <c r="AU636" i="23"/>
  <c r="AV636" i="23" s="1"/>
  <c r="AU637" i="23"/>
  <c r="AV637" i="23" s="1"/>
  <c r="AU621" i="23"/>
  <c r="AV621" i="23" s="1"/>
  <c r="AU599" i="23"/>
  <c r="AV599" i="23" s="1"/>
  <c r="AU344" i="23"/>
  <c r="AV344" i="23" s="1"/>
  <c r="AU338" i="23"/>
  <c r="AV338" i="23" s="1"/>
  <c r="AU110" i="23"/>
  <c r="AV110" i="23" s="1"/>
  <c r="AU15" i="23"/>
  <c r="AV15" i="23" s="1"/>
  <c r="AU1216" i="23"/>
  <c r="AV1216" i="23" s="1"/>
  <c r="AU1044" i="23"/>
  <c r="AV1044" i="23" s="1"/>
  <c r="AU982" i="23"/>
  <c r="AV982" i="23" s="1"/>
  <c r="AU1229" i="23"/>
  <c r="AV1229" i="23" s="1"/>
  <c r="AU77" i="23"/>
  <c r="AV77" i="23" s="1"/>
  <c r="AU1038" i="23"/>
  <c r="AV1038" i="23" s="1"/>
  <c r="AU358" i="23"/>
  <c r="AV358" i="23" s="1"/>
  <c r="AU326" i="23"/>
  <c r="AV326" i="23" s="1"/>
  <c r="AU1180" i="23"/>
  <c r="AV1180" i="23" s="1"/>
  <c r="AU1244" i="23"/>
  <c r="AV1244" i="23" s="1"/>
  <c r="AU686" i="23"/>
  <c r="AV686" i="23" s="1"/>
  <c r="AU633" i="23"/>
  <c r="AV633" i="23" s="1"/>
  <c r="BD633" i="23" s="1"/>
  <c r="BE633" i="23" s="1"/>
  <c r="AU1234" i="23"/>
  <c r="AV1234" i="23" s="1"/>
  <c r="AU1182" i="23"/>
  <c r="AV1182" i="23" s="1"/>
  <c r="AU1131" i="23"/>
  <c r="AV1131" i="23" s="1"/>
  <c r="AU1122" i="23"/>
  <c r="AV1122" i="23" s="1"/>
  <c r="AU724" i="23"/>
  <c r="AV724" i="23" s="1"/>
  <c r="AU685" i="23"/>
  <c r="AV685" i="23" s="1"/>
  <c r="AU668" i="23"/>
  <c r="AV668" i="23" s="1"/>
  <c r="AU656" i="23"/>
  <c r="AV656" i="23" s="1"/>
  <c r="AU634" i="23"/>
  <c r="AV634" i="23" s="1"/>
  <c r="AU616" i="23"/>
  <c r="AV616" i="23" s="1"/>
  <c r="BD616" i="23" s="1"/>
  <c r="BE616" i="23" s="1"/>
  <c r="AU597" i="23"/>
  <c r="AV597" i="23" s="1"/>
  <c r="AU653" i="23"/>
  <c r="AV653" i="23" s="1"/>
  <c r="AU635" i="23"/>
  <c r="AV635" i="23" s="1"/>
  <c r="AU617" i="23"/>
  <c r="AV617" i="23" s="1"/>
  <c r="AU477" i="23"/>
  <c r="AV477" i="23" s="1"/>
  <c r="AU356" i="23"/>
  <c r="AV356" i="23" s="1"/>
  <c r="AU109" i="23"/>
  <c r="AV109" i="23" s="1"/>
  <c r="AU97" i="23"/>
  <c r="AU89" i="23"/>
  <c r="AU453" i="23"/>
  <c r="AV453" i="23" s="1"/>
  <c r="AU318" i="23"/>
  <c r="AV318" i="23" s="1"/>
  <c r="AU34" i="23"/>
  <c r="AV34" i="23" s="1"/>
  <c r="AU433" i="23"/>
  <c r="AV433" i="23" s="1"/>
  <c r="AU1204" i="23"/>
  <c r="AV1204" i="23" s="1"/>
  <c r="BD1204" i="23" s="1"/>
  <c r="BE1204" i="23" s="1"/>
  <c r="AU987" i="23"/>
  <c r="AV987" i="23" s="1"/>
  <c r="AU36" i="23"/>
  <c r="AV36" i="23" s="1"/>
  <c r="AU69" i="23"/>
  <c r="AU466" i="23"/>
  <c r="AV466" i="23" s="1"/>
  <c r="AU46" i="23"/>
  <c r="AV46" i="23" s="1"/>
  <c r="AU333" i="23"/>
  <c r="AV333" i="23" s="1"/>
  <c r="AU973" i="23"/>
  <c r="AV973" i="23" s="1"/>
  <c r="AU1184" i="23"/>
  <c r="AV1184" i="23" s="1"/>
  <c r="AU359" i="23"/>
  <c r="AV359" i="23" s="1"/>
  <c r="AU1154" i="23"/>
  <c r="AV1154" i="23" s="1"/>
  <c r="AU701" i="23"/>
  <c r="AV701" i="23" s="1"/>
  <c r="AU21" i="23"/>
  <c r="AV21" i="23" s="1"/>
  <c r="AU37" i="23"/>
  <c r="AV37" i="23" s="1"/>
  <c r="AU669" i="23"/>
  <c r="AV669" i="23" s="1"/>
  <c r="AU1203" i="23"/>
  <c r="AV1203" i="23" s="1"/>
  <c r="AU1243" i="23"/>
  <c r="AV1243" i="23" s="1"/>
  <c r="AU1126" i="23"/>
  <c r="AV1126" i="23" s="1"/>
  <c r="AU1117" i="23"/>
  <c r="AV1117" i="23" s="1"/>
  <c r="AU801" i="23"/>
  <c r="AV801" i="23" s="1"/>
  <c r="AU642" i="23"/>
  <c r="AV642" i="23" s="1"/>
  <c r="AU626" i="23"/>
  <c r="AV626" i="23" s="1"/>
  <c r="BD626" i="23" s="1"/>
  <c r="BE626" i="23" s="1"/>
  <c r="AU608" i="23"/>
  <c r="AV608" i="23" s="1"/>
  <c r="AU645" i="23"/>
  <c r="AV645" i="23" s="1"/>
  <c r="AU346" i="23"/>
  <c r="AV346" i="23" s="1"/>
  <c r="AU91" i="23"/>
  <c r="AU1258" i="23"/>
  <c r="AU1194" i="23"/>
  <c r="AV1194" i="23" s="1"/>
  <c r="AU1214" i="23"/>
  <c r="AV1214" i="23" s="1"/>
  <c r="AU1226" i="23"/>
  <c r="AV1226" i="23" s="1"/>
  <c r="AU438" i="23"/>
  <c r="AV438" i="23" s="1"/>
  <c r="AU80" i="23"/>
  <c r="AU1222" i="23"/>
  <c r="AV1222" i="23" s="1"/>
  <c r="AU1181" i="23"/>
  <c r="AV1181" i="23" s="1"/>
  <c r="AU30" i="23"/>
  <c r="AV30" i="23" s="1"/>
  <c r="AU1200" i="23"/>
  <c r="AV1200" i="23" s="1"/>
  <c r="AU1232" i="23"/>
  <c r="AV1232" i="23" s="1"/>
  <c r="AU1133" i="23"/>
  <c r="AV1133" i="23" s="1"/>
  <c r="AU1215" i="23"/>
  <c r="AV1215" i="23" s="1"/>
  <c r="AU781" i="23"/>
  <c r="AV781" i="23" s="1"/>
  <c r="AU652" i="23"/>
  <c r="AV652" i="23" s="1"/>
  <c r="AU618" i="23"/>
  <c r="AV618" i="23" s="1"/>
  <c r="AU601" i="23"/>
  <c r="AV601" i="23" s="1"/>
  <c r="AU467" i="23"/>
  <c r="AV467" i="23" s="1"/>
  <c r="AU442" i="23"/>
  <c r="AV442" i="23" s="1"/>
  <c r="AU370" i="23"/>
  <c r="AV370" i="23" s="1"/>
  <c r="AU98" i="23"/>
  <c r="AU83" i="23"/>
  <c r="AU1085" i="23"/>
  <c r="AV1085" i="23" s="1"/>
  <c r="AU1039" i="23"/>
  <c r="AV1039" i="23" s="1"/>
  <c r="AU984" i="23"/>
  <c r="AV984" i="23" s="1"/>
  <c r="AU457" i="23"/>
  <c r="AV457" i="23" s="1"/>
  <c r="AU1218" i="23"/>
  <c r="AV1218" i="23" s="1"/>
  <c r="AU1077" i="23"/>
  <c r="AV1077" i="23" s="1"/>
  <c r="AU90" i="23"/>
  <c r="AU368" i="23"/>
  <c r="AV368" i="23" s="1"/>
  <c r="AU1212" i="23"/>
  <c r="AV1212" i="23" s="1"/>
  <c r="AU979" i="23"/>
  <c r="AV979" i="23" s="1"/>
  <c r="AU106" i="23"/>
  <c r="AV106" i="23" s="1"/>
  <c r="AU1070" i="23"/>
  <c r="AV1070" i="23" s="1"/>
  <c r="BD1070" i="23" s="1"/>
  <c r="BE1070" i="23" s="1"/>
  <c r="AU796" i="23"/>
  <c r="AV796" i="23" s="1"/>
  <c r="AU676" i="23"/>
  <c r="AV676" i="23" s="1"/>
  <c r="AU13" i="23"/>
  <c r="AV13" i="23" s="1"/>
  <c r="AU1239" i="23"/>
  <c r="AV1239" i="23" s="1"/>
  <c r="AU1192" i="23"/>
  <c r="AV1192" i="23" s="1"/>
  <c r="AU1237" i="23"/>
  <c r="AV1237" i="23" s="1"/>
  <c r="AU1129" i="23"/>
  <c r="AV1129" i="23" s="1"/>
  <c r="AU681" i="23"/>
  <c r="AV681" i="23" s="1"/>
  <c r="AU673" i="23"/>
  <c r="AV673" i="23" s="1"/>
  <c r="AU662" i="23"/>
  <c r="AV662" i="23" s="1"/>
  <c r="AU644" i="23"/>
  <c r="AV644" i="23" s="1"/>
  <c r="AU628" i="23"/>
  <c r="AV628" i="23" s="1"/>
  <c r="AU610" i="23"/>
  <c r="AV610" i="23" s="1"/>
  <c r="AU647" i="23"/>
  <c r="AV647" i="23" s="1"/>
  <c r="AU629" i="23"/>
  <c r="AV629" i="23" s="1"/>
  <c r="AU611" i="23"/>
  <c r="AV611" i="23" s="1"/>
  <c r="AU475" i="23"/>
  <c r="AV475" i="23" s="1"/>
  <c r="AU348" i="23"/>
  <c r="AV348" i="23" s="1"/>
  <c r="AU85" i="23"/>
  <c r="AU59" i="23"/>
  <c r="AV59" i="23" s="1"/>
  <c r="AU1205" i="23"/>
  <c r="AV1205" i="23" s="1"/>
  <c r="AU1207" i="23"/>
  <c r="AV1207" i="23" s="1"/>
  <c r="AU1179" i="23"/>
  <c r="AV1179" i="23" s="1"/>
  <c r="AU702" i="23"/>
  <c r="AV702" i="23" s="1"/>
  <c r="AU447" i="23"/>
  <c r="AV447" i="23" s="1"/>
  <c r="AU443" i="23"/>
  <c r="AV443" i="23" s="1"/>
  <c r="AU328" i="23"/>
  <c r="AV328" i="23" s="1"/>
  <c r="AU26" i="23"/>
  <c r="AV26" i="23" s="1"/>
  <c r="AU968" i="23"/>
  <c r="AV968" i="23" s="1"/>
  <c r="AU449" i="23"/>
  <c r="AV449" i="23" s="1"/>
  <c r="AU1231" i="23"/>
  <c r="AV1231" i="23" s="1"/>
  <c r="AU515" i="23"/>
  <c r="AV515" i="23" s="1"/>
  <c r="AU82" i="23"/>
  <c r="AU1185" i="23"/>
  <c r="AV1185" i="23" s="1"/>
  <c r="AU1197" i="23"/>
  <c r="AV1197" i="23" s="1"/>
  <c r="AU434" i="23"/>
  <c r="AV434" i="23" s="1"/>
  <c r="AU703" i="23"/>
  <c r="AV703" i="23" s="1"/>
  <c r="AU1228" i="23"/>
  <c r="AV1228" i="23" s="1"/>
  <c r="AU446" i="23"/>
  <c r="AV446" i="23" s="1"/>
  <c r="AU1175" i="23"/>
  <c r="AV1175" i="23" s="1"/>
  <c r="AU459" i="23"/>
  <c r="AV459" i="23" s="1"/>
  <c r="AU483" i="23"/>
  <c r="AV483" i="23" s="1"/>
  <c r="AU1177" i="23"/>
  <c r="AV1177" i="23" s="1"/>
  <c r="AU45" i="23"/>
  <c r="AV45" i="23" s="1"/>
  <c r="AU349" i="23"/>
  <c r="AV349" i="23" s="1"/>
  <c r="AU1130" i="23"/>
  <c r="AV1130" i="23" s="1"/>
  <c r="AU1240" i="23"/>
  <c r="AV1240" i="23" s="1"/>
  <c r="AU1242" i="23"/>
  <c r="AV1242" i="23" s="1"/>
  <c r="AU1225" i="23"/>
  <c r="AV1225" i="23" s="1"/>
  <c r="AU1135" i="23"/>
  <c r="AV1135" i="23" s="1"/>
  <c r="AU1221" i="23"/>
  <c r="AV1221" i="23" s="1"/>
  <c r="AU1119" i="23"/>
  <c r="AV1119" i="23" s="1"/>
  <c r="AU1074" i="23"/>
  <c r="AV1074" i="23" s="1"/>
  <c r="AU1045" i="23"/>
  <c r="AV1045" i="23" s="1"/>
  <c r="AU994" i="23"/>
  <c r="AU795" i="23"/>
  <c r="AV795" i="23" s="1"/>
  <c r="AU780" i="23"/>
  <c r="AV780" i="23" s="1"/>
  <c r="AU684" i="23"/>
  <c r="AV684" i="23" s="1"/>
  <c r="AU679" i="23"/>
  <c r="AV679" i="23" s="1"/>
  <c r="AU675" i="23"/>
  <c r="AV675" i="23" s="1"/>
  <c r="AU671" i="23"/>
  <c r="AV671" i="23" s="1"/>
  <c r="AU665" i="23"/>
  <c r="AV665" i="23" s="1"/>
  <c r="AU660" i="23"/>
  <c r="AV660" i="23" s="1"/>
  <c r="AU655" i="23"/>
  <c r="AV655" i="23" s="1"/>
  <c r="AU648" i="23"/>
  <c r="AV648" i="23" s="1"/>
  <c r="AU640" i="23"/>
  <c r="AV640" i="23" s="1"/>
  <c r="AU632" i="23"/>
  <c r="AV632" i="23" s="1"/>
  <c r="AU624" i="23"/>
  <c r="AV624" i="23" s="1"/>
  <c r="AU614" i="23"/>
  <c r="AV614" i="23" s="1"/>
  <c r="AU598" i="23"/>
  <c r="AV598" i="23" s="1"/>
  <c r="AU651" i="23"/>
  <c r="AV651" i="23" s="1"/>
  <c r="AU641" i="23"/>
  <c r="AV641" i="23" s="1"/>
  <c r="AU625" i="23"/>
  <c r="AV625" i="23" s="1"/>
  <c r="AU615" i="23"/>
  <c r="AV615" i="23" s="1"/>
  <c r="AU607" i="23"/>
  <c r="AV607" i="23" s="1"/>
  <c r="AU473" i="23"/>
  <c r="AV473" i="23" s="1"/>
  <c r="AU465" i="23"/>
  <c r="AV465" i="23" s="1"/>
  <c r="AU377" i="23"/>
  <c r="AV377" i="23" s="1"/>
  <c r="AU350" i="23"/>
  <c r="AV350" i="23" s="1"/>
  <c r="AU323" i="23"/>
  <c r="AV323" i="23" s="1"/>
  <c r="AU355" i="23"/>
  <c r="AV355" i="23" s="1"/>
  <c r="AU112" i="23"/>
  <c r="AV112" i="23" s="1"/>
  <c r="AU108" i="23"/>
  <c r="AV108" i="23" s="1"/>
  <c r="AU104" i="23"/>
  <c r="AV104" i="23" s="1"/>
  <c r="AU11" i="23"/>
  <c r="AV11" i="23" s="1"/>
  <c r="AU1246" i="23"/>
  <c r="AV1246" i="23" s="1"/>
  <c r="AU1227" i="23"/>
  <c r="AV1227" i="23" s="1"/>
  <c r="AU981" i="23"/>
  <c r="AV981" i="23" s="1"/>
  <c r="AU985" i="23"/>
  <c r="AV985" i="23" s="1"/>
  <c r="AU1189" i="23"/>
  <c r="AV1189" i="23" s="1"/>
  <c r="AU1230" i="23"/>
  <c r="AV1230" i="23" s="1"/>
  <c r="AU450" i="23"/>
  <c r="AV450" i="23" s="1"/>
  <c r="AU347" i="23"/>
  <c r="AV347" i="23" s="1"/>
  <c r="AU967" i="23"/>
  <c r="AV967" i="23" s="1"/>
  <c r="AU48" i="23"/>
  <c r="AV48" i="23" s="1"/>
  <c r="AU32" i="23"/>
  <c r="AV32" i="23" s="1"/>
  <c r="AU44" i="23"/>
  <c r="AV44" i="23" s="1"/>
  <c r="AU494" i="23"/>
  <c r="AV494" i="23" s="1"/>
  <c r="AU58" i="23"/>
  <c r="AU1208" i="23"/>
  <c r="AV1208" i="23" s="1"/>
  <c r="AU362" i="23"/>
  <c r="AV362" i="23" s="1"/>
  <c r="AU1063" i="23"/>
  <c r="AV1063" i="23" s="1"/>
  <c r="AU1142" i="23"/>
  <c r="AV1142" i="23" s="1"/>
  <c r="AU340" i="23"/>
  <c r="AV340" i="23" s="1"/>
  <c r="AU600" i="23"/>
  <c r="AV600" i="23" s="1"/>
  <c r="AU664" i="23"/>
  <c r="AV664" i="23" s="1"/>
  <c r="AU978" i="23"/>
  <c r="AV978" i="23" s="1"/>
  <c r="AU1082" i="23"/>
  <c r="AV1082" i="23" s="1"/>
  <c r="AU1217" i="23"/>
  <c r="AV1217" i="23" s="1"/>
  <c r="AU969" i="23"/>
  <c r="AV969" i="23" s="1"/>
  <c r="AU1118" i="23"/>
  <c r="AV1118" i="23" s="1"/>
  <c r="AU1193" i="23"/>
  <c r="AV1193" i="23" s="1"/>
  <c r="AU1223" i="23"/>
  <c r="AV1223" i="23" s="1"/>
  <c r="AU1186" i="23"/>
  <c r="AV1186" i="23" s="1"/>
  <c r="AU1176" i="23"/>
  <c r="AV1176" i="23" s="1"/>
  <c r="AU1123" i="23"/>
  <c r="AV1123" i="23" s="1"/>
  <c r="AU1048" i="23"/>
  <c r="AV1048" i="23" s="1"/>
  <c r="AU783" i="23"/>
  <c r="AV783" i="23" s="1"/>
  <c r="AU779" i="23"/>
  <c r="AV779" i="23" s="1"/>
  <c r="AU687" i="23"/>
  <c r="AV687" i="23" s="1"/>
  <c r="AU682" i="23"/>
  <c r="AV682" i="23" s="1"/>
  <c r="AU678" i="23"/>
  <c r="AV678" i="23" s="1"/>
  <c r="AU670" i="23"/>
  <c r="AV670" i="23" s="1"/>
  <c r="AU659" i="23"/>
  <c r="AV659" i="23" s="1"/>
  <c r="AU654" i="23"/>
  <c r="AV654" i="23" s="1"/>
  <c r="AU646" i="23"/>
  <c r="AV646" i="23" s="1"/>
  <c r="AU638" i="23"/>
  <c r="AV638" i="23" s="1"/>
  <c r="AU630" i="23"/>
  <c r="AV630" i="23" s="1"/>
  <c r="AU620" i="23"/>
  <c r="AV620" i="23" s="1"/>
  <c r="AU612" i="23"/>
  <c r="AV612" i="23" s="1"/>
  <c r="AU604" i="23"/>
  <c r="AV604" i="23" s="1"/>
  <c r="AU649" i="23"/>
  <c r="AV649" i="23" s="1"/>
  <c r="AU639" i="23"/>
  <c r="AV639" i="23" s="1"/>
  <c r="AU631" i="23"/>
  <c r="AV631" i="23" s="1"/>
  <c r="AU623" i="23"/>
  <c r="AV623" i="23" s="1"/>
  <c r="AU613" i="23"/>
  <c r="AV613" i="23" s="1"/>
  <c r="AU605" i="23"/>
  <c r="AV605" i="23" s="1"/>
  <c r="AU471" i="23"/>
  <c r="AV471" i="23" s="1"/>
  <c r="AU462" i="23"/>
  <c r="AU376" i="23"/>
  <c r="AV376" i="23" s="1"/>
  <c r="AU320" i="23"/>
  <c r="AV320" i="23" s="1"/>
  <c r="AU352" i="23"/>
  <c r="AV352" i="23" s="1"/>
  <c r="AU93" i="23"/>
  <c r="AU111" i="23"/>
  <c r="AV111" i="23" s="1"/>
  <c r="AU107" i="23"/>
  <c r="AV107" i="23" s="1"/>
  <c r="AU100" i="23"/>
  <c r="AV100" i="23" s="1"/>
  <c r="AU1187" i="23"/>
  <c r="AV1187" i="23" s="1"/>
  <c r="AU1224" i="23"/>
  <c r="AV1224" i="23" s="1"/>
  <c r="AU971" i="23"/>
  <c r="AV971" i="23" s="1"/>
  <c r="AU972" i="23"/>
  <c r="AV972" i="23" s="1"/>
  <c r="AU974" i="23"/>
  <c r="AV974" i="23" s="1"/>
  <c r="AU988" i="23"/>
  <c r="AU451" i="23"/>
  <c r="AV451" i="23" s="1"/>
  <c r="AU335" i="23"/>
  <c r="AV335" i="23" s="1"/>
  <c r="AU1042" i="23"/>
  <c r="AV1042" i="23" s="1"/>
  <c r="AU1067" i="23"/>
  <c r="AV1067" i="23" s="1"/>
  <c r="AU990" i="23"/>
  <c r="AU991" i="23"/>
  <c r="AV991" i="23" s="1"/>
  <c r="AU40" i="23"/>
  <c r="AV40" i="23" s="1"/>
  <c r="AU42" i="23"/>
  <c r="AV42" i="23" s="1"/>
  <c r="AU84" i="23"/>
  <c r="AU493" i="23"/>
  <c r="AV493" i="23" s="1"/>
  <c r="AU439" i="23"/>
  <c r="AV439" i="23" s="1"/>
  <c r="AU25" i="23"/>
  <c r="AV25" i="23" s="1"/>
  <c r="AU455" i="23"/>
  <c r="AV455" i="23" s="1"/>
  <c r="AU1155" i="23"/>
  <c r="AV1155" i="23" s="1"/>
  <c r="AU1202" i="23"/>
  <c r="AV1202" i="23" s="1"/>
  <c r="AZ75" i="23" l="1"/>
  <c r="BA75" i="23" s="1"/>
  <c r="AZ626" i="23"/>
  <c r="BA626" i="23" s="1"/>
  <c r="AZ1070" i="23"/>
  <c r="BA1070" i="23" s="1"/>
  <c r="AZ616" i="23"/>
  <c r="BA616" i="23" s="1"/>
  <c r="AZ633" i="23"/>
  <c r="BA633" i="23" s="1"/>
  <c r="AZ343" i="23"/>
  <c r="BA343" i="23" s="1"/>
  <c r="AZ99" i="23"/>
  <c r="BA99" i="23" s="1"/>
  <c r="BD99" i="23"/>
  <c r="BE99" i="23" s="1"/>
  <c r="AZ1163" i="23"/>
  <c r="BA1163" i="23" s="1"/>
  <c r="BD1163" i="23"/>
  <c r="BE1163" i="23" s="1"/>
  <c r="AZ69" i="23"/>
  <c r="BA69" i="23" s="1"/>
  <c r="BD69" i="23"/>
  <c r="BE69" i="23" s="1"/>
  <c r="AZ638" i="23"/>
  <c r="BA638" i="23" s="1"/>
  <c r="BD638" i="23"/>
  <c r="BE638" i="23" s="1"/>
  <c r="AZ1176" i="23"/>
  <c r="BA1176" i="23" s="1"/>
  <c r="BD1176" i="23"/>
  <c r="BE1176" i="23" s="1"/>
  <c r="BF1176" i="23" s="1"/>
  <c r="BG1176" i="23" s="1"/>
  <c r="AZ35" i="23"/>
  <c r="BA35" i="23" s="1"/>
  <c r="BD35" i="23"/>
  <c r="BE35" i="23" s="1"/>
  <c r="BF35" i="23" s="1"/>
  <c r="BG35" i="23" s="1"/>
  <c r="AZ468" i="23"/>
  <c r="BA468" i="23" s="1"/>
  <c r="BD468" i="23"/>
  <c r="BE468" i="23" s="1"/>
  <c r="AZ349" i="23"/>
  <c r="BA349" i="23" s="1"/>
  <c r="BD349" i="23"/>
  <c r="BE349" i="23" s="1"/>
  <c r="AZ666" i="23"/>
  <c r="BA666" i="23" s="1"/>
  <c r="BD666" i="23"/>
  <c r="BE666" i="23" s="1"/>
  <c r="BF666" i="23" s="1"/>
  <c r="BG666" i="23" s="1"/>
  <c r="AZ590" i="23"/>
  <c r="BA590" i="23" s="1"/>
  <c r="BD590" i="23"/>
  <c r="BE590" i="23" s="1"/>
  <c r="BF590" i="23" s="1"/>
  <c r="BG590" i="23" s="1"/>
  <c r="AZ351" i="23"/>
  <c r="BA351" i="23" s="1"/>
  <c r="BD351" i="23"/>
  <c r="BE351" i="23" s="1"/>
  <c r="BF351" i="23" s="1"/>
  <c r="BG351" i="23" s="1"/>
  <c r="AZ329" i="23"/>
  <c r="BA329" i="23" s="1"/>
  <c r="BD329" i="23"/>
  <c r="BE329" i="23" s="1"/>
  <c r="AZ20" i="23"/>
  <c r="BA20" i="23" s="1"/>
  <c r="BD20" i="23"/>
  <c r="BE20" i="23" s="1"/>
  <c r="AZ1084" i="23"/>
  <c r="BA1084" i="23" s="1"/>
  <c r="BD1084" i="23"/>
  <c r="BE1084" i="23" s="1"/>
  <c r="AZ472" i="23"/>
  <c r="BA472" i="23" s="1"/>
  <c r="BD472" i="23"/>
  <c r="BE472" i="23" s="1"/>
  <c r="AZ315" i="23"/>
  <c r="BA315" i="23" s="1"/>
  <c r="BD315" i="23"/>
  <c r="BE315" i="23" s="1"/>
  <c r="AZ22" i="23"/>
  <c r="BA22" i="23" s="1"/>
  <c r="BD22" i="23"/>
  <c r="BE22" i="23" s="1"/>
  <c r="AZ1174" i="23"/>
  <c r="BA1174" i="23" s="1"/>
  <c r="BD1174" i="23"/>
  <c r="BE1174" i="23" s="1"/>
  <c r="BF1174" i="23" s="1"/>
  <c r="BG1174" i="23" s="1"/>
  <c r="AZ31" i="23"/>
  <c r="BA31" i="23" s="1"/>
  <c r="BD31" i="23"/>
  <c r="BE31" i="23" s="1"/>
  <c r="BF31" i="23" s="1"/>
  <c r="BG31" i="23" s="1"/>
  <c r="AZ461" i="23"/>
  <c r="BA461" i="23" s="1"/>
  <c r="BD461" i="23"/>
  <c r="BE461" i="23" s="1"/>
  <c r="AZ476" i="23"/>
  <c r="BA476" i="23" s="1"/>
  <c r="BD476" i="23"/>
  <c r="BE476" i="23" s="1"/>
  <c r="BF476" i="23" s="1"/>
  <c r="BG476" i="23" s="1"/>
  <c r="AZ371" i="23"/>
  <c r="BA371" i="23" s="1"/>
  <c r="BD371" i="23"/>
  <c r="BE371" i="23" s="1"/>
  <c r="AZ803" i="23"/>
  <c r="BA803" i="23" s="1"/>
  <c r="BD803" i="23"/>
  <c r="BE803" i="23" s="1"/>
  <c r="BF803" i="23" s="1"/>
  <c r="BG803" i="23" s="1"/>
  <c r="AZ460" i="23"/>
  <c r="BA460" i="23" s="1"/>
  <c r="BD460" i="23"/>
  <c r="BE460" i="23" s="1"/>
  <c r="AZ643" i="23"/>
  <c r="BA643" i="23" s="1"/>
  <c r="BD643" i="23"/>
  <c r="BE643" i="23" s="1"/>
  <c r="BF643" i="23" s="1"/>
  <c r="BG643" i="23" s="1"/>
  <c r="AZ47" i="23"/>
  <c r="BA47" i="23" s="1"/>
  <c r="BD47" i="23"/>
  <c r="BE47" i="23" s="1"/>
  <c r="BF47" i="23" s="1"/>
  <c r="BG47" i="23" s="1"/>
  <c r="AZ353" i="23"/>
  <c r="BA353" i="23" s="1"/>
  <c r="BD353" i="23"/>
  <c r="BE353" i="23" s="1"/>
  <c r="AZ120" i="23"/>
  <c r="BA120" i="23" s="1"/>
  <c r="BD120" i="23"/>
  <c r="BE120" i="23" s="1"/>
  <c r="AZ363" i="23"/>
  <c r="BA363" i="23" s="1"/>
  <c r="BD363" i="23"/>
  <c r="BE363" i="23" s="1"/>
  <c r="AZ1071" i="23"/>
  <c r="BA1071" i="23" s="1"/>
  <c r="BD1071" i="23"/>
  <c r="BE1071" i="23" s="1"/>
  <c r="AZ1188" i="23"/>
  <c r="BA1188" i="23" s="1"/>
  <c r="BD1188" i="23"/>
  <c r="BE1188" i="23" s="1"/>
  <c r="BF1188" i="23" s="1"/>
  <c r="BG1188" i="23" s="1"/>
  <c r="AZ622" i="23"/>
  <c r="BA622" i="23" s="1"/>
  <c r="BD622" i="23"/>
  <c r="BE622" i="23" s="1"/>
  <c r="BF622" i="23" s="1"/>
  <c r="BG622" i="23" s="1"/>
  <c r="AZ79" i="23"/>
  <c r="BA79" i="23" s="1"/>
  <c r="BD79" i="23"/>
  <c r="BE79" i="23" s="1"/>
  <c r="AZ1198" i="23"/>
  <c r="BA1198" i="23" s="1"/>
  <c r="BD1198" i="23"/>
  <c r="BE1198" i="23" s="1"/>
  <c r="AZ683" i="23"/>
  <c r="BA683" i="23" s="1"/>
  <c r="BD683" i="23"/>
  <c r="BE683" i="23" s="1"/>
  <c r="BF683" i="23" s="1"/>
  <c r="BG683" i="23" s="1"/>
  <c r="AZ591" i="23"/>
  <c r="BA591" i="23" s="1"/>
  <c r="BD591" i="23"/>
  <c r="BE591" i="23" s="1"/>
  <c r="BF591" i="23" s="1"/>
  <c r="BG591" i="23" s="1"/>
  <c r="AZ25" i="23"/>
  <c r="BA25" i="23" s="1"/>
  <c r="BD25" i="23"/>
  <c r="BE25" i="23" s="1"/>
  <c r="AZ991" i="23"/>
  <c r="BA991" i="23" s="1"/>
  <c r="BD991" i="23"/>
  <c r="BE991" i="23" s="1"/>
  <c r="AZ971" i="23"/>
  <c r="BA971" i="23" s="1"/>
  <c r="BD971" i="23"/>
  <c r="BE971" i="23" s="1"/>
  <c r="AZ107" i="23"/>
  <c r="BA107" i="23" s="1"/>
  <c r="BD107" i="23"/>
  <c r="BE107" i="23" s="1"/>
  <c r="AZ605" i="23"/>
  <c r="BA605" i="23" s="1"/>
  <c r="BD605" i="23"/>
  <c r="BE605" i="23" s="1"/>
  <c r="BF605" i="23" s="1"/>
  <c r="BG605" i="23" s="1"/>
  <c r="AZ612" i="23"/>
  <c r="BA612" i="23" s="1"/>
  <c r="BD612" i="23"/>
  <c r="BE612" i="23" s="1"/>
  <c r="AZ687" i="23"/>
  <c r="BA687" i="23" s="1"/>
  <c r="BD687" i="23"/>
  <c r="BE687" i="23" s="1"/>
  <c r="AZ1186" i="23"/>
  <c r="BA1186" i="23" s="1"/>
  <c r="BD1186" i="23"/>
  <c r="BE1186" i="23" s="1"/>
  <c r="AZ600" i="23"/>
  <c r="BA600" i="23" s="1"/>
  <c r="BD600" i="23"/>
  <c r="BE600" i="23" s="1"/>
  <c r="AZ1208" i="23"/>
  <c r="BA1208" i="23" s="1"/>
  <c r="BD1208" i="23"/>
  <c r="BE1208" i="23" s="1"/>
  <c r="AZ450" i="23"/>
  <c r="BA450" i="23" s="1"/>
  <c r="BD450" i="23"/>
  <c r="BE450" i="23" s="1"/>
  <c r="AZ104" i="23"/>
  <c r="BA104" i="23" s="1"/>
  <c r="BD104" i="23"/>
  <c r="BE104" i="23" s="1"/>
  <c r="AZ323" i="23"/>
  <c r="BA323" i="23" s="1"/>
  <c r="BD323" i="23"/>
  <c r="BE323" i="23" s="1"/>
  <c r="AZ625" i="23"/>
  <c r="BA625" i="23" s="1"/>
  <c r="BD625" i="23"/>
  <c r="BE625" i="23" s="1"/>
  <c r="AZ648" i="23"/>
  <c r="BA648" i="23" s="1"/>
  <c r="BD648" i="23"/>
  <c r="BE648" i="23" s="1"/>
  <c r="AZ780" i="23"/>
  <c r="BA780" i="23" s="1"/>
  <c r="BD780" i="23"/>
  <c r="BE780" i="23" s="1"/>
  <c r="BF780" i="23" s="1"/>
  <c r="BG780" i="23" s="1"/>
  <c r="AZ1228" i="23"/>
  <c r="BA1228" i="23" s="1"/>
  <c r="BD1228" i="23"/>
  <c r="BE1228" i="23" s="1"/>
  <c r="AZ449" i="23"/>
  <c r="BA449" i="23" s="1"/>
  <c r="BD449" i="23"/>
  <c r="BE449" i="23" s="1"/>
  <c r="AZ1179" i="23"/>
  <c r="BA1179" i="23" s="1"/>
  <c r="BD1179" i="23"/>
  <c r="BE1179" i="23" s="1"/>
  <c r="BF1179" i="23" s="1"/>
  <c r="BG1179" i="23" s="1"/>
  <c r="AZ629" i="23"/>
  <c r="BA629" i="23" s="1"/>
  <c r="BD629" i="23"/>
  <c r="BE629" i="23" s="1"/>
  <c r="AZ1129" i="23"/>
  <c r="BA1129" i="23" s="1"/>
  <c r="BD1129" i="23"/>
  <c r="BE1129" i="23" s="1"/>
  <c r="AZ796" i="23"/>
  <c r="BA796" i="23" s="1"/>
  <c r="BD796" i="23"/>
  <c r="BE796" i="23" s="1"/>
  <c r="AZ106" i="23"/>
  <c r="BA106" i="23" s="1"/>
  <c r="BD106" i="23"/>
  <c r="BE106" i="23" s="1"/>
  <c r="AZ984" i="23"/>
  <c r="BA984" i="23" s="1"/>
  <c r="BD984" i="23"/>
  <c r="BE984" i="23" s="1"/>
  <c r="AZ467" i="23"/>
  <c r="BA467" i="23" s="1"/>
  <c r="BD467" i="23"/>
  <c r="BE467" i="23" s="1"/>
  <c r="AZ1133" i="23"/>
  <c r="BA1133" i="23" s="1"/>
  <c r="BD1133" i="23"/>
  <c r="BE1133" i="23" s="1"/>
  <c r="AZ1258" i="23"/>
  <c r="BA1258" i="23" s="1"/>
  <c r="BD1258" i="23"/>
  <c r="BE1258" i="23" s="1"/>
  <c r="AZ801" i="23"/>
  <c r="BA801" i="23" s="1"/>
  <c r="BD801" i="23"/>
  <c r="BE801" i="23" s="1"/>
  <c r="BF801" i="23" s="1"/>
  <c r="BG801" i="23" s="1"/>
  <c r="AZ37" i="23"/>
  <c r="BA37" i="23" s="1"/>
  <c r="BD37" i="23"/>
  <c r="BE37" i="23" s="1"/>
  <c r="AZ333" i="23"/>
  <c r="BA333" i="23" s="1"/>
  <c r="BD333" i="23"/>
  <c r="BE333" i="23" s="1"/>
  <c r="AZ97" i="23"/>
  <c r="BA97" i="23" s="1"/>
  <c r="BD97" i="23"/>
  <c r="BE97" i="23" s="1"/>
  <c r="AZ668" i="23"/>
  <c r="BA668" i="23" s="1"/>
  <c r="BD668" i="23"/>
  <c r="BE668" i="23" s="1"/>
  <c r="BF668" i="23" s="1"/>
  <c r="BG668" i="23" s="1"/>
  <c r="AZ1131" i="23"/>
  <c r="BA1131" i="23" s="1"/>
  <c r="BD1131" i="23"/>
  <c r="BE1131" i="23" s="1"/>
  <c r="AZ1038" i="23"/>
  <c r="BA1038" i="23" s="1"/>
  <c r="BD1038" i="23"/>
  <c r="BE1038" i="23" s="1"/>
  <c r="AZ1044" i="23"/>
  <c r="BA1044" i="23" s="1"/>
  <c r="BD1044" i="23"/>
  <c r="BE1044" i="23" s="1"/>
  <c r="BF1044" i="23" s="1"/>
  <c r="BG1044" i="23" s="1"/>
  <c r="AZ621" i="23"/>
  <c r="BA621" i="23" s="1"/>
  <c r="BD621" i="23"/>
  <c r="BE621" i="23" s="1"/>
  <c r="BF621" i="23" s="1"/>
  <c r="BG621" i="23" s="1"/>
  <c r="AZ1137" i="23"/>
  <c r="BA1137" i="23" s="1"/>
  <c r="BD1137" i="23"/>
  <c r="BE1137" i="23" s="1"/>
  <c r="AZ1201" i="23"/>
  <c r="BA1201" i="23" s="1"/>
  <c r="BD1201" i="23"/>
  <c r="BE1201" i="23" s="1"/>
  <c r="AZ29" i="23"/>
  <c r="BA29" i="23" s="1"/>
  <c r="BD29" i="23"/>
  <c r="BE29" i="23" s="1"/>
  <c r="BF29" i="23" s="1"/>
  <c r="BG29" i="23" s="1"/>
  <c r="AZ469" i="23"/>
  <c r="BA469" i="23" s="1"/>
  <c r="BD469" i="23"/>
  <c r="BE469" i="23" s="1"/>
  <c r="AZ672" i="23"/>
  <c r="BA672" i="23" s="1"/>
  <c r="BD672" i="23"/>
  <c r="BE672" i="23" s="1"/>
  <c r="BF672" i="23" s="1"/>
  <c r="BG672" i="23" s="1"/>
  <c r="AZ74" i="23"/>
  <c r="BA74" i="23" s="1"/>
  <c r="BD74" i="23"/>
  <c r="BE74" i="23" s="1"/>
  <c r="AZ365" i="23"/>
  <c r="BA365" i="23" s="1"/>
  <c r="BD365" i="23"/>
  <c r="BE365" i="23" s="1"/>
  <c r="AZ1255" i="23"/>
  <c r="BA1255" i="23" s="1"/>
  <c r="BD1255" i="23"/>
  <c r="BE1255" i="23" s="1"/>
  <c r="BF1255" i="23" s="1"/>
  <c r="BG1255" i="23" s="1"/>
  <c r="AZ983" i="23"/>
  <c r="BA983" i="23" s="1"/>
  <c r="BD983" i="23"/>
  <c r="BE983" i="23" s="1"/>
  <c r="BF983" i="23" s="1"/>
  <c r="BG983" i="23" s="1"/>
  <c r="AZ1191" i="23"/>
  <c r="BA1191" i="23" s="1"/>
  <c r="BD1191" i="23"/>
  <c r="BE1191" i="23" s="1"/>
  <c r="BF1191" i="23" s="1"/>
  <c r="BG1191" i="23" s="1"/>
  <c r="AZ51" i="23"/>
  <c r="BA51" i="23" s="1"/>
  <c r="BD51" i="23"/>
  <c r="BE51" i="23" s="1"/>
  <c r="BF51" i="23" s="1"/>
  <c r="BG51" i="23" s="1"/>
  <c r="AZ464" i="23"/>
  <c r="BA464" i="23" s="1"/>
  <c r="BD464" i="23"/>
  <c r="BE464" i="23" s="1"/>
  <c r="AZ602" i="23"/>
  <c r="BA602" i="23" s="1"/>
  <c r="BD602" i="23"/>
  <c r="BE602" i="23" s="1"/>
  <c r="BF602" i="23" s="1"/>
  <c r="BG602" i="23" s="1"/>
  <c r="AZ445" i="23"/>
  <c r="BA445" i="23" s="1"/>
  <c r="BD445" i="23"/>
  <c r="BE445" i="23" s="1"/>
  <c r="BF445" i="23" s="1"/>
  <c r="BG445" i="23" s="1"/>
  <c r="AZ452" i="23"/>
  <c r="BA452" i="23" s="1"/>
  <c r="BD452" i="23"/>
  <c r="BE452" i="23" s="1"/>
  <c r="AZ1183" i="23"/>
  <c r="BA1183" i="23" s="1"/>
  <c r="BD1183" i="23"/>
  <c r="BE1183" i="23" s="1"/>
  <c r="BF1183" i="23" s="1"/>
  <c r="BG1183" i="23" s="1"/>
  <c r="AZ339" i="23"/>
  <c r="BA339" i="23" s="1"/>
  <c r="BD339" i="23"/>
  <c r="BE339" i="23" s="1"/>
  <c r="AZ474" i="23"/>
  <c r="BA474" i="23" s="1"/>
  <c r="BD474" i="23"/>
  <c r="BE474" i="23" s="1"/>
  <c r="BF474" i="23" s="1"/>
  <c r="BG474" i="23" s="1"/>
  <c r="AZ458" i="23"/>
  <c r="BA458" i="23" s="1"/>
  <c r="BD458" i="23"/>
  <c r="BE458" i="23" s="1"/>
  <c r="AZ379" i="23"/>
  <c r="BA379" i="23" s="1"/>
  <c r="BD379" i="23"/>
  <c r="BE379" i="23" s="1"/>
  <c r="AZ41" i="23"/>
  <c r="BA41" i="23" s="1"/>
  <c r="BD41" i="23"/>
  <c r="BE41" i="23" s="1"/>
  <c r="BF41" i="23" s="1"/>
  <c r="BG41" i="23" s="1"/>
  <c r="AZ33" i="23"/>
  <c r="BA33" i="23" s="1"/>
  <c r="BD33" i="23"/>
  <c r="BE33" i="23" s="1"/>
  <c r="AZ1206" i="23"/>
  <c r="BA1206" i="23" s="1"/>
  <c r="BD1206" i="23"/>
  <c r="BE1206" i="23" s="1"/>
  <c r="AZ1211" i="23"/>
  <c r="BA1211" i="23" s="1"/>
  <c r="BD1211" i="23"/>
  <c r="BE1211" i="23" s="1"/>
  <c r="AZ1073" i="23"/>
  <c r="BA1073" i="23" s="1"/>
  <c r="BD1073" i="23"/>
  <c r="BE1073" i="23" s="1"/>
  <c r="AZ88" i="23"/>
  <c r="BA88" i="23" s="1"/>
  <c r="BD88" i="23"/>
  <c r="BE88" i="23" s="1"/>
  <c r="AZ28" i="23"/>
  <c r="BA28" i="23" s="1"/>
  <c r="BD28" i="23"/>
  <c r="BE28" i="23" s="1"/>
  <c r="BF28" i="23" s="1"/>
  <c r="BG28" i="23" s="1"/>
  <c r="AZ43" i="23"/>
  <c r="BA43" i="23" s="1"/>
  <c r="BD43" i="23"/>
  <c r="BE43" i="23" s="1"/>
  <c r="BF43" i="23" s="1"/>
  <c r="BG43" i="23" s="1"/>
  <c r="AZ54" i="23"/>
  <c r="BA54" i="23" s="1"/>
  <c r="BD54" i="23"/>
  <c r="BE54" i="23" s="1"/>
  <c r="AZ1138" i="23"/>
  <c r="BA1138" i="23" s="1"/>
  <c r="BD1138" i="23"/>
  <c r="BE1138" i="23" s="1"/>
  <c r="AZ456" i="23"/>
  <c r="BA456" i="23" s="1"/>
  <c r="BD456" i="23"/>
  <c r="BE456" i="23" s="1"/>
  <c r="AZ87" i="23"/>
  <c r="BA87" i="23" s="1"/>
  <c r="BD87" i="23"/>
  <c r="BE87" i="23" s="1"/>
  <c r="AZ42" i="23"/>
  <c r="BA42" i="23" s="1"/>
  <c r="BD42" i="23"/>
  <c r="BE42" i="23" s="1"/>
  <c r="AZ988" i="23"/>
  <c r="BA988" i="23" s="1"/>
  <c r="BD988" i="23"/>
  <c r="BE988" i="23" s="1"/>
  <c r="AZ111" i="23"/>
  <c r="BA111" i="23" s="1"/>
  <c r="BD111" i="23"/>
  <c r="BE111" i="23" s="1"/>
  <c r="AZ639" i="23"/>
  <c r="BA639" i="23" s="1"/>
  <c r="BD639" i="23"/>
  <c r="BE639" i="23" s="1"/>
  <c r="AZ646" i="23"/>
  <c r="BA646" i="23" s="1"/>
  <c r="BD646" i="23"/>
  <c r="BE646" i="23" s="1"/>
  <c r="BF646" i="23" s="1"/>
  <c r="BG646" i="23" s="1"/>
  <c r="AZ1223" i="23"/>
  <c r="BA1223" i="23" s="1"/>
  <c r="BD1223" i="23"/>
  <c r="BE1223" i="23" s="1"/>
  <c r="AZ1217" i="23"/>
  <c r="BA1217" i="23" s="1"/>
  <c r="BD1217" i="23"/>
  <c r="BE1217" i="23" s="1"/>
  <c r="AZ340" i="23"/>
  <c r="BA340" i="23" s="1"/>
  <c r="BD340" i="23"/>
  <c r="BE340" i="23" s="1"/>
  <c r="AZ58" i="23"/>
  <c r="BA58" i="23" s="1"/>
  <c r="BD58" i="23"/>
  <c r="BE58" i="23" s="1"/>
  <c r="AZ48" i="23"/>
  <c r="BA48" i="23" s="1"/>
  <c r="BD48" i="23"/>
  <c r="BE48" i="23" s="1"/>
  <c r="AZ1227" i="23"/>
  <c r="BA1227" i="23" s="1"/>
  <c r="BD1227" i="23"/>
  <c r="BE1227" i="23" s="1"/>
  <c r="AZ641" i="23"/>
  <c r="BA641" i="23" s="1"/>
  <c r="BD641" i="23"/>
  <c r="BE641" i="23" s="1"/>
  <c r="BF641" i="23" s="1"/>
  <c r="BG641" i="23" s="1"/>
  <c r="AZ655" i="23"/>
  <c r="BA655" i="23" s="1"/>
  <c r="BD655" i="23"/>
  <c r="BE655" i="23" s="1"/>
  <c r="BF655" i="23" s="1"/>
  <c r="BG655" i="23" s="1"/>
  <c r="AZ675" i="23"/>
  <c r="BA675" i="23" s="1"/>
  <c r="BD675" i="23"/>
  <c r="BE675" i="23" s="1"/>
  <c r="BF675" i="23" s="1"/>
  <c r="BG675" i="23" s="1"/>
  <c r="AZ1119" i="23"/>
  <c r="BA1119" i="23" s="1"/>
  <c r="BD1119" i="23"/>
  <c r="BE1119" i="23" s="1"/>
  <c r="AZ1130" i="23"/>
  <c r="BA1130" i="23" s="1"/>
  <c r="BD1130" i="23"/>
  <c r="BE1130" i="23" s="1"/>
  <c r="AZ45" i="23"/>
  <c r="BA45" i="23" s="1"/>
  <c r="BD45" i="23"/>
  <c r="BE45" i="23" s="1"/>
  <c r="AZ703" i="23"/>
  <c r="BA703" i="23" s="1"/>
  <c r="BD703" i="23"/>
  <c r="BE703" i="23" s="1"/>
  <c r="AZ968" i="23"/>
  <c r="BA968" i="23" s="1"/>
  <c r="BD968" i="23"/>
  <c r="BE968" i="23" s="1"/>
  <c r="AZ1207" i="23"/>
  <c r="BA1207" i="23" s="1"/>
  <c r="BD1207" i="23"/>
  <c r="BE1207" i="23" s="1"/>
  <c r="AZ647" i="23"/>
  <c r="BA647" i="23" s="1"/>
  <c r="BD647" i="23"/>
  <c r="BE647" i="23" s="1"/>
  <c r="AZ662" i="23"/>
  <c r="BA662" i="23" s="1"/>
  <c r="BD662" i="23"/>
  <c r="BE662" i="23" s="1"/>
  <c r="BF662" i="23" s="1"/>
  <c r="BG662" i="23" s="1"/>
  <c r="AZ13" i="23"/>
  <c r="BA13" i="23" s="1"/>
  <c r="BD13" i="23"/>
  <c r="BE13" i="23" s="1"/>
  <c r="AZ1077" i="23"/>
  <c r="BA1077" i="23" s="1"/>
  <c r="BD1077" i="23"/>
  <c r="BE1077" i="23" s="1"/>
  <c r="AZ370" i="23"/>
  <c r="BA370" i="23" s="1"/>
  <c r="BD370" i="23"/>
  <c r="BE370" i="23" s="1"/>
  <c r="AZ1232" i="23"/>
  <c r="BA1232" i="23" s="1"/>
  <c r="BD1232" i="23"/>
  <c r="BE1232" i="23" s="1"/>
  <c r="AZ1226" i="23"/>
  <c r="BA1226" i="23" s="1"/>
  <c r="BD1226" i="23"/>
  <c r="BE1226" i="23" s="1"/>
  <c r="AZ21" i="23"/>
  <c r="BA21" i="23" s="1"/>
  <c r="BD21" i="23"/>
  <c r="BE21" i="23" s="1"/>
  <c r="AZ46" i="23"/>
  <c r="BA46" i="23" s="1"/>
  <c r="BD46" i="23"/>
  <c r="BE46" i="23" s="1"/>
  <c r="AZ433" i="23"/>
  <c r="BA433" i="23" s="1"/>
  <c r="BD433" i="23"/>
  <c r="BE433" i="23" s="1"/>
  <c r="AZ109" i="23"/>
  <c r="BA109" i="23" s="1"/>
  <c r="BD109" i="23"/>
  <c r="BE109" i="23" s="1"/>
  <c r="BF109" i="23" s="1"/>
  <c r="BG109" i="23" s="1"/>
  <c r="AZ635" i="23"/>
  <c r="BA635" i="23" s="1"/>
  <c r="BD635" i="23"/>
  <c r="BE635" i="23" s="1"/>
  <c r="BF635" i="23" s="1"/>
  <c r="BG635" i="23" s="1"/>
  <c r="AZ77" i="23"/>
  <c r="BA77" i="23" s="1"/>
  <c r="BD77" i="23"/>
  <c r="BE77" i="23" s="1"/>
  <c r="AZ338" i="23"/>
  <c r="BA338" i="23" s="1"/>
  <c r="BD338" i="23"/>
  <c r="BE338" i="23" s="1"/>
  <c r="AZ637" i="23"/>
  <c r="BA637" i="23" s="1"/>
  <c r="BD637" i="23"/>
  <c r="BE637" i="23" s="1"/>
  <c r="BF637" i="23" s="1"/>
  <c r="BG637" i="23" s="1"/>
  <c r="AZ1190" i="23"/>
  <c r="BA1190" i="23" s="1"/>
  <c r="BD1190" i="23"/>
  <c r="BE1190" i="23" s="1"/>
  <c r="BF1190" i="23" s="1"/>
  <c r="BG1190" i="23" s="1"/>
  <c r="AZ606" i="23"/>
  <c r="BA606" i="23" s="1"/>
  <c r="BD606" i="23"/>
  <c r="BE606" i="23" s="1"/>
  <c r="AZ436" i="23"/>
  <c r="BA436" i="23" s="1"/>
  <c r="BD436" i="23"/>
  <c r="BE436" i="23" s="1"/>
  <c r="AZ609" i="23"/>
  <c r="BA609" i="23" s="1"/>
  <c r="BD609" i="23"/>
  <c r="BE609" i="23" s="1"/>
  <c r="AZ1245" i="23"/>
  <c r="BA1245" i="23" s="1"/>
  <c r="BD1245" i="23"/>
  <c r="BE1245" i="23" s="1"/>
  <c r="BF1245" i="23" s="1"/>
  <c r="BG1245" i="23" s="1"/>
  <c r="AZ373" i="23"/>
  <c r="BA373" i="23" s="1"/>
  <c r="BD373" i="23"/>
  <c r="BE373" i="23" s="1"/>
  <c r="AZ337" i="23"/>
  <c r="BA337" i="23" s="1"/>
  <c r="BD337" i="23"/>
  <c r="BE337" i="23" s="1"/>
  <c r="BF337" i="23" s="1"/>
  <c r="BG337" i="23" s="1"/>
  <c r="AZ1080" i="23"/>
  <c r="BA1080" i="23" s="1"/>
  <c r="BD1080" i="23"/>
  <c r="BE1080" i="23" s="1"/>
  <c r="AZ491" i="23"/>
  <c r="BA491" i="23" s="1"/>
  <c r="BD491" i="23"/>
  <c r="BE491" i="23" s="1"/>
  <c r="AZ1155" i="23"/>
  <c r="BA1155" i="23" s="1"/>
  <c r="BD1155" i="23"/>
  <c r="BE1155" i="23" s="1"/>
  <c r="BF1155" i="23" s="1"/>
  <c r="BG1155" i="23" s="1"/>
  <c r="AZ439" i="23"/>
  <c r="BA439" i="23" s="1"/>
  <c r="BD439" i="23"/>
  <c r="BE439" i="23" s="1"/>
  <c r="BF439" i="23" s="1"/>
  <c r="BG439" i="23" s="1"/>
  <c r="AZ451" i="23"/>
  <c r="BA451" i="23" s="1"/>
  <c r="BD451" i="23"/>
  <c r="BE451" i="23" s="1"/>
  <c r="AZ974" i="23"/>
  <c r="BA974" i="23" s="1"/>
  <c r="BD974" i="23"/>
  <c r="BE974" i="23" s="1"/>
  <c r="BF974" i="23" s="1"/>
  <c r="BG974" i="23" s="1"/>
  <c r="AZ1187" i="23"/>
  <c r="BA1187" i="23" s="1"/>
  <c r="BD1187" i="23"/>
  <c r="BE1187" i="23" s="1"/>
  <c r="BF1187" i="23" s="1"/>
  <c r="BG1187" i="23" s="1"/>
  <c r="AZ93" i="23"/>
  <c r="BA93" i="23" s="1"/>
  <c r="BD93" i="23"/>
  <c r="BE93" i="23" s="1"/>
  <c r="AZ462" i="23"/>
  <c r="BA462" i="23" s="1"/>
  <c r="BD462" i="23"/>
  <c r="BE462" i="23" s="1"/>
  <c r="AZ623" i="23"/>
  <c r="BA623" i="23" s="1"/>
  <c r="BD623" i="23"/>
  <c r="BE623" i="23" s="1"/>
  <c r="BF623" i="23" s="1"/>
  <c r="BG623" i="23" s="1"/>
  <c r="AZ649" i="23"/>
  <c r="BA649" i="23" s="1"/>
  <c r="BD649" i="23"/>
  <c r="BE649" i="23" s="1"/>
  <c r="AZ630" i="23"/>
  <c r="BA630" i="23" s="1"/>
  <c r="BD630" i="23"/>
  <c r="BE630" i="23" s="1"/>
  <c r="AZ654" i="23"/>
  <c r="BA654" i="23" s="1"/>
  <c r="BD654" i="23"/>
  <c r="BE654" i="23" s="1"/>
  <c r="BF654" i="23" s="1"/>
  <c r="BG654" i="23" s="1"/>
  <c r="AZ678" i="23"/>
  <c r="BA678" i="23" s="1"/>
  <c r="BD678" i="23"/>
  <c r="BE678" i="23" s="1"/>
  <c r="AZ779" i="23"/>
  <c r="BA779" i="23" s="1"/>
  <c r="BD779" i="23"/>
  <c r="BE779" i="23" s="1"/>
  <c r="AZ1193" i="23"/>
  <c r="BA1193" i="23" s="1"/>
  <c r="BD1193" i="23"/>
  <c r="BE1193" i="23" s="1"/>
  <c r="BF1193" i="23" s="1"/>
  <c r="BG1193" i="23" s="1"/>
  <c r="AZ969" i="23"/>
  <c r="BA969" i="23" s="1"/>
  <c r="BD969" i="23"/>
  <c r="BE969" i="23" s="1"/>
  <c r="AZ1063" i="23"/>
  <c r="BA1063" i="23" s="1"/>
  <c r="BD1063" i="23"/>
  <c r="BE1063" i="23" s="1"/>
  <c r="AZ494" i="23"/>
  <c r="BA494" i="23" s="1"/>
  <c r="BD494" i="23"/>
  <c r="BE494" i="23" s="1"/>
  <c r="AZ967" i="23"/>
  <c r="BA967" i="23" s="1"/>
  <c r="BD967" i="23"/>
  <c r="BE967" i="23" s="1"/>
  <c r="AZ1189" i="23"/>
  <c r="BA1189" i="23" s="1"/>
  <c r="BD1189" i="23"/>
  <c r="BE1189" i="23" s="1"/>
  <c r="AZ1246" i="23"/>
  <c r="BA1246" i="23" s="1"/>
  <c r="BD1246" i="23"/>
  <c r="BE1246" i="23" s="1"/>
  <c r="BF1246" i="23" s="1"/>
  <c r="BG1246" i="23" s="1"/>
  <c r="AZ112" i="23"/>
  <c r="BA112" i="23" s="1"/>
  <c r="BD112" i="23"/>
  <c r="BE112" i="23" s="1"/>
  <c r="AZ350" i="23"/>
  <c r="BA350" i="23" s="1"/>
  <c r="BD350" i="23"/>
  <c r="BE350" i="23" s="1"/>
  <c r="AZ607" i="23"/>
  <c r="BA607" i="23" s="1"/>
  <c r="BD607" i="23"/>
  <c r="BE607" i="23" s="1"/>
  <c r="BF607" i="23" s="1"/>
  <c r="BG607" i="23" s="1"/>
  <c r="AZ651" i="23"/>
  <c r="BA651" i="23" s="1"/>
  <c r="BD651" i="23"/>
  <c r="BE651" i="23" s="1"/>
  <c r="AZ632" i="23"/>
  <c r="BA632" i="23" s="1"/>
  <c r="BD632" i="23"/>
  <c r="BE632" i="23" s="1"/>
  <c r="AZ660" i="23"/>
  <c r="BA660" i="23" s="1"/>
  <c r="BD660" i="23"/>
  <c r="BE660" i="23" s="1"/>
  <c r="BF660" i="23" s="1"/>
  <c r="BG660" i="23" s="1"/>
  <c r="AZ679" i="23"/>
  <c r="BA679" i="23" s="1"/>
  <c r="BD679" i="23"/>
  <c r="BE679" i="23" s="1"/>
  <c r="AZ994" i="23"/>
  <c r="BA994" i="23" s="1"/>
  <c r="BD994" i="23"/>
  <c r="BE994" i="23" s="1"/>
  <c r="AZ1242" i="23"/>
  <c r="BA1242" i="23" s="1"/>
  <c r="BD1242" i="23"/>
  <c r="BE1242" i="23" s="1"/>
  <c r="AZ1177" i="23"/>
  <c r="BA1177" i="23" s="1"/>
  <c r="BD1177" i="23"/>
  <c r="BE1177" i="23" s="1"/>
  <c r="AZ1175" i="23"/>
  <c r="BA1175" i="23" s="1"/>
  <c r="BD1175" i="23"/>
  <c r="BE1175" i="23" s="1"/>
  <c r="BF1175" i="23" s="1"/>
  <c r="BG1175" i="23" s="1"/>
  <c r="AZ434" i="23"/>
  <c r="BA434" i="23" s="1"/>
  <c r="BD434" i="23"/>
  <c r="BE434" i="23" s="1"/>
  <c r="BF434" i="23" s="1"/>
  <c r="BG434" i="23" s="1"/>
  <c r="AZ515" i="23"/>
  <c r="BA515" i="23" s="1"/>
  <c r="BD515" i="23"/>
  <c r="BE515" i="23" s="1"/>
  <c r="AZ26" i="23"/>
  <c r="BA26" i="23" s="1"/>
  <c r="BD26" i="23"/>
  <c r="BE26" i="23" s="1"/>
  <c r="AZ1205" i="23"/>
  <c r="BA1205" i="23" s="1"/>
  <c r="BD1205" i="23"/>
  <c r="BE1205" i="23" s="1"/>
  <c r="AZ475" i="23"/>
  <c r="BA475" i="23" s="1"/>
  <c r="BD475" i="23"/>
  <c r="BE475" i="23" s="1"/>
  <c r="BF475" i="23" s="1"/>
  <c r="BG475" i="23" s="1"/>
  <c r="AZ610" i="23"/>
  <c r="BA610" i="23" s="1"/>
  <c r="BD610" i="23"/>
  <c r="BE610" i="23" s="1"/>
  <c r="BF610" i="23" s="1"/>
  <c r="BG610" i="23" s="1"/>
  <c r="AZ673" i="23"/>
  <c r="BA673" i="23" s="1"/>
  <c r="BD673" i="23"/>
  <c r="BE673" i="23" s="1"/>
  <c r="BF673" i="23" s="1"/>
  <c r="BG673" i="23" s="1"/>
  <c r="AZ1192" i="23"/>
  <c r="BA1192" i="23" s="1"/>
  <c r="BD1192" i="23"/>
  <c r="BE1192" i="23" s="1"/>
  <c r="AZ676" i="23"/>
  <c r="BA676" i="23" s="1"/>
  <c r="BD676" i="23"/>
  <c r="BE676" i="23" s="1"/>
  <c r="AZ1212" i="23"/>
  <c r="BA1212" i="23" s="1"/>
  <c r="BD1212" i="23"/>
  <c r="BE1212" i="23" s="1"/>
  <c r="AZ1218" i="23"/>
  <c r="BA1218" i="23" s="1"/>
  <c r="BD1218" i="23"/>
  <c r="BE1218" i="23" s="1"/>
  <c r="AZ1085" i="23"/>
  <c r="BA1085" i="23" s="1"/>
  <c r="BD1085" i="23"/>
  <c r="BE1085" i="23" s="1"/>
  <c r="AZ618" i="23"/>
  <c r="BA618" i="23" s="1"/>
  <c r="BD618" i="23"/>
  <c r="BE618" i="23" s="1"/>
  <c r="BF618" i="23" s="1"/>
  <c r="BG618" i="23" s="1"/>
  <c r="AZ1215" i="23"/>
  <c r="BA1215" i="23" s="1"/>
  <c r="BD1215" i="23"/>
  <c r="BE1215" i="23" s="1"/>
  <c r="AZ1200" i="23"/>
  <c r="BA1200" i="23" s="1"/>
  <c r="BD1200" i="23"/>
  <c r="BE1200" i="23" s="1"/>
  <c r="BF1200" i="23" s="1"/>
  <c r="BG1200" i="23" s="1"/>
  <c r="AZ1222" i="23"/>
  <c r="BA1222" i="23" s="1"/>
  <c r="BD1222" i="23"/>
  <c r="BE1222" i="23" s="1"/>
  <c r="AZ1214" i="23"/>
  <c r="BA1214" i="23" s="1"/>
  <c r="BD1214" i="23"/>
  <c r="BE1214" i="23" s="1"/>
  <c r="AZ346" i="23"/>
  <c r="BA346" i="23" s="1"/>
  <c r="BD346" i="23"/>
  <c r="BE346" i="23" s="1"/>
  <c r="BF346" i="23" s="1"/>
  <c r="BG346" i="23" s="1"/>
  <c r="AZ1126" i="23"/>
  <c r="BA1126" i="23" s="1"/>
  <c r="BD1126" i="23"/>
  <c r="BE1126" i="23" s="1"/>
  <c r="AZ669" i="23"/>
  <c r="BA669" i="23" s="1"/>
  <c r="BD669" i="23"/>
  <c r="BE669" i="23" s="1"/>
  <c r="AZ701" i="23"/>
  <c r="BA701" i="23" s="1"/>
  <c r="BD701" i="23"/>
  <c r="BE701" i="23" s="1"/>
  <c r="AZ1184" i="23"/>
  <c r="BA1184" i="23" s="1"/>
  <c r="BD1184" i="23"/>
  <c r="BE1184" i="23" s="1"/>
  <c r="AZ466" i="23"/>
  <c r="BA466" i="23" s="1"/>
  <c r="BD466" i="23"/>
  <c r="BE466" i="23" s="1"/>
  <c r="AZ987" i="23"/>
  <c r="BA987" i="23" s="1"/>
  <c r="BD987" i="23"/>
  <c r="BE987" i="23" s="1"/>
  <c r="AZ34" i="23"/>
  <c r="BA34" i="23" s="1"/>
  <c r="BD34" i="23"/>
  <c r="BE34" i="23" s="1"/>
  <c r="BF34" i="23" s="1"/>
  <c r="BG34" i="23" s="1"/>
  <c r="AZ89" i="23"/>
  <c r="BA89" i="23" s="1"/>
  <c r="BD89" i="23"/>
  <c r="BE89" i="23" s="1"/>
  <c r="AZ356" i="23"/>
  <c r="BA356" i="23" s="1"/>
  <c r="BD356" i="23"/>
  <c r="BE356" i="23" s="1"/>
  <c r="AZ653" i="23"/>
  <c r="BA653" i="23" s="1"/>
  <c r="BD653" i="23"/>
  <c r="BE653" i="23" s="1"/>
  <c r="AZ634" i="23"/>
  <c r="BA634" i="23" s="1"/>
  <c r="BD634" i="23"/>
  <c r="BE634" i="23" s="1"/>
  <c r="AZ724" i="23"/>
  <c r="BA724" i="23" s="1"/>
  <c r="BD724" i="23"/>
  <c r="BE724" i="23" s="1"/>
  <c r="BF724" i="23" s="1"/>
  <c r="BG724" i="23" s="1"/>
  <c r="AZ1182" i="23"/>
  <c r="BA1182" i="23" s="1"/>
  <c r="BD1182" i="23"/>
  <c r="BE1182" i="23" s="1"/>
  <c r="BF1182" i="23" s="1"/>
  <c r="BG1182" i="23" s="1"/>
  <c r="AZ686" i="23"/>
  <c r="BA686" i="23" s="1"/>
  <c r="BD686" i="23"/>
  <c r="BE686" i="23" s="1"/>
  <c r="AZ326" i="23"/>
  <c r="BA326" i="23" s="1"/>
  <c r="BD326" i="23"/>
  <c r="BE326" i="23" s="1"/>
  <c r="AZ1229" i="23"/>
  <c r="BA1229" i="23" s="1"/>
  <c r="BD1229" i="23"/>
  <c r="BE1229" i="23" s="1"/>
  <c r="AZ1216" i="23"/>
  <c r="BA1216" i="23" s="1"/>
  <c r="BD1216" i="23"/>
  <c r="BE1216" i="23" s="1"/>
  <c r="AZ344" i="23"/>
  <c r="BA344" i="23" s="1"/>
  <c r="BD344" i="23"/>
  <c r="BE344" i="23" s="1"/>
  <c r="BF344" i="23" s="1"/>
  <c r="BG344" i="23" s="1"/>
  <c r="AZ636" i="23"/>
  <c r="BA636" i="23" s="1"/>
  <c r="BD636" i="23"/>
  <c r="BE636" i="23" s="1"/>
  <c r="BF636" i="23" s="1"/>
  <c r="BG636" i="23" s="1"/>
  <c r="AZ1125" i="23"/>
  <c r="BA1125" i="23" s="1"/>
  <c r="BD1125" i="23"/>
  <c r="BE1125" i="23" s="1"/>
  <c r="AZ1178" i="23"/>
  <c r="BA1178" i="23" s="1"/>
  <c r="BD1178" i="23"/>
  <c r="BE1178" i="23" s="1"/>
  <c r="BF1178" i="23" s="1"/>
  <c r="BG1178" i="23" s="1"/>
  <c r="AZ674" i="23"/>
  <c r="BA674" i="23" s="1"/>
  <c r="BD674" i="23"/>
  <c r="BE674" i="23" s="1"/>
  <c r="AZ380" i="23"/>
  <c r="BA380" i="23" s="1"/>
  <c r="BD380" i="23"/>
  <c r="BE380" i="23" s="1"/>
  <c r="AZ105" i="23"/>
  <c r="BA105" i="23" s="1"/>
  <c r="BD105" i="23"/>
  <c r="BE105" i="23" s="1"/>
  <c r="BF105" i="23" s="1"/>
  <c r="BG105" i="23" s="1"/>
  <c r="AZ627" i="23"/>
  <c r="BA627" i="23" s="1"/>
  <c r="BD627" i="23"/>
  <c r="BE627" i="23" s="1"/>
  <c r="BF627" i="23" s="1"/>
  <c r="BG627" i="23" s="1"/>
  <c r="AZ782" i="23"/>
  <c r="BA782" i="23" s="1"/>
  <c r="BD782" i="23"/>
  <c r="BE782" i="23" s="1"/>
  <c r="AZ14" i="23"/>
  <c r="BA14" i="23" s="1"/>
  <c r="BD14" i="23"/>
  <c r="BE14" i="23" s="1"/>
  <c r="BF14" i="23" s="1"/>
  <c r="BG14" i="23" s="1"/>
  <c r="AZ1247" i="23"/>
  <c r="BA1247" i="23" s="1"/>
  <c r="BD1247" i="23"/>
  <c r="BE1247" i="23" s="1"/>
  <c r="BF1247" i="23" s="1"/>
  <c r="BG1247" i="23" s="1"/>
  <c r="AZ1195" i="23"/>
  <c r="BA1195" i="23" s="1"/>
  <c r="BD1195" i="23"/>
  <c r="BE1195" i="23" s="1"/>
  <c r="BF1195" i="23" s="1"/>
  <c r="BG1195" i="23" s="1"/>
  <c r="AZ336" i="23"/>
  <c r="BA336" i="23" s="1"/>
  <c r="BD336" i="23"/>
  <c r="BE336" i="23" s="1"/>
  <c r="BF336" i="23" s="1"/>
  <c r="BG336" i="23" s="1"/>
  <c r="AZ1128" i="23"/>
  <c r="BA1128" i="23" s="1"/>
  <c r="BD1128" i="23"/>
  <c r="BE1128" i="23" s="1"/>
  <c r="AZ78" i="23"/>
  <c r="BA78" i="23" s="1"/>
  <c r="BD78" i="23"/>
  <c r="BE78" i="23" s="1"/>
  <c r="AZ1083" i="23"/>
  <c r="BA1083" i="23" s="1"/>
  <c r="BD1083" i="23"/>
  <c r="BE1083" i="23" s="1"/>
  <c r="AZ341" i="23"/>
  <c r="BA341" i="23" s="1"/>
  <c r="BD341" i="23"/>
  <c r="BE341" i="23" s="1"/>
  <c r="BF341" i="23" s="1"/>
  <c r="BG341" i="23" s="1"/>
  <c r="AZ27" i="23"/>
  <c r="BA27" i="23" s="1"/>
  <c r="BD27" i="23"/>
  <c r="BE27" i="23" s="1"/>
  <c r="BF27" i="23" s="1"/>
  <c r="BG27" i="23" s="1"/>
  <c r="AZ81" i="23"/>
  <c r="BA81" i="23" s="1"/>
  <c r="BD81" i="23"/>
  <c r="BE81" i="23" s="1"/>
  <c r="AZ95" i="23"/>
  <c r="BA95" i="23" s="1"/>
  <c r="AZ1164" i="23"/>
  <c r="BA1164" i="23" s="1"/>
  <c r="BD1164" i="23"/>
  <c r="BE1164" i="23" s="1"/>
  <c r="AZ16" i="23"/>
  <c r="BA16" i="23" s="1"/>
  <c r="BD16" i="23"/>
  <c r="BE16" i="23" s="1"/>
  <c r="AZ440" i="23"/>
  <c r="BA440" i="23" s="1"/>
  <c r="BD440" i="23"/>
  <c r="BE440" i="23" s="1"/>
  <c r="BF440" i="23" s="1"/>
  <c r="BG440" i="23" s="1"/>
  <c r="AZ1233" i="23"/>
  <c r="BA1233" i="23" s="1"/>
  <c r="BD1233" i="23"/>
  <c r="BE1233" i="23" s="1"/>
  <c r="AZ1127" i="23"/>
  <c r="BA1127" i="23" s="1"/>
  <c r="BD1127" i="23"/>
  <c r="BE1127" i="23" s="1"/>
  <c r="AZ50" i="23"/>
  <c r="BA50" i="23" s="1"/>
  <c r="BD50" i="23"/>
  <c r="BE50" i="23" s="1"/>
  <c r="BF50" i="23" s="1"/>
  <c r="BG50" i="23" s="1"/>
  <c r="AZ1072" i="23"/>
  <c r="BA1072" i="23" s="1"/>
  <c r="BD1072" i="23"/>
  <c r="BE1072" i="23" s="1"/>
  <c r="AZ1079" i="23"/>
  <c r="BA1079" i="23" s="1"/>
  <c r="BD1079" i="23"/>
  <c r="BE1079" i="23" s="1"/>
  <c r="AZ486" i="23"/>
  <c r="BA486" i="23" s="1"/>
  <c r="BD486" i="23"/>
  <c r="BE486" i="23" s="1"/>
  <c r="AZ1081" i="23"/>
  <c r="BA1081" i="23" s="1"/>
  <c r="BD1081" i="23"/>
  <c r="BE1081" i="23" s="1"/>
  <c r="AZ663" i="23"/>
  <c r="BA663" i="23" s="1"/>
  <c r="BD663" i="23"/>
  <c r="BE663" i="23" s="1"/>
  <c r="BF663" i="23" s="1"/>
  <c r="BG663" i="23" s="1"/>
  <c r="AZ1136" i="23"/>
  <c r="BA1136" i="23" s="1"/>
  <c r="BD1136" i="23"/>
  <c r="BE1136" i="23" s="1"/>
  <c r="AZ1236" i="23"/>
  <c r="BA1236" i="23" s="1"/>
  <c r="BD1236" i="23"/>
  <c r="BE1236" i="23" s="1"/>
  <c r="AZ334" i="23"/>
  <c r="BA334" i="23" s="1"/>
  <c r="BD334" i="23"/>
  <c r="BE334" i="23" s="1"/>
  <c r="AZ1075" i="23"/>
  <c r="BA1075" i="23" s="1"/>
  <c r="BD1075" i="23"/>
  <c r="BE1075" i="23" s="1"/>
  <c r="AZ437" i="23"/>
  <c r="BA437" i="23" s="1"/>
  <c r="BD437" i="23"/>
  <c r="BE437" i="23" s="1"/>
  <c r="BF437" i="23" s="1"/>
  <c r="BG437" i="23" s="1"/>
  <c r="AZ332" i="23"/>
  <c r="BA332" i="23" s="1"/>
  <c r="BD332" i="23"/>
  <c r="BE332" i="23" s="1"/>
  <c r="AZ86" i="23"/>
  <c r="BA86" i="23" s="1"/>
  <c r="AZ76" i="23"/>
  <c r="BA76" i="23" s="1"/>
  <c r="BD76" i="23"/>
  <c r="BE76" i="23" s="1"/>
  <c r="AZ57" i="23"/>
  <c r="BA57" i="23" s="1"/>
  <c r="BD57" i="23"/>
  <c r="BE57" i="23" s="1"/>
  <c r="AZ619" i="23"/>
  <c r="BA619" i="23" s="1"/>
  <c r="BD619" i="23"/>
  <c r="BE619" i="23" s="1"/>
  <c r="BF619" i="23" s="1"/>
  <c r="BG619" i="23" s="1"/>
  <c r="AZ1068" i="23"/>
  <c r="BA1068" i="23" s="1"/>
  <c r="BD1068" i="23"/>
  <c r="BE1068" i="23" s="1"/>
  <c r="AZ1241" i="23"/>
  <c r="BA1241" i="23" s="1"/>
  <c r="BD1241" i="23"/>
  <c r="BE1241" i="23" s="1"/>
  <c r="AZ603" i="23"/>
  <c r="BA603" i="23" s="1"/>
  <c r="BD603" i="23"/>
  <c r="BE603" i="23" s="1"/>
  <c r="BF603" i="23" s="1"/>
  <c r="BG603" i="23" s="1"/>
  <c r="AZ49" i="23"/>
  <c r="BA49" i="23" s="1"/>
  <c r="BD49" i="23"/>
  <c r="BE49" i="23" s="1"/>
  <c r="BF49" i="23" s="1"/>
  <c r="BG49" i="23" s="1"/>
  <c r="AZ374" i="23"/>
  <c r="BA374" i="23" s="1"/>
  <c r="BD374" i="23"/>
  <c r="BE374" i="23" s="1"/>
  <c r="AZ84" i="23"/>
  <c r="BA84" i="23" s="1"/>
  <c r="BD84" i="23"/>
  <c r="BE84" i="23" s="1"/>
  <c r="AZ1042" i="23"/>
  <c r="BA1042" i="23" s="1"/>
  <c r="BD1042" i="23"/>
  <c r="BE1042" i="23" s="1"/>
  <c r="AZ320" i="23"/>
  <c r="BA320" i="23" s="1"/>
  <c r="BD320" i="23"/>
  <c r="BE320" i="23" s="1"/>
  <c r="AZ659" i="23"/>
  <c r="BA659" i="23" s="1"/>
  <c r="BD659" i="23"/>
  <c r="BE659" i="23" s="1"/>
  <c r="BF659" i="23" s="1"/>
  <c r="BG659" i="23" s="1"/>
  <c r="AZ1048" i="23"/>
  <c r="BA1048" i="23" s="1"/>
  <c r="BD1048" i="23"/>
  <c r="BE1048" i="23" s="1"/>
  <c r="AZ1082" i="23"/>
  <c r="BA1082" i="23" s="1"/>
  <c r="BD1082" i="23"/>
  <c r="BE1082" i="23" s="1"/>
  <c r="AZ1142" i="23"/>
  <c r="BA1142" i="23" s="1"/>
  <c r="BD1142" i="23"/>
  <c r="BE1142" i="23" s="1"/>
  <c r="AZ32" i="23"/>
  <c r="BA32" i="23" s="1"/>
  <c r="BD32" i="23"/>
  <c r="BE32" i="23" s="1"/>
  <c r="AZ981" i="23"/>
  <c r="BA981" i="23" s="1"/>
  <c r="BD981" i="23"/>
  <c r="BE981" i="23" s="1"/>
  <c r="AZ465" i="23"/>
  <c r="BA465" i="23" s="1"/>
  <c r="BD465" i="23"/>
  <c r="BE465" i="23" s="1"/>
  <c r="AZ614" i="23"/>
  <c r="BA614" i="23" s="1"/>
  <c r="BD614" i="23"/>
  <c r="BE614" i="23" s="1"/>
  <c r="AZ671" i="23"/>
  <c r="BA671" i="23" s="1"/>
  <c r="BD671" i="23"/>
  <c r="BE671" i="23" s="1"/>
  <c r="AZ1074" i="23"/>
  <c r="BA1074" i="23" s="1"/>
  <c r="BD1074" i="23"/>
  <c r="BE1074" i="23" s="1"/>
  <c r="AZ1135" i="23"/>
  <c r="BA1135" i="23" s="1"/>
  <c r="BD1135" i="23"/>
  <c r="BE1135" i="23" s="1"/>
  <c r="AZ459" i="23"/>
  <c r="BA459" i="23" s="1"/>
  <c r="BD459" i="23"/>
  <c r="BE459" i="23" s="1"/>
  <c r="AZ1185" i="23"/>
  <c r="BA1185" i="23" s="1"/>
  <c r="BD1185" i="23"/>
  <c r="BE1185" i="23" s="1"/>
  <c r="AZ443" i="23"/>
  <c r="BA443" i="23" s="1"/>
  <c r="BD443" i="23"/>
  <c r="BE443" i="23" s="1"/>
  <c r="BF443" i="23" s="1"/>
  <c r="BG443" i="23" s="1"/>
  <c r="AZ85" i="23"/>
  <c r="BA85" i="23" s="1"/>
  <c r="BD85" i="23"/>
  <c r="BE85" i="23" s="1"/>
  <c r="AZ644" i="23"/>
  <c r="BA644" i="23" s="1"/>
  <c r="BD644" i="23"/>
  <c r="BE644" i="23" s="1"/>
  <c r="AZ1239" i="23"/>
  <c r="BA1239" i="23" s="1"/>
  <c r="BD1239" i="23"/>
  <c r="BE1239" i="23" s="1"/>
  <c r="AZ90" i="23"/>
  <c r="BA90" i="23" s="1"/>
  <c r="BD90" i="23"/>
  <c r="BE90" i="23" s="1"/>
  <c r="AZ98" i="23"/>
  <c r="BA98" i="23" s="1"/>
  <c r="BD98" i="23"/>
  <c r="BE98" i="23" s="1"/>
  <c r="AZ652" i="23"/>
  <c r="BA652" i="23" s="1"/>
  <c r="BD652" i="23"/>
  <c r="BE652" i="23" s="1"/>
  <c r="AZ438" i="23"/>
  <c r="BA438" i="23" s="1"/>
  <c r="BD438" i="23"/>
  <c r="BE438" i="23" s="1"/>
  <c r="BF438" i="23" s="1"/>
  <c r="BG438" i="23" s="1"/>
  <c r="AZ608" i="23"/>
  <c r="BA608" i="23" s="1"/>
  <c r="BD608" i="23"/>
  <c r="BE608" i="23" s="1"/>
  <c r="BF608" i="23" s="1"/>
  <c r="BG608" i="23" s="1"/>
  <c r="AZ1243" i="23"/>
  <c r="BA1243" i="23" s="1"/>
  <c r="BD1243" i="23"/>
  <c r="BE1243" i="23" s="1"/>
  <c r="AZ359" i="23"/>
  <c r="BA359" i="23" s="1"/>
  <c r="BD359" i="23"/>
  <c r="BE359" i="23" s="1"/>
  <c r="AZ453" i="23"/>
  <c r="BA453" i="23" s="1"/>
  <c r="BD453" i="23"/>
  <c r="BE453" i="23" s="1"/>
  <c r="AZ617" i="23"/>
  <c r="BA617" i="23" s="1"/>
  <c r="BD617" i="23"/>
  <c r="BE617" i="23" s="1"/>
  <c r="BF617" i="23" s="1"/>
  <c r="BG617" i="23" s="1"/>
  <c r="AZ1180" i="23"/>
  <c r="BA1180" i="23" s="1"/>
  <c r="BD1180" i="23"/>
  <c r="BE1180" i="23" s="1"/>
  <c r="AZ110" i="23"/>
  <c r="BA110" i="23" s="1"/>
  <c r="BD110" i="23"/>
  <c r="BE110" i="23" s="1"/>
  <c r="BF110" i="23" s="1"/>
  <c r="BG110" i="23" s="1"/>
  <c r="AZ677" i="23"/>
  <c r="BA677" i="23" s="1"/>
  <c r="BD677" i="23"/>
  <c r="BE677" i="23" s="1"/>
  <c r="AZ1210" i="23"/>
  <c r="BA1210" i="23" s="1"/>
  <c r="BD1210" i="23"/>
  <c r="BE1210" i="23" s="1"/>
  <c r="AZ478" i="23"/>
  <c r="BA478" i="23" s="1"/>
  <c r="BD478" i="23"/>
  <c r="BE478" i="23" s="1"/>
  <c r="BF478" i="23" s="1"/>
  <c r="BG478" i="23" s="1"/>
  <c r="AZ1213" i="23"/>
  <c r="BA1213" i="23" s="1"/>
  <c r="BD1213" i="23"/>
  <c r="BE1213" i="23" s="1"/>
  <c r="AZ1132" i="23"/>
  <c r="BA1132" i="23" s="1"/>
  <c r="BD1132" i="23"/>
  <c r="BE1132" i="23" s="1"/>
  <c r="AZ1209" i="23"/>
  <c r="BA1209" i="23" s="1"/>
  <c r="BD1209" i="23"/>
  <c r="BE1209" i="23" s="1"/>
  <c r="AZ345" i="23"/>
  <c r="BA345" i="23" s="1"/>
  <c r="BD345" i="23"/>
  <c r="BE345" i="23" s="1"/>
  <c r="BF345" i="23" s="1"/>
  <c r="BG345" i="23" s="1"/>
  <c r="AZ1116" i="23"/>
  <c r="BA1116" i="23" s="1"/>
  <c r="BD1116" i="23"/>
  <c r="BE1116" i="23" s="1"/>
  <c r="AZ485" i="23"/>
  <c r="BA485" i="23" s="1"/>
  <c r="BD485" i="23"/>
  <c r="BE485" i="23" s="1"/>
  <c r="AZ39" i="23"/>
  <c r="BA39" i="23" s="1"/>
  <c r="BD39" i="23"/>
  <c r="BE39" i="23" s="1"/>
  <c r="AZ1238" i="23"/>
  <c r="BA1238" i="23" s="1"/>
  <c r="BD1238" i="23"/>
  <c r="BE1238" i="23" s="1"/>
  <c r="AZ1121" i="23"/>
  <c r="BA1121" i="23" s="1"/>
  <c r="BD1121" i="23"/>
  <c r="BE1121" i="23" s="1"/>
  <c r="AZ1202" i="23"/>
  <c r="BA1202" i="23" s="1"/>
  <c r="BD1202" i="23"/>
  <c r="BE1202" i="23" s="1"/>
  <c r="AZ990" i="23"/>
  <c r="BA990" i="23" s="1"/>
  <c r="BD990" i="23"/>
  <c r="BE990" i="23" s="1"/>
  <c r="AZ335" i="23"/>
  <c r="BA335" i="23" s="1"/>
  <c r="BD335" i="23"/>
  <c r="BE335" i="23" s="1"/>
  <c r="BF335" i="23" s="1"/>
  <c r="BG335" i="23" s="1"/>
  <c r="AZ1224" i="23"/>
  <c r="BA1224" i="23" s="1"/>
  <c r="BD1224" i="23"/>
  <c r="BE1224" i="23" s="1"/>
  <c r="AZ376" i="23"/>
  <c r="BA376" i="23" s="1"/>
  <c r="BD376" i="23"/>
  <c r="BE376" i="23" s="1"/>
  <c r="AZ613" i="23"/>
  <c r="BA613" i="23" s="1"/>
  <c r="BD613" i="23"/>
  <c r="BE613" i="23" s="1"/>
  <c r="AZ620" i="23"/>
  <c r="BA620" i="23" s="1"/>
  <c r="BD620" i="23"/>
  <c r="BE620" i="23" s="1"/>
  <c r="AZ670" i="23"/>
  <c r="BA670" i="23" s="1"/>
  <c r="BD670" i="23"/>
  <c r="BE670" i="23" s="1"/>
  <c r="AZ1123" i="23"/>
  <c r="BA1123" i="23" s="1"/>
  <c r="BD1123" i="23"/>
  <c r="BE1123" i="23" s="1"/>
  <c r="AZ1118" i="23"/>
  <c r="BA1118" i="23" s="1"/>
  <c r="BD1118" i="23"/>
  <c r="BE1118" i="23" s="1"/>
  <c r="AZ978" i="23"/>
  <c r="BA978" i="23" s="1"/>
  <c r="BD978" i="23"/>
  <c r="BE978" i="23" s="1"/>
  <c r="AZ1230" i="23"/>
  <c r="BA1230" i="23" s="1"/>
  <c r="BD1230" i="23"/>
  <c r="BE1230" i="23" s="1"/>
  <c r="AZ108" i="23"/>
  <c r="BA108" i="23" s="1"/>
  <c r="BD108" i="23"/>
  <c r="BE108" i="23" s="1"/>
  <c r="AZ473" i="23"/>
  <c r="BA473" i="23" s="1"/>
  <c r="BD473" i="23"/>
  <c r="BE473" i="23" s="1"/>
  <c r="AZ624" i="23"/>
  <c r="BA624" i="23" s="1"/>
  <c r="BD624" i="23"/>
  <c r="BE624" i="23" s="1"/>
  <c r="BF624" i="23" s="1"/>
  <c r="BG624" i="23" s="1"/>
  <c r="AZ795" i="23"/>
  <c r="BA795" i="23" s="1"/>
  <c r="BD795" i="23"/>
  <c r="BE795" i="23" s="1"/>
  <c r="AZ1225" i="23"/>
  <c r="BA1225" i="23" s="1"/>
  <c r="BD1225" i="23"/>
  <c r="BE1225" i="23" s="1"/>
  <c r="AZ82" i="23"/>
  <c r="BA82" i="23" s="1"/>
  <c r="BD82" i="23"/>
  <c r="BE82" i="23" s="1"/>
  <c r="AZ447" i="23"/>
  <c r="BA447" i="23" s="1"/>
  <c r="BD447" i="23"/>
  <c r="BE447" i="23" s="1"/>
  <c r="AZ348" i="23"/>
  <c r="BA348" i="23" s="1"/>
  <c r="BD348" i="23"/>
  <c r="BE348" i="23" s="1"/>
  <c r="AZ1237" i="23"/>
  <c r="BA1237" i="23" s="1"/>
  <c r="BD1237" i="23"/>
  <c r="BE1237" i="23" s="1"/>
  <c r="AZ979" i="23"/>
  <c r="BA979" i="23" s="1"/>
  <c r="BD979" i="23"/>
  <c r="BE979" i="23" s="1"/>
  <c r="AZ1039" i="23"/>
  <c r="BA1039" i="23" s="1"/>
  <c r="BD1039" i="23"/>
  <c r="BE1039" i="23" s="1"/>
  <c r="BF1039" i="23" s="1"/>
  <c r="BG1039" i="23" s="1"/>
  <c r="AZ601" i="23"/>
  <c r="BA601" i="23" s="1"/>
  <c r="BD601" i="23"/>
  <c r="BE601" i="23" s="1"/>
  <c r="BF601" i="23" s="1"/>
  <c r="BG601" i="23" s="1"/>
  <c r="AZ781" i="23"/>
  <c r="BA781" i="23" s="1"/>
  <c r="BD781" i="23"/>
  <c r="BE781" i="23" s="1"/>
  <c r="AZ1181" i="23"/>
  <c r="BA1181" i="23" s="1"/>
  <c r="BD1181" i="23"/>
  <c r="BE1181" i="23" s="1"/>
  <c r="AZ91" i="23"/>
  <c r="BA91" i="23" s="1"/>
  <c r="BD91" i="23"/>
  <c r="BE91" i="23" s="1"/>
  <c r="AZ1117" i="23"/>
  <c r="BA1117" i="23" s="1"/>
  <c r="BD1117" i="23"/>
  <c r="BE1117" i="23" s="1"/>
  <c r="AZ1203" i="23"/>
  <c r="BA1203" i="23" s="1"/>
  <c r="BD1203" i="23"/>
  <c r="BE1203" i="23" s="1"/>
  <c r="AZ36" i="23"/>
  <c r="BA36" i="23" s="1"/>
  <c r="BD36" i="23"/>
  <c r="BE36" i="23" s="1"/>
  <c r="AZ685" i="23"/>
  <c r="BA685" i="23" s="1"/>
  <c r="BD685" i="23"/>
  <c r="BE685" i="23" s="1"/>
  <c r="BF685" i="23" s="1"/>
  <c r="BG685" i="23" s="1"/>
  <c r="AZ1066" i="23"/>
  <c r="BA1066" i="23" s="1"/>
  <c r="BD1066" i="23"/>
  <c r="BE1066" i="23" s="1"/>
  <c r="AZ802" i="23"/>
  <c r="BA802" i="23" s="1"/>
  <c r="BD802" i="23"/>
  <c r="BE802" i="23" s="1"/>
  <c r="AZ650" i="23"/>
  <c r="BA650" i="23" s="1"/>
  <c r="BD650" i="23"/>
  <c r="BE650" i="23" s="1"/>
  <c r="AZ680" i="23"/>
  <c r="BA680" i="23" s="1"/>
  <c r="BD680" i="23"/>
  <c r="BE680" i="23" s="1"/>
  <c r="BF680" i="23" s="1"/>
  <c r="BG680" i="23" s="1"/>
  <c r="AZ1257" i="23"/>
  <c r="BA1257" i="23" s="1"/>
  <c r="BD1257" i="23"/>
  <c r="BE1257" i="23" s="1"/>
  <c r="AZ455" i="23"/>
  <c r="BA455" i="23" s="1"/>
  <c r="BD455" i="23"/>
  <c r="BE455" i="23" s="1"/>
  <c r="AZ493" i="23"/>
  <c r="BA493" i="23" s="1"/>
  <c r="BD493" i="23"/>
  <c r="BE493" i="23" s="1"/>
  <c r="AZ40" i="23"/>
  <c r="BA40" i="23" s="1"/>
  <c r="BD40" i="23"/>
  <c r="BE40" i="23" s="1"/>
  <c r="AZ1067" i="23"/>
  <c r="BA1067" i="23" s="1"/>
  <c r="BD1067" i="23"/>
  <c r="BE1067" i="23" s="1"/>
  <c r="AZ972" i="23"/>
  <c r="BA972" i="23" s="1"/>
  <c r="BD972" i="23"/>
  <c r="BE972" i="23" s="1"/>
  <c r="AZ100" i="23"/>
  <c r="BA100" i="23" s="1"/>
  <c r="BD100" i="23"/>
  <c r="BE100" i="23" s="1"/>
  <c r="BF100" i="23" s="1"/>
  <c r="BG100" i="23" s="1"/>
  <c r="AZ352" i="23"/>
  <c r="BA352" i="23" s="1"/>
  <c r="BD352" i="23"/>
  <c r="BE352" i="23" s="1"/>
  <c r="AZ471" i="23"/>
  <c r="BA471" i="23" s="1"/>
  <c r="BD471" i="23"/>
  <c r="BE471" i="23" s="1"/>
  <c r="BF471" i="23" s="1"/>
  <c r="BG471" i="23" s="1"/>
  <c r="AZ631" i="23"/>
  <c r="BA631" i="23" s="1"/>
  <c r="BD631" i="23"/>
  <c r="BE631" i="23" s="1"/>
  <c r="AZ604" i="23"/>
  <c r="BA604" i="23" s="1"/>
  <c r="BD604" i="23"/>
  <c r="BE604" i="23" s="1"/>
  <c r="BF604" i="23" s="1"/>
  <c r="BG604" i="23" s="1"/>
  <c r="AZ682" i="23"/>
  <c r="BA682" i="23" s="1"/>
  <c r="BD682" i="23"/>
  <c r="BE682" i="23" s="1"/>
  <c r="AZ783" i="23"/>
  <c r="BA783" i="23" s="1"/>
  <c r="BD783" i="23"/>
  <c r="BE783" i="23" s="1"/>
  <c r="AZ664" i="23"/>
  <c r="BA664" i="23" s="1"/>
  <c r="BD664" i="23"/>
  <c r="BE664" i="23" s="1"/>
  <c r="BF664" i="23" s="1"/>
  <c r="BG664" i="23" s="1"/>
  <c r="AZ362" i="23"/>
  <c r="BA362" i="23" s="1"/>
  <c r="BD362" i="23"/>
  <c r="BE362" i="23" s="1"/>
  <c r="AZ44" i="23"/>
  <c r="BA44" i="23" s="1"/>
  <c r="BD44" i="23"/>
  <c r="BE44" i="23" s="1"/>
  <c r="BF44" i="23" s="1"/>
  <c r="BG44" i="23" s="1"/>
  <c r="AZ347" i="23"/>
  <c r="BA347" i="23" s="1"/>
  <c r="BD347" i="23"/>
  <c r="BE347" i="23" s="1"/>
  <c r="AZ985" i="23"/>
  <c r="BA985" i="23" s="1"/>
  <c r="BD985" i="23"/>
  <c r="BE985" i="23" s="1"/>
  <c r="BF985" i="23" s="1"/>
  <c r="BG985" i="23" s="1"/>
  <c r="AZ11" i="23"/>
  <c r="BA11" i="23" s="1"/>
  <c r="BD11" i="23"/>
  <c r="BE11" i="23" s="1"/>
  <c r="AZ355" i="23"/>
  <c r="BA355" i="23" s="1"/>
  <c r="BD355" i="23"/>
  <c r="BE355" i="23" s="1"/>
  <c r="AZ377" i="23"/>
  <c r="BA377" i="23" s="1"/>
  <c r="BD377" i="23"/>
  <c r="BE377" i="23" s="1"/>
  <c r="AZ615" i="23"/>
  <c r="BA615" i="23" s="1"/>
  <c r="BD615" i="23"/>
  <c r="BE615" i="23" s="1"/>
  <c r="BF615" i="23" s="1"/>
  <c r="BG615" i="23" s="1"/>
  <c r="AZ598" i="23"/>
  <c r="BA598" i="23" s="1"/>
  <c r="BD598" i="23"/>
  <c r="BE598" i="23" s="1"/>
  <c r="BF598" i="23" s="1"/>
  <c r="BG598" i="23" s="1"/>
  <c r="AZ640" i="23"/>
  <c r="BA640" i="23" s="1"/>
  <c r="BD640" i="23"/>
  <c r="BE640" i="23" s="1"/>
  <c r="BF640" i="23" s="1"/>
  <c r="BG640" i="23" s="1"/>
  <c r="AZ665" i="23"/>
  <c r="BA665" i="23" s="1"/>
  <c r="BD665" i="23"/>
  <c r="BE665" i="23" s="1"/>
  <c r="AZ684" i="23"/>
  <c r="BA684" i="23" s="1"/>
  <c r="BD684" i="23"/>
  <c r="BE684" i="23" s="1"/>
  <c r="AZ1045" i="23"/>
  <c r="BA1045" i="23" s="1"/>
  <c r="BD1045" i="23"/>
  <c r="BE1045" i="23" s="1"/>
  <c r="BF1045" i="23" s="1"/>
  <c r="BG1045" i="23" s="1"/>
  <c r="AZ1221" i="23"/>
  <c r="BA1221" i="23" s="1"/>
  <c r="BD1221" i="23"/>
  <c r="BE1221" i="23" s="1"/>
  <c r="BF1221" i="23" s="1"/>
  <c r="BG1221" i="23" s="1"/>
  <c r="AZ1240" i="23"/>
  <c r="BA1240" i="23" s="1"/>
  <c r="BD1240" i="23"/>
  <c r="BE1240" i="23" s="1"/>
  <c r="AZ483" i="23"/>
  <c r="BA483" i="23" s="1"/>
  <c r="BD483" i="23"/>
  <c r="BE483" i="23" s="1"/>
  <c r="AZ446" i="23"/>
  <c r="BA446" i="23" s="1"/>
  <c r="BD446" i="23"/>
  <c r="BE446" i="23" s="1"/>
  <c r="AZ1197" i="23"/>
  <c r="BA1197" i="23" s="1"/>
  <c r="BD1197" i="23"/>
  <c r="BE1197" i="23" s="1"/>
  <c r="AZ1231" i="23"/>
  <c r="BA1231" i="23" s="1"/>
  <c r="BD1231" i="23"/>
  <c r="BE1231" i="23" s="1"/>
  <c r="AZ328" i="23"/>
  <c r="BA328" i="23" s="1"/>
  <c r="BD328" i="23"/>
  <c r="BE328" i="23" s="1"/>
  <c r="AZ702" i="23"/>
  <c r="BA702" i="23" s="1"/>
  <c r="BD702" i="23"/>
  <c r="BE702" i="23" s="1"/>
  <c r="AZ59" i="23"/>
  <c r="BA59" i="23" s="1"/>
  <c r="BD59" i="23"/>
  <c r="BE59" i="23" s="1"/>
  <c r="AZ611" i="23"/>
  <c r="BA611" i="23" s="1"/>
  <c r="BD611" i="23"/>
  <c r="BE611" i="23" s="1"/>
  <c r="AZ628" i="23"/>
  <c r="BA628" i="23" s="1"/>
  <c r="BD628" i="23"/>
  <c r="BE628" i="23" s="1"/>
  <c r="BF628" i="23" s="1"/>
  <c r="BG628" i="23" s="1"/>
  <c r="AZ681" i="23"/>
  <c r="BA681" i="23" s="1"/>
  <c r="BD681" i="23"/>
  <c r="BE681" i="23" s="1"/>
  <c r="AZ368" i="23"/>
  <c r="BA368" i="23" s="1"/>
  <c r="BD368" i="23"/>
  <c r="BE368" i="23" s="1"/>
  <c r="AZ457" i="23"/>
  <c r="BA457" i="23" s="1"/>
  <c r="BD457" i="23"/>
  <c r="BE457" i="23" s="1"/>
  <c r="AZ83" i="23"/>
  <c r="BA83" i="23" s="1"/>
  <c r="BD83" i="23"/>
  <c r="BE83" i="23" s="1"/>
  <c r="AZ442" i="23"/>
  <c r="BA442" i="23" s="1"/>
  <c r="BD442" i="23"/>
  <c r="BE442" i="23" s="1"/>
  <c r="AZ30" i="23"/>
  <c r="BA30" i="23" s="1"/>
  <c r="BD30" i="23"/>
  <c r="BE30" i="23" s="1"/>
  <c r="AZ80" i="23"/>
  <c r="BA80" i="23" s="1"/>
  <c r="BD80" i="23"/>
  <c r="BE80" i="23" s="1"/>
  <c r="AZ1194" i="23"/>
  <c r="BA1194" i="23" s="1"/>
  <c r="BD1194" i="23"/>
  <c r="BE1194" i="23" s="1"/>
  <c r="AZ645" i="23"/>
  <c r="BA645" i="23" s="1"/>
  <c r="BD645" i="23"/>
  <c r="BE645" i="23" s="1"/>
  <c r="BF645" i="23" s="1"/>
  <c r="BG645" i="23" s="1"/>
  <c r="AZ642" i="23"/>
  <c r="BA642" i="23" s="1"/>
  <c r="BD642" i="23"/>
  <c r="BE642" i="23" s="1"/>
  <c r="AZ1154" i="23"/>
  <c r="BA1154" i="23" s="1"/>
  <c r="BD1154" i="23"/>
  <c r="BE1154" i="23" s="1"/>
  <c r="AZ973" i="23"/>
  <c r="BA973" i="23" s="1"/>
  <c r="BD973" i="23"/>
  <c r="BE973" i="23" s="1"/>
  <c r="AZ1204" i="23"/>
  <c r="BA1204" i="23" s="1"/>
  <c r="AZ318" i="23"/>
  <c r="BA318" i="23" s="1"/>
  <c r="BD318" i="23"/>
  <c r="BE318" i="23" s="1"/>
  <c r="AZ477" i="23"/>
  <c r="BA477" i="23" s="1"/>
  <c r="BD477" i="23"/>
  <c r="BE477" i="23" s="1"/>
  <c r="AZ597" i="23"/>
  <c r="BA597" i="23" s="1"/>
  <c r="BD597" i="23"/>
  <c r="BE597" i="23" s="1"/>
  <c r="BF597" i="23" s="1"/>
  <c r="BG597" i="23" s="1"/>
  <c r="AZ656" i="23"/>
  <c r="BA656" i="23" s="1"/>
  <c r="BD656" i="23"/>
  <c r="BE656" i="23" s="1"/>
  <c r="BF656" i="23" s="1"/>
  <c r="BG656" i="23" s="1"/>
  <c r="AZ1122" i="23"/>
  <c r="BA1122" i="23" s="1"/>
  <c r="BD1122" i="23"/>
  <c r="BE1122" i="23" s="1"/>
  <c r="AZ1234" i="23"/>
  <c r="BA1234" i="23" s="1"/>
  <c r="BD1234" i="23"/>
  <c r="BE1234" i="23" s="1"/>
  <c r="AZ1244" i="23"/>
  <c r="BA1244" i="23" s="1"/>
  <c r="BD1244" i="23"/>
  <c r="BE1244" i="23" s="1"/>
  <c r="AZ358" i="23"/>
  <c r="BA358" i="23" s="1"/>
  <c r="BD358" i="23"/>
  <c r="BE358" i="23" s="1"/>
  <c r="AZ982" i="23"/>
  <c r="BA982" i="23" s="1"/>
  <c r="BD982" i="23"/>
  <c r="BE982" i="23" s="1"/>
  <c r="BF982" i="23" s="1"/>
  <c r="BG982" i="23" s="1"/>
  <c r="AZ15" i="23"/>
  <c r="BA15" i="23" s="1"/>
  <c r="BD15" i="23"/>
  <c r="BE15" i="23" s="1"/>
  <c r="BF15" i="23" s="1"/>
  <c r="BG15" i="23" s="1"/>
  <c r="AZ599" i="23"/>
  <c r="BA599" i="23" s="1"/>
  <c r="BD599" i="23"/>
  <c r="BE599" i="23" s="1"/>
  <c r="BF599" i="23" s="1"/>
  <c r="BG599" i="23" s="1"/>
  <c r="AZ657" i="23"/>
  <c r="BA657" i="23" s="1"/>
  <c r="BD657" i="23"/>
  <c r="BE657" i="23" s="1"/>
  <c r="BF657" i="23" s="1"/>
  <c r="BG657" i="23" s="1"/>
  <c r="AZ1134" i="23"/>
  <c r="BA1134" i="23" s="1"/>
  <c r="BD1134" i="23"/>
  <c r="BE1134" i="23" s="1"/>
  <c r="AZ1219" i="23"/>
  <c r="BA1219" i="23" s="1"/>
  <c r="BD1219" i="23"/>
  <c r="BE1219" i="23" s="1"/>
  <c r="AZ38" i="23"/>
  <c r="BA38" i="23" s="1"/>
  <c r="BD38" i="23"/>
  <c r="BE38" i="23" s="1"/>
  <c r="AZ993" i="23"/>
  <c r="BA993" i="23" s="1"/>
  <c r="BD993" i="23"/>
  <c r="BE993" i="23" s="1"/>
  <c r="AZ113" i="23"/>
  <c r="BA113" i="23" s="1"/>
  <c r="BD113" i="23"/>
  <c r="BE113" i="23" s="1"/>
  <c r="AZ661" i="23"/>
  <c r="BA661" i="23" s="1"/>
  <c r="BD661" i="23"/>
  <c r="BE661" i="23" s="1"/>
  <c r="BF661" i="23" s="1"/>
  <c r="BG661" i="23" s="1"/>
  <c r="AZ1078" i="23"/>
  <c r="BA1078" i="23" s="1"/>
  <c r="BD1078" i="23"/>
  <c r="BE1078" i="23" s="1"/>
  <c r="AZ92" i="23"/>
  <c r="BA92" i="23" s="1"/>
  <c r="BD92" i="23"/>
  <c r="BE92" i="23" s="1"/>
  <c r="AZ667" i="23"/>
  <c r="BA667" i="23" s="1"/>
  <c r="BD667" i="23"/>
  <c r="BE667" i="23" s="1"/>
  <c r="BF667" i="23" s="1"/>
  <c r="BG667" i="23" s="1"/>
  <c r="AZ435" i="23"/>
  <c r="BA435" i="23" s="1"/>
  <c r="BD435" i="23"/>
  <c r="BE435" i="23" s="1"/>
  <c r="AZ448" i="23"/>
  <c r="BA448" i="23" s="1"/>
  <c r="BD448" i="23"/>
  <c r="BE448" i="23" s="1"/>
  <c r="BF448" i="23" s="1"/>
  <c r="BG448" i="23" s="1"/>
  <c r="AZ18" i="23"/>
  <c r="BA18" i="23" s="1"/>
  <c r="BD18" i="23"/>
  <c r="BE18" i="23" s="1"/>
  <c r="AZ330" i="23"/>
  <c r="BA330" i="23" s="1"/>
  <c r="BD330" i="23"/>
  <c r="BE330" i="23" s="1"/>
  <c r="AZ1254" i="23"/>
  <c r="BA1254" i="23" s="1"/>
  <c r="BD1254" i="23"/>
  <c r="BE1254" i="23" s="1"/>
  <c r="BF1254" i="23" s="1"/>
  <c r="BG1254" i="23" s="1"/>
  <c r="AZ119" i="23"/>
  <c r="BA119" i="23" s="1"/>
  <c r="BD119" i="23"/>
  <c r="BE119" i="23" s="1"/>
  <c r="AZ1220" i="23"/>
  <c r="BA1220" i="23" s="1"/>
  <c r="BD1220" i="23"/>
  <c r="BE1220" i="23" s="1"/>
  <c r="AZ1069" i="23"/>
  <c r="BA1069" i="23" s="1"/>
  <c r="BD1069" i="23"/>
  <c r="BE1069" i="23" s="1"/>
  <c r="AZ56" i="23"/>
  <c r="BA56" i="23" s="1"/>
  <c r="BD56" i="23"/>
  <c r="BE56" i="23" s="1"/>
  <c r="AZ989" i="23"/>
  <c r="BA989" i="23" s="1"/>
  <c r="BD989" i="23"/>
  <c r="BE989" i="23" s="1"/>
  <c r="AZ94" i="23"/>
  <c r="BA94" i="23" s="1"/>
  <c r="BD94" i="23"/>
  <c r="BE94" i="23" s="1"/>
  <c r="AZ1196" i="23"/>
  <c r="BA1196" i="23" s="1"/>
  <c r="BD1196" i="23"/>
  <c r="BE1196" i="23" s="1"/>
  <c r="BF1196" i="23" s="1"/>
  <c r="BG1196" i="23" s="1"/>
  <c r="AZ342" i="23"/>
  <c r="BA342" i="23" s="1"/>
  <c r="BD342" i="23"/>
  <c r="BE342" i="23" s="1"/>
  <c r="BF342" i="23" s="1"/>
  <c r="BG342" i="23" s="1"/>
  <c r="AZ970" i="23"/>
  <c r="BA970" i="23" s="1"/>
  <c r="BD970" i="23"/>
  <c r="BE970" i="23" s="1"/>
  <c r="BF970" i="23" s="1"/>
  <c r="BG970" i="23" s="1"/>
  <c r="AZ1120" i="23"/>
  <c r="BA1120" i="23" s="1"/>
  <c r="BD1120" i="23"/>
  <c r="BE1120" i="23" s="1"/>
  <c r="AZ17" i="23"/>
  <c r="BA17" i="23" s="1"/>
  <c r="BD17" i="23"/>
  <c r="BE17" i="23" s="1"/>
  <c r="AZ1076" i="23"/>
  <c r="BA1076" i="23" s="1"/>
  <c r="BD1076" i="23"/>
  <c r="BE1076" i="23" s="1"/>
  <c r="AZ360" i="23"/>
  <c r="BA360" i="23" s="1"/>
  <c r="BD360" i="23"/>
  <c r="BE360" i="23" s="1"/>
  <c r="AZ71" i="23"/>
  <c r="BA71" i="23" s="1"/>
  <c r="BD71" i="23"/>
  <c r="BE71" i="23" s="1"/>
  <c r="AZ514" i="23"/>
  <c r="BA514" i="23" s="1"/>
  <c r="BD514" i="23"/>
  <c r="BE514" i="23" s="1"/>
  <c r="AZ658" i="23"/>
  <c r="BA658" i="23" s="1"/>
  <c r="BD658" i="23"/>
  <c r="BE658" i="23" s="1"/>
  <c r="BF658" i="23" s="1"/>
  <c r="BG658" i="23" s="1"/>
  <c r="AZ975" i="23"/>
  <c r="BA975" i="23" s="1"/>
  <c r="BD975" i="23"/>
  <c r="BE975" i="23" s="1"/>
  <c r="BF975" i="23" s="1"/>
  <c r="BG975" i="23" s="1"/>
  <c r="AZ1235" i="23"/>
  <c r="BA1235" i="23" s="1"/>
  <c r="BD1235" i="23"/>
  <c r="BE1235" i="23" s="1"/>
  <c r="AZ12" i="23"/>
  <c r="BA12" i="23" s="1"/>
  <c r="BD12" i="23"/>
  <c r="BE12" i="23" s="1"/>
  <c r="BF12" i="23" s="1"/>
  <c r="BG12" i="23" s="1"/>
  <c r="AZ1060" i="23"/>
  <c r="BA1060" i="23" s="1"/>
  <c r="BD1060" i="23"/>
  <c r="BE1060" i="23" s="1"/>
  <c r="AZ1199" i="23"/>
  <c r="BA1199" i="23" s="1"/>
  <c r="BD1199" i="23"/>
  <c r="BE1199" i="23" s="1"/>
  <c r="BF1199" i="23" s="1"/>
  <c r="BG1199" i="23" s="1"/>
  <c r="AZ367" i="23"/>
  <c r="BA367" i="23" s="1"/>
  <c r="BD367" i="23"/>
  <c r="BE367" i="23" s="1"/>
  <c r="AZ463" i="23"/>
  <c r="BA463" i="23" s="1"/>
  <c r="BD463" i="23"/>
  <c r="BE463" i="23" s="1"/>
  <c r="AZ1124" i="23"/>
  <c r="BA1124" i="23" s="1"/>
  <c r="BD1124" i="23"/>
  <c r="BE1124" i="23" s="1"/>
  <c r="AZ331" i="23"/>
  <c r="BA331" i="23" s="1"/>
  <c r="BD331" i="23"/>
  <c r="BE331" i="23" s="1"/>
  <c r="AZ19" i="23"/>
  <c r="BA19" i="23" s="1"/>
  <c r="BD19" i="23"/>
  <c r="BE19" i="23" s="1"/>
  <c r="AZ1086" i="23"/>
  <c r="BA1086" i="23" s="1"/>
  <c r="BD1086" i="23"/>
  <c r="BE1086" i="23" s="1"/>
  <c r="AZ52" i="23"/>
  <c r="BA52" i="23" s="1"/>
  <c r="BD52" i="23"/>
  <c r="BE52" i="23" s="1"/>
  <c r="BF33" i="23"/>
  <c r="BG33" i="23" s="1"/>
  <c r="BB626" i="23"/>
  <c r="BF472" i="23"/>
  <c r="BG472" i="23" s="1"/>
  <c r="BF343" i="23"/>
  <c r="BG343" i="23" s="1"/>
  <c r="BF1204" i="23"/>
  <c r="BG1204" i="23" s="1"/>
  <c r="BF626" i="23"/>
  <c r="BG626" i="23" s="1"/>
  <c r="BF338" i="23"/>
  <c r="BG338" i="23" s="1"/>
  <c r="BF1038" i="23"/>
  <c r="BG1038" i="23" s="1"/>
  <c r="BF616" i="23"/>
  <c r="BG616" i="23" s="1"/>
  <c r="BB468" i="23"/>
  <c r="BB1240" i="23" l="1"/>
  <c r="BB377" i="23"/>
  <c r="BB1067" i="23"/>
  <c r="BB670" i="23"/>
  <c r="BB359" i="23"/>
  <c r="BB1076" i="23"/>
  <c r="BB1219" i="23"/>
  <c r="BB15" i="23"/>
  <c r="BB1234" i="23"/>
  <c r="BB1136" i="23"/>
  <c r="BB1233" i="23"/>
  <c r="BB624" i="23"/>
  <c r="BB105" i="23"/>
  <c r="BB1125" i="23"/>
  <c r="BB1229" i="23"/>
  <c r="BB1184" i="23"/>
  <c r="BB1215" i="23"/>
  <c r="BB112" i="23"/>
  <c r="BB494" i="23"/>
  <c r="BB779" i="23"/>
  <c r="BB649" i="23"/>
  <c r="BB1187" i="23"/>
  <c r="BB606" i="23"/>
  <c r="BB77" i="23"/>
  <c r="BB46" i="23"/>
  <c r="BB370" i="23"/>
  <c r="BB45" i="23"/>
  <c r="BB58" i="23"/>
  <c r="BB54" i="23"/>
  <c r="BB1073" i="23"/>
  <c r="BB1137" i="23"/>
  <c r="BB467" i="23"/>
  <c r="BB1228" i="23"/>
  <c r="BB600" i="23"/>
  <c r="BB605" i="23"/>
  <c r="BB79" i="23"/>
  <c r="BB30" i="23"/>
  <c r="BB59" i="23"/>
  <c r="BB978" i="23"/>
  <c r="BB620" i="23"/>
  <c r="BB1238" i="23"/>
  <c r="BB465" i="23"/>
  <c r="BB57" i="23"/>
  <c r="BB514" i="23"/>
  <c r="BB1069" i="23"/>
  <c r="BB318" i="23"/>
  <c r="BB1075" i="23"/>
  <c r="BB440" i="23"/>
  <c r="BB343" i="23"/>
  <c r="BB442" i="23"/>
  <c r="BB493" i="23"/>
  <c r="BB1118" i="23"/>
  <c r="BB613" i="23"/>
  <c r="BB1209" i="23"/>
  <c r="BB1241" i="23"/>
  <c r="BB76" i="23"/>
  <c r="BB380" i="23"/>
  <c r="BB326" i="23"/>
  <c r="BB701" i="23"/>
  <c r="BB1214" i="23"/>
  <c r="BB994" i="23"/>
  <c r="BB678" i="23"/>
  <c r="BB491" i="23"/>
  <c r="BB21" i="23"/>
  <c r="BB1130" i="23"/>
  <c r="BB340" i="23"/>
  <c r="BB639" i="23"/>
  <c r="BB87" i="23"/>
  <c r="BB464" i="23"/>
  <c r="BB984" i="23"/>
  <c r="BB104" i="23"/>
  <c r="BB107" i="23"/>
  <c r="BB315" i="23"/>
  <c r="BB349" i="23"/>
  <c r="BB638" i="23"/>
  <c r="BB633" i="23"/>
  <c r="BB446" i="23"/>
  <c r="BB82" i="23"/>
  <c r="BB473" i="23"/>
  <c r="BB84" i="23"/>
  <c r="BB1235" i="23"/>
  <c r="BB1220" i="23"/>
  <c r="BB86" i="23"/>
  <c r="BB1081" i="23"/>
  <c r="BB16" i="23"/>
  <c r="BB83" i="23"/>
  <c r="BB328" i="23"/>
  <c r="BB453" i="23"/>
  <c r="BB1239" i="23"/>
  <c r="BB671" i="23"/>
  <c r="BB782" i="23"/>
  <c r="BB674" i="23"/>
  <c r="BB653" i="23"/>
  <c r="BB987" i="23"/>
  <c r="BB1222" i="23"/>
  <c r="BB679" i="23"/>
  <c r="BB1189" i="23"/>
  <c r="BB969" i="23"/>
  <c r="BB654" i="23"/>
  <c r="BB1080" i="23"/>
  <c r="BB609" i="23"/>
  <c r="BB109" i="23"/>
  <c r="BB13" i="23"/>
  <c r="BB968" i="23"/>
  <c r="BB1227" i="23"/>
  <c r="BB1217" i="23"/>
  <c r="BB456" i="23"/>
  <c r="BB458" i="23"/>
  <c r="BB452" i="23"/>
  <c r="BB365" i="23"/>
  <c r="BB97" i="23"/>
  <c r="BB1258" i="23"/>
  <c r="BB450" i="23"/>
  <c r="BB687" i="23"/>
  <c r="BB971" i="23"/>
  <c r="BB1194" i="23"/>
  <c r="BB483" i="23"/>
  <c r="BB631" i="23"/>
  <c r="BB972" i="23"/>
  <c r="BB1203" i="23"/>
  <c r="BB1123" i="23"/>
  <c r="BB376" i="23"/>
  <c r="BB1202" i="23"/>
  <c r="BB1132" i="23"/>
  <c r="BB1185" i="23"/>
  <c r="BB332" i="23"/>
  <c r="BB1154" i="23"/>
  <c r="BB611" i="23"/>
  <c r="BB1117" i="23"/>
  <c r="BB1230" i="23"/>
  <c r="BB644" i="23"/>
  <c r="BB1216" i="23"/>
  <c r="BB1126" i="23"/>
  <c r="BB1200" i="23"/>
  <c r="BB26" i="23"/>
  <c r="BB967" i="23"/>
  <c r="BB439" i="23"/>
  <c r="BB433" i="23"/>
  <c r="BB703" i="23"/>
  <c r="BB48" i="23"/>
  <c r="BB1223" i="23"/>
  <c r="BB988" i="23"/>
  <c r="BB1138" i="23"/>
  <c r="BB88" i="23"/>
  <c r="BB74" i="23"/>
  <c r="BB1201" i="23"/>
  <c r="BB796" i="23"/>
  <c r="BB449" i="23"/>
  <c r="BB625" i="23"/>
  <c r="BB612" i="23"/>
  <c r="BB371" i="23"/>
  <c r="BB1163" i="23"/>
  <c r="BB75" i="23"/>
  <c r="BB1070" i="23"/>
  <c r="BB111" i="23"/>
  <c r="BB1188" i="23"/>
  <c r="BB333" i="23"/>
  <c r="BB1198" i="23"/>
  <c r="BB35" i="23"/>
  <c r="BB1071" i="23"/>
  <c r="BB991" i="23"/>
  <c r="BF75" i="23"/>
  <c r="BG75" i="23" s="1"/>
  <c r="BB590" i="23"/>
  <c r="BB1208" i="23"/>
  <c r="BB1084" i="23"/>
  <c r="BB445" i="23"/>
  <c r="BB662" i="23"/>
  <c r="BB1133" i="23"/>
  <c r="BB120" i="23"/>
  <c r="BB460" i="23"/>
  <c r="BB1206" i="23"/>
  <c r="BB780" i="23"/>
  <c r="BB591" i="23"/>
  <c r="BB353" i="23"/>
  <c r="BB51" i="23"/>
  <c r="BB106" i="23"/>
  <c r="BB637" i="23"/>
  <c r="BB69" i="23"/>
  <c r="BB1119" i="23"/>
  <c r="BB648" i="23"/>
  <c r="BB29" i="23"/>
  <c r="BB350" i="23"/>
  <c r="BB1179" i="23"/>
  <c r="BB683" i="23"/>
  <c r="BB451" i="23"/>
  <c r="BB1044" i="23"/>
  <c r="BB31" i="23"/>
  <c r="BB803" i="23"/>
  <c r="BB337" i="23"/>
  <c r="BB33" i="23"/>
  <c r="BB1038" i="23"/>
  <c r="BB20" i="23"/>
  <c r="BB1186" i="23"/>
  <c r="BB329" i="23"/>
  <c r="BB461" i="23"/>
  <c r="BB660" i="23"/>
  <c r="BB373" i="23"/>
  <c r="BB323" i="23"/>
  <c r="BB1085" i="23"/>
  <c r="BB607" i="23"/>
  <c r="BB462" i="23"/>
  <c r="BF989" i="23"/>
  <c r="BG989" i="23" s="1"/>
  <c r="BB666" i="23"/>
  <c r="BB41" i="23"/>
  <c r="BB1176" i="23"/>
  <c r="BB647" i="23"/>
  <c r="BB672" i="23"/>
  <c r="BB99" i="23"/>
  <c r="BB25" i="23"/>
  <c r="BB983" i="23"/>
  <c r="BB363" i="23"/>
  <c r="BB1131" i="23"/>
  <c r="BB646" i="23"/>
  <c r="BB37" i="23"/>
  <c r="BB339" i="23"/>
  <c r="BB42" i="23"/>
  <c r="BB643" i="23"/>
  <c r="BB1129" i="23"/>
  <c r="BB1192" i="23"/>
  <c r="BF92" i="23"/>
  <c r="BG92" i="23" s="1"/>
  <c r="BF993" i="23"/>
  <c r="BG993" i="23" s="1"/>
  <c r="BB1155" i="23"/>
  <c r="BF1257" i="23"/>
  <c r="BG1257" i="23" s="1"/>
  <c r="BB610" i="23"/>
  <c r="BB346" i="23"/>
  <c r="BB1212" i="23"/>
  <c r="BB602" i="23"/>
  <c r="BF1258" i="23"/>
  <c r="BG1258" i="23" s="1"/>
  <c r="BF990" i="23"/>
  <c r="BG990" i="23" s="1"/>
  <c r="BB632" i="23"/>
  <c r="BB1211" i="23"/>
  <c r="BB801" i="23"/>
  <c r="BB1242" i="23"/>
  <c r="BB629" i="23"/>
  <c r="BB320" i="23"/>
  <c r="BB78" i="23"/>
  <c r="BB618" i="23"/>
  <c r="BB89" i="23"/>
  <c r="BB1128" i="23"/>
  <c r="BB686" i="23"/>
  <c r="BB1205" i="23"/>
  <c r="BB1175" i="23"/>
  <c r="BB459" i="23"/>
  <c r="BB1142" i="23"/>
  <c r="BB974" i="23"/>
  <c r="BB352" i="23"/>
  <c r="BB623" i="23"/>
  <c r="BB669" i="23"/>
  <c r="BB1063" i="23"/>
  <c r="BB724" i="23"/>
  <c r="BB1178" i="23"/>
  <c r="BB515" i="23"/>
  <c r="BB469" i="23"/>
  <c r="BB1207" i="23"/>
  <c r="BB1048" i="23"/>
  <c r="BB95" i="23"/>
  <c r="BB676" i="23"/>
  <c r="BB634" i="23"/>
  <c r="BB635" i="23"/>
  <c r="BB43" i="23"/>
  <c r="BB34" i="23"/>
  <c r="BB443" i="23"/>
  <c r="BB621" i="23"/>
  <c r="BB650" i="23"/>
  <c r="BB979" i="23"/>
  <c r="BB617" i="23"/>
  <c r="BB98" i="23"/>
  <c r="BB471" i="23"/>
  <c r="BB665" i="23"/>
  <c r="BB1210" i="23"/>
  <c r="BB601" i="23"/>
  <c r="BB1121" i="23"/>
  <c r="BB781" i="23"/>
  <c r="BB1237" i="23"/>
  <c r="BB1074" i="23"/>
  <c r="BB1204" i="23"/>
  <c r="BB362" i="23"/>
  <c r="BB1082" i="23"/>
  <c r="BB39" i="23"/>
  <c r="BB642" i="23"/>
  <c r="BB347" i="23"/>
  <c r="BB56" i="23"/>
  <c r="BB802" i="23"/>
  <c r="BB85" i="23"/>
  <c r="BB1180" i="23"/>
  <c r="BF1225" i="23"/>
  <c r="BG1225" i="23" s="1"/>
  <c r="BF1239" i="23"/>
  <c r="BG1239" i="23" s="1"/>
  <c r="BF1063" i="23"/>
  <c r="BG1063" i="23" s="1"/>
  <c r="BF491" i="23"/>
  <c r="BG491" i="23" s="1"/>
  <c r="BF1077" i="23"/>
  <c r="BG1077" i="23" s="1"/>
  <c r="BF464" i="23"/>
  <c r="BG464" i="23" s="1"/>
  <c r="BF469" i="23"/>
  <c r="BG469" i="23" s="1"/>
  <c r="BF1211" i="23"/>
  <c r="BG1211" i="23" s="1"/>
  <c r="BF80" i="23"/>
  <c r="BG80" i="23" s="1"/>
  <c r="BF455" i="23"/>
  <c r="BG455" i="23" s="1"/>
  <c r="BF91" i="23"/>
  <c r="BG91" i="23" s="1"/>
  <c r="BF57" i="23"/>
  <c r="BG57" i="23" s="1"/>
  <c r="BF1126" i="23"/>
  <c r="BG1126" i="23" s="1"/>
  <c r="BF1218" i="23"/>
  <c r="BG1218" i="23" s="1"/>
  <c r="BF93" i="23"/>
  <c r="BG93" i="23" s="1"/>
  <c r="BF1232" i="23"/>
  <c r="BG1232" i="23" s="1"/>
  <c r="BF1223" i="23"/>
  <c r="BG1223" i="23" s="1"/>
  <c r="BF333" i="23"/>
  <c r="BG333" i="23" s="1"/>
  <c r="BB681" i="23"/>
  <c r="BB973" i="23"/>
  <c r="BF323" i="23"/>
  <c r="BG323" i="23" s="1"/>
  <c r="BF353" i="23"/>
  <c r="BG353" i="23" s="1"/>
  <c r="BF22" i="23"/>
  <c r="BG22" i="23" s="1"/>
  <c r="BF69" i="23"/>
  <c r="BG69" i="23" s="1"/>
  <c r="BB1086" i="23"/>
  <c r="BB379" i="23"/>
  <c r="BB684" i="23"/>
  <c r="BB628" i="23"/>
  <c r="BB1177" i="23"/>
  <c r="BB1135" i="23"/>
  <c r="BB93" i="23"/>
  <c r="BB355" i="23"/>
  <c r="BB447" i="23"/>
  <c r="BB630" i="23"/>
  <c r="BB1042" i="23"/>
  <c r="BF796" i="23"/>
  <c r="BG796" i="23" s="1"/>
  <c r="BB1191" i="23"/>
  <c r="BB1221" i="23"/>
  <c r="BB1077" i="23"/>
  <c r="BB641" i="23"/>
  <c r="BB616" i="23"/>
  <c r="BB455" i="23"/>
  <c r="BB436" i="23"/>
  <c r="BF450" i="23"/>
  <c r="BG450" i="23" s="1"/>
  <c r="BB1225" i="23"/>
  <c r="BB1190" i="23"/>
  <c r="BB1232" i="23"/>
  <c r="BB651" i="23"/>
  <c r="BB675" i="23"/>
  <c r="BF687" i="23"/>
  <c r="BG687" i="23" s="1"/>
  <c r="BB645" i="23"/>
  <c r="BB374" i="23"/>
  <c r="BB677" i="23"/>
  <c r="BB1193" i="23"/>
  <c r="BB81" i="23"/>
  <c r="BB1245" i="23"/>
  <c r="BB1246" i="23"/>
  <c r="BB685" i="23"/>
  <c r="BB345" i="23"/>
  <c r="BB475" i="23"/>
  <c r="BB466" i="23"/>
  <c r="BB17" i="23"/>
  <c r="BB1078" i="23"/>
  <c r="BF81" i="23"/>
  <c r="BG81" i="23" s="1"/>
  <c r="BF85" i="23"/>
  <c r="BG85" i="23" s="1"/>
  <c r="BB1068" i="23"/>
  <c r="BB334" i="23"/>
  <c r="BF334" i="23"/>
  <c r="BG334" i="23" s="1"/>
  <c r="BB1079" i="23"/>
  <c r="BF1216" i="23"/>
  <c r="BG1216" i="23" s="1"/>
  <c r="BB615" i="23"/>
  <c r="BB664" i="23"/>
  <c r="BB40" i="23"/>
  <c r="BF40" i="23"/>
  <c r="BG40" i="23" s="1"/>
  <c r="BB91" i="23"/>
  <c r="BB335" i="23"/>
  <c r="BB438" i="23"/>
  <c r="BB32" i="23"/>
  <c r="BF32" i="23"/>
  <c r="BG32" i="23" s="1"/>
  <c r="BB434" i="23"/>
  <c r="BB1134" i="23"/>
  <c r="BB1122" i="23"/>
  <c r="BB336" i="23"/>
  <c r="BB457" i="23"/>
  <c r="BB44" i="23"/>
  <c r="BB1039" i="23"/>
  <c r="BB36" i="23"/>
  <c r="BB108" i="23"/>
  <c r="BB1197" i="23"/>
  <c r="BB356" i="23"/>
  <c r="BB1181" i="23"/>
  <c r="BB50" i="23"/>
  <c r="BF639" i="23"/>
  <c r="BG639" i="23" s="1"/>
  <c r="BB682" i="23"/>
  <c r="BB597" i="23"/>
  <c r="BB331" i="23"/>
  <c r="BB360" i="23"/>
  <c r="BB38" i="23"/>
  <c r="BB80" i="23"/>
  <c r="BB640" i="23"/>
  <c r="BB330" i="23"/>
  <c r="BB119" i="23"/>
  <c r="BB463" i="23"/>
  <c r="BF988" i="23"/>
  <c r="BG988" i="23" s="1"/>
  <c r="BF967" i="23"/>
  <c r="BG967" i="23" s="1"/>
  <c r="BF1219" i="23"/>
  <c r="BG1219" i="23" s="1"/>
  <c r="BB702" i="23"/>
  <c r="BB1231" i="23"/>
  <c r="BB1045" i="23"/>
  <c r="BB1224" i="23"/>
  <c r="BB652" i="23"/>
  <c r="BB619" i="23"/>
  <c r="BF435" i="23"/>
  <c r="BG435" i="23" s="1"/>
  <c r="BF83" i="23"/>
  <c r="BG83" i="23" s="1"/>
  <c r="BF368" i="23"/>
  <c r="BG368" i="23" s="1"/>
  <c r="BF1231" i="23"/>
  <c r="BG1231" i="23" s="1"/>
  <c r="BF362" i="23"/>
  <c r="BG362" i="23" s="1"/>
  <c r="BF1067" i="23"/>
  <c r="BG1067" i="23" s="1"/>
  <c r="BF1066" i="23"/>
  <c r="BG1066" i="23" s="1"/>
  <c r="BF1116" i="23"/>
  <c r="BG1116" i="23" s="1"/>
  <c r="BF1213" i="23"/>
  <c r="BG1213" i="23" s="1"/>
  <c r="BF90" i="23"/>
  <c r="BG90" i="23" s="1"/>
  <c r="BF320" i="23"/>
  <c r="BG320" i="23" s="1"/>
  <c r="BF1236" i="23"/>
  <c r="BG1236" i="23" s="1"/>
  <c r="BF1083" i="23"/>
  <c r="BG1083" i="23" s="1"/>
  <c r="BF1085" i="23"/>
  <c r="BG1085" i="23" s="1"/>
  <c r="BF1205" i="23"/>
  <c r="BG1205" i="23" s="1"/>
  <c r="BF515" i="23"/>
  <c r="BG515" i="23" s="1"/>
  <c r="BF1242" i="23"/>
  <c r="BG1242" i="23" s="1"/>
  <c r="BF462" i="23"/>
  <c r="BG462" i="23" s="1"/>
  <c r="BF1226" i="23"/>
  <c r="BG1226" i="23" s="1"/>
  <c r="BF1217" i="23"/>
  <c r="BG1217" i="23" s="1"/>
  <c r="BF1131" i="23"/>
  <c r="BG1131" i="23" s="1"/>
  <c r="BF97" i="23"/>
  <c r="BG97" i="23" s="1"/>
  <c r="BF1129" i="23"/>
  <c r="BG1129" i="23" s="1"/>
  <c r="BF1208" i="23"/>
  <c r="BG1208" i="23" s="1"/>
  <c r="BF315" i="23"/>
  <c r="BG315" i="23" s="1"/>
  <c r="BF329" i="23"/>
  <c r="BG329" i="23" s="1"/>
  <c r="BB52" i="23"/>
  <c r="BB1244" i="23"/>
  <c r="BB113" i="23"/>
  <c r="BB667" i="23"/>
  <c r="BF25" i="23"/>
  <c r="BG25" i="23" s="1"/>
  <c r="BB989" i="23"/>
  <c r="BF620" i="23"/>
  <c r="BG620" i="23" s="1"/>
  <c r="BB599" i="23"/>
  <c r="BB448" i="23"/>
  <c r="BF1078" i="23"/>
  <c r="BG1078" i="23" s="1"/>
  <c r="BB1124" i="23"/>
  <c r="BB92" i="23"/>
  <c r="BB1072" i="23"/>
  <c r="BB18" i="23"/>
  <c r="BB477" i="23"/>
  <c r="BB19" i="23"/>
  <c r="BB367" i="23"/>
  <c r="BB1213" i="23"/>
  <c r="BB368" i="23"/>
  <c r="BB90" i="23"/>
  <c r="BB614" i="23"/>
  <c r="BB795" i="23"/>
  <c r="BB11" i="23"/>
  <c r="BB981" i="23"/>
  <c r="BB348" i="23"/>
  <c r="BB783" i="23"/>
  <c r="BB1116" i="23"/>
  <c r="BB71" i="23"/>
  <c r="BF463" i="23"/>
  <c r="BG463" i="23" s="1"/>
  <c r="BB604" i="23"/>
  <c r="BB1066" i="23"/>
  <c r="BB608" i="23"/>
  <c r="BF370" i="23"/>
  <c r="BG370" i="23" s="1"/>
  <c r="BB598" i="23"/>
  <c r="BB49" i="23"/>
  <c r="BF339" i="23"/>
  <c r="BG339" i="23" s="1"/>
  <c r="BF456" i="23"/>
  <c r="BG456" i="23" s="1"/>
  <c r="BF473" i="23"/>
  <c r="BG473" i="23" s="1"/>
  <c r="BB110" i="23"/>
  <c r="BB342" i="23"/>
  <c r="BF1229" i="23"/>
  <c r="BG1229" i="23" s="1"/>
  <c r="BF674" i="23"/>
  <c r="BG674" i="23" s="1"/>
  <c r="BB1060" i="23"/>
  <c r="BF779" i="23"/>
  <c r="BG779" i="23" s="1"/>
  <c r="BB27" i="23"/>
  <c r="BB100" i="23"/>
  <c r="BB1083" i="23"/>
  <c r="BB990" i="23"/>
  <c r="BB14" i="23"/>
  <c r="BF1118" i="23"/>
  <c r="BG1118" i="23" s="1"/>
  <c r="BF71" i="23"/>
  <c r="BG71" i="23" s="1"/>
  <c r="BB1164" i="23"/>
  <c r="BB663" i="23"/>
  <c r="BB1257" i="23"/>
  <c r="BF39" i="23"/>
  <c r="BG39" i="23" s="1"/>
  <c r="BB1195" i="23"/>
  <c r="BB627" i="23"/>
  <c r="BB344" i="23"/>
  <c r="BB1226" i="23"/>
  <c r="BB655" i="23"/>
  <c r="BB28" i="23"/>
  <c r="BB622" i="23"/>
  <c r="BB47" i="23"/>
  <c r="BB1174" i="23"/>
  <c r="BB657" i="23"/>
  <c r="BB1127" i="23"/>
  <c r="BB94" i="23"/>
  <c r="BF653" i="23"/>
  <c r="BG653" i="23" s="1"/>
  <c r="BF19" i="23"/>
  <c r="BG19" i="23" s="1"/>
  <c r="BB1120" i="23"/>
  <c r="BB1236" i="23"/>
  <c r="BF1224" i="23"/>
  <c r="BG1224" i="23" s="1"/>
  <c r="BB656" i="23"/>
  <c r="BB1199" i="23"/>
  <c r="BB970" i="23"/>
  <c r="BB1196" i="23"/>
  <c r="BB437" i="23"/>
  <c r="BB661" i="23"/>
  <c r="BB1254" i="23"/>
  <c r="BF42" i="23"/>
  <c r="BG42" i="23" s="1"/>
  <c r="BB658" i="23"/>
  <c r="BB486" i="23"/>
  <c r="BF358" i="23"/>
  <c r="BG358" i="23" s="1"/>
  <c r="BF77" i="23"/>
  <c r="BG77" i="23" s="1"/>
  <c r="BF1206" i="23"/>
  <c r="BG1206" i="23" s="1"/>
  <c r="BB12" i="23"/>
  <c r="BB435" i="23"/>
  <c r="BB358" i="23"/>
  <c r="BF89" i="23"/>
  <c r="BG89" i="23" s="1"/>
  <c r="BF1228" i="23"/>
  <c r="BG1228" i="23" s="1"/>
  <c r="BF972" i="23"/>
  <c r="BG972" i="23" s="1"/>
  <c r="BF1230" i="23"/>
  <c r="BG1230" i="23" s="1"/>
  <c r="BB982" i="23"/>
  <c r="BB975" i="23"/>
  <c r="BF1120" i="23"/>
  <c r="BG1120" i="23" s="1"/>
  <c r="BB993" i="23"/>
  <c r="BF355" i="23"/>
  <c r="BG355" i="23" s="1"/>
  <c r="BB985" i="23"/>
  <c r="BF352" i="23"/>
  <c r="BG352" i="23" s="1"/>
  <c r="BB680" i="23"/>
  <c r="BF447" i="23"/>
  <c r="BG447" i="23" s="1"/>
  <c r="BB485" i="23"/>
  <c r="BB478" i="23"/>
  <c r="BB1243" i="23"/>
  <c r="BB659" i="23"/>
  <c r="BB603" i="23"/>
  <c r="BB341" i="23"/>
  <c r="BB1247" i="23"/>
  <c r="BB636" i="23"/>
  <c r="BB1182" i="23"/>
  <c r="BF466" i="23"/>
  <c r="BG466" i="23" s="1"/>
  <c r="BB1218" i="23"/>
  <c r="BB673" i="23"/>
  <c r="BF436" i="23"/>
  <c r="BG436" i="23" s="1"/>
  <c r="BB338" i="23"/>
  <c r="BB474" i="23"/>
  <c r="BB1183" i="23"/>
  <c r="BB1255" i="23"/>
  <c r="BB668" i="23"/>
  <c r="BB476" i="23"/>
  <c r="BB22" i="23"/>
  <c r="BB472" i="23"/>
  <c r="BB351" i="23"/>
  <c r="BF99" i="23"/>
  <c r="BG99" i="23" s="1"/>
  <c r="BF359" i="23"/>
  <c r="BG359" i="23" s="1"/>
  <c r="BF1068" i="23"/>
  <c r="BG1068" i="23" s="1"/>
  <c r="BF651" i="23"/>
  <c r="BG651" i="23" s="1"/>
  <c r="BF1081" i="23"/>
  <c r="BG1081" i="23" s="1"/>
  <c r="BF340" i="23"/>
  <c r="BG340" i="23" s="1"/>
  <c r="BF1201" i="23"/>
  <c r="BG1201" i="23" s="1"/>
  <c r="BF371" i="23"/>
  <c r="BG371" i="23" s="1"/>
  <c r="BF1233" i="23"/>
  <c r="BG1233" i="23" s="1"/>
  <c r="BF686" i="23"/>
  <c r="BG686" i="23" s="1"/>
  <c r="BF1060" i="23"/>
  <c r="BG1060" i="23" s="1"/>
  <c r="BF119" i="23"/>
  <c r="BG119" i="23" s="1"/>
  <c r="BF1209" i="23"/>
  <c r="BG1209" i="23" s="1"/>
  <c r="BF682" i="23"/>
  <c r="BG682" i="23" s="1"/>
  <c r="BF1082" i="23"/>
  <c r="BG1082" i="23" s="1"/>
  <c r="BF1080" i="23"/>
  <c r="BG1080" i="23" s="1"/>
  <c r="BF21" i="23"/>
  <c r="BG21" i="23" s="1"/>
  <c r="BF1235" i="23"/>
  <c r="BG1235" i="23" s="1"/>
  <c r="BF1076" i="23"/>
  <c r="BG1076" i="23" s="1"/>
  <c r="BF1210" i="23"/>
  <c r="BG1210" i="23" s="1"/>
  <c r="BF95" i="23"/>
  <c r="BG95" i="23" s="1"/>
  <c r="BF452" i="23"/>
  <c r="BG452" i="23" s="1"/>
  <c r="BF1180" i="23"/>
  <c r="BG1180" i="23" s="1"/>
  <c r="BF332" i="23"/>
  <c r="BG332" i="23" s="1"/>
  <c r="BF86" i="23"/>
  <c r="BG86" i="23" s="1"/>
  <c r="BF1079" i="23"/>
  <c r="BG1079" i="23" s="1"/>
  <c r="BF16" i="23"/>
  <c r="BG16" i="23" s="1"/>
  <c r="BF802" i="23"/>
  <c r="BG802" i="23" s="1"/>
  <c r="BF326" i="23"/>
  <c r="BG326" i="23" s="1"/>
  <c r="BF330" i="23"/>
  <c r="BG330" i="23" s="1"/>
  <c r="BF701" i="23"/>
  <c r="BG701" i="23" s="1"/>
  <c r="BF514" i="23"/>
  <c r="BG514" i="23" s="1"/>
  <c r="BF1128" i="23"/>
  <c r="BG1128" i="23" s="1"/>
  <c r="BF1220" i="23"/>
  <c r="BG1220" i="23" s="1"/>
  <c r="BF606" i="23"/>
  <c r="BG606" i="23" s="1"/>
  <c r="BF318" i="23"/>
  <c r="BG318" i="23" s="1"/>
  <c r="BF781" i="23"/>
  <c r="BG781" i="23" s="1"/>
  <c r="BF676" i="23"/>
  <c r="BG676" i="23" s="1"/>
  <c r="BF449" i="23"/>
  <c r="BG449" i="23" s="1"/>
  <c r="BF1119" i="23"/>
  <c r="BG1119" i="23" s="1"/>
  <c r="BF614" i="23"/>
  <c r="BG614" i="23" s="1"/>
  <c r="BF612" i="23"/>
  <c r="BG612" i="23" s="1"/>
  <c r="BF98" i="23"/>
  <c r="BG98" i="23" s="1"/>
  <c r="BF459" i="23"/>
  <c r="BG459" i="23" s="1"/>
  <c r="BF349" i="23"/>
  <c r="BG349" i="23" s="1"/>
  <c r="BF377" i="23"/>
  <c r="BG377" i="23" s="1"/>
  <c r="BF108" i="23"/>
  <c r="BG108" i="23" s="1"/>
  <c r="BF1197" i="23"/>
  <c r="BG1197" i="23" s="1"/>
  <c r="BF483" i="23"/>
  <c r="BG483" i="23" s="1"/>
  <c r="BF356" i="23"/>
  <c r="BG356" i="23" s="1"/>
  <c r="BF638" i="23"/>
  <c r="BG638" i="23" s="1"/>
  <c r="BF1184" i="23"/>
  <c r="BG1184" i="23" s="1"/>
  <c r="BF703" i="23"/>
  <c r="BG703" i="23" s="1"/>
  <c r="BF494" i="23"/>
  <c r="BG494" i="23" s="1"/>
  <c r="BF613" i="23"/>
  <c r="BG613" i="23" s="1"/>
  <c r="BF111" i="23"/>
  <c r="BG111" i="23" s="1"/>
  <c r="BF1142" i="23"/>
  <c r="BG1142" i="23" s="1"/>
  <c r="BF331" i="23"/>
  <c r="BG331" i="23" s="1"/>
  <c r="BF52" i="23"/>
  <c r="BG52" i="23" s="1"/>
  <c r="BF87" i="23"/>
  <c r="BG87" i="23" s="1"/>
  <c r="BF120" i="23"/>
  <c r="BG120" i="23" s="1"/>
  <c r="BF460" i="23"/>
  <c r="BG460" i="23" s="1"/>
  <c r="BF1069" i="23"/>
  <c r="BG1069" i="23" s="1"/>
  <c r="BF1072" i="23"/>
  <c r="BG1072" i="23" s="1"/>
  <c r="BF360" i="23"/>
  <c r="BG360" i="23" s="1"/>
  <c r="BF20" i="23"/>
  <c r="BG20" i="23" s="1"/>
  <c r="BF1122" i="23"/>
  <c r="BG1122" i="23" s="1"/>
  <c r="BF1127" i="23"/>
  <c r="BG1127" i="23" s="1"/>
  <c r="BF74" i="23"/>
  <c r="BG74" i="23" s="1"/>
  <c r="BF609" i="23"/>
  <c r="BG609" i="23" s="1"/>
  <c r="BF365" i="23"/>
  <c r="BG365" i="23" s="1"/>
  <c r="BF461" i="23"/>
  <c r="BG461" i="23" s="1"/>
  <c r="BF642" i="23"/>
  <c r="BG642" i="23" s="1"/>
  <c r="BF1194" i="23"/>
  <c r="BG1194" i="23" s="1"/>
  <c r="BF30" i="23"/>
  <c r="BG30" i="23" s="1"/>
  <c r="BF374" i="23"/>
  <c r="BG374" i="23" s="1"/>
  <c r="BF677" i="23"/>
  <c r="BG677" i="23" s="1"/>
  <c r="BF451" i="23"/>
  <c r="BG451" i="23" s="1"/>
  <c r="BF82" i="23"/>
  <c r="BG82" i="23" s="1"/>
  <c r="BF652" i="23"/>
  <c r="BG652" i="23" s="1"/>
  <c r="BF632" i="23"/>
  <c r="BG632" i="23" s="1"/>
  <c r="BF1241" i="23"/>
  <c r="BG1241" i="23" s="1"/>
  <c r="BF1238" i="23"/>
  <c r="BG1238" i="23" s="1"/>
  <c r="BF79" i="23"/>
  <c r="BG79" i="23" s="1"/>
  <c r="BF76" i="23"/>
  <c r="BG76" i="23" s="1"/>
  <c r="BF373" i="23"/>
  <c r="BG373" i="23" s="1"/>
  <c r="BF1132" i="23"/>
  <c r="BG1132" i="23" s="1"/>
  <c r="BF78" i="23"/>
  <c r="BG78" i="23" s="1"/>
  <c r="BF1244" i="23"/>
  <c r="BG1244" i="23" s="1"/>
  <c r="BF18" i="23"/>
  <c r="BG18" i="23" s="1"/>
  <c r="BF113" i="23"/>
  <c r="BG113" i="23" s="1"/>
  <c r="BF633" i="23"/>
  <c r="BG633" i="23" s="1"/>
  <c r="BF782" i="23"/>
  <c r="BG782" i="23" s="1"/>
  <c r="BF1234" i="23"/>
  <c r="BG1234" i="23" s="1"/>
  <c r="BF1137" i="23"/>
  <c r="BG1137" i="23" s="1"/>
  <c r="BF442" i="23"/>
  <c r="BG442" i="23" s="1"/>
  <c r="BF681" i="23"/>
  <c r="BG681" i="23" s="1"/>
  <c r="BF629" i="23"/>
  <c r="BG629" i="23" s="1"/>
  <c r="BF684" i="23"/>
  <c r="BG684" i="23" s="1"/>
  <c r="BF104" i="23"/>
  <c r="BG104" i="23" s="1"/>
  <c r="BF376" i="23"/>
  <c r="BG376" i="23" s="1"/>
  <c r="BF1154" i="23"/>
  <c r="BG1154" i="23" s="1"/>
  <c r="BF1133" i="23"/>
  <c r="BG1133" i="23" s="1"/>
  <c r="BF979" i="23"/>
  <c r="BG979" i="23" s="1"/>
  <c r="BF1207" i="23"/>
  <c r="BG1207" i="23" s="1"/>
  <c r="BF1240" i="23"/>
  <c r="BG1240" i="23" s="1"/>
  <c r="BF648" i="23"/>
  <c r="BG648" i="23" s="1"/>
  <c r="BF465" i="23"/>
  <c r="BG465" i="23" s="1"/>
  <c r="BF112" i="23"/>
  <c r="BG112" i="23" s="1"/>
  <c r="BF11" i="23"/>
  <c r="BG11" i="23" s="1"/>
  <c r="BF981" i="23"/>
  <c r="BG981" i="23" s="1"/>
  <c r="BF1048" i="23"/>
  <c r="BG1048" i="23" s="1"/>
  <c r="BF380" i="23"/>
  <c r="BG380" i="23" s="1"/>
  <c r="BF477" i="23"/>
  <c r="BG477" i="23" s="1"/>
  <c r="BF671" i="23"/>
  <c r="BG671" i="23" s="1"/>
  <c r="BF1198" i="23"/>
  <c r="BG1198" i="23" s="1"/>
  <c r="BF433" i="23"/>
  <c r="BG433" i="23" s="1"/>
  <c r="BF348" i="23"/>
  <c r="BG348" i="23" s="1"/>
  <c r="BF1074" i="23"/>
  <c r="BG1074" i="23" s="1"/>
  <c r="BF1186" i="23"/>
  <c r="BG1186" i="23" s="1"/>
  <c r="BF453" i="23"/>
  <c r="BG453" i="23" s="1"/>
  <c r="BF467" i="23"/>
  <c r="BG467" i="23" s="1"/>
  <c r="BF611" i="23"/>
  <c r="BG611" i="23" s="1"/>
  <c r="BF625" i="23"/>
  <c r="BG625" i="23" s="1"/>
  <c r="BF987" i="23"/>
  <c r="BG987" i="23" s="1"/>
  <c r="BF106" i="23"/>
  <c r="BG106" i="23" s="1"/>
  <c r="BF45" i="23"/>
  <c r="BG45" i="23" s="1"/>
  <c r="BF679" i="23"/>
  <c r="BG679" i="23" s="1"/>
  <c r="BF783" i="23"/>
  <c r="BG783" i="23" s="1"/>
  <c r="BF630" i="23"/>
  <c r="BG630" i="23" s="1"/>
  <c r="BF971" i="23"/>
  <c r="BG971" i="23" s="1"/>
  <c r="BF1123" i="23"/>
  <c r="BG1123" i="23" s="1"/>
  <c r="BF678" i="23"/>
  <c r="BG678" i="23" s="1"/>
  <c r="BF48" i="23"/>
  <c r="BG48" i="23" s="1"/>
  <c r="BF649" i="23"/>
  <c r="BG649" i="23" s="1"/>
  <c r="BF1222" i="23"/>
  <c r="BG1222" i="23" s="1"/>
  <c r="BF493" i="23"/>
  <c r="BG493" i="23" s="1"/>
  <c r="BF669" i="23"/>
  <c r="BG669" i="23" s="1"/>
  <c r="BF670" i="23"/>
  <c r="BG670" i="23" s="1"/>
  <c r="BF58" i="23"/>
  <c r="BG58" i="23" s="1"/>
  <c r="BF1215" i="23"/>
  <c r="BG1215" i="23" s="1"/>
  <c r="BF968" i="23"/>
  <c r="BG968" i="23" s="1"/>
  <c r="BF1203" i="23"/>
  <c r="BG1203" i="23" s="1"/>
  <c r="BF665" i="23"/>
  <c r="BG665" i="23" s="1"/>
  <c r="BF991" i="23"/>
  <c r="BG991" i="23" s="1"/>
  <c r="BF1138" i="23"/>
  <c r="BG1138" i="23" s="1"/>
  <c r="BF88" i="23"/>
  <c r="BG88" i="23" s="1"/>
  <c r="BF1075" i="23"/>
  <c r="BG1075" i="23" s="1"/>
  <c r="BF367" i="23"/>
  <c r="BG367" i="23" s="1"/>
  <c r="BF1071" i="23"/>
  <c r="BG1071" i="23" s="1"/>
  <c r="BF1073" i="23"/>
  <c r="BG1073" i="23" s="1"/>
  <c r="BF468" i="23"/>
  <c r="BG468" i="23" s="1"/>
  <c r="BF17" i="23"/>
  <c r="BG17" i="23" s="1"/>
  <c r="BF1164" i="23"/>
  <c r="BG1164" i="23" s="1"/>
  <c r="BF94" i="23"/>
  <c r="BG94" i="23" s="1"/>
  <c r="BF59" i="23"/>
  <c r="BG59" i="23" s="1"/>
  <c r="BF446" i="23"/>
  <c r="BG446" i="23" s="1"/>
  <c r="BF978" i="23"/>
  <c r="BG978" i="23" s="1"/>
  <c r="BF631" i="23"/>
  <c r="BG631" i="23" s="1"/>
  <c r="BF36" i="23"/>
  <c r="BG36" i="23" s="1"/>
  <c r="BF1214" i="23"/>
  <c r="BG1214" i="23" s="1"/>
  <c r="BF1070" i="23"/>
  <c r="BG1070" i="23" s="1"/>
  <c r="BF647" i="23"/>
  <c r="BG647" i="23" s="1"/>
  <c r="BF328" i="23"/>
  <c r="BG328" i="23" s="1"/>
  <c r="BF1135" i="23"/>
  <c r="BG1135" i="23" s="1"/>
  <c r="BF795" i="23"/>
  <c r="BG795" i="23" s="1"/>
  <c r="BF650" i="23"/>
  <c r="BG650" i="23" s="1"/>
  <c r="BF1202" i="23"/>
  <c r="BG1202" i="23" s="1"/>
  <c r="BF347" i="23"/>
  <c r="BG347" i="23" s="1"/>
  <c r="BF1086" i="23"/>
  <c r="BG1086" i="23" s="1"/>
  <c r="BF54" i="23"/>
  <c r="BG54" i="23" s="1"/>
  <c r="BF1121" i="23"/>
  <c r="BG1121" i="23" s="1"/>
  <c r="BF1124" i="23"/>
  <c r="BG1124" i="23" s="1"/>
  <c r="BF363" i="23"/>
  <c r="BG363" i="23" s="1"/>
  <c r="BF1084" i="23"/>
  <c r="BG1084" i="23" s="1"/>
  <c r="BF1163" i="23"/>
  <c r="BG1163" i="23" s="1"/>
  <c r="BF1136" i="23"/>
  <c r="BG1136" i="23" s="1"/>
  <c r="BF486" i="23"/>
  <c r="BG486" i="23" s="1"/>
  <c r="BF379" i="23"/>
  <c r="BG379" i="23" s="1"/>
  <c r="BF38" i="23"/>
  <c r="BG38" i="23" s="1"/>
  <c r="BF1134" i="23"/>
  <c r="BG1134" i="23" s="1"/>
  <c r="BF458" i="23"/>
  <c r="BG458" i="23" s="1"/>
  <c r="BF1125" i="23"/>
  <c r="BG1125" i="23" s="1"/>
  <c r="BF457" i="23"/>
  <c r="BG457" i="23" s="1"/>
  <c r="BF26" i="23"/>
  <c r="BG26" i="23" s="1"/>
  <c r="BF969" i="23"/>
  <c r="BG969" i="23" s="1"/>
  <c r="BF84" i="23"/>
  <c r="BG84" i="23" s="1"/>
  <c r="BF973" i="23"/>
  <c r="BG973" i="23" s="1"/>
  <c r="BF1117" i="23"/>
  <c r="BG1117" i="23" s="1"/>
  <c r="BF1237" i="23"/>
  <c r="BG1237" i="23" s="1"/>
  <c r="BF644" i="23"/>
  <c r="BG644" i="23" s="1"/>
  <c r="BF702" i="23"/>
  <c r="BG702" i="23" s="1"/>
  <c r="BF1177" i="23"/>
  <c r="BG1177" i="23" s="1"/>
  <c r="BF994" i="23"/>
  <c r="BG994" i="23" s="1"/>
  <c r="BF350" i="23"/>
  <c r="BG350" i="23" s="1"/>
  <c r="BF1227" i="23"/>
  <c r="BG1227" i="23" s="1"/>
  <c r="BF600" i="23"/>
  <c r="BG600" i="23" s="1"/>
  <c r="BF56" i="23"/>
  <c r="BG56" i="23" s="1"/>
  <c r="BF634" i="23"/>
  <c r="BG634" i="23" s="1"/>
  <c r="BF46" i="23"/>
  <c r="BG46" i="23" s="1"/>
  <c r="BF37" i="23"/>
  <c r="BG37" i="23" s="1"/>
  <c r="BF984" i="23"/>
  <c r="BG984" i="23" s="1"/>
  <c r="BF1212" i="23"/>
  <c r="BG1212" i="23" s="1"/>
  <c r="BF1192" i="23"/>
  <c r="BG1192" i="23" s="1"/>
  <c r="BF1185" i="23"/>
  <c r="BG1185" i="23" s="1"/>
  <c r="BF1130" i="23"/>
  <c r="BG1130" i="23" s="1"/>
  <c r="BF1189" i="23"/>
  <c r="BG1189" i="23" s="1"/>
  <c r="BF1181" i="23"/>
  <c r="BG1181" i="23" s="1"/>
  <c r="BF13" i="23"/>
  <c r="BG13" i="23" s="1"/>
  <c r="BF107" i="23"/>
  <c r="BG107" i="23" s="1"/>
  <c r="BF1042" i="23"/>
  <c r="BG1042" i="23" s="1"/>
  <c r="BF1243" i="23" l="1"/>
  <c r="BG1243" i="23" s="1"/>
  <c r="BF485" i="23"/>
  <c r="BG485" i="2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tc={A6B3BC90-60F3-4BE7-9DCF-37F78CB9B144}</author>
    <author>tc={DABBF835-BA0A-496F-8BE3-80AD9B5F8829}</author>
    <author>tc={C59B028A-DA6C-46D6-9939-EDB2ADB2E81E}</author>
    <author>tc={B52B4ECA-0BE6-4401-BCAF-5437035C9E5F}</author>
    <author>tc={E6ACA954-8E7F-4321-8AC9-9CF76D69773B}</author>
    <author>tc={88B5BD56-591F-4501-B04C-1F03FF490F29}</author>
    <author>tc={AF8CA891-AB25-4A97-A820-E5E9AE8073D9}</author>
    <author>tc={6E79A1A2-442F-444F-BA2D-D95692227407}</author>
    <author>tc={A6C48F7C-6C56-4EB3-8108-F00903415075}</author>
    <author>tc={AE3DB21E-A63F-4958-A4E5-8C9B10AAE5A0}</author>
    <author>tc={2F733E8C-2782-4096-ADEE-8E09668A1962}</author>
    <author>tc={8373612E-3009-4EFF-9680-E3F80A695C02}</author>
    <author>tc={52EDAF7D-A354-4205-9FAE-19871A771EE2}</author>
    <author>tc={2F3F6D33-B3EC-464E-9C13-05C95F8FFE0A}</author>
    <author>Anathea Albert</author>
    <author>tc={19B850A8-CE76-4A68-B38E-49FACE363CCD}</author>
    <author>tc={0C0C2FC2-D777-42BD-9F9E-5EF06AD2C764}</author>
    <author>Jennifer Gadd</author>
    <author>tc={6C8557AA-2F68-4CBC-8F5E-188B1C345E12}</author>
    <author>tc={15DE5536-59F4-4F50-9EE7-758B5BC2A3DD}</author>
    <author>tc={D154DBDF-8A09-4531-922C-B33D74B878AD}</author>
    <author>tc={B809B56F-26A9-44F9-AA48-E898A868E2E8}</author>
    <author>tc={69C12766-15F8-44E7-9CBB-A93E2EF3C40B}</author>
  </authors>
  <commentList>
    <comment ref="AP69" authorId="0" shapeId="0" xr:uid="{A6B3BC90-60F3-4BE7-9DCF-37F78CB9B144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AP70" authorId="1" shapeId="0" xr:uid="{DABBF835-BA0A-496F-8BE3-80AD9B5F8829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AP71" authorId="2" shapeId="0" xr:uid="{C59B028A-DA6C-46D6-9939-EDB2ADB2E81E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AB72" authorId="3" shapeId="0" xr:uid="{B52B4ECA-0BE6-4401-BCAF-5437035C9E5F}">
      <text>
        <t>[Threaded comment]
Your version of Excel allows you to read this threaded comment; however, any edits to it will get removed if the file is opened in a newer version of Excel. Learn more: https://go.microsoft.com/fwlink/?linkid=870924
Comment:
    Calc by DeForest&amp;VanG</t>
      </text>
    </comment>
    <comment ref="AP72" authorId="4" shapeId="0" xr:uid="{E6ACA954-8E7F-4321-8AC9-9CF76D69773B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AB73" authorId="5" shapeId="0" xr:uid="{88B5BD56-591F-4501-B04C-1F03FF490F29}">
      <text>
        <t>[Threaded comment]
Your version of Excel allows you to read this threaded comment; however, any edits to it will get removed if the file is opened in a newer version of Excel. Learn more: https://go.microsoft.com/fwlink/?linkid=870924
Comment:
    From CCME</t>
      </text>
    </comment>
    <comment ref="AP73" authorId="6" shapeId="0" xr:uid="{AF8CA891-AB25-4A97-A820-E5E9AE8073D9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AP74" authorId="7" shapeId="0" xr:uid="{6E79A1A2-442F-444F-BA2D-D95692227407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AP75" authorId="8" shapeId="0" xr:uid="{A6C48F7C-6C56-4EB3-8108-F00903415075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AP76" authorId="9" shapeId="0" xr:uid="{AE3DB21E-A63F-4958-A4E5-8C9B10AAE5A0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AP77" authorId="10" shapeId="0" xr:uid="{2F733E8C-2782-4096-ADEE-8E09668A1962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AP78" authorId="11" shapeId="0" xr:uid="{8373612E-3009-4EFF-9680-E3F80A695C02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AP79" authorId="12" shapeId="0" xr:uid="{52EDAF7D-A354-4205-9FAE-19871A771EE2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AB96" authorId="13" shapeId="0" xr:uid="{2F3F6D33-B3EC-464E-9C13-05C95F8FFE0A}">
      <text>
        <t>[Threaded comment]
Your version of Excel allows you to read this threaded comment; however, any edits to it will get removed if the file is opened in a newer version of Excel. Learn more: https://go.microsoft.com/fwlink/?linkid=870924
Comment:
    Calc by DeForest&amp;VanG</t>
      </text>
    </comment>
    <comment ref="O113" authorId="14" shapeId="0" xr:uid="{C5A80F6B-6165-48DE-AFDD-E6E7771591BD}">
      <text>
        <r>
          <rPr>
            <b/>
            <sz val="9"/>
            <color indexed="81"/>
            <rFont val="Tahoma"/>
            <family val="2"/>
          </rPr>
          <t>Anathea Albert:</t>
        </r>
        <r>
          <rPr>
            <sz val="9"/>
            <color indexed="81"/>
            <rFont val="Tahoma"/>
            <family val="2"/>
          </rPr>
          <t xml:space="preserve">
fingerling</t>
        </r>
      </text>
    </comment>
    <comment ref="O120" authorId="14" shapeId="0" xr:uid="{50F3EC18-B224-4C0B-8188-A3C0E22E53E3}">
      <text>
        <r>
          <rPr>
            <b/>
            <sz val="9"/>
            <color indexed="81"/>
            <rFont val="Tahoma"/>
            <family val="2"/>
          </rPr>
          <t>Anathea Albert:</t>
        </r>
        <r>
          <rPr>
            <sz val="9"/>
            <color indexed="81"/>
            <rFont val="Tahoma"/>
            <family val="2"/>
          </rPr>
          <t xml:space="preserve">
fingerling</t>
        </r>
      </text>
    </comment>
    <comment ref="AB124" authorId="15" shapeId="0" xr:uid="{19B850A8-CE76-4A68-B38E-49FACE363CCD}">
      <text>
        <t>[Threaded comment]
Your version of Excel allows you to read this threaded comment; however, any edits to it will get removed if the file is opened in a newer version of Excel. Learn more: https://go.microsoft.com/fwlink/?linkid=870924
Comment:
    Calcd by DeForest&amp; VanG</t>
      </text>
    </comment>
    <comment ref="AB126" authorId="16" shapeId="0" xr:uid="{0C0C2FC2-D777-42BD-9F9E-5EF06AD2C764}">
      <text>
        <t>[Threaded comment]
Your version of Excel allows you to read this threaded comment; however, any edits to it will get removed if the file is opened in a newer version of Excel. Learn more: https://go.microsoft.com/fwlink/?linkid=870924
Comment:
    Calcd by DeForest&amp; VanG</t>
      </text>
    </comment>
    <comment ref="O137" authorId="17" shapeId="0" xr:uid="{E0641CAC-5BCF-48EF-AFA1-40DB457C54CC}">
      <text>
        <r>
          <rPr>
            <b/>
            <sz val="9"/>
            <color indexed="81"/>
            <rFont val="Tahoma"/>
            <family val="2"/>
          </rPr>
          <t>Jennifer Gadd:</t>
        </r>
        <r>
          <rPr>
            <sz val="9"/>
            <color indexed="81"/>
            <rFont val="Tahoma"/>
            <family val="2"/>
          </rPr>
          <t xml:space="preserve">
check - is fry larvae? If not, (then juvenile) this is an acute test
Anathea: avg size 6.7cm sounds like juvenile though usually fry is larvae</t>
        </r>
      </text>
    </comment>
    <comment ref="BD137" authorId="17" shapeId="0" xr:uid="{98F3805C-F65A-4BAA-B8DA-7188CB382477}">
      <text>
        <r>
          <rPr>
            <b/>
            <sz val="9"/>
            <color indexed="81"/>
            <rFont val="Tahoma"/>
            <family val="2"/>
          </rPr>
          <t>Jennifer Gadd:</t>
        </r>
        <r>
          <rPr>
            <sz val="9"/>
            <color indexed="81"/>
            <rFont val="Tahoma"/>
            <family val="2"/>
          </rPr>
          <t xml:space="preserve">
Check this - do fry count as embryo/larvae?</t>
        </r>
      </text>
    </comment>
    <comment ref="AB354" authorId="18" shapeId="0" xr:uid="{6C8557AA-2F68-4CBC-8F5E-188B1C345E12}">
      <text>
        <t>[Threaded comment]
Your version of Excel allows you to read this threaded comment; however, any edits to it will get removed if the file is opened in a newer version of Excel. Learn more: https://go.microsoft.com/fwlink/?linkid=870924
Comment:
    IC10 calcd by CCME</t>
      </text>
    </comment>
    <comment ref="AB360" authorId="19" shapeId="0" xr:uid="{15DE5536-59F4-4F50-9EE7-758B5BC2A3DD}">
      <text>
        <t>[Threaded comment]
Your version of Excel allows you to read this threaded comment; however, any edits to it will get removed if the file is opened in a newer version of Excel. Learn more: https://go.microsoft.com/fwlink/?linkid=870924
Comment:
    calcd by CCME</t>
      </text>
    </comment>
    <comment ref="AJ441" authorId="17" shapeId="0" xr:uid="{C68B40D1-D797-4199-A8E7-ED81A40E2338}">
      <text>
        <r>
          <rPr>
            <b/>
            <sz val="9"/>
            <color indexed="81"/>
            <rFont val="Tahoma"/>
            <family val="2"/>
          </rPr>
          <t>Jennifer Gadd:</t>
        </r>
        <r>
          <rPr>
            <sz val="9"/>
            <color indexed="81"/>
            <rFont val="Tahoma"/>
            <family val="2"/>
          </rPr>
          <t xml:space="preserve">
Not reported, so inserting 8.0</t>
        </r>
      </text>
    </comment>
    <comment ref="AP441" authorId="17" shapeId="0" xr:uid="{07B9E7C2-0AE0-4E5F-B40A-6B016B826435}">
      <text>
        <r>
          <rPr>
            <b/>
            <sz val="9"/>
            <color indexed="81"/>
            <rFont val="Tahoma"/>
            <family val="2"/>
          </rPr>
          <t>Jennifer Gadd:</t>
        </r>
        <r>
          <rPr>
            <sz val="9"/>
            <color indexed="81"/>
            <rFont val="Tahoma"/>
            <family val="2"/>
          </rPr>
          <t xml:space="preserve">
Not reported</t>
        </r>
      </text>
    </comment>
    <comment ref="AB484" authorId="20" shapeId="0" xr:uid="{D154DBDF-8A09-4531-922C-B33D74B878AD}">
      <text>
        <t>[Threaded comment]
Your version of Excel allows you to read this threaded comment; however, any edits to it will get removed if the file is opened in a newer version of Excel. Learn more: https://go.microsoft.com/fwlink/?linkid=870924
Comment:
    CCME calcd</t>
      </text>
    </comment>
    <comment ref="AB992" authorId="21" shapeId="0" xr:uid="{B809B56F-26A9-44F9-AA48-E898A868E2E8}">
      <text>
        <t>[Threaded comment]
Your version of Excel allows you to read this threaded comment; however, any edits to it will get removed if the file is opened in a newer version of Excel. Learn more: https://go.microsoft.com/fwlink/?linkid=870924
Comment:
    Calcd by DeForest&amp;VanG</t>
      </text>
    </comment>
    <comment ref="AB995" authorId="17" shapeId="0" xr:uid="{2B311C91-5FF8-4AB9-B331-0780B3F81DE8}">
      <text>
        <r>
          <rPr>
            <b/>
            <sz val="9"/>
            <color indexed="81"/>
            <rFont val="Tahoma"/>
            <family val="2"/>
          </rPr>
          <t>Jennifer Gadd:</t>
        </r>
        <r>
          <rPr>
            <sz val="9"/>
            <color indexed="81"/>
            <rFont val="Tahoma"/>
            <family val="2"/>
          </rPr>
          <t xml:space="preserve">
This is Total Zn, dissolved Zn was 94</t>
        </r>
      </text>
    </comment>
    <comment ref="AB1256" authorId="22" shapeId="0" xr:uid="{69C12766-15F8-44E7-9CBB-A93E2EF3C40B}">
      <text>
        <t>[Threaded comment]
Your version of Excel allows you to read this threaded comment; however, any edits to it will get removed if the file is opened in a newer version of Excel. Learn more: https://go.microsoft.com/fwlink/?linkid=870924
Comment:
    Calcd by CCME</t>
      </text>
    </comment>
    <comment ref="AB1467" authorId="17" shapeId="0" xr:uid="{B74B0873-5223-4357-AE5B-CD916C9EE931}">
      <text>
        <r>
          <rPr>
            <b/>
            <sz val="9"/>
            <color indexed="81"/>
            <rFont val="Tahoma"/>
            <family val="2"/>
          </rPr>
          <t>Jennifer Gadd:</t>
        </r>
        <r>
          <rPr>
            <sz val="9"/>
            <color indexed="81"/>
            <rFont val="Tahoma"/>
            <family val="2"/>
          </rPr>
          <t xml:space="preserve">
These three are Total Zn, dissolved Zn values also available at 169, 145 and 165.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tc={D105E0AA-6699-4F18-87D8-95BD988E9A30}</author>
    <author>tc={25B69655-2A89-44B5-AF89-DD254858B1A0}</author>
    <author>tc={78A236CA-4A55-49D0-A811-5AEC8B4F4FE8}</author>
    <author>tc={46749944-DA18-4216-B4A5-74AD2E35AFE6}</author>
    <author>tc={456CB3B9-CF92-4EAF-9812-3074850854F8}</author>
    <author>tc={49CB372B-BFBC-4459-97C8-87412FB03B7C}</author>
    <author>tc={8EA0AC15-72F2-4AE5-9568-4F8D0AEE9983}</author>
    <author>tc={E4194E9D-5F2A-4CFA-981A-C7A4740C9967}</author>
    <author>tc={05E4AE9D-3264-4482-B274-B3C74D8E14E5}</author>
    <author>tc={3B7246EA-18C8-4511-8D56-053EC0F17A9E}</author>
    <author>Jennifer Gadd</author>
    <author>tc={B0D766DD-5B2E-41EF-A549-4657BD8DB3FF}</author>
    <author>tc={AD1D1970-DAD3-4B4A-9667-21894934A37E}</author>
    <author>tc={CD72DA5A-B2C1-4BC0-A908-76D1CF5DCFC8}</author>
    <author>tc={63B2C1E1-91D3-41C5-8194-00370864D891}</author>
    <author>tc={A76F1E3A-8AC1-4E1C-9667-EE47866BF32D}</author>
    <author>tc={42A17E84-02BA-44F2-B83F-94AB0D397F4B}</author>
    <author>tc={7DA3DF23-E264-4E2A-98D0-5093C501511F}</author>
    <author>tc={FE73AB72-6B80-4F01-ABBD-091A45218571}</author>
  </authors>
  <commentList>
    <comment ref="L10" authorId="0" shapeId="0" xr:uid="{D105E0AA-6699-4F18-87D8-95BD988E9A30}">
      <text>
        <t>[Threaded comment]
Your version of Excel allows you to read this threaded comment; however, any edits to it will get removed if the file is opened in a newer version of Excel. Learn more: https://go.microsoft.com/fwlink/?linkid=870924
Comment:
    From CCME</t>
      </text>
    </comment>
    <comment ref="O10" authorId="1" shapeId="0" xr:uid="{25B69655-2A89-44B5-AF89-DD254858B1A0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O11" authorId="2" shapeId="0" xr:uid="{78A236CA-4A55-49D0-A811-5AEC8B4F4FE8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O12" authorId="3" shapeId="0" xr:uid="{46749944-DA18-4216-B4A5-74AD2E35AFE6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O13" authorId="4" shapeId="0" xr:uid="{456CB3B9-CF92-4EAF-9812-3074850854F8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L15" authorId="5" shapeId="0" xr:uid="{49CB372B-BFBC-4459-97C8-87412FB03B7C}">
      <text>
        <t>[Threaded comment]
Your version of Excel allows you to read this threaded comment; however, any edits to it will get removed if the file is opened in a newer version of Excel. Learn more: https://go.microsoft.com/fwlink/?linkid=870924
Comment:
    Calcd by DeForest&amp; VanG</t>
      </text>
    </comment>
    <comment ref="L17" authorId="6" shapeId="0" xr:uid="{8EA0AC15-72F2-4AE5-9568-4F8D0AEE9983}">
      <text>
        <t>[Threaded comment]
Your version of Excel allows you to read this threaded comment; however, any edits to it will get removed if the file is opened in a newer version of Excel. Learn more: https://go.microsoft.com/fwlink/?linkid=870924
Comment:
    Calcd by DeForest&amp; VanG</t>
      </text>
    </comment>
    <comment ref="L71" authorId="7" shapeId="0" xr:uid="{E4194E9D-5F2A-4CFA-981A-C7A4740C9967}">
      <text>
        <t>[Threaded comment]
Your version of Excel allows you to read this threaded comment; however, any edits to it will get removed if the file is opened in a newer version of Excel. Learn more: https://go.microsoft.com/fwlink/?linkid=870924
Comment:
    IC10 calcd by CCME</t>
      </text>
    </comment>
    <comment ref="L73" authorId="8" shapeId="0" xr:uid="{05E4AE9D-3264-4482-B274-B3C74D8E14E5}">
      <text>
        <t>[Threaded comment]
Your version of Excel allows you to read this threaded comment; however, any edits to it will get removed if the file is opened in a newer version of Excel. Learn more: https://go.microsoft.com/fwlink/?linkid=870924
Comment:
    Geomean of 5 tests</t>
      </text>
    </comment>
    <comment ref="L75" authorId="9" shapeId="0" xr:uid="{3B7246EA-18C8-4511-8D56-053EC0F17A9E}">
      <text>
        <t>[Threaded comment]
Your version of Excel allows you to read this threaded comment; however, any edits to it will get removed if the file is opened in a newer version of Excel. Learn more: https://go.microsoft.com/fwlink/?linkid=870924
Comment:
    calcd by CCME</t>
      </text>
    </comment>
    <comment ref="L92" authorId="10" shapeId="0" xr:uid="{6A6DE834-330F-41DD-AD0C-6B574E4169F6}">
      <text>
        <r>
          <rPr>
            <b/>
            <sz val="9"/>
            <color indexed="81"/>
            <rFont val="Tahoma"/>
            <family val="2"/>
          </rPr>
          <t>Jennifer Gadd:</t>
        </r>
        <r>
          <rPr>
            <sz val="9"/>
            <color indexed="81"/>
            <rFont val="Tahoma"/>
            <family val="2"/>
          </rPr>
          <t xml:space="preserve">
This is Total Zn, dissolved Zn was 94</t>
        </r>
      </text>
    </comment>
    <comment ref="O93" authorId="11" shapeId="0" xr:uid="{B0D766DD-5B2E-41EF-A549-4657BD8DB3FF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O94" authorId="12" shapeId="0" xr:uid="{AD1D1970-DAD3-4B4A-9667-21894934A37E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O95" authorId="13" shapeId="0" xr:uid="{CD72DA5A-B2C1-4BC0-A908-76D1CF5DCFC8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O96" authorId="14" shapeId="0" xr:uid="{63B2C1E1-91D3-41C5-8194-00370864D891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O97" authorId="15" shapeId="0" xr:uid="{A76F1E3A-8AC1-4E1C-9667-EE47866BF32D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O98" authorId="16" shapeId="0" xr:uid="{42A17E84-02BA-44F2-B83F-94AB0D397F4B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L216" authorId="17" shapeId="0" xr:uid="{7DA3DF23-E264-4E2A-98D0-5093C501511F}">
      <text>
        <t>[Threaded comment]
Your version of Excel allows you to read this threaded comment; however, any edits to it will get removed if the file is opened in a newer version of Excel. Learn more: https://go.microsoft.com/fwlink/?linkid=870924
Comment:
    CCME calcd</t>
      </text>
    </comment>
    <comment ref="L236" authorId="18" shapeId="0" xr:uid="{FE73AB72-6B80-4F01-ABBD-091A45218571}">
      <text>
        <t>[Threaded comment]
Your version of Excel allows you to read this threaded comment; however, any edits to it will get removed if the file is opened in a newer version of Excel. Learn more: https://go.microsoft.com/fwlink/?linkid=870924
Comment:
    Reported as &lt;24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tc={F2D359B3-FB1B-46AB-BC8A-2D3E6AA5EFBD}</author>
    <author>tc={468A1822-662F-4D67-A062-C9B33EAE8E96}</author>
    <author>tc={99C3946A-A503-4EE6-93BD-1C4DB72FD12A}</author>
    <author>tc={E918E049-B469-4DBB-983A-520140B23381}</author>
    <author>tc={68391DAD-8D94-4440-A5AC-67B57EFD3FDB}</author>
    <author>tc={FC1F3038-919F-408A-BF46-254BE549270D}</author>
    <author>tc={F85747E5-BED8-4ED9-A479-32B1BC2BA985}</author>
    <author>tc={6F94B07E-797F-4D6E-91A7-65F4027D0C18}</author>
    <author>tc={DFEDDF57-1590-49EC-8991-A651FDBFC799}</author>
    <author>tc={174B2EB1-7E20-4D75-917A-48B5E7463C5A}</author>
    <author>Jennifer Gadd</author>
    <author>tc={E2DA7368-EBFE-489B-9C10-6891F8854E3B}</author>
    <author>tc={A3150D11-E88D-4EBD-8401-77DADE9C18DA}</author>
    <author>tc={3943C0FA-DDF7-4B74-92CC-949823E879BD}</author>
    <author>tc={A48C4C8D-B717-4A99-A3D6-1656A2C8E6F2}</author>
    <author>tc={BAD46910-F13E-4E86-A58E-8C842D8E4C50}</author>
    <author>tc={C715FCF0-5483-40CE-96FA-63A7BF7C8649}</author>
    <author>tc={568F09BC-AEAC-46C5-8B1F-4411B69A41B8}</author>
    <author>tc={D7E6FE25-46C6-41BD-B947-93B1ACBC50E0}</author>
  </authors>
  <commentList>
    <comment ref="L13" authorId="0" shapeId="0" xr:uid="{F2D359B3-FB1B-46AB-BC8A-2D3E6AA5EFBD}">
      <text>
        <t>[Threaded comment]
Your version of Excel allows you to read this threaded comment; however, any edits to it will get removed if the file is opened in a newer version of Excel. Learn more: https://go.microsoft.com/fwlink/?linkid=870924
Comment:
    From CCME</t>
      </text>
    </comment>
    <comment ref="O13" authorId="1" shapeId="0" xr:uid="{468A1822-662F-4D67-A062-C9B33EAE8E96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O14" authorId="2" shapeId="0" xr:uid="{99C3946A-A503-4EE6-93BD-1C4DB72FD12A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O15" authorId="3" shapeId="0" xr:uid="{E918E049-B469-4DBB-983A-520140B23381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O16" authorId="4" shapeId="0" xr:uid="{68391DAD-8D94-4440-A5AC-67B57EFD3FDB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L18" authorId="5" shapeId="0" xr:uid="{FC1F3038-919F-408A-BF46-254BE549270D}">
      <text>
        <t>[Threaded comment]
Your version of Excel allows you to read this threaded comment; however, any edits to it will get removed if the file is opened in a newer version of Excel. Learn more: https://go.microsoft.com/fwlink/?linkid=870924
Comment:
    Calcd by DeForest&amp; VanG</t>
      </text>
    </comment>
    <comment ref="L20" authorId="6" shapeId="0" xr:uid="{F85747E5-BED8-4ED9-A479-32B1BC2BA985}">
      <text>
        <t>[Threaded comment]
Your version of Excel allows you to read this threaded comment; however, any edits to it will get removed if the file is opened in a newer version of Excel. Learn more: https://go.microsoft.com/fwlink/?linkid=870924
Comment:
    Calcd by DeForest&amp; VanG</t>
      </text>
    </comment>
    <comment ref="L74" authorId="7" shapeId="0" xr:uid="{6F94B07E-797F-4D6E-91A7-65F4027D0C18}">
      <text>
        <t>[Threaded comment]
Your version of Excel allows you to read this threaded comment; however, any edits to it will get removed if the file is opened in a newer version of Excel. Learn more: https://go.microsoft.com/fwlink/?linkid=870924
Comment:
    IC10 calcd by CCME</t>
      </text>
    </comment>
    <comment ref="L76" authorId="8" shapeId="0" xr:uid="{DFEDDF57-1590-49EC-8991-A651FDBFC799}">
      <text>
        <t>[Threaded comment]
Your version of Excel allows you to read this threaded comment; however, any edits to it will get removed if the file is opened in a newer version of Excel. Learn more: https://go.microsoft.com/fwlink/?linkid=870924
Comment:
    Geomean of 5 tests</t>
      </text>
    </comment>
    <comment ref="L78" authorId="9" shapeId="0" xr:uid="{174B2EB1-7E20-4D75-917A-48B5E7463C5A}">
      <text>
        <t>[Threaded comment]
Your version of Excel allows you to read this threaded comment; however, any edits to it will get removed if the file is opened in a newer version of Excel. Learn more: https://go.microsoft.com/fwlink/?linkid=870924
Comment:
    calcd by CCME</t>
      </text>
    </comment>
    <comment ref="L95" authorId="10" shapeId="0" xr:uid="{ABEA34ED-A4F2-454D-A608-A09373B16B0B}">
      <text>
        <r>
          <rPr>
            <b/>
            <sz val="9"/>
            <color indexed="81"/>
            <rFont val="Tahoma"/>
            <family val="2"/>
          </rPr>
          <t>Jennifer Gadd:</t>
        </r>
        <r>
          <rPr>
            <sz val="9"/>
            <color indexed="81"/>
            <rFont val="Tahoma"/>
            <family val="2"/>
          </rPr>
          <t xml:space="preserve">
This is Total Zn, dissolved Zn was 94</t>
        </r>
      </text>
    </comment>
    <comment ref="O96" authorId="11" shapeId="0" xr:uid="{E2DA7368-EBFE-489B-9C10-6891F8854E3B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O97" authorId="12" shapeId="0" xr:uid="{A3150D11-E88D-4EBD-8401-77DADE9C18DA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O98" authorId="13" shapeId="0" xr:uid="{3943C0FA-DDF7-4B74-92CC-949823E879BD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O99" authorId="14" shapeId="0" xr:uid="{A48C4C8D-B717-4A99-A3D6-1656A2C8E6F2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O100" authorId="15" shapeId="0" xr:uid="{BAD46910-F13E-4E86-A58E-8C842D8E4C50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O101" authorId="16" shapeId="0" xr:uid="{C715FCF0-5483-40CE-96FA-63A7BF7C8649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L217" authorId="17" shapeId="0" xr:uid="{568F09BC-AEAC-46C5-8B1F-4411B69A41B8}">
      <text>
        <t>[Threaded comment]
Your version of Excel allows you to read this threaded comment; however, any edits to it will get removed if the file is opened in a newer version of Excel. Learn more: https://go.microsoft.com/fwlink/?linkid=870924
Comment:
    CCME calcd</t>
      </text>
    </comment>
    <comment ref="L237" authorId="18" shapeId="0" xr:uid="{D7E6FE25-46C6-41BD-B947-93B1ACBC50E0}">
      <text>
        <t>[Threaded comment]
Your version of Excel allows you to read this threaded comment; however, any edits to it will get removed if the file is opened in a newer version of Excel. Learn more: https://go.microsoft.com/fwlink/?linkid=870924
Comment:
    Reported as &lt;24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tc={CBAD7175-F4A2-4119-8CC9-B289F25B09E8}</author>
    <author>tc={604330CA-43D7-47C9-A86F-0910BB14BA1F}</author>
    <author>tc={86C7F1CD-A3D2-40C3-AAE8-78C27C11537B}</author>
    <author>tc={E83A3767-2AAE-4E59-95E0-BAE6D1938F0B}</author>
    <author>tc={C9898238-E9FC-49D6-A83C-228EC65863A7}</author>
    <author>tc={8161F800-C5CD-467D-8985-A15ABDEBA463}</author>
  </authors>
  <commentList>
    <comment ref="L4" authorId="0" shapeId="0" xr:uid="{CBAD7175-F4A2-4119-8CC9-B289F25B09E8}">
      <text>
        <t>[Threaded comment]
Your version of Excel allows you to read this threaded comment; however, any edits to it will get removed if the file is opened in a newer version of Excel. Learn more: https://go.microsoft.com/fwlink/?linkid=870924
Comment:
    From CCME</t>
      </text>
    </comment>
    <comment ref="O4" authorId="1" shapeId="0" xr:uid="{604330CA-43D7-47C9-A86F-0910BB14BA1F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 by CCME</t>
      </text>
    </comment>
    <comment ref="L22" authorId="2" shapeId="0" xr:uid="{86C7F1CD-A3D2-40C3-AAE8-78C27C11537B}">
      <text>
        <t>[Threaded comment]
Your version of Excel allows you to read this threaded comment; however, any edits to it will get removed if the file is opened in a newer version of Excel. Learn more: https://go.microsoft.com/fwlink/?linkid=870924
Comment:
    IC10 calcd by CCME</t>
      </text>
    </comment>
    <comment ref="L23" authorId="3" shapeId="0" xr:uid="{E83A3767-2AAE-4E59-95E0-BAE6D1938F0B}">
      <text>
        <t>[Threaded comment]
Your version of Excel allows you to read this threaded comment; however, any edits to it will get removed if the file is opened in a newer version of Excel. Learn more: https://go.microsoft.com/fwlink/?linkid=870924
Comment:
    calcd by CCME</t>
      </text>
    </comment>
    <comment ref="L69" authorId="4" shapeId="0" xr:uid="{C9898238-E9FC-49D6-A83C-228EC65863A7}">
      <text>
        <t>[Threaded comment]
Your version of Excel allows you to read this threaded comment; however, any edits to it will get removed if the file is opened in a newer version of Excel. Learn more: https://go.microsoft.com/fwlink/?linkid=870924
Comment:
    CCME calcd</t>
      </text>
    </comment>
    <comment ref="L77" authorId="5" shapeId="0" xr:uid="{8161F800-C5CD-467D-8985-A15ABDEBA463}">
      <text>
        <t>[Threaded comment]
Your version of Excel allows you to read this threaded comment; however, any edits to it will get removed if the file is opened in a newer version of Excel. Learn more: https://go.microsoft.com/fwlink/?linkid=870924
Comment:
    Reported as &lt;24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<sst xmlns="http://schemas.openxmlformats.org/spreadsheetml/2006/main" count="55978" uniqueCount="2051">
  <si>
    <t>DATA ID</t>
  </si>
  <si>
    <t>ORGANISM CHARACTERISTICS</t>
  </si>
  <si>
    <t>TEST CRITERIA</t>
  </si>
  <si>
    <t>PHYSICO-CHEMICAL DATA</t>
  </si>
  <si>
    <t>CONCENTRATION</t>
  </si>
  <si>
    <t>Record ID</t>
  </si>
  <si>
    <t>Data Source ID</t>
  </si>
  <si>
    <t>ANZECC 2000 ID</t>
  </si>
  <si>
    <t>Aquire ID</t>
  </si>
  <si>
    <t>Source if new</t>
  </si>
  <si>
    <t xml:space="preserve">Media Type </t>
  </si>
  <si>
    <t>Species Scientific Name</t>
  </si>
  <si>
    <t>Phylum</t>
  </si>
  <si>
    <t>Type of Organism (fish/amphibians/macroinvertebrates/microinvertebrates/macrophytes/macroalgae/microalgae)</t>
  </si>
  <si>
    <t>Hetero/ Phototroph</t>
  </si>
  <si>
    <t>Life Stage</t>
  </si>
  <si>
    <t>NZ resident or native</t>
  </si>
  <si>
    <t>Endpoint</t>
  </si>
  <si>
    <t>Endpoint Measurement</t>
  </si>
  <si>
    <t>Toxicity Value</t>
  </si>
  <si>
    <t xml:space="preserve">Exposure Duration  </t>
  </si>
  <si>
    <t>Exposure Duration Units</t>
  </si>
  <si>
    <t>Acute/ Chronic</t>
  </si>
  <si>
    <t>pH</t>
  </si>
  <si>
    <t>Salinity (‰)</t>
  </si>
  <si>
    <t>Hardness (mg/L as CaCO3)</t>
  </si>
  <si>
    <t>Alkalinity (mg/L as CaCO3)</t>
  </si>
  <si>
    <t>DOC (mg/L)</t>
  </si>
  <si>
    <t>Temperature ©</t>
  </si>
  <si>
    <t>Molecular Weight</t>
  </si>
  <si>
    <t>Concentration (ug/L)</t>
  </si>
  <si>
    <t>Hardness adjusted concentration (ug/L)</t>
  </si>
  <si>
    <t>Toxicity Value (repeat from Column K)</t>
  </si>
  <si>
    <t>Toxicity Value Conversion factor</t>
  </si>
  <si>
    <t>NEC/EC10/NOEC Concentration (ug/L)</t>
  </si>
  <si>
    <t>Preferential selection (Chronic = y)</t>
  </si>
  <si>
    <t>TABLE OF CONVERSION FACTORS (Warne et al 2014)</t>
  </si>
  <si>
    <t>Toxicity Value Conversion</t>
  </si>
  <si>
    <t>Start</t>
  </si>
  <si>
    <t>Conversion Factor</t>
  </si>
  <si>
    <t>End</t>
  </si>
  <si>
    <t>Freshwater</t>
  </si>
  <si>
    <t>Chlorophyta</t>
  </si>
  <si>
    <t>Microalgae</t>
  </si>
  <si>
    <t>EC50</t>
  </si>
  <si>
    <t>d</t>
  </si>
  <si>
    <t>Chronic</t>
  </si>
  <si>
    <t>n</t>
  </si>
  <si>
    <t/>
  </si>
  <si>
    <t>EC10</t>
  </si>
  <si>
    <t>NOEC/EC10</t>
  </si>
  <si>
    <t>Resident</t>
  </si>
  <si>
    <t>NEC</t>
  </si>
  <si>
    <t>Native</t>
  </si>
  <si>
    <t>NOEC</t>
  </si>
  <si>
    <t>LOEC</t>
  </si>
  <si>
    <t>LC50</t>
  </si>
  <si>
    <t>EC10 Acute to Chronic Ratio (ACR)</t>
  </si>
  <si>
    <t>Start (acute)</t>
  </si>
  <si>
    <t>Conversion</t>
  </si>
  <si>
    <t>End (chronic)</t>
  </si>
  <si>
    <t>Acute</t>
  </si>
  <si>
    <t>WoS</t>
  </si>
  <si>
    <t>Ceriodaphnia dubia</t>
  </si>
  <si>
    <t>Arthropoda</t>
  </si>
  <si>
    <t>Microinvertebrate</t>
  </si>
  <si>
    <t>Heterotroph</t>
  </si>
  <si>
    <t>Neonates, &lt;24-h old</t>
  </si>
  <si>
    <t>Survival &amp; reproduction</t>
  </si>
  <si>
    <t>3-brood produced in 60% of surviving control groups</t>
  </si>
  <si>
    <t>3 broods</t>
  </si>
  <si>
    <t>8.4-8.7</t>
  </si>
  <si>
    <t>Not stated</t>
  </si>
  <si>
    <t>&lt;1</t>
  </si>
  <si>
    <t>7.1-7.9</t>
  </si>
  <si>
    <t>8.5-8.7</t>
  </si>
  <si>
    <t>REP</t>
  </si>
  <si>
    <t>MATC</t>
  </si>
  <si>
    <t>30</t>
  </si>
  <si>
    <t>MORT</t>
  </si>
  <si>
    <t>31</t>
  </si>
  <si>
    <t>GRO</t>
  </si>
  <si>
    <t>Fish</t>
  </si>
  <si>
    <t>12.4</t>
  </si>
  <si>
    <t>Pimephales promelas</t>
  </si>
  <si>
    <t>7</t>
  </si>
  <si>
    <t>100</t>
  </si>
  <si>
    <t>Daphnia magna</t>
  </si>
  <si>
    <t>18</t>
  </si>
  <si>
    <t>Oncorhynchus mykiss</t>
  </si>
  <si>
    <t>7.1</t>
  </si>
  <si>
    <t>23</t>
  </si>
  <si>
    <t>11.6 -12.8</t>
  </si>
  <si>
    <t>Oncorhynchus tshawytscha</t>
  </si>
  <si>
    <t>21</t>
  </si>
  <si>
    <t>7.5 - 7.6</t>
  </si>
  <si>
    <t>174 - 198</t>
  </si>
  <si>
    <t>20</t>
  </si>
  <si>
    <t>52</t>
  </si>
  <si>
    <t>22 - 28</t>
  </si>
  <si>
    <t>36</t>
  </si>
  <si>
    <t>15</t>
  </si>
  <si>
    <t>25</t>
  </si>
  <si>
    <t>3</t>
  </si>
  <si>
    <t>Lepomis macrochirus</t>
  </si>
  <si>
    <t>7.7 - 8.0</t>
  </si>
  <si>
    <t>340 - 404</t>
  </si>
  <si>
    <t>8.0 - 11.0</t>
  </si>
  <si>
    <t>14.5 - 17.0</t>
  </si>
  <si>
    <t>Autotroph</t>
  </si>
  <si>
    <t>IC50</t>
  </si>
  <si>
    <t>Ceriodaphnia reticulata</t>
  </si>
  <si>
    <t>7.9</t>
  </si>
  <si>
    <t>23 - 25</t>
  </si>
  <si>
    <t>Tanytarsus dissimilis</t>
  </si>
  <si>
    <t>7.3 - 7.7</t>
  </si>
  <si>
    <t>22</t>
  </si>
  <si>
    <t>7.4</t>
  </si>
  <si>
    <t>104</t>
  </si>
  <si>
    <t>13.0</t>
  </si>
  <si>
    <t>Carassius auratus</t>
  </si>
  <si>
    <t>22.0</t>
  </si>
  <si>
    <t>Ictalurus punctatus</t>
  </si>
  <si>
    <t>Salmo salar</t>
  </si>
  <si>
    <t>6.1 - 7.1</t>
  </si>
  <si>
    <t>12.1 - 24.4</t>
  </si>
  <si>
    <t>10</t>
  </si>
  <si>
    <t>7.2 - 7.8</t>
  </si>
  <si>
    <t>93 - 105</t>
  </si>
  <si>
    <t>12 - 13</t>
  </si>
  <si>
    <t>Ambystoma opacum</t>
  </si>
  <si>
    <t>19 - 22</t>
  </si>
  <si>
    <t>Micropterus salmoides</t>
  </si>
  <si>
    <t>32</t>
  </si>
  <si>
    <t>8.25</t>
  </si>
  <si>
    <t>22.8</t>
  </si>
  <si>
    <t>8.21</t>
  </si>
  <si>
    <t>22.5</t>
  </si>
  <si>
    <t>7.95</t>
  </si>
  <si>
    <t>22.4</t>
  </si>
  <si>
    <t>Velesunio ambiguus</t>
  </si>
  <si>
    <t>6.75 - 7.25</t>
  </si>
  <si>
    <t>28 - 46</t>
  </si>
  <si>
    <t>15 - 22.5</t>
  </si>
  <si>
    <t>5</t>
  </si>
  <si>
    <t>35</t>
  </si>
  <si>
    <t>Orconectes virilis</t>
  </si>
  <si>
    <t>Physa gyrina</t>
  </si>
  <si>
    <t>6.9</t>
  </si>
  <si>
    <t>Dreissena polymorpha</t>
  </si>
  <si>
    <t>24</t>
  </si>
  <si>
    <t>Macroinvertebrate</t>
  </si>
  <si>
    <t>Taxonomic Group as per Table 6</t>
  </si>
  <si>
    <t>Insects</t>
  </si>
  <si>
    <t>Embryos/larvae</t>
  </si>
  <si>
    <t>?</t>
  </si>
  <si>
    <t>Mortality</t>
  </si>
  <si>
    <t>Larval development</t>
  </si>
  <si>
    <t>Development</t>
  </si>
  <si>
    <t>NOTE Zn concs in test water were 5ug/L</t>
  </si>
  <si>
    <t>Juvenile</t>
  </si>
  <si>
    <t>Chordata</t>
  </si>
  <si>
    <t>N</t>
  </si>
  <si>
    <t>Reproduction</t>
  </si>
  <si>
    <t>Immobilisation</t>
  </si>
  <si>
    <t>EC16</t>
  </si>
  <si>
    <t>7.4-8.2</t>
  </si>
  <si>
    <t>Amphibian</t>
  </si>
  <si>
    <t>Gastrophryne carolinensis</t>
  </si>
  <si>
    <t>LC1</t>
  </si>
  <si>
    <t>N?</t>
  </si>
  <si>
    <t>Larvae (alevin)</t>
  </si>
  <si>
    <t>Larvae (fry)</t>
  </si>
  <si>
    <t>Juvenile (parr)</t>
  </si>
  <si>
    <t>LC10</t>
  </si>
  <si>
    <t>&gt;661</t>
  </si>
  <si>
    <t>364-661</t>
  </si>
  <si>
    <t>7.3-7.5</t>
  </si>
  <si>
    <t>1. Acute/Chronic</t>
  </si>
  <si>
    <t>2. Toxicity Value</t>
  </si>
  <si>
    <t>Xenopus laevis</t>
  </si>
  <si>
    <t>&lt;1- 11</t>
  </si>
  <si>
    <t>&lt;1-4</t>
  </si>
  <si>
    <t>Molluscs</t>
  </si>
  <si>
    <t>Mollusca</t>
  </si>
  <si>
    <t>Adult/juvenile</t>
  </si>
  <si>
    <t>Hardness was reported by author as CaO, converted to CaCO3</t>
  </si>
  <si>
    <t>Adult</t>
  </si>
  <si>
    <t>Brood size</t>
  </si>
  <si>
    <t>soft</t>
  </si>
  <si>
    <t>soft + 0.75HA</t>
  </si>
  <si>
    <t>soft + 1.5 HA</t>
  </si>
  <si>
    <t>Hard</t>
  </si>
  <si>
    <t>Med</t>
  </si>
  <si>
    <t>Hard + 1.5HA</t>
  </si>
  <si>
    <t>0.75HA</t>
  </si>
  <si>
    <t>1.5HA</t>
  </si>
  <si>
    <t>&lt;50</t>
  </si>
  <si>
    <t>280-314</t>
  </si>
  <si>
    <t>DO</t>
  </si>
  <si>
    <t>Jenni didn't add</t>
  </si>
  <si>
    <t>8.3-8.8</t>
  </si>
  <si>
    <t>44-88</t>
  </si>
  <si>
    <t>Eggs</t>
  </si>
  <si>
    <t>7.69-8.48</t>
  </si>
  <si>
    <t>7.46-8.32</t>
  </si>
  <si>
    <t>7.72-8.42</t>
  </si>
  <si>
    <t>87-92.4%</t>
  </si>
  <si>
    <t>90-94.8%</t>
  </si>
  <si>
    <t>90.3-99.3%</t>
  </si>
  <si>
    <t>Need CWH to check these, as the method to calc TL50 looks weird. Also he used only catfish in 2000 (not sure why)</t>
  </si>
  <si>
    <t>Comments on use</t>
  </si>
  <si>
    <t xml:space="preserve">Note pond water contained 3-4ug/L zinc, this water was diluted about 2x for tests                                          </t>
  </si>
  <si>
    <t>ZnSO4</t>
  </si>
  <si>
    <t>M</t>
  </si>
  <si>
    <t>g/mol</t>
  </si>
  <si>
    <t>mg/L</t>
  </si>
  <si>
    <t>7H2O</t>
  </si>
  <si>
    <t>ZnSO4.7H2O</t>
  </si>
  <si>
    <t>Zn</t>
  </si>
  <si>
    <t>Conversion from ZnSO4</t>
  </si>
  <si>
    <t>Conversion from ZnSO4.7H2O</t>
  </si>
  <si>
    <t>Annelids</t>
  </si>
  <si>
    <t>Alkalinity units</t>
  </si>
  <si>
    <t>Hardness units</t>
  </si>
  <si>
    <t>Van Leeuwen,C.J., E.M.M. Grootelaar, and G. Niebeek</t>
  </si>
  <si>
    <t>Danio rerio</t>
  </si>
  <si>
    <t>EG</t>
  </si>
  <si>
    <t>DVP</t>
  </si>
  <si>
    <t>TERA</t>
  </si>
  <si>
    <t>NR-NR</t>
  </si>
  <si>
    <t>NC</t>
  </si>
  <si>
    <t>18500</t>
  </si>
  <si>
    <t>8.4</t>
  </si>
  <si>
    <t>-</t>
  </si>
  <si>
    <t>NR</t>
  </si>
  <si>
    <t>8.1 mg/L</t>
  </si>
  <si>
    <t>MOR</t>
  </si>
  <si>
    <t>10000</t>
  </si>
  <si>
    <t>3200</t>
  </si>
  <si>
    <t>520</t>
  </si>
  <si>
    <t>- NR</t>
  </si>
  <si>
    <t>1000</t>
  </si>
  <si>
    <t>GGRO</t>
  </si>
  <si>
    <t>Wren,M.J., and D. McCarroll</t>
  </si>
  <si>
    <t>Chlorella vulgaris</t>
  </si>
  <si>
    <t>65000</t>
  </si>
  <si>
    <t>24-26</t>
  </si>
  <si>
    <t>Huebert,D.B., and J.M. Shay</t>
  </si>
  <si>
    <t>Lemna trisulca</t>
  </si>
  <si>
    <t>Magnoliophyta</t>
  </si>
  <si>
    <t>7.8-8.3</t>
  </si>
  <si>
    <t>28</t>
  </si>
  <si>
    <t>14</t>
  </si>
  <si>
    <t>Dirilgen,N., and Y. Inel</t>
  </si>
  <si>
    <t>Lemna minor</t>
  </si>
  <si>
    <t>POP</t>
  </si>
  <si>
    <t>GPOP</t>
  </si>
  <si>
    <t>6.3-6.4</t>
  </si>
  <si>
    <t>25-28</t>
  </si>
  <si>
    <t>Crustaceans</t>
  </si>
  <si>
    <t>LT50</t>
  </si>
  <si>
    <t>250</t>
  </si>
  <si>
    <t>Srivastava,M., M.M.S. Rawat, and A.K. Srivastava</t>
  </si>
  <si>
    <t>EX</t>
  </si>
  <si>
    <t>5000</t>
  </si>
  <si>
    <t>Popken,G.J.</t>
  </si>
  <si>
    <t>EM/L</t>
  </si>
  <si>
    <t>ABNM</t>
  </si>
  <si>
    <t>330</t>
  </si>
  <si>
    <t>mg/L CaCO3</t>
  </si>
  <si>
    <t>59.9</t>
  </si>
  <si>
    <t>9.21 mg/L</t>
  </si>
  <si>
    <t>190</t>
  </si>
  <si>
    <t>48.1</t>
  </si>
  <si>
    <t>9.68 mg/L</t>
  </si>
  <si>
    <t>960</t>
  </si>
  <si>
    <t>89.2</t>
  </si>
  <si>
    <t>9.19 mg/L</t>
  </si>
  <si>
    <t>140</t>
  </si>
  <si>
    <t>220</t>
  </si>
  <si>
    <t>700</t>
  </si>
  <si>
    <t>1350</t>
  </si>
  <si>
    <t>990</t>
  </si>
  <si>
    <t>910</t>
  </si>
  <si>
    <t>2720</t>
  </si>
  <si>
    <t>430</t>
  </si>
  <si>
    <t>940</t>
  </si>
  <si>
    <t>460</t>
  </si>
  <si>
    <t>150</t>
  </si>
  <si>
    <t>Migliore,L., and M. De Nicola Giudici</t>
  </si>
  <si>
    <t>Asellus aquaticus</t>
  </si>
  <si>
    <t>JV</t>
  </si>
  <si>
    <t>Kraak,M.H.S., Y.A. Wink, S.C. Stuijfzand, M.C. Buckert-De Jong, C.J. De Groot, and W. Admiraal</t>
  </si>
  <si>
    <t>- SAT</t>
  </si>
  <si>
    <t>Phipps,G.L., V.R. Mattson, and G.T. Ankley</t>
  </si>
  <si>
    <t>Chironomus tentans</t>
  </si>
  <si>
    <t>1125</t>
  </si>
  <si>
    <t>21-24</t>
  </si>
  <si>
    <t>Lumbriculus variegatus</t>
  </si>
  <si>
    <t>Annelida</t>
  </si>
  <si>
    <t>2984</t>
  </si>
  <si>
    <t>BMAS</t>
  </si>
  <si>
    <t>umol/L</t>
  </si>
  <si>
    <t>ABND</t>
  </si>
  <si>
    <t>~100</t>
  </si>
  <si>
    <t>Dorgelo,J., H. Meester, and C. Van Velzen</t>
  </si>
  <si>
    <t>103</t>
  </si>
  <si>
    <t>Jenner,H.A., and J.P.M. Janssen-Mommen</t>
  </si>
  <si>
    <t>PGRT</t>
  </si>
  <si>
    <t>5600</t>
  </si>
  <si>
    <t>COVR</t>
  </si>
  <si>
    <t>290</t>
  </si>
  <si>
    <t>160</t>
  </si>
  <si>
    <t>Rao,V.N.R.</t>
  </si>
  <si>
    <t>Nitzschia palea</t>
  </si>
  <si>
    <t>Bacillariophyta</t>
  </si>
  <si>
    <t>600</t>
  </si>
  <si>
    <t>Cyclotella meneghiniana</t>
  </si>
  <si>
    <t>870</t>
  </si>
  <si>
    <t>Nitzschia obtusa</t>
  </si>
  <si>
    <t>930</t>
  </si>
  <si>
    <t>710</t>
  </si>
  <si>
    <t>Navicula confervacea</t>
  </si>
  <si>
    <t>590</t>
  </si>
  <si>
    <t>Bieniarz,K., P. Epler, and M. Sokolowska-Mikolajczyk</t>
  </si>
  <si>
    <t>2500</t>
  </si>
  <si>
    <t>Sibley,P.K., G.T. Ankley, A.M. Cotter, and E.N. Leonard</t>
  </si>
  <si>
    <t>LV</t>
  </si>
  <si>
    <t>750</t>
  </si>
  <si>
    <t>Masters,J.A., M.A. Lewis, D.H. Davidson, and R.D. Bruce</t>
  </si>
  <si>
    <t>40</t>
  </si>
  <si>
    <t>7.8-8.2</t>
  </si>
  <si>
    <t>169</t>
  </si>
  <si>
    <t>8.9 mg/L</t>
  </si>
  <si>
    <t>GREP</t>
  </si>
  <si>
    <t>Zou,E.</t>
  </si>
  <si>
    <t>Moina irrasa</t>
  </si>
  <si>
    <t>NE</t>
  </si>
  <si>
    <t>249.8</t>
  </si>
  <si>
    <t>&lt;5</t>
  </si>
  <si>
    <t>~6.2*-~6.5* mg/L</t>
  </si>
  <si>
    <t>50</t>
  </si>
  <si>
    <t>Thompson,J.A.</t>
  </si>
  <si>
    <t>Pseudokirchneriella subcapitata</t>
  </si>
  <si>
    <t>Autotroph?</t>
  </si>
  <si>
    <t>IC25</t>
  </si>
  <si>
    <t>31.5</t>
  </si>
  <si>
    <t>12500</t>
  </si>
  <si>
    <t>Errecalde,O., M. Seidl, and P.G.C. Campbell</t>
  </si>
  <si>
    <t>0.5</t>
  </si>
  <si>
    <t>blank</t>
  </si>
  <si>
    <t>20*</t>
  </si>
  <si>
    <t>1.05</t>
  </si>
  <si>
    <t>Aquatic Community</t>
  </si>
  <si>
    <t>IC20</t>
  </si>
  <si>
    <t>DVRS</t>
  </si>
  <si>
    <t>34</t>
  </si>
  <si>
    <t>425</t>
  </si>
  <si>
    <t>Bierkens,J., J. Maes, and F.V. Plaetse</t>
  </si>
  <si>
    <t>16</t>
  </si>
  <si>
    <t>800</t>
  </si>
  <si>
    <t>Rojickova-Padrtova,R., and B. Marsalek</t>
  </si>
  <si>
    <t>Synechococcus leopoliensis</t>
  </si>
  <si>
    <t>10.1</t>
  </si>
  <si>
    <t>27*</t>
  </si>
  <si>
    <t>Stichococcus bacillaris</t>
  </si>
  <si>
    <t>724.4</t>
  </si>
  <si>
    <t>Scenedesmus subspicatus</t>
  </si>
  <si>
    <t>767.4</t>
  </si>
  <si>
    <t>Parachlorella kessleri</t>
  </si>
  <si>
    <t>2305.2</t>
  </si>
  <si>
    <t>Scenedesmus quadricauda</t>
  </si>
  <si>
    <t>812.8</t>
  </si>
  <si>
    <t>797.8</t>
  </si>
  <si>
    <t>Chlamydomonas reinhardtii</t>
  </si>
  <si>
    <t>2171.5</t>
  </si>
  <si>
    <t>Gillespie,W.B.J., W.B. Hawkins, J.H.,Jr. Rodgers, M.L. Cano, and P.B. Dorn</t>
  </si>
  <si>
    <t>6-7</t>
  </si>
  <si>
    <t>60-80</t>
  </si>
  <si>
    <t>6-9 mg/L</t>
  </si>
  <si>
    <t>500</t>
  </si>
  <si>
    <t>Stubblefield,W.A., B.L. Steadman, T.W. La Point, and H.L. Bergman</t>
  </si>
  <si>
    <t>7.2-8.3</t>
  </si>
  <si>
    <t>280</t>
  </si>
  <si>
    <t>216</t>
  </si>
  <si>
    <t>7.7 mg/L</t>
  </si>
  <si>
    <t>AD</t>
  </si>
  <si>
    <t>~1000</t>
  </si>
  <si>
    <t>&gt;3000</t>
  </si>
  <si>
    <t>~2000</t>
  </si>
  <si>
    <t>&gt;6000</t>
  </si>
  <si>
    <t>~5000</t>
  </si>
  <si>
    <t>Laskowski,R., and S.P. Hopkin</t>
  </si>
  <si>
    <t>Helix aspersa</t>
  </si>
  <si>
    <t>MX</t>
  </si>
  <si>
    <t>FCND</t>
  </si>
  <si>
    <t>St.Laurent,D., C. Blaise, P. MacQuarrie, R. Scroggins, and B. Trottier</t>
  </si>
  <si>
    <t>65.4</t>
  </si>
  <si>
    <t>24*</t>
  </si>
  <si>
    <t>52.6</t>
  </si>
  <si>
    <t>Fort,D.J., E.L. Stover, and J.A. Bantle</t>
  </si>
  <si>
    <t>LGTH</t>
  </si>
  <si>
    <t>7-7.5</t>
  </si>
  <si>
    <t>DFRM</t>
  </si>
  <si>
    <t>1250</t>
  </si>
  <si>
    <t>1510</t>
  </si>
  <si>
    <t>5490</t>
  </si>
  <si>
    <t>5140</t>
  </si>
  <si>
    <t>Enserink,E.L., J.L. Maas-Diepeveen, and C.J. Van Leeuwen</t>
  </si>
  <si>
    <t>PCCP</t>
  </si>
  <si>
    <t>570</t>
  </si>
  <si>
    <t>8.1</t>
  </si>
  <si>
    <t>840</t>
  </si>
  <si>
    <t>SURV</t>
  </si>
  <si>
    <t>120</t>
  </si>
  <si>
    <t>IRIN</t>
  </si>
  <si>
    <t>Alsop,D.H., and C.M. Wood</t>
  </si>
  <si>
    <t>3340</t>
  </si>
  <si>
    <t>95*</t>
  </si>
  <si>
    <t>13</t>
  </si>
  <si>
    <t>Chao,M.R., and C.Y. Chen</t>
  </si>
  <si>
    <t>Ince,N.H., N. Dirilgen, I.G. Apikyan, G. Tezcanli, and B. Ustun</t>
  </si>
  <si>
    <t>9600</t>
  </si>
  <si>
    <t>6</t>
  </si>
  <si>
    <t>25-27</t>
  </si>
  <si>
    <t>Pardos,M., C. Benninghoff, and R.L. Thomas</t>
  </si>
  <si>
    <t>96</t>
  </si>
  <si>
    <t>1.6-1.8*</t>
  </si>
  <si>
    <t>mmol/L</t>
  </si>
  <si>
    <t>Paulsson,M., B. Nystrom, and H. Blanck</t>
  </si>
  <si>
    <t>Algae</t>
  </si>
  <si>
    <t>0.41</t>
  </si>
  <si>
    <t>6.1-7.1</t>
  </si>
  <si>
    <t>12-15</t>
  </si>
  <si>
    <t>CHLA</t>
  </si>
  <si>
    <t>0.42</t>
  </si>
  <si>
    <t>PSYN</t>
  </si>
  <si>
    <t>0.17</t>
  </si>
  <si>
    <t>DBMS</t>
  </si>
  <si>
    <t>0.15</t>
  </si>
  <si>
    <t>INDX</t>
  </si>
  <si>
    <t>1.8</t>
  </si>
  <si>
    <t>Sunahara,G.I., S. Dodard, M. Sarrazin, L. Paquet, G. Ampleman, S. Thiboutot, J. Hawari, and A.Y. Renoux</t>
  </si>
  <si>
    <t>4</t>
  </si>
  <si>
    <t>825000</t>
  </si>
  <si>
    <t>Ye,Z., A.J.M. Baker, M.H. Wong, and A.J. Willis</t>
  </si>
  <si>
    <t>Typha latifolia</t>
  </si>
  <si>
    <t>SL</t>
  </si>
  <si>
    <t>5.5</t>
  </si>
  <si>
    <t>15-22</t>
  </si>
  <si>
    <t>DWGT</t>
  </si>
  <si>
    <t>Abd-el-Monem,H.M., M.G. Corradi, and G. Gorbi</t>
  </si>
  <si>
    <t>Scenedesmus acutus</t>
  </si>
  <si>
    <t>LOEL</t>
  </si>
  <si>
    <t>Oreochromis niloticus</t>
  </si>
  <si>
    <t>Balch,G.C., R.D. Evans, P. Welbourn, and R. Prairie</t>
  </si>
  <si>
    <t>Hydropsyche betteni</t>
  </si>
  <si>
    <t>GAIN</t>
  </si>
  <si>
    <t>10700</t>
  </si>
  <si>
    <t>6.1-6.2</t>
  </si>
  <si>
    <t>11</t>
  </si>
  <si>
    <t>7.4-10.8 mg/L</t>
  </si>
  <si>
    <t>42100</t>
  </si>
  <si>
    <t>5400</t>
  </si>
  <si>
    <t>NOEL</t>
  </si>
  <si>
    <t>Katiyar,S.K.</t>
  </si>
  <si>
    <t>&lt;4.2</t>
  </si>
  <si>
    <t>8.9</t>
  </si>
  <si>
    <t>10.47-10.7 mg/L</t>
  </si>
  <si>
    <t>10.7</t>
  </si>
  <si>
    <t>25*</t>
  </si>
  <si>
    <t>Roshon,R.D., and G.R. Stephenson</t>
  </si>
  <si>
    <t>Myriophyllum sibiricum</t>
  </si>
  <si>
    <t>RLGR</t>
  </si>
  <si>
    <t>48000</t>
  </si>
  <si>
    <t>20-25</t>
  </si>
  <si>
    <t>36200</t>
  </si>
  <si>
    <t>NROT</t>
  </si>
  <si>
    <t>38600</t>
  </si>
  <si>
    <t>27800</t>
  </si>
  <si>
    <t>AREA</t>
  </si>
  <si>
    <t>16900</t>
  </si>
  <si>
    <t>WGHT</t>
  </si>
  <si>
    <t>32400</t>
  </si>
  <si>
    <t>16700</t>
  </si>
  <si>
    <t>8200</t>
  </si>
  <si>
    <t>11200</t>
  </si>
  <si>
    <t>23100</t>
  </si>
  <si>
    <t>66800</t>
  </si>
  <si>
    <t>38300</t>
  </si>
  <si>
    <t>13300</t>
  </si>
  <si>
    <t>13200</t>
  </si>
  <si>
    <t>28500</t>
  </si>
  <si>
    <t>29500</t>
  </si>
  <si>
    <t>17800</t>
  </si>
  <si>
    <t>14700</t>
  </si>
  <si>
    <t>8520</t>
  </si>
  <si>
    <t>68100</t>
  </si>
  <si>
    <t>17040</t>
  </si>
  <si>
    <t>34070</t>
  </si>
  <si>
    <t>13600</t>
  </si>
  <si>
    <t>4260</t>
  </si>
  <si>
    <t>6800</t>
  </si>
  <si>
    <t>&lt;4260</t>
  </si>
  <si>
    <t>TA</t>
  </si>
  <si>
    <t>80</t>
  </si>
  <si>
    <t>27</t>
  </si>
  <si>
    <t>Slabbert,J.L., and E.A. Venter</t>
  </si>
  <si>
    <t>Abdel-Sabour,M.F., A.S. Ismail, and R.M. Radwan</t>
  </si>
  <si>
    <t>Eichhornia crassipes</t>
  </si>
  <si>
    <t>50000</t>
  </si>
  <si>
    <t>Muyssen,B.T.A., and C.R. Janssen</t>
  </si>
  <si>
    <t>153</t>
  </si>
  <si>
    <t>138</t>
  </si>
  <si>
    <t>39</t>
  </si>
  <si>
    <t>Holdway,D.A., K. Lok, and M. Semaan</t>
  </si>
  <si>
    <t>Hydra viridissima</t>
  </si>
  <si>
    <t>Cnidaria</t>
  </si>
  <si>
    <t>75</t>
  </si>
  <si>
    <t>7.25-7.53</t>
  </si>
  <si>
    <t>19-20</t>
  </si>
  <si>
    <t>22.5-24.5</t>
  </si>
  <si>
    <t>7.72-9.44 mg/L</t>
  </si>
  <si>
    <t>Hydra vulgaris</t>
  </si>
  <si>
    <t>&lt;250</t>
  </si>
  <si>
    <t>38</t>
  </si>
  <si>
    <t>Muyssen,B.T.A., C.R. Janssen, and B.T.A. Bossuyt</t>
  </si>
  <si>
    <t>NRPR</t>
  </si>
  <si>
    <t>190*</t>
  </si>
  <si>
    <t>Paulsson,M., V. Mansson, and H. Blanck</t>
  </si>
  <si>
    <t>0.07</t>
  </si>
  <si>
    <t>7.1-7.2</t>
  </si>
  <si>
    <t>21-23</t>
  </si>
  <si>
    <t>PROG</t>
  </si>
  <si>
    <t>450</t>
  </si>
  <si>
    <t>90*</t>
  </si>
  <si>
    <t>MPH</t>
  </si>
  <si>
    <t>300</t>
  </si>
  <si>
    <t>Ivorra,N., J. Hettelaar, M.H.S. Kraak, S. Sabater, and W. Admiraal</t>
  </si>
  <si>
    <t>957000</t>
  </si>
  <si>
    <t>7.3-7.6</t>
  </si>
  <si>
    <t>Heijerick,D.G., K.A.C. De Schamphelaere, and C.R. Janssen</t>
  </si>
  <si>
    <t>6.8</t>
  </si>
  <si>
    <t>7.5</t>
  </si>
  <si>
    <t>7.8</t>
  </si>
  <si>
    <t>7.6</t>
  </si>
  <si>
    <t>7.3</t>
  </si>
  <si>
    <t>7.65</t>
  </si>
  <si>
    <t>Einicker-Lamas,M., G.A. Mezian, T.B. Fernandes, F.L.S. Silva, F. Guerra, K. Miranda, M. Attias, and M.M. Oliveira</t>
  </si>
  <si>
    <t>Euglena gracilis</t>
  </si>
  <si>
    <t>Euglenophycota</t>
  </si>
  <si>
    <t>Borgmann,U., and W.P. Norwood</t>
  </si>
  <si>
    <t>Hyalella azteca</t>
  </si>
  <si>
    <t>LC25</t>
  </si>
  <si>
    <t>3.29</t>
  </si>
  <si>
    <t>7.9-8.6</t>
  </si>
  <si>
    <t>90</t>
  </si>
  <si>
    <t>3.28</t>
  </si>
  <si>
    <t>2.61</t>
  </si>
  <si>
    <t>Ye,Z.H., A.J.M. Baker, M.H. Wong, and A.J. Willis</t>
  </si>
  <si>
    <t>ED50</t>
  </si>
  <si>
    <t>2570</t>
  </si>
  <si>
    <t>2760</t>
  </si>
  <si>
    <t>3290</t>
  </si>
  <si>
    <t>Ronco,A., C. Sobrero, V. Grassi, L. Kaminski, L. Massolo, and L. Mina</t>
  </si>
  <si>
    <t>Franklin,N.M., J.L. Stauber, R.P. Lim, and P. Petocz</t>
  </si>
  <si>
    <t>Chlorella sp.</t>
  </si>
  <si>
    <t>54*</t>
  </si>
  <si>
    <t>1.4</t>
  </si>
  <si>
    <t>1.3</t>
  </si>
  <si>
    <t>0.57</t>
  </si>
  <si>
    <t>0.31</t>
  </si>
  <si>
    <t>Woodling,J., S. Brinkman, and S. Albeke</t>
  </si>
  <si>
    <t>Cottus bairdi</t>
  </si>
  <si>
    <t>YY</t>
  </si>
  <si>
    <t>7.4-7.7</t>
  </si>
  <si>
    <t>42.8-49.8</t>
  </si>
  <si>
    <t>34.6-37.8</t>
  </si>
  <si>
    <t>11.2-12.5</t>
  </si>
  <si>
    <t>8.4-9.3 mg/L</t>
  </si>
  <si>
    <t>Nguyen,L.T.H., and C.R. Janssen</t>
  </si>
  <si>
    <t>BL</t>
  </si>
  <si>
    <t>2100</t>
  </si>
  <si>
    <t>7.2</t>
  </si>
  <si>
    <t>200</t>
  </si>
  <si>
    <t>8.3 mg/L</t>
  </si>
  <si>
    <t>1400</t>
  </si>
  <si>
    <t>&gt;2800</t>
  </si>
  <si>
    <t>HTCH</t>
  </si>
  <si>
    <t>2800</t>
  </si>
  <si>
    <t>Eisentraeger,A., W. Dott, J. Klein, and S. Hahn</t>
  </si>
  <si>
    <t>Desmodesmus subspicatus</t>
  </si>
  <si>
    <t>680</t>
  </si>
  <si>
    <t>640</t>
  </si>
  <si>
    <t>1020</t>
  </si>
  <si>
    <t>1540</t>
  </si>
  <si>
    <t>Geis,S.W., K. Fleming, A. Mager, and L. Reynolds</t>
  </si>
  <si>
    <t>1010</t>
  </si>
  <si>
    <t>Graff,L., P. Isnard, P. Cellier, J. Bastide, J.P. Cambon, J.F. Narbonne, H. Budzinski, and P. Vasseur</t>
  </si>
  <si>
    <t>56</t>
  </si>
  <si>
    <t>8.2</t>
  </si>
  <si>
    <t>Heijerick,D.G., C.R. Janssen, and W.M. De Coen</t>
  </si>
  <si>
    <t>423</t>
  </si>
  <si>
    <t>240</t>
  </si>
  <si>
    <t>8</t>
  </si>
  <si>
    <t>370</t>
  </si>
  <si>
    <t>634</t>
  </si>
  <si>
    <t>8.5</t>
  </si>
  <si>
    <t>308</t>
  </si>
  <si>
    <t>7.25</t>
  </si>
  <si>
    <t>445</t>
  </si>
  <si>
    <t>341</t>
  </si>
  <si>
    <t>6.5</t>
  </si>
  <si>
    <t>331</t>
  </si>
  <si>
    <t>328</t>
  </si>
  <si>
    <t>502</t>
  </si>
  <si>
    <t>394</t>
  </si>
  <si>
    <t>179</t>
  </si>
  <si>
    <t>2</t>
  </si>
  <si>
    <t>991</t>
  </si>
  <si>
    <t>233</t>
  </si>
  <si>
    <t>110</t>
  </si>
  <si>
    <t>313</t>
  </si>
  <si>
    <t>911</t>
  </si>
  <si>
    <t>114</t>
  </si>
  <si>
    <t>277</t>
  </si>
  <si>
    <t>557</t>
  </si>
  <si>
    <t>1019</t>
  </si>
  <si>
    <t>346</t>
  </si>
  <si>
    <t>465</t>
  </si>
  <si>
    <t>476</t>
  </si>
  <si>
    <t>245</t>
  </si>
  <si>
    <t>688</t>
  </si>
  <si>
    <t>823</t>
  </si>
  <si>
    <t>644</t>
  </si>
  <si>
    <t>555</t>
  </si>
  <si>
    <t>207</t>
  </si>
  <si>
    <t>269</t>
  </si>
  <si>
    <t>828</t>
  </si>
  <si>
    <t>413</t>
  </si>
  <si>
    <t>350</t>
  </si>
  <si>
    <t>610</t>
  </si>
  <si>
    <t>209</t>
  </si>
  <si>
    <t>630</t>
  </si>
  <si>
    <t>320</t>
  </si>
  <si>
    <t>575</t>
  </si>
  <si>
    <t>Tripathi,B.N., S.K. Mehta, and J.P. Gaur</t>
  </si>
  <si>
    <t>Anabaena doliolum</t>
  </si>
  <si>
    <t>2.5</t>
  </si>
  <si>
    <t>Fargasova,A.</t>
  </si>
  <si>
    <t>7.18</t>
  </si>
  <si>
    <t>Wu,F.Y., and E.J. Sun</t>
  </si>
  <si>
    <t>Ipomoea aquatica</t>
  </si>
  <si>
    <t>HGHT</t>
  </si>
  <si>
    <t>15000</t>
  </si>
  <si>
    <t>NNOD</t>
  </si>
  <si>
    <t>Roshon,R.D.</t>
  </si>
  <si>
    <t>58200</t>
  </si>
  <si>
    <t>20000</t>
  </si>
  <si>
    <t>37300</t>
  </si>
  <si>
    <t>66200</t>
  </si>
  <si>
    <t>46800</t>
  </si>
  <si>
    <t>62300</t>
  </si>
  <si>
    <t>76600</t>
  </si>
  <si>
    <t>39200</t>
  </si>
  <si>
    <t>130700</t>
  </si>
  <si>
    <t>71300</t>
  </si>
  <si>
    <t>52800</t>
  </si>
  <si>
    <t>68150</t>
  </si>
  <si>
    <t>Mouneyrac,C., O. Mastain, J.C. Amiard, C. Amiard-Triquet, P. Beaunier, A.Y. Jeantet, B.D. Smith, and P.S. Rainbow</t>
  </si>
  <si>
    <t>Hediste diversicolor</t>
  </si>
  <si>
    <t>Worms</t>
  </si>
  <si>
    <t>&gt;0-&lt;100</t>
  </si>
  <si>
    <t>&gt;100-&lt;200</t>
  </si>
  <si>
    <t>Kaur,M., A.S. Ahluwalia, and S. Chaudhary</t>
  </si>
  <si>
    <t>LD50</t>
  </si>
  <si>
    <t>Olaveson,M.M., and C. Nalewajko</t>
  </si>
  <si>
    <t>2.7</t>
  </si>
  <si>
    <t>Euglena mutabilis</t>
  </si>
  <si>
    <t>Nishikawa,K., and N. Tominaga</t>
  </si>
  <si>
    <t>Chlamydomonas acidophila</t>
  </si>
  <si>
    <t>1710</t>
  </si>
  <si>
    <t>Wong,C.K., and A.P. Pak</t>
  </si>
  <si>
    <t>Mesocyclops pehpeiensis</t>
  </si>
  <si>
    <t>NU</t>
  </si>
  <si>
    <t>378</t>
  </si>
  <si>
    <t>115</t>
  </si>
  <si>
    <t>121</t>
  </si>
  <si>
    <t>124</t>
  </si>
  <si>
    <t>174</t>
  </si>
  <si>
    <t>139</t>
  </si>
  <si>
    <t>173</t>
  </si>
  <si>
    <t>148</t>
  </si>
  <si>
    <t>123</t>
  </si>
  <si>
    <t>91</t>
  </si>
  <si>
    <t>145</t>
  </si>
  <si>
    <t>112</t>
  </si>
  <si>
    <t>YO</t>
  </si>
  <si>
    <t>7.39</t>
  </si>
  <si>
    <t>Maage,A., and K. Julshamn</t>
  </si>
  <si>
    <t>9-12</t>
  </si>
  <si>
    <t>Mahar,A.M., and M.C. Watzin</t>
  </si>
  <si>
    <t>122</t>
  </si>
  <si>
    <t>60*-68*</t>
  </si>
  <si>
    <t>Kamaya,Y., T. Takada, and K. Suzuki</t>
  </si>
  <si>
    <t>62</t>
  </si>
  <si>
    <t>7.45</t>
  </si>
  <si>
    <t>47.7</t>
  </si>
  <si>
    <t>44.8</t>
  </si>
  <si>
    <t>47.8</t>
  </si>
  <si>
    <t>De Schamphelaere,K.A.C., and C.R. Janssen</t>
  </si>
  <si>
    <t>67.9</t>
  </si>
  <si>
    <t>7.73</t>
  </si>
  <si>
    <t>73.6</t>
  </si>
  <si>
    <t>7.58</t>
  </si>
  <si>
    <t>7.79</t>
  </si>
  <si>
    <t>83.2</t>
  </si>
  <si>
    <t>7.49</t>
  </si>
  <si>
    <t>34.5</t>
  </si>
  <si>
    <t>7.61</t>
  </si>
  <si>
    <t>99.1</t>
  </si>
  <si>
    <t>6.7</t>
  </si>
  <si>
    <t>171</t>
  </si>
  <si>
    <t>337</t>
  </si>
  <si>
    <t>7.68</t>
  </si>
  <si>
    <t>312</t>
  </si>
  <si>
    <t>5.68</t>
  </si>
  <si>
    <t>7.74</t>
  </si>
  <si>
    <t>38.4</t>
  </si>
  <si>
    <t>7.87</t>
  </si>
  <si>
    <t>46.1</t>
  </si>
  <si>
    <t>1860</t>
  </si>
  <si>
    <t>361</t>
  </si>
  <si>
    <t>1240</t>
  </si>
  <si>
    <t>282</t>
  </si>
  <si>
    <t>177</t>
  </si>
  <si>
    <t>802</t>
  </si>
  <si>
    <t>151</t>
  </si>
  <si>
    <t>759</t>
  </si>
  <si>
    <t>583</t>
  </si>
  <si>
    <t>108</t>
  </si>
  <si>
    <t>212</t>
  </si>
  <si>
    <t>339</t>
  </si>
  <si>
    <t>159</t>
  </si>
  <si>
    <t>224</t>
  </si>
  <si>
    <t>368</t>
  </si>
  <si>
    <t>2310</t>
  </si>
  <si>
    <t>665</t>
  </si>
  <si>
    <t>GGRT</t>
  </si>
  <si>
    <t>&gt;1280</t>
  </si>
  <si>
    <t>&gt;1530</t>
  </si>
  <si>
    <t>7.54</t>
  </si>
  <si>
    <t>&gt;375</t>
  </si>
  <si>
    <t>256</t>
  </si>
  <si>
    <t>1670</t>
  </si>
  <si>
    <t>&gt;1380</t>
  </si>
  <si>
    <t>338</t>
  </si>
  <si>
    <t>371</t>
  </si>
  <si>
    <t>&gt;800</t>
  </si>
  <si>
    <t>&gt;538</t>
  </si>
  <si>
    <t>356</t>
  </si>
  <si>
    <t>351</t>
  </si>
  <si>
    <t>166</t>
  </si>
  <si>
    <t>117</t>
  </si>
  <si>
    <t>&gt;1670</t>
  </si>
  <si>
    <t>345</t>
  </si>
  <si>
    <t>&gt;1020</t>
  </si>
  <si>
    <t>&gt;1410</t>
  </si>
  <si>
    <t>&gt;371</t>
  </si>
  <si>
    <t>&gt;1740</t>
  </si>
  <si>
    <t>&gt;3580</t>
  </si>
  <si>
    <t>363</t>
  </si>
  <si>
    <t>538</t>
  </si>
  <si>
    <t>162</t>
  </si>
  <si>
    <t>90.3</t>
  </si>
  <si>
    <t>401</t>
  </si>
  <si>
    <t>45.4</t>
  </si>
  <si>
    <t>157</t>
  </si>
  <si>
    <t>786</t>
  </si>
  <si>
    <t>974</t>
  </si>
  <si>
    <t>95.1</t>
  </si>
  <si>
    <t>165</t>
  </si>
  <si>
    <t>78.9</t>
  </si>
  <si>
    <t>48</t>
  </si>
  <si>
    <t>De Schamphelaere,K.A.C., S. Lofts, and C.R. Janssen</t>
  </si>
  <si>
    <t>109</t>
  </si>
  <si>
    <t>6.26</t>
  </si>
  <si>
    <t>5.23</t>
  </si>
  <si>
    <t>2.48</t>
  </si>
  <si>
    <t>78.5</t>
  </si>
  <si>
    <t>6.43</t>
  </si>
  <si>
    <t>13.9</t>
  </si>
  <si>
    <t>5.75</t>
  </si>
  <si>
    <t>136</t>
  </si>
  <si>
    <t>7.42</t>
  </si>
  <si>
    <t>98.7</t>
  </si>
  <si>
    <t>563</t>
  </si>
  <si>
    <t>5.7</t>
  </si>
  <si>
    <t>2.24</t>
  </si>
  <si>
    <t>2.62</t>
  </si>
  <si>
    <t>27.3</t>
  </si>
  <si>
    <t>8.01</t>
  </si>
  <si>
    <t>94.1</t>
  </si>
  <si>
    <t>1480</t>
  </si>
  <si>
    <t>861</t>
  </si>
  <si>
    <t>106</t>
  </si>
  <si>
    <t>347</t>
  </si>
  <si>
    <t>246</t>
  </si>
  <si>
    <t>2050</t>
  </si>
  <si>
    <t>713</t>
  </si>
  <si>
    <t>186</t>
  </si>
  <si>
    <t>105</t>
  </si>
  <si>
    <t>&lt;52.6</t>
  </si>
  <si>
    <t>358</t>
  </si>
  <si>
    <t>72.9</t>
  </si>
  <si>
    <t>228</t>
  </si>
  <si>
    <t>59.2</t>
  </si>
  <si>
    <t>125</t>
  </si>
  <si>
    <t>387</t>
  </si>
  <si>
    <t>12.3</t>
  </si>
  <si>
    <t>126</t>
  </si>
  <si>
    <t>127</t>
  </si>
  <si>
    <t>92.7</t>
  </si>
  <si>
    <t>13.6</t>
  </si>
  <si>
    <t>265</t>
  </si>
  <si>
    <t>196</t>
  </si>
  <si>
    <t>33.2</t>
  </si>
  <si>
    <t>536</t>
  </si>
  <si>
    <t>299</t>
  </si>
  <si>
    <t>473</t>
  </si>
  <si>
    <t>242</t>
  </si>
  <si>
    <t>155</t>
  </si>
  <si>
    <t>62.6</t>
  </si>
  <si>
    <t>143</t>
  </si>
  <si>
    <t>491</t>
  </si>
  <si>
    <t>251</t>
  </si>
  <si>
    <t>94.5</t>
  </si>
  <si>
    <t>244</t>
  </si>
  <si>
    <t>72.7</t>
  </si>
  <si>
    <t>259</t>
  </si>
  <si>
    <t>6.15</t>
  </si>
  <si>
    <t>1.7</t>
  </si>
  <si>
    <t>902</t>
  </si>
  <si>
    <t>7.76</t>
  </si>
  <si>
    <t>49.1</t>
  </si>
  <si>
    <t>578</t>
  </si>
  <si>
    <t>8.13</t>
  </si>
  <si>
    <t>68.5</t>
  </si>
  <si>
    <t>185</t>
  </si>
  <si>
    <t>17.1</t>
  </si>
  <si>
    <t>219</t>
  </si>
  <si>
    <t>7.08</t>
  </si>
  <si>
    <t>14.3</t>
  </si>
  <si>
    <t>1970</t>
  </si>
  <si>
    <t>1850</t>
  </si>
  <si>
    <t>582</t>
  </si>
  <si>
    <t>406</t>
  </si>
  <si>
    <t>GRRT</t>
  </si>
  <si>
    <t>324</t>
  </si>
  <si>
    <t>199</t>
  </si>
  <si>
    <t>771</t>
  </si>
  <si>
    <t>696</t>
  </si>
  <si>
    <t>Brinkman,S., and J. Woodling</t>
  </si>
  <si>
    <t>266</t>
  </si>
  <si>
    <t>8.2 mg/L</t>
  </si>
  <si>
    <t>379</t>
  </si>
  <si>
    <t>255</t>
  </si>
  <si>
    <t>172</t>
  </si>
  <si>
    <t>Brown,R.J., S.D. Rundle, T.H. Hutchinson, T.D. Williams, and M.B. Jones</t>
  </si>
  <si>
    <t>Bryocamptus zschokkei</t>
  </si>
  <si>
    <t>480</t>
  </si>
  <si>
    <t>Poleo,A.B.S., J. Schjolden, H. Hansen, T.A. Bakke, T.A. Mo, B.O. Rosseland, and E. Lydersen</t>
  </si>
  <si>
    <t>Gyrodactylus salaris</t>
  </si>
  <si>
    <t>Platyhelminthes</t>
  </si>
  <si>
    <t>63</t>
  </si>
  <si>
    <t>6.52-6.57</t>
  </si>
  <si>
    <t>52.3*</t>
  </si>
  <si>
    <t>6-10</t>
  </si>
  <si>
    <t>mg/dm3</t>
  </si>
  <si>
    <t>19-22</t>
  </si>
  <si>
    <t>~7 mg/dm3</t>
  </si>
  <si>
    <t>SMIX</t>
  </si>
  <si>
    <t>Saxena,S., and H. Chaturvedi</t>
  </si>
  <si>
    <t>Bufo fergusonii</t>
  </si>
  <si>
    <t>30-32</t>
  </si>
  <si>
    <t>Bat,L., A. Guendogdu, M. Akbulut, M. Culha, and H.H. Satilmis</t>
  </si>
  <si>
    <t>35000</t>
  </si>
  <si>
    <t>70 % Sat</t>
  </si>
  <si>
    <t>18000</t>
  </si>
  <si>
    <t>25000</t>
  </si>
  <si>
    <t>9000</t>
  </si>
  <si>
    <t>Martin-Diaz,M.L., S.R. Tuberty, C.L.,Jr. McKenney, D. Sales, and T.A. Del Valls</t>
  </si>
  <si>
    <t>Procambarus clarkii</t>
  </si>
  <si>
    <t>IT</t>
  </si>
  <si>
    <t>OOCY</t>
  </si>
  <si>
    <t>3000</t>
  </si>
  <si>
    <t>Awasthi,M., and D.N. Das</t>
  </si>
  <si>
    <t>0.75</t>
  </si>
  <si>
    <t>FI</t>
  </si>
  <si>
    <t>Rai,L.C., A.K. Singh, and N. Mallick</t>
  </si>
  <si>
    <t>LC100</t>
  </si>
  <si>
    <t>2000</t>
  </si>
  <si>
    <t>Davies,P.H., and S. Brinkman</t>
  </si>
  <si>
    <t>Salmo trutta</t>
  </si>
  <si>
    <t>645</t>
  </si>
  <si>
    <t>7.21</t>
  </si>
  <si>
    <t>11.9</t>
  </si>
  <si>
    <t>9.11 mg/L</t>
  </si>
  <si>
    <t>FY</t>
  </si>
  <si>
    <t>457</t>
  </si>
  <si>
    <t>Tripathi,B.N., S.K. Mehta, A. Amar, and J.P. Gaur</t>
  </si>
  <si>
    <t>Scenedesmus sp.</t>
  </si>
  <si>
    <t>Gheorghiu,C., J. Cable, D.J. Marcogliese, and M.E. Scott</t>
  </si>
  <si>
    <t>Gyrodactylus turnbulli</t>
  </si>
  <si>
    <t>WDTH</t>
  </si>
  <si>
    <t>DMTR</t>
  </si>
  <si>
    <t>TFPG</t>
  </si>
  <si>
    <t>LFSP</t>
  </si>
  <si>
    <t>TPRG</t>
  </si>
  <si>
    <t>Mebane,C.A., D.P. Hennessy, and F.S. Dillon</t>
  </si>
  <si>
    <t>147</t>
  </si>
  <si>
    <t>6.75</t>
  </si>
  <si>
    <t>19.6</t>
  </si>
  <si>
    <t>9.8</t>
  </si>
  <si>
    <t>10.2 mg/L</t>
  </si>
  <si>
    <t>88</t>
  </si>
  <si>
    <t>EC20</t>
  </si>
  <si>
    <t>&gt;362</t>
  </si>
  <si>
    <t>365</t>
  </si>
  <si>
    <t>279</t>
  </si>
  <si>
    <t>&lt;117</t>
  </si>
  <si>
    <t>214</t>
  </si>
  <si>
    <t>Wilde,K.L., J.L. Stauber, S.J. Markich, N.M. Franklin, and P.L. Brown</t>
  </si>
  <si>
    <t>40-48</t>
  </si>
  <si>
    <t>970</t>
  </si>
  <si>
    <t>2700</t>
  </si>
  <si>
    <t>1680</t>
  </si>
  <si>
    <t>5.9</t>
  </si>
  <si>
    <t>93</t>
  </si>
  <si>
    <t>Moran,B.M., and M.L. Otte</t>
  </si>
  <si>
    <t>Glyceria fluitans</t>
  </si>
  <si>
    <t>10-30</t>
  </si>
  <si>
    <t>Lazorchak,J.M., and M.E. Smith</t>
  </si>
  <si>
    <t>Salvelinus fontinalis</t>
  </si>
  <si>
    <t>350-652</t>
  </si>
  <si>
    <t>&gt;=40 % Sat</t>
  </si>
  <si>
    <t>181</t>
  </si>
  <si>
    <t>735-1000</t>
  </si>
  <si>
    <t>311.9</t>
  </si>
  <si>
    <t>500-2000</t>
  </si>
  <si>
    <t>250-1000</t>
  </si>
  <si>
    <t>125-500</t>
  </si>
  <si>
    <t>258.4</t>
  </si>
  <si>
    <t>68-258</t>
  </si>
  <si>
    <t>378.9</t>
  </si>
  <si>
    <t>91-380</t>
  </si>
  <si>
    <t>125-250</t>
  </si>
  <si>
    <t>62.5-250</t>
  </si>
  <si>
    <t>62.5-125</t>
  </si>
  <si>
    <t>Besser,J.M., C.A. Mebane, D.R. Mount, C.D. Ivey, J.L. Kunz, I.E. Greer, T.W. May, and C.G. Ingersoll</t>
  </si>
  <si>
    <t>272</t>
  </si>
  <si>
    <t>7.89-8.78</t>
  </si>
  <si>
    <t>92-110</t>
  </si>
  <si>
    <t>72-110</t>
  </si>
  <si>
    <t>15-21.2</t>
  </si>
  <si>
    <t>8.5-10.3 mg/L</t>
  </si>
  <si>
    <t>7.84-8.46</t>
  </si>
  <si>
    <t>100-108</t>
  </si>
  <si>
    <t>86-95</t>
  </si>
  <si>
    <t>17.7-19.9</t>
  </si>
  <si>
    <t>7.8-9.8 mg/L</t>
  </si>
  <si>
    <t>231</t>
  </si>
  <si>
    <t>37</t>
  </si>
  <si>
    <t>SU</t>
  </si>
  <si>
    <t>504</t>
  </si>
  <si>
    <t>Gray,H.M.</t>
  </si>
  <si>
    <t>Nephelopsis obscura</t>
  </si>
  <si>
    <t>100 % Sat</t>
  </si>
  <si>
    <t>6400</t>
  </si>
  <si>
    <t>Brinkman,S.F., and W.D. Johnston</t>
  </si>
  <si>
    <t>Rhithrogena hageni</t>
  </si>
  <si>
    <t>NY</t>
  </si>
  <si>
    <t>10800</t>
  </si>
  <si>
    <t>7.77</t>
  </si>
  <si>
    <t>39.9</t>
  </si>
  <si>
    <t>MOLT</t>
  </si>
  <si>
    <t>5300</t>
  </si>
  <si>
    <t>Drost,W., M. Matzke, and T. Backhaus</t>
  </si>
  <si>
    <t>NLEF</t>
  </si>
  <si>
    <t>1026.4</t>
  </si>
  <si>
    <t>68</t>
  </si>
  <si>
    <t>Le Faucheur,S., F. Schildknecht, R. Behra, and L. Sigg</t>
  </si>
  <si>
    <t>Chlorella fusca var. vacuolata</t>
  </si>
  <si>
    <t>98</t>
  </si>
  <si>
    <t>Paixao,S.M., L. Silva, A. Fernandez, K. O'Rourke, E. Mendonca, and A. Picado</t>
  </si>
  <si>
    <t>Poynton,H.C., J.R. Varshavsky, B. Chang, G. Cavigiolio, S. Chan, P.S. Holman, A.V. Loguinov, D.J. Bauer, K. Komachi, E.C</t>
  </si>
  <si>
    <t>IN</t>
  </si>
  <si>
    <t>7.7-8.1</t>
  </si>
  <si>
    <t>125-140</t>
  </si>
  <si>
    <t>69-78</t>
  </si>
  <si>
    <t>22.9-23.5</t>
  </si>
  <si>
    <t>7.7-8.5 mg/L</t>
  </si>
  <si>
    <t>Gouvea,S.P., G.L. Boyer, and M.R. Twiss</t>
  </si>
  <si>
    <t>Microcystis aeruginosa</t>
  </si>
  <si>
    <t>22*</t>
  </si>
  <si>
    <t>Oner,M., G. Atli, and M. Canli</t>
  </si>
  <si>
    <t>84</t>
  </si>
  <si>
    <t>85</t>
  </si>
  <si>
    <t>135</t>
  </si>
  <si>
    <t>164</t>
  </si>
  <si>
    <t>170</t>
  </si>
  <si>
    <t>340</t>
  </si>
  <si>
    <t>61</t>
  </si>
  <si>
    <t>Franklin,N.M., N.J. Rogers, S.C. Apte, G.E. Batley, G.E. Gadd, and P.S. Casey</t>
  </si>
  <si>
    <t>9</t>
  </si>
  <si>
    <t>44</t>
  </si>
  <si>
    <t>49</t>
  </si>
  <si>
    <t>46</t>
  </si>
  <si>
    <t>60</t>
  </si>
  <si>
    <t>69</t>
  </si>
  <si>
    <t>Juarez-Franco,M.F., S.S.S. Sarma, and S. Nandini</t>
  </si>
  <si>
    <t>Brachionus havanaensis</t>
  </si>
  <si>
    <t>Rotifera</t>
  </si>
  <si>
    <t>141.94</t>
  </si>
  <si>
    <t>70.96</t>
  </si>
  <si>
    <t>Tripathi,B.N., and J.P. Gaur</t>
  </si>
  <si>
    <t>Diamond,J.M., S.J. Klaine, and J.B. Butcher</t>
  </si>
  <si>
    <t>7.6-7.9</t>
  </si>
  <si>
    <t>58-66</t>
  </si>
  <si>
    <t>400</t>
  </si>
  <si>
    <t>375</t>
  </si>
  <si>
    <t>94-106</t>
  </si>
  <si>
    <t>Lopes-Lima,M., G. Moura, B. Pratoomchat, and J. Machado</t>
  </si>
  <si>
    <t>Anodonta cygnea</t>
  </si>
  <si>
    <t>THIK</t>
  </si>
  <si>
    <t>&gt;1000-&lt;2000</t>
  </si>
  <si>
    <t>Bianchini,A., and C.M. Wood</t>
  </si>
  <si>
    <t>1700</t>
  </si>
  <si>
    <t>Umebese,C.E., and A.F. Motajo</t>
  </si>
  <si>
    <t>Ceratophyllum demersum</t>
  </si>
  <si>
    <t>20-29*</t>
  </si>
  <si>
    <t>Alsop,D.H., S.B. Brown, and G.J. Van der Kraak</t>
  </si>
  <si>
    <t>Montvydiene,D., and D. Marciulioniene</t>
  </si>
  <si>
    <t>Spirodela polyrhiza</t>
  </si>
  <si>
    <t>48600</t>
  </si>
  <si>
    <t>EY</t>
  </si>
  <si>
    <t>191</t>
  </si>
  <si>
    <t>8.32</t>
  </si>
  <si>
    <t>248.6</t>
  </si>
  <si>
    <t>5.96 mg/L</t>
  </si>
  <si>
    <t>Odjegba,V.J., and I.O. Fasidi</t>
  </si>
  <si>
    <t>Poynton,H.C., A.V. Loguinov, J.R. Varshavsky, S. Chan, E.J. Perkins, and C.D. Vulpe</t>
  </si>
  <si>
    <t>&gt;100-&lt;1000</t>
  </si>
  <si>
    <t>69*-78*</t>
  </si>
  <si>
    <t>7.7*-8.5* mg/L</t>
  </si>
  <si>
    <t>Naumann,B., M. Eberius, and K.J. Appenroth</t>
  </si>
  <si>
    <t>17</t>
  </si>
  <si>
    <t>1050</t>
  </si>
  <si>
    <t>909</t>
  </si>
  <si>
    <t>486</t>
  </si>
  <si>
    <t>Johnson,H.L., J.L. Stauber, M.S. Adams, and D.F. Jolley</t>
  </si>
  <si>
    <t>IC10</t>
  </si>
  <si>
    <t>Chaudhary,M.P., and R. Chandra</t>
  </si>
  <si>
    <t>Nostoc muscorum</t>
  </si>
  <si>
    <t>28*</t>
  </si>
  <si>
    <t>Cooper,N.L., J.R. Bidwell, and A. Kumar</t>
  </si>
  <si>
    <t>21.8</t>
  </si>
  <si>
    <t>25.3</t>
  </si>
  <si>
    <t>88.3 % Sat</t>
  </si>
  <si>
    <t>216.4</t>
  </si>
  <si>
    <t>25.1</t>
  </si>
  <si>
    <t>101.1</t>
  </si>
  <si>
    <t>Aruoja,V., H.C. Dubourguier, K. Kasemets, and A. Kahru</t>
  </si>
  <si>
    <t>42</t>
  </si>
  <si>
    <t>Aquatic Toxicology Group</t>
  </si>
  <si>
    <t>NCHG</t>
  </si>
  <si>
    <t>Oncorhynchus sp.</t>
  </si>
  <si>
    <t>VIAB</t>
  </si>
  <si>
    <t>&gt;50 % Sat</t>
  </si>
  <si>
    <t>Oncorhynchus clarkii</t>
  </si>
  <si>
    <t>Brodeur,J.C., C.M. Asorey, A. Sztrum, and J. Herkovits</t>
  </si>
  <si>
    <t>Rhinella arenarum</t>
  </si>
  <si>
    <t>1790</t>
  </si>
  <si>
    <t>1340</t>
  </si>
  <si>
    <t>850</t>
  </si>
  <si>
    <t>2110</t>
  </si>
  <si>
    <t>2600</t>
  </si>
  <si>
    <t>1300</t>
  </si>
  <si>
    <t>LC90</t>
  </si>
  <si>
    <t>3760</t>
  </si>
  <si>
    <t>3320</t>
  </si>
  <si>
    <t>3440</t>
  </si>
  <si>
    <t>Brinkman,S., and N. Vieira</t>
  </si>
  <si>
    <t>Prosopium williamsoni</t>
  </si>
  <si>
    <t>422</t>
  </si>
  <si>
    <t>6.81</t>
  </si>
  <si>
    <t>35.9</t>
  </si>
  <si>
    <t>9.2 mg/L</t>
  </si>
  <si>
    <t>744</t>
  </si>
  <si>
    <t>1507</t>
  </si>
  <si>
    <t>296</t>
  </si>
  <si>
    <t>1059</t>
  </si>
  <si>
    <t>532</t>
  </si>
  <si>
    <t>&gt;422</t>
  </si>
  <si>
    <t>208</t>
  </si>
  <si>
    <t>380</t>
  </si>
  <si>
    <t>Lazorchak,J.M., M.E. Smith, and H.J. Haring</t>
  </si>
  <si>
    <t>94-194</t>
  </si>
  <si>
    <t>Mod Hard</t>
  </si>
  <si>
    <t>177000-250000</t>
  </si>
  <si>
    <t>Atay,S., and H.B. Ozkoc</t>
  </si>
  <si>
    <t>309.816</t>
  </si>
  <si>
    <t>454.762</t>
  </si>
  <si>
    <t>Vardy,D.W., A.R. Tompsett, J.L. Sigurdson, J.A. Doering, X. Zhang, J.P. Giesy, and M. Hecker</t>
  </si>
  <si>
    <t>Acipenser transmontanus</t>
  </si>
  <si>
    <t>EM</t>
  </si>
  <si>
    <t>LC20</t>
  </si>
  <si>
    <t>66</t>
  </si>
  <si>
    <t>102</t>
  </si>
  <si>
    <t>198</t>
  </si>
  <si>
    <t>COND</t>
  </si>
  <si>
    <t>Shuhaimi-Othman,M., Y. Nadzifah, N.S. Umirah, and A.K. Ahmad</t>
  </si>
  <si>
    <t>Duttaphrynus melanostictus</t>
  </si>
  <si>
    <t>28-30</t>
  </si>
  <si>
    <t>6.3 mg/L</t>
  </si>
  <si>
    <t>Basile,A., S. Sorbo, B. Conte, R.C. Cobianchi, F. Trinchella, C. Capasso, and V. Carginale</t>
  </si>
  <si>
    <t>Leptodictyum riparium</t>
  </si>
  <si>
    <t>Bryophyta</t>
  </si>
  <si>
    <t>13-20</t>
  </si>
  <si>
    <t>Elodea canadensis</t>
  </si>
  <si>
    <t>Dvorakova,D., R. Rojickova-Padrtova, and B. Marsalek</t>
  </si>
  <si>
    <t>2910</t>
  </si>
  <si>
    <t>183</t>
  </si>
  <si>
    <t>Barry,M.J.</t>
  </si>
  <si>
    <t>Bufo arabicus</t>
  </si>
  <si>
    <t>SIZE</t>
  </si>
  <si>
    <t>26.32</t>
  </si>
  <si>
    <t>mg/L Mg</t>
  </si>
  <si>
    <t>82</t>
  </si>
  <si>
    <t>&gt;60 %</t>
  </si>
  <si>
    <t>Radic,S., M. Babic, D. Skobic, V. Roje, and B. Pevalek-Kozlina</t>
  </si>
  <si>
    <t>CHLO</t>
  </si>
  <si>
    <t>CARC</t>
  </si>
  <si>
    <t>Ji,J., Z. Long, and D. Lin</t>
  </si>
  <si>
    <t>EC30</t>
  </si>
  <si>
    <t>~20000</t>
  </si>
  <si>
    <t>~100000</t>
  </si>
  <si>
    <t>100000</t>
  </si>
  <si>
    <t>1000000</t>
  </si>
  <si>
    <t>~50000</t>
  </si>
  <si>
    <t>&gt;1000-&lt;10000</t>
  </si>
  <si>
    <t>Li,M., C.Y. Wan, X.J. Pan, Y. Zou, S.Y. Chi, and J.B. Chang</t>
  </si>
  <si>
    <t>PSII</t>
  </si>
  <si>
    <t>91750</t>
  </si>
  <si>
    <t>42980</t>
  </si>
  <si>
    <t>75490</t>
  </si>
  <si>
    <t>14640</t>
  </si>
  <si>
    <t>39500</t>
  </si>
  <si>
    <t>20650</t>
  </si>
  <si>
    <t>57580</t>
  </si>
  <si>
    <t>55740</t>
  </si>
  <si>
    <t>29200</t>
  </si>
  <si>
    <t>94240</t>
  </si>
  <si>
    <t>97810</t>
  </si>
  <si>
    <t>105790</t>
  </si>
  <si>
    <t>48150</t>
  </si>
  <si>
    <t>53830</t>
  </si>
  <si>
    <t>73600</t>
  </si>
  <si>
    <t>23380</t>
  </si>
  <si>
    <t>85040</t>
  </si>
  <si>
    <t>76680</t>
  </si>
  <si>
    <t>Waykar,B., and S.M. Shinde</t>
  </si>
  <si>
    <t>Parreysia cylindrica</t>
  </si>
  <si>
    <t>5100</t>
  </si>
  <si>
    <t>8.35</t>
  </si>
  <si>
    <t>Corbicula striatella</t>
  </si>
  <si>
    <t>Parreysia corrugata</t>
  </si>
  <si>
    <t>Oros,V., and A. Toma</t>
  </si>
  <si>
    <t>5450</t>
  </si>
  <si>
    <t>9420</t>
  </si>
  <si>
    <t>3140</t>
  </si>
  <si>
    <t>Brinkman,S.F., and J.D. Woodling</t>
  </si>
  <si>
    <t>416</t>
  </si>
  <si>
    <t>10.3-14.6</t>
  </si>
  <si>
    <t>&gt;=5.5 mg/L</t>
  </si>
  <si>
    <t>Atay,S., H.B. Ozkoc, and V.R. Uslu</t>
  </si>
  <si>
    <t>Phaeodactylum tricornutum</t>
  </si>
  <si>
    <t>262.484</t>
  </si>
  <si>
    <t>365.824</t>
  </si>
  <si>
    <t>Shuhaimi-Othman,M., and D. Pascoe</t>
  </si>
  <si>
    <t>22.5175</t>
  </si>
  <si>
    <t>&gt;70 % Sat</t>
  </si>
  <si>
    <t>260</t>
  </si>
  <si>
    <t>270</t>
  </si>
  <si>
    <t>Butler,R.</t>
  </si>
  <si>
    <t>Scenedesmus acutus var. acutus</t>
  </si>
  <si>
    <t>8800</t>
  </si>
  <si>
    <t>Concentration      (uM)</t>
  </si>
  <si>
    <t>368.1 pmol/cell</t>
  </si>
  <si>
    <t>423.2 pmol/cell</t>
  </si>
  <si>
    <t>105200 nmol/g</t>
  </si>
  <si>
    <t>Macrophyte</t>
  </si>
  <si>
    <t>Macrophytes</t>
  </si>
  <si>
    <t>1.6667</t>
  </si>
  <si>
    <t>77-112</t>
  </si>
  <si>
    <t>6-21</t>
  </si>
  <si>
    <t>&gt;34</t>
  </si>
  <si>
    <t>72</t>
  </si>
  <si>
    <t>12</t>
  </si>
  <si>
    <t>&lt;28</t>
  </si>
  <si>
    <t>230-320</t>
  </si>
  <si>
    <t>128</t>
  </si>
  <si>
    <t>459</t>
  </si>
  <si>
    <t>232</t>
  </si>
  <si>
    <t>1-15</t>
  </si>
  <si>
    <t>65</t>
  </si>
  <si>
    <t>59</t>
  </si>
  <si>
    <t>5-7</t>
  </si>
  <si>
    <t>243.52</t>
  </si>
  <si>
    <t>&lt;14</t>
  </si>
  <si>
    <t>~60</t>
  </si>
  <si>
    <t>63-65</t>
  </si>
  <si>
    <t>13.75</t>
  </si>
  <si>
    <t>New Ecotox download</t>
  </si>
  <si>
    <t>Bengtsson, B.-E. The effects of zinc on the mortality and reproduction of the minnow,Phoxinus phoxinus L. Archives of Environmental Contamination and Toxicology 2(4): 342-355. &lt;http://dx.doi.org/10.1007/bf02047099&gt;</t>
  </si>
  <si>
    <t>Benoit, D.A.; Holcombe, G.W. (1978). Toxic Effects of Zinc on Fathead Minnows Pimephales-Promelas in Soft-Water. Journal of Fish Biology 13(6): 701-708. &lt;http://dx.doi.org/DOI 10.1111/j.1095-8649.1978.tb03484.x&gt;</t>
  </si>
  <si>
    <t>Birge, W.J.; Black, J.A.; Westerman, A.G.; Hudson, J.E. (1979). Aquatic toxicity tests on inorganic elements occurring in oil shale. In: Gale, C. (ed.). Oil shale symposium: sampling, analysis and quality assurance, pp. 519-531. United States Environmental Protection Agency, EPA-600/9-80-022,</t>
  </si>
  <si>
    <t>Dave, G.; Damgaard, B.; Grande, M.; Martelin, J.E.; Rosander, B.; Viktor, T. (1987). Ring Test of an Embryo-Larval Toxicity Test with Zebrafish (Brachydanio-Rerio) Using Chromium and Zinc as Toxicants. Environmental Toxicology and Chemistry 6(1): 61-71. &lt;http://dx.doi.org/Doi 10.1897/1552-8618(1987)6[61:Rtoaet]2.0.Co;2&gt;</t>
  </si>
  <si>
    <t>Goettl, J.P., Jr.; Davies, P.H.; Sinley, J.R. (1976). Water Pollution Studies. In: Cope, D.B. (ed.). Colorado Fisheries Research Review, pp. 68-75. Colorado Division of Wildlife, Boulder, Colorado.</t>
  </si>
  <si>
    <t>Heijerick, D.G.; De Schamphelaere, K.A.C.; Van Sprang, P.A.; Janssen, C.R. (2005). Development of a chronic zinc biotic ligand model for Daphnia magna. Ecotoxicology and Environmental Safety 62(1): 1-10. &lt;http://dx.doi.org/10.1016/j.ecoenv.2005.03.020&gt;</t>
  </si>
  <si>
    <t>Magliette, R.J.; Doherty, F.G.; McKinney, D.; Venkataramani, E.S. (1995). Need for Environmental Quality Guidelines Based on Ambient Freshwater Quality Criteria in Natural Waters--Case Study Zinc. Bull. Environ. Contam. Toxicol. 54(4): 626-632. &lt;http://dx.doi.org/10.1007/BF00192609&gt;</t>
  </si>
  <si>
    <t>Norberg-King, T.J. (1989). An Evaluation of the Fathead Minnow 7-Day Subchronic Test for Estimating Chronic Toxicity. Environmental Toxicology and Chemistry 8(11): 1075-1089. &lt;http://dx.doi.org/Doi 10.1897/1552-8618(1989)8[1075:Aeotfm]2.0.Co;2&gt;</t>
  </si>
  <si>
    <t>Norberg, T.J.; Mount, D.I. (1985). A New Fathead Minnow (Pimephales-Promelas) Subchronic Toxicity Test. Environmental Toxicology and Chemistry 4(5): 711-718. &lt;http://dx.doi.org/Doi 10.1897/1552-8618(1985)4[711:Anfmpp]2.0.Co;2&gt;</t>
  </si>
  <si>
    <t>Sinley, J.R.; Goettl, J.P., Jr.; Davies, P.H. (1974). The effects of zinc on rainbow trout (Salmo gairdneri) in hard and soft water. Bull Environ Contam Toxicol 12(2): 193-201.</t>
  </si>
  <si>
    <t>MF</t>
  </si>
  <si>
    <t>Phoxinus phoxinus L</t>
  </si>
  <si>
    <t>Embryo-larval</t>
  </si>
  <si>
    <t>6.9-7.8</t>
  </si>
  <si>
    <t>9.3-10.1 mg/l</t>
  </si>
  <si>
    <t>12-13</t>
  </si>
  <si>
    <t>7.1-8.0</t>
  </si>
  <si>
    <t>80-104%</t>
  </si>
  <si>
    <t>??</t>
  </si>
  <si>
    <t>Hatching</t>
  </si>
  <si>
    <t>7.64-8.25</t>
  </si>
  <si>
    <t>6.65-7.34</t>
  </si>
  <si>
    <t>Fry?</t>
  </si>
  <si>
    <t>7-8</t>
  </si>
  <si>
    <t>6-9 mg/l (mean 8)</t>
  </si>
  <si>
    <t>Net reproductive rate</t>
  </si>
  <si>
    <t>Larvae</t>
  </si>
  <si>
    <t>Larval (&lt;24h old)</t>
  </si>
  <si>
    <t>Growth</t>
  </si>
  <si>
    <t>Weight</t>
  </si>
  <si>
    <t>Not sure if this is a NOEC or not</t>
  </si>
  <si>
    <t>44-49</t>
  </si>
  <si>
    <t>42-45</t>
  </si>
  <si>
    <t>&gt;50%</t>
  </si>
  <si>
    <t>Larval</t>
  </si>
  <si>
    <t>Eyed-eggs to adult</t>
  </si>
  <si>
    <t>ZnCl2</t>
  </si>
  <si>
    <t>Conversion from ZnCl2</t>
  </si>
  <si>
    <t>ug/L</t>
  </si>
  <si>
    <t>Zn conc in media was 20-30 ug/L, old but keep for now as long duration</t>
  </si>
  <si>
    <t>6821</t>
  </si>
  <si>
    <t>0331</t>
  </si>
  <si>
    <t>2253</t>
  </si>
  <si>
    <t>5338</t>
  </si>
  <si>
    <t>7991</t>
  </si>
  <si>
    <t>5082</t>
  </si>
  <si>
    <t>1875</t>
  </si>
  <si>
    <t>1098</t>
  </si>
  <si>
    <t>5308</t>
  </si>
  <si>
    <t>6405</t>
  </si>
  <si>
    <t>5411</t>
  </si>
  <si>
    <t>4007</t>
  </si>
  <si>
    <t>2332</t>
  </si>
  <si>
    <t>3256</t>
  </si>
  <si>
    <t>2445</t>
  </si>
  <si>
    <t>4577</t>
  </si>
  <si>
    <t>6779</t>
  </si>
  <si>
    <t>3291</t>
  </si>
  <si>
    <t>DQA score</t>
  </si>
  <si>
    <t>Checker</t>
  </si>
  <si>
    <t>Data use</t>
  </si>
  <si>
    <t>Comment on Tox Stat use</t>
  </si>
  <si>
    <t>Group the same Species</t>
  </si>
  <si>
    <t>EC5</t>
  </si>
  <si>
    <t>EC15</t>
  </si>
  <si>
    <t>Preferential endpoint stats</t>
  </si>
  <si>
    <t>EC1</t>
  </si>
  <si>
    <t>LC5</t>
  </si>
  <si>
    <t>LC15</t>
  </si>
  <si>
    <t>IC1</t>
  </si>
  <si>
    <t>IC5</t>
  </si>
  <si>
    <t>IC15</t>
  </si>
  <si>
    <t>88-96</t>
  </si>
  <si>
    <t>80-90</t>
  </si>
  <si>
    <t>102-110</t>
  </si>
  <si>
    <t>Measured or nominal</t>
  </si>
  <si>
    <t>Markich et al.</t>
  </si>
  <si>
    <t>Franklin,N.M., M.S. Adams, J.L. Stauber, and R.P. Lim</t>
  </si>
  <si>
    <t>Green algae</t>
  </si>
  <si>
    <t>Standard USEPA media without EDTA</t>
  </si>
  <si>
    <t>use as no EC10/NOEC data</t>
  </si>
  <si>
    <t>NZ/Aus study</t>
  </si>
  <si>
    <t>NZ/Aus</t>
  </si>
  <si>
    <t>Lemna sp.</t>
  </si>
  <si>
    <t>DEV</t>
  </si>
  <si>
    <t>Frond production</t>
  </si>
  <si>
    <t>Synthetic water</t>
  </si>
  <si>
    <t>use as no EC10/NOEC data for this study</t>
  </si>
  <si>
    <t>Eskdale 1988 thesis</t>
  </si>
  <si>
    <t>Biomass</t>
  </si>
  <si>
    <t>23-25</t>
  </si>
  <si>
    <t>Potamopyrgus antipodarum</t>
  </si>
  <si>
    <t>mg CaCO3/L</t>
  </si>
  <si>
    <t>Bacher &amp; Obrien 1990</t>
  </si>
  <si>
    <t>Filtered Melbourne tap water</t>
  </si>
  <si>
    <t>Paratya australiensis</t>
  </si>
  <si>
    <t>Conductivity (uS/cm)</t>
  </si>
  <si>
    <t>U</t>
  </si>
  <si>
    <t>Study year</t>
  </si>
  <si>
    <t>ANZECC 2000</t>
  </si>
  <si>
    <t>SM</t>
  </si>
  <si>
    <t>2.05-8.1</t>
  </si>
  <si>
    <t>Authors reported no effect of low DO</t>
  </si>
  <si>
    <t>Don't use these as organisms acclimated in waters with 80ug/L Zn</t>
  </si>
  <si>
    <t>up to 16</t>
  </si>
  <si>
    <t>Fry</t>
  </si>
  <si>
    <t>7.6 (7-8.4)</t>
  </si>
  <si>
    <t>61 (47-79)</t>
  </si>
  <si>
    <t>71 (64-77)</t>
  </si>
  <si>
    <t>9.6 (9.1-10.3)</t>
  </si>
  <si>
    <t>Epeorus latilium</t>
  </si>
  <si>
    <t>Emergence</t>
  </si>
  <si>
    <t>7.9-8.0</t>
  </si>
  <si>
    <t>Filtered Syracuse tap water + hardness</t>
  </si>
  <si>
    <t>180-200</t>
  </si>
  <si>
    <t>Chironomus riparius</t>
  </si>
  <si>
    <t>Timmermans,K.R., W. Peeters, and M. Tonkes</t>
  </si>
  <si>
    <t>Borgmann,U., W.P. Norwood, and C. Clarke</t>
  </si>
  <si>
    <t xml:space="preserve">Davies,P.H.,  S. Brinkman.,D. Hansen </t>
  </si>
  <si>
    <t>7.42 (7.2-7.5)</t>
  </si>
  <si>
    <t>13.1-13.8</t>
  </si>
  <si>
    <t>6.96-9.14</t>
  </si>
  <si>
    <t>WGT</t>
  </si>
  <si>
    <t>endpoint was combined weight of surviving organisms</t>
  </si>
  <si>
    <t>7.59 (7.29-7.8)</t>
  </si>
  <si>
    <t>47.7 (37.8-56.6)</t>
  </si>
  <si>
    <t>10.5-12.4</t>
  </si>
  <si>
    <t>6.9-9.5</t>
  </si>
  <si>
    <t>WEIGHT</t>
  </si>
  <si>
    <t>Length</t>
  </si>
  <si>
    <t>7.6 (7.2-8.0)</t>
  </si>
  <si>
    <t>48.1 (40.4-56)</t>
  </si>
  <si>
    <t>10-13.5</t>
  </si>
  <si>
    <t>6.3-9.7</t>
  </si>
  <si>
    <t>Canadian GV</t>
  </si>
  <si>
    <t>Bufos boreas</t>
  </si>
  <si>
    <t>7.22 (6.59-7.59)</t>
  </si>
  <si>
    <t>17.3-22.2</t>
  </si>
  <si>
    <t>7.7-9.0</t>
  </si>
  <si>
    <t>Gosner stage</t>
  </si>
  <si>
    <t>LH-LA</t>
  </si>
  <si>
    <t>HH-LA</t>
  </si>
  <si>
    <t>LH-HA</t>
  </si>
  <si>
    <t>HH-HA</t>
  </si>
  <si>
    <t>&gt;2598</t>
  </si>
  <si>
    <t xml:space="preserve">Lahive, E.; O'Halloran, J.; Jansen, M.A.K. (2011). Differential sensitivity of four Lemnaceae species to zinc sulphate. Environmental and Experimental Botany 71(1): 25-33. </t>
  </si>
  <si>
    <t>Half-strength Hutners medium</t>
  </si>
  <si>
    <t>4.6-4.8</t>
  </si>
  <si>
    <t>Lemna gibba</t>
  </si>
  <si>
    <t>Landolitia punctata</t>
  </si>
  <si>
    <t>Wolffia brasiliensis</t>
  </si>
  <si>
    <t>Aus species</t>
  </si>
  <si>
    <t>Nebeker</t>
  </si>
  <si>
    <t>Wang, N.; Ingersoll, C.G.; Ivey, C.D.; Hardesty, D.K.; May, T.W.; Augspurger, T.; Roberts, A.D.; van Genderen, E.; Barnhart, M.C.</t>
  </si>
  <si>
    <t>Reconstituted soft water</t>
  </si>
  <si>
    <t>Lampsilis siliquoidea</t>
  </si>
  <si>
    <t>Juvenile (2-mo)</t>
  </si>
  <si>
    <t>Juvenile (4-mo)</t>
  </si>
  <si>
    <t>&lt;24</t>
  </si>
  <si>
    <t>EU RAR / UK TAG</t>
  </si>
  <si>
    <t>Källqvist, T.; Rosseland, B.O.; Hytterød, S.; Kristensen, T</t>
  </si>
  <si>
    <t>Lake Store Sandungen water</t>
  </si>
  <si>
    <t>Eggs to larvae</t>
  </si>
  <si>
    <t>Hatching success</t>
  </si>
  <si>
    <t>Lake Maridalsvann water</t>
  </si>
  <si>
    <t>Australian</t>
  </si>
  <si>
    <t>Hatakeyama,</t>
  </si>
  <si>
    <t>S.</t>
  </si>
  <si>
    <t>Lake Maarsseveen water</t>
  </si>
  <si>
    <t>42-77</t>
  </si>
  <si>
    <t>don't use as insufficient no. of experimental concs</t>
  </si>
  <si>
    <t>Australia-pest</t>
  </si>
  <si>
    <t>No, but are Unionidae</t>
  </si>
  <si>
    <t>Tracheophyta</t>
  </si>
  <si>
    <t>Yes, invasive species</t>
  </si>
  <si>
    <t>Cyanobacteria</t>
  </si>
  <si>
    <t>Blue-green algae</t>
  </si>
  <si>
    <t>Diatoms</t>
  </si>
  <si>
    <t>Rotifers</t>
  </si>
  <si>
    <t>Potentially (G. sp. Found in NZ, non-specific)</t>
  </si>
  <si>
    <t>pH too low</t>
  </si>
  <si>
    <t>DOC too high</t>
  </si>
  <si>
    <t>6-6.2 mg/dm3</t>
  </si>
  <si>
    <t>Brinkman &amp; Hansen 2004</t>
  </si>
  <si>
    <t>Dechlorinated tapwater + RO water</t>
  </si>
  <si>
    <t>Dechlorinated tapwater + well water</t>
  </si>
  <si>
    <t>mg/L CaCO4</t>
  </si>
  <si>
    <t>mg/L CaCO5</t>
  </si>
  <si>
    <t>mg/L CaCO8</t>
  </si>
  <si>
    <t>mg/L CaCO9</t>
  </si>
  <si>
    <t>mg/L CaCO10</t>
  </si>
  <si>
    <t>mg/L CaCO11</t>
  </si>
  <si>
    <t>mg/L CaCO12</t>
  </si>
  <si>
    <t>mg/L CaCO13</t>
  </si>
  <si>
    <t>mg/L CaCO14</t>
  </si>
  <si>
    <t>mg/L CaCO15</t>
  </si>
  <si>
    <t>mg/L CaCO16</t>
  </si>
  <si>
    <t>mg/L CaCO17</t>
  </si>
  <si>
    <t>mg/L CaCO18</t>
  </si>
  <si>
    <t>mg/L CaCO19</t>
  </si>
  <si>
    <t>mg/L CaCO20</t>
  </si>
  <si>
    <t>mg/L CaCO21</t>
  </si>
  <si>
    <t>mg/L CaCO22</t>
  </si>
  <si>
    <t>mg/L CaCO23</t>
  </si>
  <si>
    <t>mg/L CaCO24</t>
  </si>
  <si>
    <t>mg/L CaCO25</t>
  </si>
  <si>
    <t>mg/L CaCO26</t>
  </si>
  <si>
    <t>mg/L CaCO27</t>
  </si>
  <si>
    <t>mg/L CaCO28</t>
  </si>
  <si>
    <t>mg/L CaCO29</t>
  </si>
  <si>
    <t>mg/L CaCO30</t>
  </si>
  <si>
    <t>mg/L CaCO31</t>
  </si>
  <si>
    <t>mg/L CaCO32</t>
  </si>
  <si>
    <t>mg/L CaCO33</t>
  </si>
  <si>
    <t>mg/L CaCO34</t>
  </si>
  <si>
    <t>mg/L CaCO35</t>
  </si>
  <si>
    <t>mg/L CaCO36</t>
  </si>
  <si>
    <t>mg/L CaCO37</t>
  </si>
  <si>
    <t>mg/L CaCO38</t>
  </si>
  <si>
    <t>mg/L CaCO39</t>
  </si>
  <si>
    <t>mg/L CaCO40</t>
  </si>
  <si>
    <t>mg/L CaCO41</t>
  </si>
  <si>
    <t>mg/L CaCO42</t>
  </si>
  <si>
    <t>mg/L CaCO43</t>
  </si>
  <si>
    <t>mg/L CaCO44</t>
  </si>
  <si>
    <t>mg/L CaCO45</t>
  </si>
  <si>
    <t>mg/L CaCO46</t>
  </si>
  <si>
    <t>mg/L CaCO47</t>
  </si>
  <si>
    <t>mg/L CaCO48</t>
  </si>
  <si>
    <t>these are from a sediment study</t>
  </si>
  <si>
    <t>Paulauskis &amp; Winner</t>
  </si>
  <si>
    <t>Range  of hardness as reported (mg/L as CaCO3)</t>
  </si>
  <si>
    <t>blank1</t>
  </si>
  <si>
    <t>blank2</t>
  </si>
  <si>
    <t>blank3</t>
  </si>
  <si>
    <t>blank4</t>
  </si>
  <si>
    <t>blank5</t>
  </si>
  <si>
    <t>blank6</t>
  </si>
  <si>
    <t>blank7</t>
  </si>
  <si>
    <t>use NOEC</t>
  </si>
  <si>
    <t>pre-1980</t>
  </si>
  <si>
    <t>use LC10</t>
  </si>
  <si>
    <t>use EC10</t>
  </si>
  <si>
    <t>pH too low, pre-1980</t>
  </si>
  <si>
    <t>use IC10</t>
  </si>
  <si>
    <t>NOEC available</t>
  </si>
  <si>
    <t>use LOEC</t>
  </si>
  <si>
    <t>use EC20</t>
  </si>
  <si>
    <t>Carlson et al</t>
  </si>
  <si>
    <t>EC10 available</t>
  </si>
  <si>
    <t>Lake Superior water</t>
  </si>
  <si>
    <t>EU RAR</t>
  </si>
  <si>
    <t>Biesinger et al.</t>
  </si>
  <si>
    <t>Biesinger &amp; Christensen</t>
  </si>
  <si>
    <t>Azuara-Garcia</t>
  </si>
  <si>
    <t>EPA medium</t>
  </si>
  <si>
    <t>Anuraopsis fissa</t>
  </si>
  <si>
    <t>Brachionus rubens</t>
  </si>
  <si>
    <t>pH too high</t>
  </si>
  <si>
    <t>Autotroph &amp; heterotroph</t>
  </si>
  <si>
    <t>Protozoans</t>
  </si>
  <si>
    <t>Bryophytes</t>
  </si>
  <si>
    <t>Cnidarians</t>
  </si>
  <si>
    <t>don't use morphological endpoints</t>
  </si>
  <si>
    <t>not speciated</t>
  </si>
  <si>
    <t>IC10 available</t>
  </si>
  <si>
    <t xml:space="preserve">Naddy, R.B., Cohen, A.S., Stubblefield, W.A. </t>
  </si>
  <si>
    <t>don't use MPH effects</t>
  </si>
  <si>
    <t>&gt;5</t>
  </si>
  <si>
    <t>sediments</t>
  </si>
  <si>
    <t>0.8-1.3</t>
  </si>
  <si>
    <t>Unacceptable, dilution series too wide (0,10, 100 ug/L)</t>
  </si>
  <si>
    <t>MDEC</t>
  </si>
  <si>
    <t>pH &lt; 6.5</t>
  </si>
  <si>
    <t>pH for adjustment</t>
  </si>
  <si>
    <t>pH (reported)</t>
  </si>
  <si>
    <t>7.8-8.8</t>
  </si>
  <si>
    <t>8.24-8.31</t>
  </si>
  <si>
    <t>,</t>
  </si>
  <si>
    <t>7.5-8.0</t>
  </si>
  <si>
    <t>Use LC10s from another study</t>
  </si>
  <si>
    <t>E/LC10s available from other studies for this species</t>
  </si>
  <si>
    <t>NOEC ok as no EC10s for this species</t>
  </si>
  <si>
    <t>use IC20 this species</t>
  </si>
  <si>
    <t>LOEC ok as no EC10 data this important Unionidae species</t>
  </si>
  <si>
    <t>Use as no EC10 data this species</t>
  </si>
  <si>
    <t>EC10s available from other studies</t>
  </si>
  <si>
    <t>NOEC ok as no suitable EC10 data this species</t>
  </si>
  <si>
    <t>EC10 available for this species</t>
  </si>
  <si>
    <t>use Weight as more sensitive than length</t>
  </si>
  <si>
    <t>assumed, as per Canadian GV</t>
  </si>
  <si>
    <t>Krisanaphan 1995 thesis</t>
  </si>
  <si>
    <t>EC10 available for this species &amp; effect</t>
  </si>
  <si>
    <t>EC10 data available this species &amp; endpoint</t>
  </si>
  <si>
    <t>Note conc. is taken from Env Canada MLR database, as paper presents concs. as Zn2+ activity</t>
  </si>
  <si>
    <t>727-1</t>
  </si>
  <si>
    <t>727-2</t>
  </si>
  <si>
    <t>don't use as test concs used differ by too much</t>
  </si>
  <si>
    <t>EDTA in test solution</t>
  </si>
  <si>
    <t>EC10 available this study</t>
  </si>
  <si>
    <t>use EC10 data this species</t>
  </si>
  <si>
    <t>Zn Extend 2</t>
  </si>
  <si>
    <t>Van Regenmortel, T., Janssen, C.R., De Schamphelaere, K.A.C.</t>
  </si>
  <si>
    <t>Zn Extend 1</t>
  </si>
  <si>
    <t>Zn-Extend 1</t>
  </si>
  <si>
    <t xml:space="preserve">Van Regenmortel, T., Berteloot, O., Janssen, C.R., De Schamphelaere, K.A.C. </t>
  </si>
  <si>
    <t>&lt;58.2</t>
  </si>
  <si>
    <t>&lt;66.2</t>
  </si>
  <si>
    <t>&lt;96.5</t>
  </si>
  <si>
    <t>EC10s available this study</t>
  </si>
  <si>
    <t>New Ecotox download/MF</t>
  </si>
  <si>
    <t>DQA</t>
  </si>
  <si>
    <t>Hardness (mg/L)</t>
  </si>
  <si>
    <r>
      <t>PREFERENTIAL SELECTION &amp; GROUPING OF DATA (</t>
    </r>
    <r>
      <rPr>
        <b/>
        <i/>
        <sz val="9"/>
        <color theme="0"/>
        <rFont val="Calibri"/>
        <family val="2"/>
        <scheme val="minor"/>
      </rPr>
      <t>See Warne et al., revised method - Table 5.</t>
    </r>
    <r>
      <rPr>
        <b/>
        <sz val="9"/>
        <color theme="0"/>
        <rFont val="Calibri"/>
        <family val="2"/>
        <scheme val="minor"/>
      </rPr>
      <t>)</t>
    </r>
  </si>
  <si>
    <t>Row Labels</t>
  </si>
  <si>
    <t>Grand Total</t>
  </si>
  <si>
    <t>Measured Zn, post-1980 data only</t>
  </si>
  <si>
    <t>pH within range 6-8.5</t>
  </si>
  <si>
    <t>pre 1980</t>
  </si>
  <si>
    <r>
      <t>CONCENTRATION CONVERSIONS (</t>
    </r>
    <r>
      <rPr>
        <b/>
        <i/>
        <sz val="10"/>
        <color theme="0"/>
        <rFont val="Calibri"/>
        <family val="2"/>
        <scheme val="minor"/>
      </rPr>
      <t>see tables far right</t>
    </r>
    <r>
      <rPr>
        <b/>
        <sz val="10"/>
        <color theme="0"/>
        <rFont val="Calibri"/>
        <family val="2"/>
        <scheme val="minor"/>
      </rPr>
      <t>)</t>
    </r>
  </si>
  <si>
    <r>
      <t>PREFERENTIAL SELECTION &amp; GROUPING OF DATA (</t>
    </r>
    <r>
      <rPr>
        <b/>
        <i/>
        <sz val="10"/>
        <color theme="0"/>
        <rFont val="Arial"/>
        <family val="2"/>
      </rPr>
      <t>See Warne et al., revised method - Table 5.</t>
    </r>
    <r>
      <rPr>
        <b/>
        <sz val="10"/>
        <color theme="0"/>
        <rFont val="Arial"/>
        <family val="2"/>
      </rPr>
      <t>)</t>
    </r>
  </si>
  <si>
    <r>
      <t xml:space="preserve">Acute/Chronic </t>
    </r>
    <r>
      <rPr>
        <sz val="10"/>
        <rFont val="Calibri"/>
        <family val="2"/>
      </rPr>
      <t>(repeat from Column N)</t>
    </r>
  </si>
  <si>
    <r>
      <t>Toxicity Value</t>
    </r>
    <r>
      <rPr>
        <sz val="10"/>
        <rFont val="Calibri"/>
        <family val="2"/>
      </rPr>
      <t xml:space="preserve"> (repeat from Column E)</t>
    </r>
  </si>
  <si>
    <t>De Schamphelaere,K.A.C.,  and C.R. Janssen</t>
  </si>
  <si>
    <t>Lymnaea stagnalis</t>
  </si>
  <si>
    <t>21 days</t>
  </si>
  <si>
    <t>Ankeveen (natural, Ankeveensche Plasschen, Netherlands)</t>
  </si>
  <si>
    <t>Markermeer (natural, Marken, Netherlands)</t>
  </si>
  <si>
    <t>Voyon (natural, Le Voyon, France)</t>
  </si>
  <si>
    <t>Brisy (natural, L'Ourthe Orientale, Belgium)</t>
  </si>
  <si>
    <t>Brisy high pH (added NaHC03)</t>
  </si>
  <si>
    <t>Brisy high pH, high Ca (added NaHC03 and CaCl2)</t>
  </si>
  <si>
    <t>not used by CCME</t>
  </si>
  <si>
    <t>used by CCME</t>
  </si>
  <si>
    <t>Ca 79.4 mg/L; Mg 14 mg/L</t>
  </si>
  <si>
    <t>Ca 64.4 mg/L; Mg 15.7 mg/L</t>
  </si>
  <si>
    <t>Ca 8.8 mg/L; Mg 3.8 mg/L</t>
  </si>
  <si>
    <t>Ca 9.8 mg/L; Mg 4.0 mg/L</t>
  </si>
  <si>
    <t>Ca 9.7 mg/L; Mg 3.9 mg/L</t>
  </si>
  <si>
    <t>Ca 112 mg/L; Mg 3.8 mg/L</t>
  </si>
  <si>
    <t>CCME, Deforest, vanG</t>
  </si>
  <si>
    <t>De Schamphelaere,K.A.C.,  C.R. Janssen</t>
  </si>
  <si>
    <t>Brachionus calyciflorus</t>
  </si>
  <si>
    <t>&lt;2 hour old</t>
  </si>
  <si>
    <t>Intrinsic rate of population increase</t>
  </si>
  <si>
    <t>Ca 79.2 mg/L; Mg 13.9 mg/L</t>
  </si>
  <si>
    <t>Ca 11.4 mg/L; Mg 4.2 mg/L</t>
  </si>
  <si>
    <t>Ca 10.9 mg/L; Mg 4.8 mg/L</t>
  </si>
  <si>
    <t>Ca 10.2 mg/L; mg 3.9 mg/L</t>
  </si>
  <si>
    <t>Ca 118 mg/L; Mg 3.9 mg/L</t>
  </si>
  <si>
    <t>Belanger &amp; Cherry</t>
  </si>
  <si>
    <t>RAR, VanG 2020</t>
  </si>
  <si>
    <t>DOC is estimate from Van Genderen</t>
  </si>
  <si>
    <t>No. eggs</t>
  </si>
  <si>
    <t>No. nauplii</t>
  </si>
  <si>
    <t>pH reported by DeForest &amp; VanG</t>
  </si>
  <si>
    <t>VanG 2020</t>
  </si>
  <si>
    <t>This WQ data &amp; NOEC from VanG 2020 - can't find in paper</t>
  </si>
  <si>
    <t>Van G 2020</t>
  </si>
  <si>
    <t>CCME</t>
  </si>
  <si>
    <t>Reconstituted moderately hard water</t>
  </si>
  <si>
    <t>DOC is estimate from CCME</t>
  </si>
  <si>
    <t>Insufficient test concs, but was used by CCME</t>
  </si>
  <si>
    <t>DeForest&amp;VanG</t>
  </si>
  <si>
    <t>from CCME</t>
  </si>
  <si>
    <t>Eyed egg to fry</t>
  </si>
  <si>
    <t>30-45-d old fry</t>
  </si>
  <si>
    <t>Accepted by CCME</t>
  </si>
  <si>
    <t>Not used CCME, high Na</t>
  </si>
  <si>
    <t>Not used CCME, high Mg</t>
  </si>
  <si>
    <t>Not used by CCME/van G; differences between Missouri &amp; Minnesota pops; insufficient partials</t>
  </si>
  <si>
    <t>this paper collates all data from previous studies by this lab</t>
  </si>
  <si>
    <t>don't use this, superseded</t>
  </si>
  <si>
    <t>7.1-7.3</t>
  </si>
  <si>
    <t>H est by CCME based on USEPA mod-hard water</t>
  </si>
  <si>
    <t>no measurement of metals</t>
  </si>
  <si>
    <t>don't use as insufficient no. of experimental concs (only 10 and 100 ug/L)</t>
  </si>
  <si>
    <t>Use in other jurisdictions</t>
  </si>
  <si>
    <t>in CCME SSD</t>
  </si>
  <si>
    <t>no</t>
  </si>
  <si>
    <t>Munzinger &amp; Monicelli</t>
  </si>
  <si>
    <t>&lt; 48 hrs old</t>
  </si>
  <si>
    <t>EC10 derived by CCME; H estimate from CCME</t>
  </si>
  <si>
    <t>LC10 calculated by CCME; DOC estimated by CCME</t>
  </si>
  <si>
    <t>Filtration rate</t>
  </si>
  <si>
    <t>Pickering</t>
  </si>
  <si>
    <t>Chapman</t>
  </si>
  <si>
    <t>CCME /RAR</t>
  </si>
  <si>
    <t>Cairns &amp; Garton</t>
  </si>
  <si>
    <t>LC10 calcd by CCME</t>
  </si>
  <si>
    <t>Embryo</t>
  </si>
  <si>
    <t>CCME said duration too short</t>
  </si>
  <si>
    <t>Tox value calcd by CCME</t>
  </si>
  <si>
    <t>Calcd by CCME</t>
  </si>
  <si>
    <t>In CCME SSD</t>
  </si>
  <si>
    <t>Starodub</t>
  </si>
  <si>
    <t>Survival</t>
  </si>
  <si>
    <t>Time to hatch</t>
  </si>
  <si>
    <t>ELS</t>
  </si>
  <si>
    <t>biomass</t>
  </si>
  <si>
    <t>Swim up fry survival</t>
  </si>
  <si>
    <t>rep</t>
  </si>
  <si>
    <t>7.53</t>
  </si>
  <si>
    <t>7.57</t>
  </si>
  <si>
    <t>20.6</t>
  </si>
  <si>
    <t>90.8</t>
  </si>
  <si>
    <t>19.1</t>
  </si>
  <si>
    <t>11.8</t>
  </si>
  <si>
    <t>12.2</t>
  </si>
  <si>
    <t>Control mortality too high</t>
  </si>
  <si>
    <t>Mirenda</t>
  </si>
  <si>
    <t>CCME ruled unacceptable</t>
  </si>
  <si>
    <t>Absence of other exclusions?</t>
  </si>
  <si>
    <t>high ref mortality</t>
  </si>
  <si>
    <t>Inadequate range of effect</t>
  </si>
  <si>
    <t>20-30% mortality in treatments incl controls</t>
  </si>
  <si>
    <t>CCME rated unacceptable</t>
  </si>
  <si>
    <t>20-25% mortality in treatments incl controls</t>
  </si>
  <si>
    <t>CCME Primary Ranking</t>
  </si>
  <si>
    <t>CCME Secondary Ranking</t>
  </si>
  <si>
    <t>CCME ranked Unacceptable</t>
  </si>
  <si>
    <t>pH reported by DeForest &amp; VanG; but paper does not mention measurements of these</t>
  </si>
  <si>
    <t>pH reported by DeForest &amp; VanG; but paper does not mention measurements of these; EC20 calc by DeF</t>
  </si>
  <si>
    <t>species not specified</t>
  </si>
  <si>
    <t>Exponentially growth</t>
  </si>
  <si>
    <t>Australian native</t>
  </si>
  <si>
    <t>Growth rates</t>
  </si>
  <si>
    <t xml:space="preserve">Price et al </t>
  </si>
  <si>
    <t>varied</t>
  </si>
  <si>
    <t>Stauber et al</t>
  </si>
  <si>
    <t>NZ/Australian</t>
  </si>
  <si>
    <t>NZ native</t>
  </si>
  <si>
    <t>Daphnia thomsoni</t>
  </si>
  <si>
    <t>Y</t>
  </si>
  <si>
    <t>Manton Dam</t>
  </si>
  <si>
    <t>Appletree Creek</t>
  </si>
  <si>
    <t>Blackwood River buffered</t>
  </si>
  <si>
    <t>Limestone Creek buffered</t>
  </si>
  <si>
    <t>Magela Creek buffered</t>
  </si>
  <si>
    <t>Ovens River buffered</t>
  </si>
  <si>
    <t>Woronora River buffered</t>
  </si>
  <si>
    <t>Teatree Creek unbuffered</t>
  </si>
  <si>
    <t>Blackwood River unbuffered</t>
  </si>
  <si>
    <t>Limestone Creek unbuffered</t>
  </si>
  <si>
    <t>Magela Creek unbuffered</t>
  </si>
  <si>
    <t>Ovens River unbuffered</t>
  </si>
  <si>
    <t>Woronora River unbuffered</t>
  </si>
  <si>
    <t>Ovens River pH adjusted, buffered</t>
  </si>
  <si>
    <t>Woronora River</t>
  </si>
  <si>
    <t>Jingellic Creek</t>
  </si>
  <si>
    <t>Waterpark Creek</t>
  </si>
  <si>
    <t>Limestone Creek</t>
  </si>
  <si>
    <t>Poor survival in controls for this natural water</t>
  </si>
  <si>
    <t>Waihou River</t>
  </si>
  <si>
    <t>Clutha River</t>
  </si>
  <si>
    <t xml:space="preserve">Mahurangi River </t>
  </si>
  <si>
    <t>Okutua/Waihou</t>
  </si>
  <si>
    <t>Hoteo River</t>
  </si>
  <si>
    <t>&lt;0.3</t>
  </si>
  <si>
    <t>Model fit not fixed at upper end</t>
  </si>
  <si>
    <t>Nys et al</t>
  </si>
  <si>
    <t>Ankeveen</t>
  </si>
  <si>
    <t>Regge</t>
  </si>
  <si>
    <t>Markemeer</t>
  </si>
  <si>
    <t>Voyon</t>
  </si>
  <si>
    <t>Brisy 0.25 mM Ca</t>
  </si>
  <si>
    <t>Bihain</t>
  </si>
  <si>
    <t>Brisy 1 mM Ca</t>
  </si>
  <si>
    <t>Brisy pH 7.8</t>
  </si>
  <si>
    <t>Ca</t>
  </si>
  <si>
    <t>Mg</t>
  </si>
  <si>
    <t>Author</t>
  </si>
  <si>
    <t>Toxicity value type</t>
  </si>
  <si>
    <t>EC100</t>
  </si>
  <si>
    <t>QA notes</t>
  </si>
  <si>
    <t>Use in other jurisdictions?</t>
  </si>
  <si>
    <t>DQA rating (high, acceptable or unacceptable, from the assessment spreadsheet, or "Not completed")</t>
  </si>
  <si>
    <t>Exposure Duration  (d)</t>
  </si>
  <si>
    <t>MLR model - all based on EC50s except rainbow trout</t>
  </si>
  <si>
    <t>Interaction pH * DOC</t>
  </si>
  <si>
    <t>Besser et al</t>
  </si>
  <si>
    <t>Synthetic water -soft</t>
  </si>
  <si>
    <t>Synthetic water - hard</t>
  </si>
  <si>
    <t>Natural waters - Keeley</t>
  </si>
  <si>
    <t>Natural waters - Spoon 2</t>
  </si>
  <si>
    <t>Natural waters - Spring 2</t>
  </si>
  <si>
    <t>Natural waters - St Louis</t>
  </si>
  <si>
    <t>Neocloeon triangulifer</t>
  </si>
  <si>
    <t>Gro</t>
  </si>
  <si>
    <t>y</t>
  </si>
  <si>
    <t>Preferential selection (NEC/EC10-20/NOEC = y)</t>
  </si>
  <si>
    <t>Synthetic - Duluth 100</t>
  </si>
  <si>
    <t>&lt;24 hr old</t>
  </si>
  <si>
    <t>Soucek et al</t>
  </si>
  <si>
    <t>ANZG3334-1</t>
  </si>
  <si>
    <t>ANZG3334</t>
  </si>
  <si>
    <t>Melanie A Trenfield, Ceiwen J Pease, Samantha L Walker, Tom Mooney, Linda Tybell, Chris Humphrey, Rick A van Dam and Andrew J Harford</t>
  </si>
  <si>
    <t>Amerianna cumingi</t>
  </si>
  <si>
    <t>ANZG3334-2</t>
  </si>
  <si>
    <t>Chlorella sp. (eriss)</t>
  </si>
  <si>
    <t>Exponential growth phase</t>
  </si>
  <si>
    <t>Cell doublings</t>
  </si>
  <si>
    <t>ANZG3334-4</t>
  </si>
  <si>
    <t>Macroinvertebrate?</t>
  </si>
  <si>
    <t>Population growth rate</t>
  </si>
  <si>
    <t>ANZG3334-3</t>
  </si>
  <si>
    <t>Lemna aequinoctialis</t>
  </si>
  <si>
    <t>16 ± 3</t>
  </si>
  <si>
    <t>ANZG3334-6</t>
  </si>
  <si>
    <t>Mogurnda mogurnda</t>
  </si>
  <si>
    <t>Juvenile (Fry)</t>
  </si>
  <si>
    <t>ANZG3334-5</t>
  </si>
  <si>
    <t>Moinodaphnia macleayi</t>
  </si>
  <si>
    <t>Neonates</t>
  </si>
  <si>
    <t>Direct communication</t>
  </si>
  <si>
    <t>Natural water - Magela Creek</t>
  </si>
  <si>
    <t>Velesunio angasi</t>
  </si>
  <si>
    <t>acute only</t>
  </si>
  <si>
    <t>20 ± 6</t>
  </si>
  <si>
    <t>6.4 ± 0.1</t>
  </si>
  <si>
    <t>6.7 ± 0.3</t>
  </si>
  <si>
    <t>6.8 ± 0.3</t>
  </si>
  <si>
    <t>7.0 ± 0.5</t>
  </si>
  <si>
    <t>6.8 ± 0.5</t>
  </si>
  <si>
    <t>6.7 ± 0.6</t>
  </si>
  <si>
    <t>30 ± 4</t>
  </si>
  <si>
    <t>26 ± 7</t>
  </si>
  <si>
    <t>18 ± 4</t>
  </si>
  <si>
    <t>17 ± 6</t>
  </si>
  <si>
    <t>29 ± 0.9</t>
  </si>
  <si>
    <t>26.5 ± 0.5</t>
  </si>
  <si>
    <t>27 ± 1.0</t>
  </si>
  <si>
    <t>30 ± 0.3</t>
  </si>
  <si>
    <t>27 ± 0.7</t>
  </si>
  <si>
    <t>27 ± 0.5</t>
  </si>
  <si>
    <t>103 ± 12</t>
  </si>
  <si>
    <t>103 ± 8</t>
  </si>
  <si>
    <t>108 ± 7</t>
  </si>
  <si>
    <t>107 ± 8</t>
  </si>
  <si>
    <t>103 ± 10</t>
  </si>
  <si>
    <t>110 ± 10</t>
  </si>
  <si>
    <t>108 ± 4</t>
  </si>
  <si>
    <t>didn't pass acceptability criteria</t>
  </si>
  <si>
    <t>hardness, pH, DOC not reported</t>
  </si>
  <si>
    <t>165445-1</t>
  </si>
  <si>
    <t>Clearwater, S. J.; Thompson, K. J.; Hickey, C. W.</t>
  </si>
  <si>
    <t>Echyridella menziesii</t>
  </si>
  <si>
    <t>High</t>
  </si>
  <si>
    <t>AA</t>
  </si>
  <si>
    <t>165445-2</t>
  </si>
  <si>
    <t>165445-3</t>
  </si>
  <si>
    <t>Low hardness reconstituted water</t>
  </si>
  <si>
    <t>120-127</t>
  </si>
  <si>
    <t>100-116</t>
  </si>
  <si>
    <t>117-194</t>
  </si>
  <si>
    <t>9.0-9.1</t>
  </si>
  <si>
    <t>9.2-9.4</t>
  </si>
  <si>
    <t>7.7-8.6</t>
  </si>
  <si>
    <t>ANZG234-4</t>
  </si>
  <si>
    <t>ANZG234</t>
  </si>
  <si>
    <t>Markich</t>
  </si>
  <si>
    <t>Alathyria profuga</t>
  </si>
  <si>
    <t>Valve closure</t>
  </si>
  <si>
    <t>D</t>
  </si>
  <si>
    <t>&lt;0.1</t>
  </si>
  <si>
    <t>Cucumerunio novaehollandiae</t>
  </si>
  <si>
    <t>Hyridella australis</t>
  </si>
  <si>
    <t>Hyridella depressa</t>
  </si>
  <si>
    <t>Hyridella drapeta</t>
  </si>
  <si>
    <t>Paper+ DC</t>
  </si>
  <si>
    <t>Synthetic water, representative SE Aus</t>
  </si>
  <si>
    <t>DOC</t>
  </si>
  <si>
    <t>Recently hatched</t>
  </si>
  <si>
    <t>Primary</t>
  </si>
  <si>
    <t>Model used</t>
  </si>
  <si>
    <t>This workbook</t>
  </si>
  <si>
    <t>accepted endpoints</t>
  </si>
  <si>
    <t>post-1980</t>
  </si>
  <si>
    <t>enough test concentrations, not too far spaced</t>
  </si>
  <si>
    <t>no acclimation; no dietary tests</t>
  </si>
  <si>
    <t>There it is screened as follows:</t>
  </si>
  <si>
    <t>Database_All</t>
  </si>
  <si>
    <t xml:space="preserve"> includes all chronic zinc data found</t>
  </si>
  <si>
    <t>If NEC or EC10 available, it is used, if not NOEC</t>
  </si>
  <si>
    <t>If multiple NEC/EC10, lowest value (most sensitive) is selected</t>
  </si>
  <si>
    <t>NOECs ARE allowed for species of any origin (same as f/w copper)</t>
  </si>
  <si>
    <t>Chlorella</t>
  </si>
  <si>
    <t>Hardness</t>
  </si>
  <si>
    <t>23.4-399</t>
  </si>
  <si>
    <t>6.7-8.3</t>
  </si>
  <si>
    <t>5-402</t>
  </si>
  <si>
    <t>0.5-15.1</t>
  </si>
  <si>
    <t>5.6-8.5</t>
  </si>
  <si>
    <t>7-529</t>
  </si>
  <si>
    <t>0.3-22.3</t>
  </si>
  <si>
    <t>6.5-8.13</t>
  </si>
  <si>
    <t>0.3-22.9</t>
  </si>
  <si>
    <t>Taxonomic Group</t>
  </si>
  <si>
    <t>Millington &amp; Walker</t>
  </si>
  <si>
    <t>pH not reported</t>
  </si>
  <si>
    <t>1449-1</t>
  </si>
  <si>
    <t>1449-2</t>
  </si>
  <si>
    <t>1449-3</t>
  </si>
  <si>
    <t>1449-4</t>
  </si>
  <si>
    <t>La Seille</t>
  </si>
  <si>
    <t>Le Madon</t>
  </si>
  <si>
    <t>La Dolaison</t>
  </si>
  <si>
    <t>La Moselotte</t>
  </si>
  <si>
    <t>Count</t>
  </si>
  <si>
    <t>Water chemistry for standardisation</t>
  </si>
  <si>
    <t>%</t>
  </si>
  <si>
    <t>TMF range for the MLR models</t>
  </si>
  <si>
    <t>QA number</t>
  </si>
  <si>
    <t>Observed LnEC10</t>
  </si>
  <si>
    <t>Pred LN(EC10) MLR</t>
  </si>
  <si>
    <t>Calc Sp.</t>
  </si>
  <si>
    <t>Group the same Species + Stat</t>
  </si>
  <si>
    <t>Geomean of Calc Sp.</t>
  </si>
  <si>
    <t>Predicted LnEC10</t>
  </si>
  <si>
    <t>Predicted EC10</t>
  </si>
  <si>
    <t>Accepted EC10s</t>
  </si>
  <si>
    <t>CCME (2018)</t>
  </si>
  <si>
    <t>CCME Fish</t>
  </si>
  <si>
    <t>Gadd Daph</t>
  </si>
  <si>
    <t>26-370</t>
  </si>
  <si>
    <t>6-8.5</t>
  </si>
  <si>
    <t>0.3-40</t>
  </si>
  <si>
    <t>R. sub - DeForest</t>
  </si>
  <si>
    <t>Fully pooled model</t>
  </si>
  <si>
    <t>EC10 available this species</t>
  </si>
  <si>
    <t>outside MLR range, H &lt; 18</t>
  </si>
  <si>
    <t>Min of Accepted EC10s</t>
  </si>
  <si>
    <t>1457-1</t>
  </si>
  <si>
    <t>Acceptable</t>
  </si>
  <si>
    <t>JG</t>
  </si>
  <si>
    <t>1457-2</t>
  </si>
  <si>
    <t>Secondary</t>
  </si>
  <si>
    <t>outside MLR range, pH &lt; 6.3</t>
  </si>
  <si>
    <t xml:space="preserve">Secondary </t>
  </si>
  <si>
    <t>not enough replicates for CCME, control mortality not reported</t>
  </si>
  <si>
    <t>use IC10 this species</t>
  </si>
  <si>
    <t>124-1</t>
  </si>
  <si>
    <t>outside MLR range, H &lt;18</t>
  </si>
  <si>
    <t>124-3</t>
  </si>
  <si>
    <t>New River</t>
  </si>
  <si>
    <t>outside MLR range, pH &gt; 8.7</t>
  </si>
  <si>
    <t>Clinch River</t>
  </si>
  <si>
    <t>Amy Bayou</t>
  </si>
  <si>
    <t>Langdon et al. 2009</t>
  </si>
  <si>
    <t>outside MLR range, H &lt;21</t>
  </si>
  <si>
    <t>FAIL QA</t>
  </si>
  <si>
    <t>poor control reproduction</t>
  </si>
  <si>
    <t>FAIL</t>
  </si>
  <si>
    <t>Did not meet control acceptability</t>
  </si>
  <si>
    <t>ANZG125-1</t>
  </si>
  <si>
    <t>ANZG125-2</t>
  </si>
  <si>
    <t>ANZG125-3</t>
  </si>
  <si>
    <t>ANZG125-4</t>
  </si>
  <si>
    <t>ANZG125-5</t>
  </si>
  <si>
    <t>ANZG125-6</t>
  </si>
  <si>
    <t>ANZG125-7</t>
  </si>
  <si>
    <t>ANZECC (2000)</t>
  </si>
  <si>
    <t>123-1</t>
  </si>
  <si>
    <t>Canadian GV - unacceptable, but doesn’t explain why</t>
  </si>
  <si>
    <t>Acceptable - though conc. Response is odd</t>
  </si>
  <si>
    <t>outside MLR range, H &gt; 444</t>
  </si>
  <si>
    <t>234-1</t>
  </si>
  <si>
    <t>not included</t>
  </si>
  <si>
    <t>101832-1</t>
  </si>
  <si>
    <t>101832-2</t>
  </si>
  <si>
    <t>101832-3</t>
  </si>
  <si>
    <t>T7</t>
  </si>
  <si>
    <t>101832-4</t>
  </si>
  <si>
    <t>low H</t>
  </si>
  <si>
    <t>S. van Hunen</t>
  </si>
  <si>
    <t>116-1</t>
  </si>
  <si>
    <t>1451-1</t>
  </si>
  <si>
    <t>Natural water - St Louis</t>
  </si>
  <si>
    <t>1451-2</t>
  </si>
  <si>
    <t>Natural water - Keeley</t>
  </si>
  <si>
    <t>1451-3</t>
  </si>
  <si>
    <t>Natural water - Spring 2</t>
  </si>
  <si>
    <t>1450-1</t>
  </si>
  <si>
    <t>Soucek et al 2020</t>
  </si>
  <si>
    <t>calcd by interpolation, lowest metal concs not measured</t>
  </si>
  <si>
    <t>ANZG234-5</t>
  </si>
  <si>
    <t>No</t>
  </si>
  <si>
    <t>ANZG234-1</t>
  </si>
  <si>
    <t>ANZG234-2</t>
  </si>
  <si>
    <t>ANZG234-6</t>
  </si>
  <si>
    <t>unacceptable as &lt;value</t>
  </si>
  <si>
    <t>Not used in CCCME as outside MLR range, but was assessed</t>
  </si>
  <si>
    <t>ANZG234-3</t>
  </si>
  <si>
    <t>1452-1</t>
  </si>
  <si>
    <t>1452-2</t>
  </si>
  <si>
    <t>1452-3</t>
  </si>
  <si>
    <t>1452-4</t>
  </si>
  <si>
    <t>1452-5</t>
  </si>
  <si>
    <t>1453-1</t>
  </si>
  <si>
    <t>1453-2</t>
  </si>
  <si>
    <t>1453-3</t>
  </si>
  <si>
    <t>1453-4</t>
  </si>
  <si>
    <t>1453-5</t>
  </si>
  <si>
    <t>1453-6</t>
  </si>
  <si>
    <t>1453-7</t>
  </si>
  <si>
    <t>1453-8</t>
  </si>
  <si>
    <t>1453-9</t>
  </si>
  <si>
    <t>1454-1</t>
  </si>
  <si>
    <t>1454-2</t>
  </si>
  <si>
    <t>1454-3</t>
  </si>
  <si>
    <t>1454-4</t>
  </si>
  <si>
    <t>1454-5</t>
  </si>
  <si>
    <t>1454-6</t>
  </si>
  <si>
    <t>1454-7</t>
  </si>
  <si>
    <t>1454-8</t>
  </si>
  <si>
    <t>1454-9</t>
  </si>
  <si>
    <t>1454-10</t>
  </si>
  <si>
    <t>1454-11</t>
  </si>
  <si>
    <t>1454-12</t>
  </si>
  <si>
    <t>1454-13</t>
  </si>
  <si>
    <t>1455-1</t>
  </si>
  <si>
    <t>exclude, use buffered only</t>
  </si>
  <si>
    <t>1455-2</t>
  </si>
  <si>
    <t>Outside MLR range, DOC &gt; 18</t>
  </si>
  <si>
    <t>1455-3</t>
  </si>
  <si>
    <t>1455-4</t>
  </si>
  <si>
    <t>1455-5</t>
  </si>
  <si>
    <t>1455-6</t>
  </si>
  <si>
    <t>use EC10s this species</t>
  </si>
  <si>
    <t>inside MLR range</t>
  </si>
  <si>
    <t>1456-1</t>
  </si>
  <si>
    <t>Voyon water</t>
  </si>
  <si>
    <t>1456-2</t>
  </si>
  <si>
    <t>Brisy</t>
  </si>
  <si>
    <t>1456-3</t>
  </si>
  <si>
    <t>1456-4</t>
  </si>
  <si>
    <t>Voyon high pH</t>
  </si>
  <si>
    <t>1456-5</t>
  </si>
  <si>
    <t>1456-6</t>
  </si>
  <si>
    <t>Bihain, low Ca</t>
  </si>
  <si>
    <t>1456-7</t>
  </si>
  <si>
    <t>1456-8</t>
  </si>
  <si>
    <t>1456-9</t>
  </si>
  <si>
    <t>Loire</t>
  </si>
  <si>
    <t>1456-10</t>
  </si>
  <si>
    <t>1456-11</t>
  </si>
  <si>
    <t>Loire, pH 8.5</t>
  </si>
  <si>
    <t>1456-12</t>
  </si>
  <si>
    <t>1456-13</t>
  </si>
  <si>
    <t>1456-14</t>
  </si>
  <si>
    <t>1456-15</t>
  </si>
  <si>
    <t>Madon, high pH</t>
  </si>
  <si>
    <t>1456-16</t>
  </si>
  <si>
    <t>Taurion</t>
  </si>
  <si>
    <t>1456-17</t>
  </si>
  <si>
    <t>Maulde</t>
  </si>
  <si>
    <t>1456-18</t>
  </si>
  <si>
    <t>Moselette</t>
  </si>
  <si>
    <t>1456-19</t>
  </si>
  <si>
    <t>1456-20</t>
  </si>
  <si>
    <t>NR1</t>
  </si>
  <si>
    <t>NR2</t>
  </si>
  <si>
    <t>don't use</t>
  </si>
  <si>
    <t>Screened_EC10_NOECs</t>
  </si>
  <si>
    <t>Only key data from proceeding sheet are included</t>
  </si>
  <si>
    <t>Some data outside range of MLRs used - not included in next step</t>
  </si>
  <si>
    <t>Data are normalised using the appropriate trophic-level model</t>
  </si>
  <si>
    <t>Data are grouped by endpoint and statistic</t>
  </si>
  <si>
    <t>PreferredStat</t>
  </si>
  <si>
    <t>Only the NEC and EC10 data are included</t>
  </si>
  <si>
    <t xml:space="preserve"> measured zinc, hardness, pH</t>
  </si>
  <si>
    <t>Pivot table used to summarise to single data point per species for SSD</t>
  </si>
  <si>
    <t>Conversion factors</t>
  </si>
  <si>
    <t>used on sheet 1, don't touch</t>
  </si>
  <si>
    <t>This spreadsheet is repeated in the macro workbook to calculate GVs at different water chemistries</t>
  </si>
  <si>
    <t>Note that if there was NOEC or EC20 data as well as EC10, 
only the EC10 data was subject to DQA (priority data to be used)</t>
  </si>
  <si>
    <t>LG</t>
  </si>
  <si>
    <t>DQA was applied to these data - some data failed</t>
  </si>
  <si>
    <t>PassedQA+MeetsMLRrange</t>
  </si>
  <si>
    <t>Stat</t>
  </si>
  <si>
    <t>Raphidocelis subcapitata</t>
  </si>
  <si>
    <t>(blank)</t>
  </si>
  <si>
    <t>1999Davies,P.H., and S. Brinkman</t>
  </si>
  <si>
    <t>840532005Brinkman,S., and J. Woodling</t>
  </si>
  <si>
    <t>2004Brinkman &amp; Hansen 2004</t>
  </si>
  <si>
    <t>1982Cairns &amp; Garton</t>
  </si>
  <si>
    <t>840512004De Schamphelaere,K.A.C., and C.R. Janssen</t>
  </si>
  <si>
    <t>840522005De Schamphelaere,K.A.C., S. Lofts, and C.R. Janssen</t>
  </si>
  <si>
    <t>1117662008Mebane,C.A., D.P. Hennessy, and F.S. Dillon</t>
  </si>
  <si>
    <t>1985Norberg, T.J.; Mount, D.I. (1985). A New Fathead Minnow (Pimephales-Promelas) Subchronic Toxicity Test. Environmental Toxicology and Chemistry 4(5): 711-718. &lt;http://dx.doi.org/Doi 10.1897/1552-8618(1985)4[711:Anfmpp]2.0.Co;2&gt;</t>
  </si>
  <si>
    <t>1177182008Brinkman,S., and N. Vieira</t>
  </si>
  <si>
    <t>1692192014Brinkman,S.F., and J.D. Woodling</t>
  </si>
  <si>
    <t xml:space="preserve">2002Davies,P.H.,  S. Brinkman.,D. Hansen </t>
  </si>
  <si>
    <t xml:space="preserve">2015Naddy, R.B., Cohen, A.S., Stubblefield, W.A. </t>
  </si>
  <si>
    <t>2022Stauber et al</t>
  </si>
  <si>
    <t>2017Nys et al</t>
  </si>
  <si>
    <t>2021Besser et al</t>
  </si>
  <si>
    <t>33181985Carlson et al</t>
  </si>
  <si>
    <t>1991Munzinger &amp; Monicelli</t>
  </si>
  <si>
    <t>719812003Heijerick,D.G., C.R. Janssen, and W.M. De Coen</t>
  </si>
  <si>
    <t>1018322007Muyssen,B.T.A., and C.R. Janssen</t>
  </si>
  <si>
    <t xml:space="preserve">20172017Van Regenmortel, T., Berteloot, O., Janssen, C.R., De Schamphelaere, K.A.C. </t>
  </si>
  <si>
    <t>92481993Borgmann,U., W.P. Norwood, and C. Clarke</t>
  </si>
  <si>
    <t>19751986Mirenda</t>
  </si>
  <si>
    <t>1017732008Brinkman,S.F., and W.D. Johnston</t>
  </si>
  <si>
    <t>2017Markich</t>
  </si>
  <si>
    <t>140431994Kraak,M.H.S., Y.A. Wink, S.C. Stuijfzand, M.C. Buckert-De Jong, C.J. De Groot, and W. Admiraal</t>
  </si>
  <si>
    <t>1654452014Clearwater, S. J.; Thompson, K. J.; Hickey, C. W.</t>
  </si>
  <si>
    <t>2010Wang, N.; Ingersoll, C.G.; Ivey, C.D.; Hardesty, D.K.; May, T.W.; Augspurger, T.; Roberts, A.D.; van Genderen, E.; Barnhart, M.C.</t>
  </si>
  <si>
    <t>2010De Schamphelaere,K.A.C.,  and C.R. Janssen</t>
  </si>
  <si>
    <t>19821986Nebeker</t>
  </si>
  <si>
    <t>165061995Dorgelo,J., H. Meester, and C. Van Velzen</t>
  </si>
  <si>
    <t>2010De Schamphelaere,K.A.C.,  C.R. Janssen</t>
  </si>
  <si>
    <t>1153032007Johnson,H.L., J.L. Stauber, M.S. Adams, and D.F. Jolley</t>
  </si>
  <si>
    <t xml:space="preserve">2021Price et al </t>
  </si>
  <si>
    <t xml:space="preserve">2022Price et al </t>
  </si>
  <si>
    <t xml:space="preserve">2023Price et al </t>
  </si>
  <si>
    <t>ANZG3334-22020Melanie A Trenfield, Ceiwen J Pease, Samantha L Walker, Tom Mooney, Linda Tybell, Chris Humphrey, Rick A van Dam and Andrew J Harford</t>
  </si>
  <si>
    <t>Zn Extend 22017Van Regenmortel, T., Janssen, C.R., De Schamphelaere, K.A.C.</t>
  </si>
  <si>
    <t>Zn-Extend 12017Van Regenmortel, T., Janssen, C.R., De Schamphelaere, K.A.C.</t>
  </si>
  <si>
    <t>Reference</t>
  </si>
  <si>
    <t>Recently emerged</t>
  </si>
  <si>
    <t>&lt;1 week old</t>
  </si>
  <si>
    <t>Toxicant:</t>
  </si>
  <si>
    <t>Medium:</t>
  </si>
  <si>
    <t>Zinc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</si>
</sst>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b/>
      <sz val="10"/>
      <color rgb="FF000000"/>
      <name val="Calibri"/>
      <family val="2"/>
    </font>
    <font>
      <b/>
      <sz val="10"/>
      <name val="Calibri"/>
      <family val="2"/>
    </font>
    <font>
      <sz val="10"/>
      <color theme="1"/>
      <name val="Calibri"/>
      <family val="2"/>
      <scheme val="minor"/>
    </font>
    <font>
      <sz val="10"/>
      <name val="Calibri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1"/>
      <color theme="0"/>
      <name val="Calibri"/>
      <family val="2"/>
      <scheme val="minor"/>
    </font>
    <font>
      <b/>
      <i/>
      <sz val="10"/>
      <color rgb="FF000000"/>
      <name val="Calibri"/>
      <family val="2"/>
    </font>
    <font>
      <b/>
      <sz val="10"/>
      <name val="Calibri"/>
      <family val="2"/>
      <scheme val="minor"/>
    </font>
    <font>
      <sz val="11"/>
      <color theme="3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 tint="-0.14999847407452621"/>
      <name val="Calibri"/>
      <family val="2"/>
    </font>
    <font>
      <b/>
      <sz val="11"/>
      <color theme="3"/>
      <name val="Calibri"/>
      <family val="2"/>
      <scheme val="minor"/>
    </font>
    <font>
      <b/>
      <sz val="10"/>
      <color indexed="8"/>
      <name val="Calibri"/>
      <family val="2"/>
    </font>
    <font>
      <b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9"/>
      <color indexed="8"/>
      <name val="Calibri"/>
      <family val="2"/>
    </font>
    <font>
      <sz val="10"/>
      <color theme="1"/>
      <name val="Segoe UI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i/>
      <sz val="10"/>
      <color theme="0"/>
      <name val="Calibri"/>
      <family val="2"/>
      <scheme val="minor"/>
    </font>
    <font>
      <b/>
      <i/>
      <sz val="10"/>
      <color theme="0"/>
      <name val="Arial"/>
      <family val="2"/>
    </font>
    <font>
      <sz val="10"/>
      <color theme="0"/>
      <name val="Calibri"/>
      <family val="2"/>
    </font>
    <font>
      <b/>
      <sz val="10"/>
      <color rgb="FF3F3F3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theme="1" tint="0.499984740745262"/>
      <name val="Calibri"/>
      <family val="2"/>
    </font>
    <font>
      <sz val="10"/>
      <color theme="1" tint="0.499984740745262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color rgb="FF222426"/>
      <name val="Calibri"/>
      <family val="2"/>
      <scheme val="minor"/>
    </font>
    <font>
      <sz val="10"/>
      <color rgb="FF7030A0"/>
      <name val="Calibri"/>
      <family val="2"/>
      <scheme val="minor"/>
    </font>
    <font>
      <sz val="10"/>
      <color theme="0" tint="-0.499984740745262"/>
      <name val="Calibri"/>
      <family val="2"/>
    </font>
    <font>
      <sz val="10"/>
      <color theme="0" tint="-0.499984740745262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i/>
      <sz val="10"/>
      <color rgb="FF3F3F3F"/>
      <name val="Calibri"/>
      <family val="2"/>
      <scheme val="minor"/>
    </font>
    <font>
      <sz val="10"/>
      <color rgb="FF000000"/>
      <name val="Calibri"/>
      <family val="2"/>
    </font>
    <font>
      <sz val="8"/>
      <name val="Calibri"/>
      <family val="2"/>
      <scheme val="minor"/>
    </font>
    <font>
      <sz val="10"/>
      <color theme="1"/>
      <name val="Times New Roman"/>
      <family val="1"/>
    </font>
    <font>
      <sz val="9"/>
      <color theme="1"/>
      <name val="Segoe UI"/>
      <family val="2"/>
    </font>
    <font>
      <b/>
      <sz val="1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1"/>
      <color theme="1"/>
      <name val="Calibri Light"/>
      <family val="2"/>
      <scheme val="major"/>
    </font>
    <font>
      <sz val="10"/>
      <color theme="1"/>
      <name val="Calibri"/>
      <family val="2"/>
    </font>
    <font>
      <u/>
      <sz val="8"/>
      <color theme="1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00000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rgb="FFC0C0C0"/>
      </patternFill>
    </fill>
    <fill>
      <patternFill patternType="solid">
        <fgColor theme="7" tint="0.79998168889431442"/>
        <bgColor rgb="FFC0C0C0"/>
      </patternFill>
    </fill>
    <fill>
      <patternFill patternType="solid">
        <fgColor theme="3" tint="0.79998168889431442"/>
        <bgColor rgb="FFC0C0C0"/>
      </patternFill>
    </fill>
    <fill>
      <patternFill patternType="solid">
        <fgColor theme="5" tint="0.39997558519241921"/>
        <bgColor rgb="FFC0C0C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rgb="FFC0C0C0"/>
      </patternFill>
    </fill>
    <fill>
      <patternFill patternType="solid">
        <fgColor theme="9" tint="0.79998168889431442"/>
        <bgColor rgb="FFC0C0C0"/>
      </patternFill>
    </fill>
    <fill>
      <patternFill patternType="solid">
        <fgColor rgb="FFC0C0C0"/>
        <bgColor rgb="FFC0C0C0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00CC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-0.249977111117893"/>
        <bgColor rgb="FFC0C0C0"/>
      </patternFill>
    </fill>
    <fill>
      <patternFill patternType="solid">
        <fgColor rgb="FFF6D4E8"/>
        <bgColor rgb="FFC0C0C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DEDFC"/>
        <bgColor indexed="64"/>
      </patternFill>
    </fill>
    <fill>
      <patternFill patternType="solid">
        <fgColor rgb="FFF187E4"/>
        <bgColor indexed="64"/>
      </patternFill>
    </fill>
    <fill>
      <patternFill patternType="solid">
        <fgColor rgb="FFE1FFFF"/>
        <bgColor indexed="64"/>
      </patternFill>
    </fill>
    <fill>
      <patternFill patternType="solid">
        <fgColor rgb="FFF6D4E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 style="thin">
        <color rgb="FFD0D7E5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6">
    <xf numFmtId="0" fontId="0" fillId="0" borderId="0"/>
    <xf numFmtId="0" fontId="2" fillId="2" borderId="1" applyNumberFormat="0" applyAlignment="0" applyProtection="0"/>
    <xf numFmtId="0" fontId="6" fillId="0" borderId="0"/>
    <xf numFmtId="0" fontId="1" fillId="0" borderId="0"/>
    <xf numFmtId="0" fontId="6" fillId="0" borderId="0"/>
    <xf numFmtId="9" fontId="1" fillId="0" borderId="0" applyFont="0" applyFill="0" applyBorder="0" applyAlignment="0" applyProtection="0"/>
    <xf numFmtId="0" fontId="1" fillId="0" borderId="0"/>
    <xf numFmtId="0" fontId="23" fillId="0" borderId="0"/>
    <xf numFmtId="0" fontId="2" fillId="2" borderId="1" applyNumberFormat="0" applyAlignment="0" applyProtection="0"/>
    <xf numFmtId="0" fontId="52" fillId="0" borderId="0"/>
    <xf numFmtId="0" fontId="6" fillId="0" borderId="0"/>
    <xf numFmtId="0" fontId="59" fillId="0" borderId="0"/>
    <xf numFmtId="0" fontId="1" fillId="0" borderId="0"/>
    <xf numFmtId="9" fontId="1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63" fillId="0" borderId="0" applyNumberFormat="0" applyFill="0" applyBorder="0" applyAlignment="0" applyProtection="0"/>
  </cellStyleXfs>
  <cellXfs count="320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5" fillId="7" borderId="0" xfId="0" applyFont="1" applyFill="1" applyAlignment="1">
      <alignment vertical="center"/>
    </xf>
    <xf numFmtId="0" fontId="7" fillId="13" borderId="0" xfId="3" applyFont="1" applyFill="1" applyAlignment="1">
      <alignment horizontal="center" vertical="center" wrapText="1"/>
    </xf>
    <xf numFmtId="0" fontId="8" fillId="14" borderId="0" xfId="3" applyFont="1" applyFill="1" applyAlignment="1">
      <alignment horizontal="center" vertical="center" wrapText="1"/>
    </xf>
    <xf numFmtId="0" fontId="8" fillId="15" borderId="0" xfId="3" applyFont="1" applyFill="1" applyAlignment="1">
      <alignment horizontal="center" vertical="center" wrapText="1"/>
    </xf>
    <xf numFmtId="0" fontId="7" fillId="16" borderId="0" xfId="3" applyFont="1" applyFill="1" applyAlignment="1">
      <alignment horizontal="center" vertical="center" wrapText="1"/>
    </xf>
    <xf numFmtId="0" fontId="7" fillId="18" borderId="0" xfId="3" applyFont="1" applyFill="1" applyAlignment="1">
      <alignment horizontal="center" vertical="center" wrapText="1"/>
    </xf>
    <xf numFmtId="0" fontId="4" fillId="22" borderId="0" xfId="0" applyFont="1" applyFill="1" applyAlignment="1">
      <alignment horizontal="center" vertical="center" wrapText="1"/>
    </xf>
    <xf numFmtId="0" fontId="4" fillId="22" borderId="0" xfId="0" applyFont="1" applyFill="1" applyAlignment="1">
      <alignment horizontal="center" vertical="center"/>
    </xf>
    <xf numFmtId="0" fontId="11" fillId="0" borderId="0" xfId="0" applyFont="1"/>
    <xf numFmtId="0" fontId="12" fillId="10" borderId="0" xfId="0" applyFont="1" applyFill="1" applyAlignment="1">
      <alignment horizontal="center"/>
    </xf>
    <xf numFmtId="0" fontId="12" fillId="0" borderId="0" xfId="0" applyFont="1"/>
    <xf numFmtId="0" fontId="13" fillId="10" borderId="0" xfId="0" applyFont="1" applyFill="1" applyAlignment="1">
      <alignment horizontal="center"/>
    </xf>
    <xf numFmtId="0" fontId="11" fillId="10" borderId="0" xfId="0" applyFont="1" applyFill="1" applyAlignment="1">
      <alignment horizontal="center"/>
    </xf>
    <xf numFmtId="0" fontId="14" fillId="23" borderId="0" xfId="0" applyFont="1" applyFill="1" applyAlignment="1">
      <alignment wrapText="1"/>
    </xf>
    <xf numFmtId="49" fontId="12" fillId="10" borderId="0" xfId="0" applyNumberFormat="1" applyFont="1" applyFill="1" applyAlignment="1">
      <alignment horizontal="center"/>
    </xf>
    <xf numFmtId="0" fontId="15" fillId="0" borderId="0" xfId="4" applyFont="1" applyAlignment="1">
      <alignment horizontal="center"/>
    </xf>
    <xf numFmtId="0" fontId="16" fillId="0" borderId="0" xfId="0" applyFont="1"/>
    <xf numFmtId="0" fontId="9" fillId="0" borderId="0" xfId="0" applyFont="1"/>
    <xf numFmtId="0" fontId="10" fillId="0" borderId="2" xfId="0" applyFont="1" applyBorder="1" applyAlignment="1">
      <alignment horizontal="right" vertical="center"/>
    </xf>
    <xf numFmtId="0" fontId="19" fillId="7" borderId="0" xfId="0" applyFont="1" applyFill="1" applyAlignment="1">
      <alignment vertical="center"/>
    </xf>
    <xf numFmtId="0" fontId="20" fillId="18" borderId="0" xfId="3" applyFont="1" applyFill="1" applyAlignment="1">
      <alignment horizontal="center" vertical="center" wrapText="1"/>
    </xf>
    <xf numFmtId="1" fontId="16" fillId="0" borderId="0" xfId="0" applyNumberFormat="1" applyFont="1"/>
    <xf numFmtId="165" fontId="0" fillId="0" borderId="0" xfId="0" applyNumberFormat="1"/>
    <xf numFmtId="0" fontId="0" fillId="24" borderId="0" xfId="0" applyFill="1"/>
    <xf numFmtId="165" fontId="4" fillId="25" borderId="0" xfId="0" applyNumberFormat="1" applyFont="1" applyFill="1"/>
    <xf numFmtId="0" fontId="4" fillId="25" borderId="0" xfId="0" applyFont="1" applyFill="1"/>
    <xf numFmtId="0" fontId="16" fillId="0" borderId="0" xfId="0" applyFont="1" applyAlignment="1">
      <alignment wrapText="1"/>
    </xf>
    <xf numFmtId="0" fontId="22" fillId="0" borderId="0" xfId="0" applyFont="1"/>
    <xf numFmtId="0" fontId="14" fillId="23" borderId="0" xfId="0" applyFont="1" applyFill="1" applyAlignment="1">
      <alignment horizontal="center" wrapText="1"/>
    </xf>
    <xf numFmtId="0" fontId="24" fillId="0" borderId="0" xfId="4" applyFont="1"/>
    <xf numFmtId="0" fontId="24" fillId="0" borderId="0" xfId="1" applyFont="1" applyFill="1" applyBorder="1" applyAlignment="1">
      <alignment horizontal="center"/>
    </xf>
    <xf numFmtId="0" fontId="14" fillId="23" borderId="0" xfId="0" applyFont="1" applyFill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1" fontId="16" fillId="0" borderId="0" xfId="0" applyNumberFormat="1" applyFont="1" applyAlignment="1">
      <alignment horizontal="right" vertical="center"/>
    </xf>
    <xf numFmtId="0" fontId="24" fillId="0" borderId="0" xfId="0" applyFont="1" applyAlignment="1">
      <alignment horizontal="left"/>
    </xf>
    <xf numFmtId="0" fontId="5" fillId="6" borderId="0" xfId="0" applyFont="1" applyFill="1" applyAlignment="1">
      <alignment vertical="center"/>
    </xf>
    <xf numFmtId="0" fontId="26" fillId="0" borderId="0" xfId="3" applyFont="1" applyAlignment="1">
      <alignment horizontal="center" vertical="center" wrapText="1"/>
    </xf>
    <xf numFmtId="0" fontId="3" fillId="3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5" fillId="5" borderId="0" xfId="0" applyFont="1" applyFill="1" applyAlignment="1">
      <alignment vertical="center"/>
    </xf>
    <xf numFmtId="0" fontId="3" fillId="3" borderId="0" xfId="0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28" fillId="0" borderId="0" xfId="4" applyFont="1" applyAlignment="1">
      <alignment horizontal="center"/>
    </xf>
    <xf numFmtId="0" fontId="21" fillId="0" borderId="0" xfId="0" applyFont="1"/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wrapText="1"/>
    </xf>
    <xf numFmtId="1" fontId="21" fillId="0" borderId="0" xfId="0" applyNumberFormat="1" applyFont="1"/>
    <xf numFmtId="0" fontId="27" fillId="0" borderId="0" xfId="0" applyFont="1"/>
    <xf numFmtId="0" fontId="25" fillId="0" borderId="0" xfId="0" applyFont="1"/>
    <xf numFmtId="0" fontId="23" fillId="0" borderId="0" xfId="0" applyFont="1"/>
    <xf numFmtId="0" fontId="24" fillId="0" borderId="0" xfId="0" applyFont="1"/>
    <xf numFmtId="0" fontId="24" fillId="0" borderId="0" xfId="0" applyFont="1" applyAlignment="1">
      <alignment horizontal="right"/>
    </xf>
    <xf numFmtId="0" fontId="24" fillId="0" borderId="0" xfId="8" applyFont="1" applyFill="1" applyBorder="1" applyAlignment="1">
      <alignment vertical="center"/>
    </xf>
    <xf numFmtId="0" fontId="35" fillId="3" borderId="0" xfId="0" applyFont="1" applyFill="1" applyAlignment="1">
      <alignment vertical="center"/>
    </xf>
    <xf numFmtId="0" fontId="35" fillId="3" borderId="0" xfId="0" applyFont="1" applyFill="1" applyAlignment="1">
      <alignment horizontal="center" vertical="center"/>
    </xf>
    <xf numFmtId="0" fontId="35" fillId="3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0" fontId="35" fillId="4" borderId="0" xfId="0" applyFont="1" applyFill="1"/>
    <xf numFmtId="0" fontId="35" fillId="4" borderId="0" xfId="0" applyFont="1" applyFill="1" applyAlignment="1">
      <alignment horizontal="left"/>
    </xf>
    <xf numFmtId="0" fontId="36" fillId="5" borderId="0" xfId="0" applyFont="1" applyFill="1"/>
    <xf numFmtId="0" fontId="9" fillId="0" borderId="0" xfId="0" applyFont="1" applyAlignment="1">
      <alignment horizontal="center"/>
    </xf>
    <xf numFmtId="0" fontId="36" fillId="7" borderId="0" xfId="0" applyFont="1" applyFill="1"/>
    <xf numFmtId="0" fontId="37" fillId="7" borderId="0" xfId="0" applyFont="1" applyFill="1"/>
    <xf numFmtId="0" fontId="36" fillId="6" borderId="0" xfId="0" applyFont="1" applyFill="1"/>
    <xf numFmtId="0" fontId="36" fillId="6" borderId="0" xfId="0" applyFont="1" applyFill="1" applyAlignment="1">
      <alignment horizontal="center"/>
    </xf>
    <xf numFmtId="0" fontId="38" fillId="0" borderId="0" xfId="2" applyFont="1" applyAlignment="1">
      <alignment horizontal="center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0" fontId="35" fillId="8" borderId="0" xfId="0" applyFont="1" applyFill="1"/>
    <xf numFmtId="0" fontId="38" fillId="9" borderId="0" xfId="2" applyFont="1" applyFill="1"/>
    <xf numFmtId="0" fontId="25" fillId="0" borderId="0" xfId="0" applyFont="1" applyAlignment="1">
      <alignment horizontal="center"/>
    </xf>
    <xf numFmtId="0" fontId="25" fillId="6" borderId="0" xfId="0" applyFont="1" applyFill="1"/>
    <xf numFmtId="0" fontId="41" fillId="28" borderId="0" xfId="3" applyFont="1" applyFill="1" applyAlignment="1">
      <alignment horizontal="left" vertical="center" wrapText="1"/>
    </xf>
    <xf numFmtId="0" fontId="25" fillId="12" borderId="0" xfId="0" applyFont="1" applyFill="1"/>
    <xf numFmtId="0" fontId="25" fillId="11" borderId="0" xfId="0" applyFont="1" applyFill="1"/>
    <xf numFmtId="0" fontId="25" fillId="11" borderId="0" xfId="0" applyFont="1" applyFill="1" applyAlignment="1">
      <alignment horizontal="left"/>
    </xf>
    <xf numFmtId="0" fontId="8" fillId="14" borderId="0" xfId="3" applyFont="1" applyFill="1" applyAlignment="1">
      <alignment horizontal="left" vertical="center" wrapText="1"/>
    </xf>
    <xf numFmtId="0" fontId="42" fillId="17" borderId="0" xfId="1" applyFont="1" applyFill="1" applyBorder="1" applyAlignment="1" applyProtection="1">
      <alignment horizontal="center" vertical="center" wrapText="1"/>
    </xf>
    <xf numFmtId="0" fontId="43" fillId="16" borderId="0" xfId="3" applyFont="1" applyFill="1" applyAlignment="1">
      <alignment horizontal="center" vertical="center" wrapText="1"/>
    </xf>
    <xf numFmtId="0" fontId="8" fillId="16" borderId="0" xfId="3" applyFont="1" applyFill="1" applyAlignment="1">
      <alignment horizontal="center" vertical="center" wrapText="1"/>
    </xf>
    <xf numFmtId="0" fontId="8" fillId="16" borderId="0" xfId="3" applyFont="1" applyFill="1" applyAlignment="1">
      <alignment horizontal="left" vertical="center" wrapText="1"/>
    </xf>
    <xf numFmtId="0" fontId="8" fillId="19" borderId="0" xfId="3" applyFont="1" applyFill="1" applyAlignment="1">
      <alignment horizontal="center" vertical="center" wrapText="1"/>
    </xf>
    <xf numFmtId="0" fontId="7" fillId="19" borderId="0" xfId="3" applyFont="1" applyFill="1" applyAlignment="1">
      <alignment horizontal="center" vertical="center" wrapText="1"/>
    </xf>
    <xf numFmtId="0" fontId="8" fillId="20" borderId="0" xfId="3" applyFont="1" applyFill="1" applyAlignment="1">
      <alignment horizontal="center" vertical="center" wrapText="1"/>
    </xf>
    <xf numFmtId="0" fontId="42" fillId="2" borderId="0" xfId="1" applyFont="1" applyBorder="1" applyAlignment="1" applyProtection="1">
      <alignment horizontal="center" vertical="center" wrapText="1"/>
    </xf>
    <xf numFmtId="0" fontId="42" fillId="2" borderId="0" xfId="1" applyFont="1" applyBorder="1" applyAlignment="1" applyProtection="1">
      <alignment horizontal="left" vertical="center" wrapText="1"/>
    </xf>
    <xf numFmtId="0" fontId="9" fillId="0" borderId="0" xfId="0" applyFont="1" applyAlignment="1">
      <alignment vertical="center"/>
    </xf>
    <xf numFmtId="0" fontId="16" fillId="0" borderId="0" xfId="0" applyFont="1" applyAlignment="1">
      <alignment horizontal="right"/>
    </xf>
    <xf numFmtId="0" fontId="16" fillId="0" borderId="0" xfId="2" applyFont="1" applyAlignment="1">
      <alignment horizontal="center"/>
    </xf>
    <xf numFmtId="0" fontId="16" fillId="0" borderId="0" xfId="1" applyFont="1" applyFill="1" applyBorder="1" applyAlignment="1">
      <alignment horizontal="left" vertical="center" wrapText="1"/>
    </xf>
    <xf numFmtId="0" fontId="16" fillId="0" borderId="0" xfId="1" applyFont="1" applyFill="1" applyBorder="1" applyAlignment="1">
      <alignment horizontal="center"/>
    </xf>
    <xf numFmtId="0" fontId="44" fillId="0" borderId="0" xfId="0" applyFont="1" applyAlignment="1">
      <alignment horizontal="right"/>
    </xf>
    <xf numFmtId="0" fontId="16" fillId="0" borderId="0" xfId="4" applyFont="1"/>
    <xf numFmtId="0" fontId="16" fillId="0" borderId="0" xfId="0" applyFont="1" applyAlignment="1">
      <alignment horizontal="left"/>
    </xf>
    <xf numFmtId="0" fontId="45" fillId="0" borderId="0" xfId="0" applyFont="1"/>
    <xf numFmtId="164" fontId="16" fillId="0" borderId="0" xfId="0" applyNumberFormat="1" applyFont="1"/>
    <xf numFmtId="0" fontId="16" fillId="0" borderId="0" xfId="0" quotePrefix="1" applyFont="1"/>
    <xf numFmtId="0" fontId="46" fillId="0" borderId="0" xfId="0" applyFont="1"/>
    <xf numFmtId="0" fontId="16" fillId="0" borderId="0" xfId="1" applyFont="1" applyFill="1" applyBorder="1" applyAlignment="1">
      <alignment wrapText="1"/>
    </xf>
    <xf numFmtId="0" fontId="21" fillId="0" borderId="0" xfId="0" applyFont="1" applyAlignment="1">
      <alignment horizontal="right"/>
    </xf>
    <xf numFmtId="1" fontId="16" fillId="0" borderId="0" xfId="0" applyNumberFormat="1" applyFont="1" applyAlignment="1">
      <alignment horizontal="right"/>
    </xf>
    <xf numFmtId="0" fontId="16" fillId="0" borderId="0" xfId="4" applyFont="1" applyAlignment="1">
      <alignment horizontal="center" vertical="center"/>
    </xf>
    <xf numFmtId="0" fontId="16" fillId="0" borderId="0" xfId="4" applyFont="1" applyAlignment="1">
      <alignment horizontal="left"/>
    </xf>
    <xf numFmtId="0" fontId="16" fillId="10" borderId="0" xfId="0" applyFont="1" applyFill="1"/>
    <xf numFmtId="16" fontId="16" fillId="0" borderId="0" xfId="0" quotePrefix="1" applyNumberFormat="1" applyFont="1"/>
    <xf numFmtId="1" fontId="16" fillId="0" borderId="0" xfId="5" applyNumberFormat="1" applyFont="1" applyFill="1" applyBorder="1" applyAlignment="1" applyProtection="1">
      <alignment horizontal="right"/>
    </xf>
    <xf numFmtId="0" fontId="34" fillId="0" borderId="0" xfId="0" applyFont="1"/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47" fillId="0" borderId="0" xfId="0" applyFont="1" applyAlignment="1">
      <alignment horizontal="left"/>
    </xf>
    <xf numFmtId="0" fontId="47" fillId="0" borderId="3" xfId="0" applyFont="1" applyBorder="1" applyAlignment="1">
      <alignment horizontal="left"/>
    </xf>
    <xf numFmtId="0" fontId="47" fillId="0" borderId="0" xfId="0" applyFont="1"/>
    <xf numFmtId="0" fontId="47" fillId="0" borderId="3" xfId="0" applyFont="1" applyBorder="1"/>
    <xf numFmtId="0" fontId="10" fillId="0" borderId="0" xfId="0" applyFont="1" applyAlignment="1">
      <alignment vertical="center"/>
    </xf>
    <xf numFmtId="0" fontId="48" fillId="0" borderId="0" xfId="0" applyFont="1"/>
    <xf numFmtId="0" fontId="10" fillId="0" borderId="0" xfId="0" applyFont="1"/>
    <xf numFmtId="0" fontId="10" fillId="0" borderId="0" xfId="0" applyFont="1" applyAlignment="1">
      <alignment horizontal="left" vertical="center"/>
    </xf>
    <xf numFmtId="0" fontId="16" fillId="10" borderId="0" xfId="0" applyFont="1" applyFill="1" applyAlignment="1">
      <alignment horizontal="right"/>
    </xf>
    <xf numFmtId="1" fontId="9" fillId="0" borderId="0" xfId="0" applyNumberFormat="1" applyFont="1"/>
    <xf numFmtId="0" fontId="49" fillId="0" borderId="0" xfId="4" applyFont="1" applyAlignment="1">
      <alignment horizontal="center"/>
    </xf>
    <xf numFmtId="0" fontId="50" fillId="0" borderId="0" xfId="0" applyFont="1"/>
    <xf numFmtId="0" fontId="50" fillId="0" borderId="0" xfId="0" applyFont="1" applyAlignment="1">
      <alignment horizontal="right"/>
    </xf>
    <xf numFmtId="0" fontId="50" fillId="0" borderId="0" xfId="0" applyFont="1" applyAlignment="1">
      <alignment wrapText="1"/>
    </xf>
    <xf numFmtId="0" fontId="50" fillId="0" borderId="0" xfId="2" applyFont="1" applyAlignment="1">
      <alignment horizontal="center"/>
    </xf>
    <xf numFmtId="0" fontId="50" fillId="0" borderId="0" xfId="0" applyFont="1" applyAlignment="1">
      <alignment horizontal="center"/>
    </xf>
    <xf numFmtId="0" fontId="50" fillId="0" borderId="0" xfId="0" applyFont="1" applyAlignment="1">
      <alignment horizontal="left"/>
    </xf>
    <xf numFmtId="0" fontId="49" fillId="0" borderId="0" xfId="0" applyFont="1" applyAlignment="1">
      <alignment horizontal="right"/>
    </xf>
    <xf numFmtId="0" fontId="50" fillId="0" borderId="0" xfId="4" applyFont="1"/>
    <xf numFmtId="0" fontId="50" fillId="0" borderId="0" xfId="1" applyFont="1" applyFill="1" applyBorder="1" applyAlignment="1">
      <alignment horizontal="center"/>
    </xf>
    <xf numFmtId="1" fontId="16" fillId="0" borderId="0" xfId="0" applyNumberFormat="1" applyFont="1" applyAlignment="1">
      <alignment horizontal="center"/>
    </xf>
    <xf numFmtId="1" fontId="50" fillId="0" borderId="0" xfId="0" applyNumberFormat="1" applyFont="1" applyAlignment="1">
      <alignment horizontal="center"/>
    </xf>
    <xf numFmtId="0" fontId="15" fillId="10" borderId="0" xfId="4" applyFont="1" applyFill="1" applyAlignment="1">
      <alignment horizontal="center"/>
    </xf>
    <xf numFmtId="0" fontId="16" fillId="10" borderId="0" xfId="0" applyFont="1" applyFill="1" applyAlignment="1">
      <alignment horizontal="left"/>
    </xf>
    <xf numFmtId="0" fontId="16" fillId="10" borderId="0" xfId="0" applyFont="1" applyFill="1" applyAlignment="1">
      <alignment wrapText="1"/>
    </xf>
    <xf numFmtId="164" fontId="16" fillId="10" borderId="0" xfId="0" applyNumberFormat="1" applyFont="1" applyFill="1"/>
    <xf numFmtId="0" fontId="16" fillId="10" borderId="0" xfId="2" applyFont="1" applyFill="1" applyAlignment="1">
      <alignment horizontal="center"/>
    </xf>
    <xf numFmtId="0" fontId="9" fillId="10" borderId="0" xfId="0" applyFont="1" applyFill="1" applyAlignment="1">
      <alignment horizontal="center"/>
    </xf>
    <xf numFmtId="0" fontId="16" fillId="10" borderId="0" xfId="1" applyFont="1" applyFill="1" applyBorder="1" applyAlignment="1">
      <alignment horizontal="center"/>
    </xf>
    <xf numFmtId="0" fontId="16" fillId="10" borderId="0" xfId="4" applyFont="1" applyFill="1"/>
    <xf numFmtId="0" fontId="45" fillId="10" borderId="0" xfId="0" applyFont="1" applyFill="1"/>
    <xf numFmtId="0" fontId="46" fillId="10" borderId="0" xfId="0" applyFont="1" applyFill="1"/>
    <xf numFmtId="164" fontId="24" fillId="0" borderId="0" xfId="0" applyNumberFormat="1" applyFont="1"/>
    <xf numFmtId="1" fontId="24" fillId="0" borderId="0" xfId="0" applyNumberFormat="1" applyFont="1" applyAlignment="1">
      <alignment horizontal="right"/>
    </xf>
    <xf numFmtId="0" fontId="51" fillId="0" borderId="4" xfId="0" applyFont="1" applyBorder="1" applyAlignment="1">
      <alignment vertical="top" wrapText="1"/>
    </xf>
    <xf numFmtId="0" fontId="33" fillId="0" borderId="0" xfId="4" applyFont="1" applyAlignment="1">
      <alignment horizontal="center"/>
    </xf>
    <xf numFmtId="0" fontId="24" fillId="0" borderId="0" xfId="0" applyFont="1" applyAlignment="1">
      <alignment wrapText="1"/>
    </xf>
    <xf numFmtId="1" fontId="24" fillId="0" borderId="0" xfId="0" applyNumberFormat="1" applyFont="1"/>
    <xf numFmtId="0" fontId="24" fillId="0" borderId="0" xfId="2" applyFont="1" applyAlignment="1">
      <alignment horizontal="center"/>
    </xf>
    <xf numFmtId="0" fontId="24" fillId="10" borderId="0" xfId="0" applyFont="1" applyFill="1" applyAlignment="1">
      <alignment vertical="top"/>
    </xf>
    <xf numFmtId="0" fontId="24" fillId="10" borderId="4" xfId="0" applyFont="1" applyFill="1" applyBorder="1" applyAlignment="1">
      <alignment vertical="top"/>
    </xf>
    <xf numFmtId="0" fontId="24" fillId="0" borderId="4" xfId="0" applyFont="1" applyBorder="1" applyAlignment="1">
      <alignment vertical="top"/>
    </xf>
    <xf numFmtId="2" fontId="24" fillId="0" borderId="0" xfId="0" applyNumberFormat="1" applyFont="1" applyAlignment="1">
      <alignment vertical="top"/>
    </xf>
    <xf numFmtId="0" fontId="51" fillId="0" borderId="4" xfId="10" applyFont="1" applyBorder="1" applyAlignment="1">
      <alignment wrapText="1"/>
    </xf>
    <xf numFmtId="0" fontId="51" fillId="30" borderId="4" xfId="0" applyFont="1" applyFill="1" applyBorder="1" applyAlignment="1">
      <alignment vertical="top"/>
    </xf>
    <xf numFmtId="0" fontId="51" fillId="30" borderId="4" xfId="10" applyFont="1" applyFill="1" applyBorder="1"/>
    <xf numFmtId="2" fontId="51" fillId="0" borderId="4" xfId="10" applyNumberFormat="1" applyFont="1" applyBorder="1" applyAlignment="1">
      <alignment wrapText="1"/>
    </xf>
    <xf numFmtId="0" fontId="29" fillId="9" borderId="0" xfId="2" applyFont="1" applyFill="1"/>
    <xf numFmtId="0" fontId="32" fillId="29" borderId="0" xfId="3" applyFont="1" applyFill="1" applyAlignment="1">
      <alignment horizontal="center" vertical="center" wrapText="1"/>
    </xf>
    <xf numFmtId="0" fontId="53" fillId="2" borderId="0" xfId="8" applyFont="1" applyBorder="1" applyAlignment="1" applyProtection="1">
      <alignment horizontal="center" vertical="center" wrapText="1"/>
    </xf>
    <xf numFmtId="0" fontId="32" fillId="16" borderId="0" xfId="3" applyFont="1" applyFill="1" applyAlignment="1">
      <alignment horizontal="center" vertical="center" wrapText="1"/>
    </xf>
    <xf numFmtId="0" fontId="9" fillId="36" borderId="0" xfId="0" applyFont="1" applyFill="1"/>
    <xf numFmtId="0" fontId="9" fillId="36" borderId="0" xfId="0" applyFont="1" applyFill="1" applyAlignment="1">
      <alignment horizontal="center"/>
    </xf>
    <xf numFmtId="0" fontId="56" fillId="0" borderId="5" xfId="0" applyFont="1" applyBorder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0" fontId="56" fillId="0" borderId="6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left"/>
    </xf>
    <xf numFmtId="0" fontId="44" fillId="0" borderId="3" xfId="0" applyFont="1" applyBorder="1" applyAlignment="1">
      <alignment horizontal="right"/>
    </xf>
    <xf numFmtId="0" fontId="46" fillId="0" borderId="3" xfId="0" applyFont="1" applyBorder="1"/>
    <xf numFmtId="0" fontId="34" fillId="0" borderId="0" xfId="0" applyFont="1" applyAlignment="1">
      <alignment vertical="center"/>
    </xf>
    <xf numFmtId="164" fontId="9" fillId="0" borderId="0" xfId="0" applyNumberFormat="1" applyFont="1"/>
    <xf numFmtId="0" fontId="57" fillId="0" borderId="0" xfId="0" applyFont="1" applyAlignment="1">
      <alignment vertical="center"/>
    </xf>
    <xf numFmtId="0" fontId="0" fillId="37" borderId="0" xfId="0" applyFill="1"/>
    <xf numFmtId="1" fontId="23" fillId="38" borderId="0" xfId="7" applyNumberFormat="1" applyFill="1" applyAlignment="1">
      <alignment horizontal="center"/>
    </xf>
    <xf numFmtId="1" fontId="23" fillId="34" borderId="0" xfId="7" applyNumberFormat="1" applyFill="1" applyAlignment="1">
      <alignment horizontal="center"/>
    </xf>
    <xf numFmtId="0" fontId="16" fillId="0" borderId="0" xfId="3" applyFont="1"/>
    <xf numFmtId="164" fontId="16" fillId="0" borderId="0" xfId="3" applyNumberFormat="1" applyFont="1"/>
    <xf numFmtId="0" fontId="46" fillId="0" borderId="0" xfId="3" applyFont="1"/>
    <xf numFmtId="0" fontId="9" fillId="0" borderId="0" xfId="3" applyFont="1"/>
    <xf numFmtId="0" fontId="35" fillId="3" borderId="0" xfId="3" applyFont="1" applyFill="1" applyAlignment="1">
      <alignment horizontal="center" vertical="center"/>
    </xf>
    <xf numFmtId="0" fontId="35" fillId="3" borderId="0" xfId="3" applyFont="1" applyFill="1" applyAlignment="1">
      <alignment horizontal="center"/>
    </xf>
    <xf numFmtId="0" fontId="35" fillId="4" borderId="0" xfId="3" applyFont="1" applyFill="1"/>
    <xf numFmtId="0" fontId="36" fillId="5" borderId="0" xfId="3" applyFont="1" applyFill="1"/>
    <xf numFmtId="0" fontId="36" fillId="7" borderId="0" xfId="3" applyFont="1" applyFill="1"/>
    <xf numFmtId="0" fontId="36" fillId="6" borderId="0" xfId="3" applyFont="1" applyFill="1"/>
    <xf numFmtId="0" fontId="29" fillId="0" borderId="0" xfId="2" applyFont="1"/>
    <xf numFmtId="0" fontId="30" fillId="0" borderId="0" xfId="3" applyFont="1" applyAlignment="1">
      <alignment horizontal="center"/>
    </xf>
    <xf numFmtId="0" fontId="38" fillId="0" borderId="0" xfId="2" applyFont="1" applyAlignment="1">
      <alignment vertical="center"/>
    </xf>
    <xf numFmtId="0" fontId="58" fillId="0" borderId="0" xfId="2" applyFont="1" applyAlignment="1">
      <alignment vertical="center"/>
    </xf>
    <xf numFmtId="0" fontId="9" fillId="0" borderId="0" xfId="3" applyFont="1" applyAlignment="1">
      <alignment horizontal="left"/>
    </xf>
    <xf numFmtId="0" fontId="29" fillId="26" borderId="0" xfId="11" applyFont="1" applyFill="1"/>
    <xf numFmtId="0" fontId="23" fillId="26" borderId="0" xfId="11" applyFont="1" applyFill="1"/>
    <xf numFmtId="0" fontId="60" fillId="39" borderId="7" xfId="3" applyFont="1" applyFill="1" applyBorder="1"/>
    <xf numFmtId="0" fontId="60" fillId="39" borderId="0" xfId="3" applyFont="1" applyFill="1"/>
    <xf numFmtId="0" fontId="60" fillId="39" borderId="8" xfId="3" applyFont="1" applyFill="1" applyBorder="1"/>
    <xf numFmtId="0" fontId="60" fillId="39" borderId="9" xfId="3" applyFont="1" applyFill="1" applyBorder="1"/>
    <xf numFmtId="0" fontId="30" fillId="0" borderId="0" xfId="3" applyFont="1"/>
    <xf numFmtId="0" fontId="30" fillId="12" borderId="0" xfId="11" applyFont="1" applyFill="1"/>
    <xf numFmtId="0" fontId="25" fillId="11" borderId="0" xfId="3" applyFont="1" applyFill="1" applyAlignment="1">
      <alignment horizontal="left"/>
    </xf>
    <xf numFmtId="2" fontId="1" fillId="0" borderId="0" xfId="3" applyNumberFormat="1"/>
    <xf numFmtId="0" fontId="61" fillId="40" borderId="0" xfId="11" applyFont="1" applyFill="1" applyAlignment="1">
      <alignment wrapText="1"/>
    </xf>
    <xf numFmtId="0" fontId="61" fillId="0" borderId="0" xfId="11" applyFont="1" applyAlignment="1">
      <alignment wrapText="1"/>
    </xf>
    <xf numFmtId="0" fontId="25" fillId="27" borderId="0" xfId="11" applyFont="1" applyFill="1" applyAlignment="1">
      <alignment vertical="center" wrapText="1"/>
    </xf>
    <xf numFmtId="0" fontId="21" fillId="32" borderId="0" xfId="11" applyFont="1" applyFill="1" applyAlignment="1">
      <alignment horizontal="center" vertical="center" wrapText="1"/>
    </xf>
    <xf numFmtId="0" fontId="30" fillId="27" borderId="0" xfId="11" applyFont="1" applyFill="1" applyAlignment="1">
      <alignment horizontal="center" vertical="center" wrapText="1"/>
    </xf>
    <xf numFmtId="0" fontId="30" fillId="27" borderId="0" xfId="11" applyFont="1" applyFill="1" applyAlignment="1">
      <alignment vertical="center"/>
    </xf>
    <xf numFmtId="0" fontId="23" fillId="30" borderId="0" xfId="12" applyFont="1" applyFill="1" applyAlignment="1">
      <alignment horizontal="left"/>
    </xf>
    <xf numFmtId="0" fontId="23" fillId="30" borderId="0" xfId="12" applyFont="1" applyFill="1" applyAlignment="1">
      <alignment horizontal="center" wrapText="1"/>
    </xf>
    <xf numFmtId="0" fontId="23" fillId="38" borderId="0" xfId="12" applyFont="1" applyFill="1" applyAlignment="1">
      <alignment horizontal="left"/>
    </xf>
    <xf numFmtId="0" fontId="60" fillId="38" borderId="0" xfId="3" applyFont="1" applyFill="1"/>
    <xf numFmtId="0" fontId="60" fillId="38" borderId="8" xfId="3" applyFont="1" applyFill="1" applyBorder="1"/>
    <xf numFmtId="0" fontId="60" fillId="38" borderId="9" xfId="3" applyFont="1" applyFill="1" applyBorder="1"/>
    <xf numFmtId="0" fontId="16" fillId="0" borderId="0" xfId="3" applyFont="1" applyAlignment="1">
      <alignment horizontal="right"/>
    </xf>
    <xf numFmtId="165" fontId="59" fillId="17" borderId="0" xfId="11" applyNumberFormat="1" applyFill="1"/>
    <xf numFmtId="2" fontId="23" fillId="34" borderId="0" xfId="7" applyNumberFormat="1" applyFill="1" applyAlignment="1">
      <alignment horizontal="center"/>
    </xf>
    <xf numFmtId="2" fontId="59" fillId="0" borderId="0" xfId="11" applyNumberFormat="1"/>
    <xf numFmtId="16" fontId="16" fillId="0" borderId="0" xfId="1" quotePrefix="1" applyNumberFormat="1" applyFont="1" applyFill="1" applyBorder="1" applyAlignment="1">
      <alignment vertical="center"/>
    </xf>
    <xf numFmtId="165" fontId="24" fillId="33" borderId="0" xfId="11" applyNumberFormat="1" applyFont="1" applyFill="1"/>
    <xf numFmtId="2" fontId="9" fillId="34" borderId="0" xfId="7" applyNumberFormat="1" applyFont="1" applyFill="1" applyAlignment="1">
      <alignment horizontal="center"/>
    </xf>
    <xf numFmtId="1" fontId="9" fillId="0" borderId="0" xfId="3" applyNumberFormat="1" applyFont="1"/>
    <xf numFmtId="164" fontId="9" fillId="0" borderId="0" xfId="3" applyNumberFormat="1" applyFont="1"/>
    <xf numFmtId="0" fontId="16" fillId="0" borderId="0" xfId="3" applyFont="1" applyAlignment="1">
      <alignment horizontal="left"/>
    </xf>
    <xf numFmtId="0" fontId="9" fillId="0" borderId="0" xfId="11" applyFont="1"/>
    <xf numFmtId="0" fontId="23" fillId="0" borderId="0" xfId="11" applyFont="1"/>
    <xf numFmtId="0" fontId="16" fillId="0" borderId="0" xfId="11" applyFont="1" applyAlignment="1">
      <alignment horizontal="left"/>
    </xf>
    <xf numFmtId="0" fontId="23" fillId="31" borderId="0" xfId="12" applyFont="1" applyFill="1" applyAlignment="1">
      <alignment horizontal="left"/>
    </xf>
    <xf numFmtId="0" fontId="62" fillId="0" borderId="0" xfId="11" applyFont="1" applyAlignment="1">
      <alignment horizontal="center" vertical="center"/>
    </xf>
    <xf numFmtId="0" fontId="62" fillId="0" borderId="8" xfId="11" applyFont="1" applyBorder="1" applyAlignment="1">
      <alignment horizontal="center" vertical="center"/>
    </xf>
    <xf numFmtId="0" fontId="62" fillId="0" borderId="9" xfId="11" applyFont="1" applyBorder="1" applyAlignment="1">
      <alignment horizontal="center"/>
    </xf>
    <xf numFmtId="0" fontId="23" fillId="22" borderId="0" xfId="12" applyFont="1" applyFill="1" applyAlignment="1">
      <alignment horizontal="left"/>
    </xf>
    <xf numFmtId="0" fontId="54" fillId="22" borderId="0" xfId="11" applyFont="1" applyFill="1" applyAlignment="1">
      <alignment horizontal="center" vertical="center"/>
    </xf>
    <xf numFmtId="0" fontId="9" fillId="0" borderId="0" xfId="11" applyFont="1" applyAlignment="1">
      <alignment horizontal="center"/>
    </xf>
    <xf numFmtId="0" fontId="62" fillId="0" borderId="9" xfId="11" applyFont="1" applyBorder="1" applyAlignment="1">
      <alignment horizontal="center" vertical="center"/>
    </xf>
    <xf numFmtId="0" fontId="23" fillId="41" borderId="0" xfId="12" applyFont="1" applyFill="1" applyAlignment="1">
      <alignment horizontal="left"/>
    </xf>
    <xf numFmtId="2" fontId="59" fillId="17" borderId="0" xfId="11" applyNumberFormat="1" applyFill="1"/>
    <xf numFmtId="0" fontId="54" fillId="22" borderId="0" xfId="11" applyFont="1" applyFill="1" applyAlignment="1">
      <alignment horizontal="center" vertical="center" wrapText="1"/>
    </xf>
    <xf numFmtId="0" fontId="16" fillId="0" borderId="0" xfId="3" applyFont="1" applyAlignment="1">
      <alignment horizontal="right" vertical="center"/>
    </xf>
    <xf numFmtId="2" fontId="24" fillId="0" borderId="0" xfId="3" applyNumberFormat="1" applyFont="1" applyAlignment="1">
      <alignment vertical="top"/>
    </xf>
    <xf numFmtId="0" fontId="24" fillId="0" borderId="0" xfId="11" applyFont="1"/>
    <xf numFmtId="0" fontId="59" fillId="0" borderId="0" xfId="11"/>
    <xf numFmtId="0" fontId="9" fillId="36" borderId="0" xfId="11" applyFont="1" applyFill="1"/>
    <xf numFmtId="0" fontId="16" fillId="0" borderId="0" xfId="11" applyFont="1"/>
    <xf numFmtId="9" fontId="59" fillId="0" borderId="0" xfId="11" applyNumberFormat="1"/>
    <xf numFmtId="0" fontId="1" fillId="0" borderId="0" xfId="3"/>
    <xf numFmtId="0" fontId="59" fillId="0" borderId="0" xfId="11" applyAlignment="1">
      <alignment horizontal="left"/>
    </xf>
    <xf numFmtId="1" fontId="16" fillId="0" borderId="0" xfId="3" applyNumberFormat="1" applyFont="1"/>
    <xf numFmtId="9" fontId="24" fillId="0" borderId="0" xfId="11" applyNumberFormat="1" applyFont="1"/>
    <xf numFmtId="0" fontId="16" fillId="0" borderId="0" xfId="11" applyFont="1" applyAlignment="1">
      <alignment horizontal="right"/>
    </xf>
    <xf numFmtId="165" fontId="59" fillId="0" borderId="0" xfId="11" applyNumberFormat="1"/>
    <xf numFmtId="0" fontId="46" fillId="0" borderId="0" xfId="11" applyFont="1"/>
    <xf numFmtId="0" fontId="45" fillId="0" borderId="0" xfId="11" applyFont="1"/>
    <xf numFmtId="1" fontId="16" fillId="0" borderId="0" xfId="13" applyNumberFormat="1" applyFont="1" applyFill="1" applyBorder="1" applyAlignment="1" applyProtection="1">
      <alignment horizontal="right"/>
    </xf>
    <xf numFmtId="0" fontId="24" fillId="10" borderId="4" xfId="3" applyFont="1" applyFill="1" applyBorder="1" applyAlignment="1">
      <alignment vertical="top"/>
    </xf>
    <xf numFmtId="0" fontId="46" fillId="0" borderId="0" xfId="3" applyFont="1" applyAlignment="1">
      <alignment horizontal="left"/>
    </xf>
    <xf numFmtId="0" fontId="46" fillId="10" borderId="0" xfId="3" applyFont="1" applyFill="1"/>
    <xf numFmtId="2" fontId="51" fillId="0" borderId="4" xfId="10" applyNumberFormat="1" applyFont="1" applyBorder="1"/>
    <xf numFmtId="0" fontId="34" fillId="0" borderId="0" xfId="3" applyFont="1"/>
    <xf numFmtId="1" fontId="23" fillId="42" borderId="0" xfId="7" applyNumberFormat="1" applyFill="1" applyAlignment="1">
      <alignment horizontal="center"/>
    </xf>
    <xf numFmtId="2" fontId="23" fillId="42" borderId="0" xfId="7" applyNumberFormat="1" applyFill="1" applyAlignment="1">
      <alignment horizontal="center"/>
    </xf>
    <xf numFmtId="2" fontId="9" fillId="42" borderId="0" xfId="7" applyNumberFormat="1" applyFont="1" applyFill="1" applyAlignment="1">
      <alignment horizontal="center"/>
    </xf>
    <xf numFmtId="1" fontId="24" fillId="0" borderId="0" xfId="11" applyNumberFormat="1" applyFont="1"/>
    <xf numFmtId="165" fontId="16" fillId="0" borderId="0" xfId="3" applyNumberFormat="1" applyFont="1"/>
    <xf numFmtId="0" fontId="16" fillId="0" borderId="0" xfId="3" applyFont="1" applyAlignment="1">
      <alignment vertical="center"/>
    </xf>
    <xf numFmtId="0" fontId="10" fillId="0" borderId="0" xfId="3" applyFont="1" applyAlignment="1">
      <alignment horizontal="left" vertical="center"/>
    </xf>
    <xf numFmtId="0" fontId="24" fillId="0" borderId="0" xfId="11" applyFont="1" applyAlignment="1">
      <alignment vertical="center"/>
    </xf>
    <xf numFmtId="9" fontId="24" fillId="0" borderId="0" xfId="11" applyNumberFormat="1" applyFont="1" applyAlignment="1">
      <alignment vertical="center"/>
    </xf>
    <xf numFmtId="0" fontId="10" fillId="0" borderId="0" xfId="11" applyFont="1" applyAlignment="1">
      <alignment vertical="center"/>
    </xf>
    <xf numFmtId="0" fontId="50" fillId="0" borderId="0" xfId="11" applyFont="1"/>
    <xf numFmtId="0" fontId="16" fillId="0" borderId="4" xfId="3" applyFont="1" applyBorder="1"/>
    <xf numFmtId="164" fontId="16" fillId="0" borderId="0" xfId="11" applyNumberFormat="1" applyFont="1"/>
    <xf numFmtId="9" fontId="24" fillId="0" borderId="0" xfId="14" applyFont="1" applyFill="1" applyBorder="1"/>
    <xf numFmtId="9" fontId="23" fillId="0" borderId="0" xfId="11" applyNumberFormat="1" applyFont="1"/>
    <xf numFmtId="0" fontId="56" fillId="0" borderId="0" xfId="11" applyFont="1" applyAlignment="1">
      <alignment horizontal="center" vertical="center"/>
    </xf>
    <xf numFmtId="0" fontId="9" fillId="36" borderId="0" xfId="11" applyFont="1" applyFill="1" applyAlignment="1">
      <alignment horizontal="center"/>
    </xf>
    <xf numFmtId="0" fontId="16" fillId="0" borderId="0" xfId="3" applyFont="1" applyAlignment="1">
      <alignment horizontal="center"/>
    </xf>
    <xf numFmtId="0" fontId="56" fillId="0" borderId="5" xfId="11" applyFont="1" applyBorder="1" applyAlignment="1">
      <alignment horizontal="center" vertical="center"/>
    </xf>
    <xf numFmtId="0" fontId="50" fillId="0" borderId="0" xfId="3" applyFont="1"/>
    <xf numFmtId="1" fontId="9" fillId="0" borderId="0" xfId="11" applyNumberFormat="1" applyFont="1"/>
    <xf numFmtId="164" fontId="9" fillId="0" borderId="0" xfId="11" applyNumberFormat="1" applyFont="1"/>
    <xf numFmtId="0" fontId="16" fillId="0" borderId="0" xfId="11" applyFont="1" applyAlignment="1">
      <alignment horizontal="right" vertical="center"/>
    </xf>
    <xf numFmtId="0" fontId="34" fillId="0" borderId="0" xfId="11" applyFont="1" applyAlignment="1">
      <alignment vertical="center"/>
    </xf>
    <xf numFmtId="0" fontId="16" fillId="0" borderId="0" xfId="11" applyFont="1" applyAlignment="1">
      <alignment vertical="center"/>
    </xf>
    <xf numFmtId="164" fontId="16" fillId="0" borderId="0" xfId="11" applyNumberFormat="1" applyFont="1" applyAlignment="1">
      <alignment horizontal="center" vertical="center"/>
    </xf>
    <xf numFmtId="0" fontId="57" fillId="0" borderId="0" xfId="11" applyFont="1" applyAlignment="1">
      <alignment vertical="center"/>
    </xf>
    <xf numFmtId="0" fontId="24" fillId="0" borderId="0" xfId="3" applyFont="1" applyAlignment="1">
      <alignment horizontal="right"/>
    </xf>
    <xf numFmtId="0" fontId="24" fillId="0" borderId="0" xfId="3" applyFont="1"/>
    <xf numFmtId="164" fontId="24" fillId="0" borderId="0" xfId="3" applyNumberFormat="1" applyFont="1"/>
    <xf numFmtId="0" fontId="24" fillId="0" borderId="0" xfId="3" applyFont="1" applyAlignment="1">
      <alignment horizontal="left"/>
    </xf>
    <xf numFmtId="0" fontId="23" fillId="0" borderId="0" xfId="3" applyFont="1"/>
    <xf numFmtId="1" fontId="24" fillId="0" borderId="0" xfId="3" applyNumberFormat="1" applyFont="1" applyAlignment="1">
      <alignment horizontal="right"/>
    </xf>
    <xf numFmtId="0" fontId="51" fillId="0" borderId="0" xfId="3" applyFont="1" applyAlignment="1">
      <alignment vertical="top"/>
    </xf>
    <xf numFmtId="1" fontId="23" fillId="22" borderId="0" xfId="7" applyNumberFormat="1" applyFill="1" applyAlignment="1">
      <alignment horizontal="center"/>
    </xf>
    <xf numFmtId="2" fontId="23" fillId="22" borderId="0" xfId="7" applyNumberFormat="1" applyFill="1" applyAlignment="1">
      <alignment horizontal="center"/>
    </xf>
    <xf numFmtId="2" fontId="9" fillId="22" borderId="0" xfId="7" applyNumberFormat="1" applyFont="1" applyFill="1" applyAlignment="1">
      <alignment horizontal="center"/>
    </xf>
    <xf numFmtId="2" fontId="9" fillId="0" borderId="0" xfId="3" applyNumberFormat="1" applyFont="1"/>
    <xf numFmtId="49" fontId="63" fillId="0" borderId="0" xfId="15" applyNumberFormat="1" applyAlignment="1" applyProtection="1">
      <alignment horizontal="center"/>
    </xf>
    <xf numFmtId="165" fontId="9" fillId="0" borderId="0" xfId="3" applyNumberFormat="1" applyFont="1"/>
    <xf numFmtId="2" fontId="23" fillId="38" borderId="0" xfId="7" applyNumberFormat="1" applyFill="1" applyAlignment="1">
      <alignment horizontal="center"/>
    </xf>
    <xf numFmtId="2" fontId="9" fillId="38" borderId="0" xfId="7" applyNumberFormat="1" applyFont="1" applyFill="1" applyAlignment="1">
      <alignment horizontal="center"/>
    </xf>
    <xf numFmtId="0" fontId="1" fillId="0" borderId="0" xfId="3" applyAlignment="1">
      <alignment horizontal="left"/>
    </xf>
    <xf numFmtId="0" fontId="59" fillId="0" borderId="0" xfId="11" applyAlignment="1">
      <alignment horizontal="left" indent="1"/>
    </xf>
    <xf numFmtId="0" fontId="0" fillId="35" borderId="0" xfId="0" applyFill="1"/>
    <xf numFmtId="0" fontId="0" fillId="21" borderId="0" xfId="0" applyFill="1"/>
    <xf numFmtId="0" fontId="0" fillId="22" borderId="0" xfId="0" applyFill="1"/>
    <xf numFmtId="0" fontId="0" fillId="43" borderId="0" xfId="0" applyFill="1"/>
    <xf numFmtId="0" fontId="64" fillId="0" borderId="0" xfId="0" applyFont="1"/>
    <xf numFmtId="0" fontId="0" fillId="0" borderId="0" xfId="0" applyAlignment="1">
      <alignment wrapText="1"/>
    </xf>
    <xf numFmtId="0" fontId="0" fillId="0" borderId="0" xfId="0" pivotButton="1"/>
    <xf numFmtId="0" fontId="0" fillId="0" borderId="0" xfId="0" applyAlignment="1">
      <alignment horizontal="left"/>
    </xf>
    <xf numFmtId="2" fontId="0" fillId="0" borderId="0" xfId="0" applyNumberFormat="1"/>
    <xf numFmtId="164" fontId="0" fillId="0" borderId="0" xfId="0" applyNumberFormat="1"/>
    <xf numFmtId="1" fontId="0" fillId="0" borderId="0" xfId="0" applyNumberFormat="1"/>
    <xf numFmtId="0" fontId="65" fillId="0" borderId="0" xfId="0" applyFont="1"/>
    <xf numFmtId="0" fontId="4" fillId="0" borderId="0" xfId="3" applyFont="1"/>
    <xf numFmtId="0" fontId="3" fillId="21" borderId="0" xfId="3" applyFont="1" applyFill="1" applyAlignment="1">
      <alignment horizontal="center" vertical="center" wrapText="1"/>
    </xf>
  </cellXfs>
  <cellStyles count="16">
    <cellStyle name="Hyperlink 2" xfId="15" xr:uid="{C2794052-1114-4588-B0DD-5A16B2360FDA}"/>
    <cellStyle name="Normal" xfId="0" builtinId="0"/>
    <cellStyle name="Normal 2" xfId="3" xr:uid="{00000000-0005-0000-0000-000002000000}"/>
    <cellStyle name="Normal 2 2" xfId="6" xr:uid="{9DAB8006-2215-4A74-AD77-6486A628B745}"/>
    <cellStyle name="Normal 2 2 2" xfId="12" xr:uid="{1279BAB2-C32A-4D66-96A4-57D7B7D06A3F}"/>
    <cellStyle name="Normal 3" xfId="7" xr:uid="{E30BD185-AB73-41AC-B424-74BFCB223D07}"/>
    <cellStyle name="Normal 4" xfId="9" xr:uid="{45DE1FED-DAA7-4C8C-9999-D02736359F5F}"/>
    <cellStyle name="Normal 5" xfId="11" xr:uid="{9A581C63-3719-48D0-A353-BA2A0AFB7DE9}"/>
    <cellStyle name="Normal 6" xfId="10" xr:uid="{CF06D5D1-B9C4-4960-83C3-1CB50772BD76}"/>
    <cellStyle name="Normal_Access Export Results Table" xfId="4" xr:uid="{00000000-0005-0000-0000-000003000000}"/>
    <cellStyle name="Normal_Sheet1" xfId="2" xr:uid="{00000000-0005-0000-0000-000004000000}"/>
    <cellStyle name="Output" xfId="1" builtinId="21"/>
    <cellStyle name="Output 2" xfId="8" xr:uid="{D978E325-90C8-4F3A-8A03-4F23FDBF2B19}"/>
    <cellStyle name="Percent" xfId="5" builtinId="5"/>
    <cellStyle name="Percent 2" xfId="13" xr:uid="{7A2C1B9D-9134-4B93-8720-858E7E9AEEEF}"/>
    <cellStyle name="Percent 3" xfId="14" xr:uid="{2F1C7801-B0A8-4607-90CC-EC5FB0BBDDE8}"/>
  </cellStyles>
  <dxfs count="128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0" tint="-0.14996795556505021"/>
      </font>
      <fill>
        <patternFill>
          <fgColor theme="0"/>
          <bgColor theme="1" tint="0.49998474074526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14996795556505021"/>
      </font>
      <fill>
        <patternFill>
          <fgColor theme="0"/>
          <bgColor theme="1" tint="0.499984740745262"/>
        </patternFill>
      </fill>
    </dxf>
    <dxf>
      <fill>
        <patternFill>
          <bgColor theme="0" tint="-4.9989318521683403E-2"/>
        </patternFill>
      </fill>
    </dxf>
    <dxf>
      <font>
        <color theme="0" tint="-0.14996795556505021"/>
      </font>
      <fill>
        <patternFill>
          <fgColor theme="0"/>
          <bgColor theme="1" tint="0.499984740745262"/>
        </patternFill>
      </fill>
    </dxf>
    <dxf>
      <font>
        <color theme="0" tint="-0.14996795556505021"/>
      </font>
      <fill>
        <patternFill>
          <fgColor theme="0"/>
          <bgColor theme="1" tint="0.49998474074526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14996795556505021"/>
      </font>
      <fill>
        <patternFill>
          <fgColor theme="0"/>
          <bgColor theme="1" tint="0.499984740745262"/>
        </patternFill>
      </fill>
    </dxf>
    <dxf>
      <font>
        <color theme="0" tint="-0.14996795556505021"/>
      </font>
      <fill>
        <patternFill>
          <fgColor theme="0"/>
          <bgColor theme="1" tint="0.499984740745262"/>
        </patternFill>
      </fill>
    </dxf>
    <dxf>
      <font>
        <color theme="0" tint="-0.14996795556505021"/>
      </font>
      <fill>
        <patternFill>
          <fgColor theme="0"/>
          <bgColor theme="1" tint="0.499984740745262"/>
        </patternFill>
      </fill>
    </dxf>
    <dxf>
      <font>
        <color theme="0" tint="-0.14996795556505021"/>
      </font>
      <fill>
        <patternFill>
          <fgColor theme="0"/>
          <bgColor theme="1" tint="0.499984740745262"/>
        </patternFill>
      </fill>
    </dxf>
    <dxf>
      <font>
        <color theme="0" tint="-0.14996795556505021"/>
      </font>
      <fill>
        <patternFill>
          <fgColor theme="0"/>
          <bgColor theme="1" tint="0.499984740745262"/>
        </patternFill>
      </fill>
    </dxf>
    <dxf>
      <font>
        <color theme="0" tint="-0.14996795556505021"/>
      </font>
      <fill>
        <patternFill>
          <fgColor theme="0"/>
          <bgColor theme="1" tint="0.49998474074526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14996795556505021"/>
      </font>
      <fill>
        <patternFill>
          <fgColor theme="0"/>
          <bgColor theme="1" tint="0.499984740745262"/>
        </patternFill>
      </fill>
    </dxf>
    <dxf>
      <font>
        <color theme="0" tint="-0.14996795556505021"/>
      </font>
      <fill>
        <patternFill>
          <fgColor theme="0"/>
          <bgColor theme="1" tint="0.499984740745262"/>
        </patternFill>
      </fill>
    </dxf>
    <dxf>
      <font>
        <color theme="0" tint="-0.14996795556505021"/>
      </font>
      <fill>
        <patternFill>
          <fgColor theme="0"/>
          <bgColor theme="1" tint="0.499984740745262"/>
        </patternFill>
      </fill>
    </dxf>
    <dxf>
      <font>
        <color theme="0" tint="-0.14996795556505021"/>
      </font>
      <fill>
        <patternFill>
          <fgColor theme="0"/>
          <bgColor theme="1" tint="0.499984740745262"/>
        </patternFill>
      </fill>
    </dxf>
    <dxf>
      <font>
        <color theme="0" tint="-0.14996795556505021"/>
      </font>
      <fill>
        <patternFill>
          <fgColor theme="0"/>
          <bgColor theme="1" tint="0.499984740745262"/>
        </patternFill>
      </fill>
    </dxf>
    <dxf>
      <font>
        <color theme="0" tint="-0.14996795556505021"/>
      </font>
      <fill>
        <patternFill>
          <fgColor theme="0"/>
          <bgColor theme="1" tint="0.499984740745262"/>
        </patternFill>
      </fill>
    </dxf>
    <dxf>
      <fill>
        <patternFill>
          <bgColor theme="0" tint="-0.34998626667073579"/>
        </patternFill>
      </fill>
    </dxf>
    <dxf>
      <numFmt numFmtId="2" formatCode="0.00"/>
    </dxf>
    <dxf>
      <numFmt numFmtId="2" formatCode="0.0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numFmt numFmtId="165" formatCode="0.00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numFmt numFmtId="165" formatCode="0.00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numFmt numFmtId="165" formatCode="0.00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numFmt numFmtId="165" formatCode="0.000"/>
    </dxf>
  </dxfs>
  <tableStyles count="0" defaultTableStyle="TableStyleMedium2" defaultPivotStyle="PivotStyleLight16"/>
  <colors>
    <mruColors>
      <color rgb="FFFF99FF"/>
      <color rgb="FFFBE9F4"/>
      <color rgb="FFF6D4E8"/>
      <color rgb="FFE480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9525</xdr:colOff>
      <xdr:row>0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8CA076-8912-5710-5C3D-DFDD9128E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142876</xdr:colOff>
      <xdr:row>1</xdr:row>
      <xdr:rowOff>123825</xdr:rowOff>
    </xdr:from>
    <xdr:to>
      <xdr:col>7</xdr:col>
      <xdr:colOff>219076</xdr:colOff>
      <xdr:row>16</xdr:row>
      <xdr:rowOff>110230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E57B905-1D79-46CE-0BBF-B2DC4A028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19876" y="314325"/>
          <a:ext cx="5829300" cy="322490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ennifer Gadd" id="{42E79AAA-7E3C-4404-88C1-512061830974}" userId="S::Jennifer.Gadd@niwa.co.nz::2ccf3c59-76c1-4985-8289-ed86804a76c5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ENC21101\Working\Zinc\Zn_GVdata_withAdjustWaterChemMacro_FinalDataSet_28Feb_excl.xlsm" TargetMode="Externa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ENC21101\Working\Zinc\Zn_GVdata_withAdjustWaterChemMacro_FinalDataSet_28Feb_excl.xlsm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invalid="1" refreshedBy="Jennifer Gadd" refreshedDate="44984.602361574071" createdVersion="8" refreshedVersion="8" minRefreshableVersion="3" recordCount="340" xr:uid="{1FDC29D7-9D41-4B32-837B-190E32281DE6}">
  <cacheSource type="worksheet">
    <worksheetSource ref="B3:Y343" sheet="PassedQA_inMLR" r:id="rId1"/>
  </cacheSource>
  <cacheFields count="24">
    <cacheField name="Aquire ID" numFmtId="0">
      <sharedItems containsBlank="1" containsMixedTypes="1" containsNumber="1" containsInteger="1" minValue="1975" maxValue="169219"/>
    </cacheField>
    <cacheField name="Study year" numFmtId="0">
      <sharedItems containsSemiMixedTypes="0" containsString="0" containsNumber="1" containsInteger="1" minValue="1980" maxValue="2023"/>
    </cacheField>
    <cacheField name="Author" numFmtId="0">
      <sharedItems longText="1"/>
    </cacheField>
    <cacheField name="Media Type " numFmtId="0">
      <sharedItems containsBlank="1"/>
    </cacheField>
    <cacheField name="Species Scientific Name" numFmtId="0">
      <sharedItems count="35">
        <s v="Bufos boreas"/>
        <s v="Cottus bairdi"/>
        <s v="Mogurnda mogurnda"/>
        <s v="Oncorhynchus clarkii"/>
        <s v="Oncorhynchus mykiss"/>
        <s v="Pimephales promelas"/>
        <s v="Prosopium williamsoni"/>
        <s v="Salmo trutta"/>
        <s v="Ceriodaphnia dubia"/>
        <s v="Ceriodaphnia reticulata"/>
        <s v="Daphnia magna"/>
        <s v="Daphnia thomsoni"/>
        <s v="Moinodaphnia macleayi"/>
        <s v="Hyalella azteca"/>
        <s v="Orconectes virilis"/>
        <s v="Hydra viridissima"/>
        <s v="Rhithrogena hageni"/>
        <s v="Neocloeon triangulifer"/>
        <s v="Alathyria profuga"/>
        <s v="Amerianna cumingi"/>
        <s v="Cucumerunio novaehollandiae"/>
        <s v="Dreissena polymorpha"/>
        <s v="Echyridella menziesii"/>
        <s v="Hyridella australis"/>
        <s v="Hyridella depressa"/>
        <s v="Hyridella drapeta"/>
        <s v="Lampsilis siliquoidea"/>
        <s v="Lymnaea stagnalis"/>
        <s v="Physa gyrina"/>
        <s v="Potamopyrgus antipodarum"/>
        <s v="Velesunio ambiguus"/>
        <s v="Brachionus calyciflorus"/>
        <s v="Chlorella sp."/>
        <s v="Chlorella sp. (eriss)"/>
        <s v="Pseudokirchneriella subcapitata"/>
      </sharedItems>
    </cacheField>
    <cacheField name="Taxonomic Group as per Table 6" numFmtId="0">
      <sharedItems count="8">
        <s v="Amphibian"/>
        <s v="Fish"/>
        <s v="Crustaceans"/>
        <s v="Cnidaria"/>
        <s v="Insects"/>
        <s v="Molluscs"/>
        <s v="Rotifers"/>
        <s v="Green algae"/>
      </sharedItems>
    </cacheField>
    <cacheField name="Life Stage" numFmtId="0">
      <sharedItems containsBlank="1"/>
    </cacheField>
    <cacheField name="Endpoint" numFmtId="0">
      <sharedItems/>
    </cacheField>
    <cacheField name="Toxicity Value" numFmtId="0">
      <sharedItems/>
    </cacheField>
    <cacheField name="Exposure Duration  (d)" numFmtId="0">
      <sharedItems containsMixedTypes="1" containsNumber="1" containsInteger="1" minValue="2" maxValue="120"/>
    </cacheField>
    <cacheField name="Concentration (ug/L)" numFmtId="0">
      <sharedItems containsSemiMixedTypes="0" containsString="0" containsNumber="1" minValue="0.79" maxValue="9920"/>
    </cacheField>
    <cacheField name="Hardness" numFmtId="0">
      <sharedItems containsSemiMixedTypes="0" containsString="0" containsNumber="1" minValue="3" maxValue="607.6"/>
    </cacheField>
    <cacheField name="pH" numFmtId="0">
      <sharedItems containsSemiMixedTypes="0" containsString="0" containsNumber="1" minValue="5.85" maxValue="9"/>
    </cacheField>
    <cacheField name="DOC" numFmtId="0">
      <sharedItems containsSemiMixedTypes="0" containsString="0" containsNumber="1" minValue="0.1" maxValue="41"/>
    </cacheField>
    <cacheField name="Observed LnEC10" numFmtId="0">
      <sharedItems containsSemiMixedTypes="0" containsString="0" containsNumber="1" minValue="-0.23572233352106983" maxValue="9.2023082002789192"/>
    </cacheField>
    <cacheField name="Model used" numFmtId="1">
      <sharedItems/>
    </cacheField>
    <cacheField name="Pred LN(EC10) MLR" numFmtId="2">
      <sharedItems containsSemiMixedTypes="0" containsString="0" containsNumber="1" minValue="-7.1115047629616983" maxValue="1.5656999406935075"/>
    </cacheField>
    <cacheField name="Calc Sp." numFmtId="0">
      <sharedItems containsSemiMixedTypes="0" containsString="0" containsNumber="1" minValue="-0.3924361047639181" maxValue="11.762132673538639"/>
    </cacheField>
    <cacheField name="Group the same Species" numFmtId="0">
      <sharedItems containsSemiMixedTypes="0" containsString="0" containsNumber="1" containsInteger="1" minValue="1" maxValue="35"/>
    </cacheField>
    <cacheField name="Group the same Species + Stat" numFmtId="16">
      <sharedItems containsBlank="1"/>
    </cacheField>
    <cacheField name="Geomean of Calc Sp." numFmtId="165">
      <sharedItems containsMixedTypes="1" containsNumber="1" minValue="0.5483589578715401" maxValue="11.762132673538639"/>
    </cacheField>
    <cacheField name="Predicted LnEC10" numFmtId="2">
      <sharedItems containsMixedTypes="1" containsNumber="1" minValue="-9.8429864646369603E-2" maxValue="8.6392449896299297"/>
    </cacheField>
    <cacheField name="Predicted EC10" numFmtId="0">
      <sharedItems containsMixedTypes="1" containsNumber="1" minValue="0.90625925119845641" maxValue="5649.063112701624"/>
    </cacheField>
    <cacheField name="Accepted EC10s" numFmtId="0">
      <sharedItems containsBlank="1" containsMixedTypes="1" containsNumber="1" minValue="0.90625925119845641" maxValue="5533.24369746967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invalid="1" refreshedBy="Jennifer Gadd" refreshedDate="44984.566540856482" createdVersion="8" refreshedVersion="8" minRefreshableVersion="3" recordCount="162" xr:uid="{BF2D17D2-CF99-4ADB-8F92-0775CDA9DA0F}">
  <cacheSource type="worksheet">
    <worksheetSource ref="F3:Y164" sheet="PreferredStat" r:id="rId1"/>
  </cacheSource>
  <cacheFields count="20">
    <cacheField name="Species Scientific Name" numFmtId="0">
      <sharedItems count="23">
        <s v="Cottus bairdi"/>
        <s v="Oncorhynchus clarkii"/>
        <s v="Oncorhynchus mykiss"/>
        <s v="Pimephales promelas"/>
        <s v="Prosopium williamsoni"/>
        <s v="Ceriodaphnia dubia"/>
        <s v="Daphnia magna"/>
        <s v="Daphnia thomsoni"/>
        <s v="Orconectes virilis"/>
        <s v="Rhithrogena hageni"/>
        <s v="Alathyria profuga"/>
        <s v="Cucumerunio novaehollandiae"/>
        <s v="Dreissena polymorpha"/>
        <s v="Hyridella australis"/>
        <s v="Hyridella depressa"/>
        <s v="Hyridella drapeta"/>
        <s v="Lampsilis siliquoidea"/>
        <s v="Lymnaea stagnalis"/>
        <s v="Velesunio ambiguus"/>
        <s v="Brachionus calyciflorus"/>
        <s v="Chlorella sp."/>
        <s v="Chlorella sp. (eriss)"/>
        <s v="Pseudokirchneriella subcapitata"/>
      </sharedItems>
    </cacheField>
    <cacheField name="Taxonomic Group as per Table 6" numFmtId="0">
      <sharedItems count="6">
        <s v="Fish"/>
        <s v="Crustaceans"/>
        <s v="Insects"/>
        <s v="Molluscs"/>
        <s v="Rotifers"/>
        <s v="Green algae"/>
      </sharedItems>
    </cacheField>
    <cacheField name="Life Stage" numFmtId="0">
      <sharedItems/>
    </cacheField>
    <cacheField name="Endpoint" numFmtId="0">
      <sharedItems/>
    </cacheField>
    <cacheField name="Toxicity Value" numFmtId="0">
      <sharedItems/>
    </cacheField>
    <cacheField name="Exposure Duration  (d)" numFmtId="0">
      <sharedItems containsMixedTypes="1" containsNumber="1" containsInteger="1" minValue="2" maxValue="72"/>
    </cacheField>
    <cacheField name="Concentration (ug/L)" numFmtId="0">
      <sharedItems containsSemiMixedTypes="0" containsString="0" containsNumber="1" minValue="0.79" maxValue="9920"/>
    </cacheField>
    <cacheField name="Hardness" numFmtId="0">
      <sharedItems containsSemiMixedTypes="0" containsString="0" containsNumber="1" minValue="3" maxValue="607.6"/>
    </cacheField>
    <cacheField name="pH" numFmtId="0">
      <sharedItems containsSemiMixedTypes="0" containsString="0" containsNumber="1" minValue="5.85" maxValue="8.5399999999999991"/>
    </cacheField>
    <cacheField name="DOC" numFmtId="0">
      <sharedItems containsSemiMixedTypes="0" containsString="0" containsNumber="1" minValue="0.1" maxValue="40"/>
    </cacheField>
    <cacheField name="Observed LnEC10" numFmtId="2">
      <sharedItems containsSemiMixedTypes="0" containsString="0" containsNumber="1" minValue="-0.23572233352106983" maxValue="9.2023082002789192"/>
    </cacheField>
    <cacheField name="Model used" numFmtId="1">
      <sharedItems/>
    </cacheField>
    <cacheField name="Pred LN(EC10) MLR" numFmtId="2">
      <sharedItems containsSemiMixedTypes="0" containsString="0" containsNumber="1" minValue="-7.1115047629616983" maxValue="1.5656999406935075"/>
    </cacheField>
    <cacheField name="Calc Sp." numFmtId="0">
      <sharedItems containsSemiMixedTypes="0" containsString="0" containsNumber="1" minValue="-0.3924361047639181" maxValue="11.741417170201556"/>
    </cacheField>
    <cacheField name="Group the same Species" numFmtId="0">
      <sharedItems containsSemiMixedTypes="0" containsString="0" containsNumber="1" containsInteger="1" minValue="1" maxValue="23"/>
    </cacheField>
    <cacheField name="Group the same Species + Stat" numFmtId="16">
      <sharedItems containsBlank="1"/>
    </cacheField>
    <cacheField name="Geomean of Calc Sp." numFmtId="165">
      <sharedItems containsMixedTypes="1" containsNumber="1" minValue="0.5483589578715401" maxValue="11.741417170201556"/>
    </cacheField>
    <cacheField name="Predicted LnEC10" numFmtId="2">
      <sharedItems containsMixedTypes="1" containsNumber="1" minValue="-9.8429864646369603E-2" maxValue="8.6185294862928465"/>
    </cacheField>
    <cacheField name="Predicted EC10" numFmtId="0">
      <sharedItems containsMixedTypes="1" containsNumber="1" minValue="0.90625925119845641" maxValue="5533.2436974696711"/>
    </cacheField>
    <cacheField name="Accepted EC10s" numFmtId="0">
      <sharedItems containsBlank="1" containsMixedTypes="1" containsNumber="1" minValue="0.90625925119845641" maxValue="5533.24369746967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invalid="1" refreshedBy="Jennifer Gadd" refreshedDate="44995.57335914352" createdVersion="8" refreshedVersion="8" minRefreshableVersion="3" recordCount="161" xr:uid="{6C2421D0-D330-4E08-A296-FC565F942AB7}">
  <cacheSource type="worksheet">
    <worksheetSource ref="F3:Y164" sheet="PreferredStat"/>
  </cacheSource>
  <cacheFields count="20">
    <cacheField name="Species Scientific Name" numFmtId="0">
      <sharedItems containsBlank="1" count="23">
        <s v="Cottus bairdi"/>
        <s v="Oncorhynchus mykiss"/>
        <s v="Pimephales promelas"/>
        <s v="Prosopium williamsoni"/>
        <s v="Ceriodaphnia dubia"/>
        <s v="Daphnia magna"/>
        <s v="Daphnia thomsoni"/>
        <s v="Orconectes virilis"/>
        <s v="Rhithrogena hageni"/>
        <s v="Alathyria profuga"/>
        <s v="Cucumerunio novaehollandiae"/>
        <s v="Dreissena polymorpha"/>
        <s v="Hyridella australis"/>
        <s v="Hyridella depressa"/>
        <s v="Hyridella drapeta"/>
        <s v="Lampsilis siliquoidea"/>
        <s v="Lymnaea stagnalis"/>
        <s v="Velesunio ambiguus"/>
        <s v="Brachionus calyciflorus"/>
        <s v="Chlorella sp."/>
        <s v="Chlorella sp. (eriss)"/>
        <s v="Pseudokirchneriella subcapitata"/>
        <m/>
      </sharedItems>
    </cacheField>
    <cacheField name="Taxonomic Group as per Table 6" numFmtId="0">
      <sharedItems containsBlank="1"/>
    </cacheField>
    <cacheField name="Life Stage" numFmtId="0">
      <sharedItems containsBlank="1"/>
    </cacheField>
    <cacheField name="Endpoint" numFmtId="0">
      <sharedItems containsBlank="1"/>
    </cacheField>
    <cacheField name="Toxicity Value" numFmtId="0">
      <sharedItems containsBlank="1"/>
    </cacheField>
    <cacheField name="Exposure Duration  (d)" numFmtId="0">
      <sharedItems containsBlank="1" containsMixedTypes="1" containsNumber="1" containsInteger="1" minValue="2" maxValue="72"/>
    </cacheField>
    <cacheField name="Concentration (ug/L)" numFmtId="0">
      <sharedItems containsString="0" containsBlank="1" containsNumber="1" minValue="0.79" maxValue="9920"/>
    </cacheField>
    <cacheField name="Hardness" numFmtId="0">
      <sharedItems containsString="0" containsBlank="1" containsNumber="1" minValue="3" maxValue="607.6"/>
    </cacheField>
    <cacheField name="pH" numFmtId="0">
      <sharedItems containsString="0" containsBlank="1" containsNumber="1" minValue="5.85" maxValue="8.5399999999999991"/>
    </cacheField>
    <cacheField name="DOC" numFmtId="0">
      <sharedItems containsString="0" containsBlank="1" containsNumber="1" minValue="0.1" maxValue="40"/>
    </cacheField>
    <cacheField name="Observed LnEC10" numFmtId="0">
      <sharedItems containsString="0" containsBlank="1" containsNumber="1" minValue="-0.23572233352106983" maxValue="9.2023082002789192"/>
    </cacheField>
    <cacheField name="Model used" numFmtId="0">
      <sharedItems containsBlank="1"/>
    </cacheField>
    <cacheField name="Pred LN(EC10) MLR" numFmtId="0">
      <sharedItems containsString="0" containsBlank="1" containsNumber="1" minValue="-7.1115047629616983" maxValue="1.5656999406935075"/>
    </cacheField>
    <cacheField name="Calc Sp." numFmtId="0">
      <sharedItems containsString="0" containsBlank="1" containsNumber="1" minValue="-0.3924361047639181" maxValue="11.741417170201556"/>
    </cacheField>
    <cacheField name="Group the same Species" numFmtId="0">
      <sharedItems containsString="0" containsBlank="1" containsNumber="1" containsInteger="1" minValue="1" maxValue="23"/>
    </cacheField>
    <cacheField name="Group the same Species + Stat" numFmtId="0">
      <sharedItems containsBlank="1"/>
    </cacheField>
    <cacheField name="Geomean of Calc Sp." numFmtId="0">
      <sharedItems containsBlank="1" containsMixedTypes="1" containsNumber="1" minValue="0.5483589578715401" maxValue="11.741417170201556"/>
    </cacheField>
    <cacheField name="Predicted LnEC10" numFmtId="0">
      <sharedItems containsBlank="1" containsMixedTypes="1" containsNumber="1" minValue="-9.8429864646369603E-2" maxValue="8.6185294862928465"/>
    </cacheField>
    <cacheField name="Predicted EC10" numFmtId="0">
      <sharedItems containsBlank="1" containsMixedTypes="1" containsNumber="1" minValue="0.90625925119845641" maxValue="5533.2436974696711"/>
    </cacheField>
    <cacheField name="Accepted EC10s" numFmtId="0">
      <sharedItems containsBlank="1" containsMixedTypes="1" containsNumber="1" minValue="0.90625925119845641" maxValue="5533.24369746967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E11763-2400-4829-9B56-2843B811B36E}" name="PivotTable2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>
  <location ref="AP14:AQ49" firstHeaderRow="1" firstDataRow="1" firstDataCol="1"/>
  <pivotFields count="24">
    <pivotField showAll="0"/>
    <pivotField showAll="0"/>
    <pivotField showAll="0"/>
    <pivotField showAll="0"/>
    <pivotField axis="axisRow" showAll="0">
      <items count="36">
        <item x="18"/>
        <item x="19"/>
        <item x="31"/>
        <item x="0"/>
        <item x="8"/>
        <item x="9"/>
        <item x="32"/>
        <item x="33"/>
        <item x="1"/>
        <item x="20"/>
        <item x="10"/>
        <item x="11"/>
        <item x="21"/>
        <item x="22"/>
        <item x="13"/>
        <item x="15"/>
        <item x="23"/>
        <item x="24"/>
        <item x="25"/>
        <item x="26"/>
        <item x="27"/>
        <item x="2"/>
        <item x="12"/>
        <item x="17"/>
        <item x="3"/>
        <item x="4"/>
        <item x="14"/>
        <item x="28"/>
        <item x="5"/>
        <item x="29"/>
        <item x="6"/>
        <item x="34"/>
        <item x="16"/>
        <item x="7"/>
        <item x="3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numFmtId="2" showAll="0"/>
    <pivotField numFmtId="2" showAll="0"/>
    <pivotField showAll="0"/>
    <pivotField showAll="0"/>
    <pivotField numFmtId="165" showAll="0"/>
    <pivotField numFmtId="2" showAll="0"/>
    <pivotField showAll="0"/>
    <pivotField dataField="1" showAll="0"/>
  </pivotFields>
  <rowFields count="1">
    <field x="4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rowItems>
  <colItems count="1">
    <i/>
  </colItems>
  <dataFields count="1">
    <dataField name="Min of Accepted EC10s" fld="23" subtotal="min" baseField="4" baseItem="0" numFmtId="165"/>
  </dataFields>
  <formats count="6">
    <format dxfId="121">
      <pivotArea outline="0" collapsedLevelsAreSubtotals="1" fieldPosition="0"/>
    </format>
    <format dxfId="120">
      <pivotArea type="all" dataOnly="0" outline="0" fieldPosition="0"/>
    </format>
    <format dxfId="119">
      <pivotArea outline="0" collapsedLevelsAreSubtotals="1" fieldPosition="0"/>
    </format>
    <format dxfId="118">
      <pivotArea field="4" type="button" dataOnly="0" labelOnly="1" outline="0" axis="axisRow" fieldPosition="0"/>
    </format>
    <format dxfId="117">
      <pivotArea dataOnly="0" labelOnly="1" fieldPosition="0">
        <references count="1">
          <reference field="4" count="0"/>
        </references>
      </pivotArea>
    </format>
    <format dxfId="11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4411F7-01B9-4CCD-B5C6-E64556F79D7B}" name="PivotTable1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>
  <location ref="AG14:AH49" firstHeaderRow="1" firstDataRow="1" firstDataCol="1"/>
  <pivotFields count="24">
    <pivotField showAll="0"/>
    <pivotField showAll="0"/>
    <pivotField showAll="0"/>
    <pivotField showAll="0"/>
    <pivotField axis="axisRow" showAll="0">
      <items count="36">
        <item x="18"/>
        <item x="19"/>
        <item x="31"/>
        <item x="0"/>
        <item x="8"/>
        <item x="9"/>
        <item x="32"/>
        <item x="33"/>
        <item x="1"/>
        <item x="20"/>
        <item x="10"/>
        <item x="11"/>
        <item x="21"/>
        <item x="22"/>
        <item x="13"/>
        <item x="15"/>
        <item x="23"/>
        <item x="24"/>
        <item x="25"/>
        <item x="26"/>
        <item x="27"/>
        <item x="2"/>
        <item x="12"/>
        <item x="17"/>
        <item x="3"/>
        <item x="4"/>
        <item x="14"/>
        <item x="28"/>
        <item x="5"/>
        <item x="29"/>
        <item x="6"/>
        <item x="34"/>
        <item x="16"/>
        <item x="7"/>
        <item x="3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numFmtId="2" showAll="0"/>
    <pivotField numFmtId="2" showAll="0"/>
    <pivotField showAll="0"/>
    <pivotField showAll="0"/>
    <pivotField numFmtId="165" showAll="0"/>
    <pivotField numFmtId="2" showAll="0"/>
    <pivotField showAll="0"/>
    <pivotField dataField="1" showAll="0"/>
  </pivotFields>
  <rowFields count="1">
    <field x="4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rowItems>
  <colItems count="1">
    <i/>
  </colItems>
  <dataFields count="1">
    <dataField name="Min of Accepted EC10s" fld="23" subtotal="min" baseField="4" baseItem="0" numFmtId="165"/>
  </dataFields>
  <formats count="6">
    <format dxfId="127">
      <pivotArea outline="0" collapsedLevelsAreSubtotals="1" fieldPosition="0"/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field="4" type="button" dataOnly="0" labelOnly="1" outline="0" axis="axisRow" fieldPosition="0"/>
    </format>
    <format dxfId="123">
      <pivotArea dataOnly="0" labelOnly="1" fieldPosition="0">
        <references count="1">
          <reference field="4" count="0"/>
        </references>
      </pivotArea>
    </format>
    <format dxfId="12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46A3D0-AEBD-4A35-88B9-51E90D8D3C40}" name="PivotTable2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>
  <location ref="AP17:AQ52" firstHeaderRow="1" firstDataRow="1" firstDataCol="1"/>
  <pivotFields count="24">
    <pivotField showAll="0"/>
    <pivotField showAll="0"/>
    <pivotField showAll="0"/>
    <pivotField showAll="0"/>
    <pivotField axis="axisRow" showAll="0">
      <items count="36">
        <item x="18"/>
        <item x="19"/>
        <item x="31"/>
        <item x="0"/>
        <item x="8"/>
        <item x="9"/>
        <item x="32"/>
        <item x="33"/>
        <item x="1"/>
        <item x="20"/>
        <item x="10"/>
        <item x="11"/>
        <item x="21"/>
        <item x="22"/>
        <item x="13"/>
        <item x="15"/>
        <item x="23"/>
        <item x="24"/>
        <item x="25"/>
        <item x="26"/>
        <item x="27"/>
        <item x="2"/>
        <item x="12"/>
        <item x="17"/>
        <item x="3"/>
        <item x="4"/>
        <item x="14"/>
        <item x="28"/>
        <item x="5"/>
        <item x="29"/>
        <item x="6"/>
        <item x="34"/>
        <item x="16"/>
        <item x="7"/>
        <item x="3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numFmtId="2" showAll="0"/>
    <pivotField numFmtId="2" showAll="0"/>
    <pivotField showAll="0"/>
    <pivotField showAll="0"/>
    <pivotField numFmtId="165" showAll="0"/>
    <pivotField numFmtId="2" showAll="0"/>
    <pivotField showAll="0"/>
    <pivotField dataField="1" showAll="0"/>
  </pivotFields>
  <rowFields count="1">
    <field x="4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rowItems>
  <colItems count="1">
    <i/>
  </colItems>
  <dataFields count="1">
    <dataField name="Min of Accepted EC10s" fld="23" subtotal="min" baseField="4" baseItem="0" numFmtId="165"/>
  </dataFields>
  <formats count="6">
    <format dxfId="109">
      <pivotArea outline="0" collapsedLevelsAreSubtotals="1" fieldPosition="0"/>
    </format>
    <format dxfId="108">
      <pivotArea type="all" dataOnly="0" outline="0" fieldPosition="0"/>
    </format>
    <format dxfId="107">
      <pivotArea outline="0" collapsedLevelsAreSubtotals="1" fieldPosition="0"/>
    </format>
    <format dxfId="106">
      <pivotArea field="4" type="button" dataOnly="0" labelOnly="1" outline="0" axis="axisRow" fieldPosition="0"/>
    </format>
    <format dxfId="105">
      <pivotArea dataOnly="0" labelOnly="1" fieldPosition="0">
        <references count="1">
          <reference field="4" count="0"/>
        </references>
      </pivotArea>
    </format>
    <format dxfId="10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DA42DE-8417-40A5-8CD7-D4FA8AF9525B}" name="PivotTable1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>
  <location ref="AG17:AH52" firstHeaderRow="1" firstDataRow="1" firstDataCol="1"/>
  <pivotFields count="24">
    <pivotField showAll="0"/>
    <pivotField showAll="0"/>
    <pivotField showAll="0"/>
    <pivotField showAll="0"/>
    <pivotField axis="axisRow" showAll="0">
      <items count="36">
        <item x="18"/>
        <item x="19"/>
        <item x="31"/>
        <item x="0"/>
        <item x="8"/>
        <item x="9"/>
        <item x="32"/>
        <item x="33"/>
        <item x="1"/>
        <item x="20"/>
        <item x="10"/>
        <item x="11"/>
        <item x="21"/>
        <item x="22"/>
        <item x="13"/>
        <item x="15"/>
        <item x="23"/>
        <item x="24"/>
        <item x="25"/>
        <item x="26"/>
        <item x="27"/>
        <item x="2"/>
        <item x="12"/>
        <item x="17"/>
        <item x="3"/>
        <item x="4"/>
        <item x="14"/>
        <item x="28"/>
        <item x="5"/>
        <item x="29"/>
        <item x="6"/>
        <item n="Raphidocelis subcapitata" x="34"/>
        <item x="16"/>
        <item x="7"/>
        <item x="3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numFmtId="2" showAll="0"/>
    <pivotField numFmtId="2" showAll="0"/>
    <pivotField showAll="0"/>
    <pivotField showAll="0"/>
    <pivotField numFmtId="165" showAll="0"/>
    <pivotField numFmtId="2" showAll="0"/>
    <pivotField showAll="0"/>
    <pivotField dataField="1" showAll="0"/>
  </pivotFields>
  <rowFields count="1">
    <field x="4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rowItems>
  <colItems count="1">
    <i/>
  </colItems>
  <dataFields count="1">
    <dataField name="Min of Accepted EC10s" fld="23" subtotal="min" baseField="4" baseItem="0" numFmtId="165"/>
  </dataFields>
  <formats count="6">
    <format dxfId="115">
      <pivotArea outline="0" collapsedLevelsAreSubtotals="1" fieldPosition="0"/>
    </format>
    <format dxfId="114">
      <pivotArea type="all" dataOnly="0" outline="0" fieldPosition="0"/>
    </format>
    <format dxfId="113">
      <pivotArea outline="0" collapsedLevelsAreSubtotals="1" fieldPosition="0"/>
    </format>
    <format dxfId="112">
      <pivotArea field="4" type="button" dataOnly="0" labelOnly="1" outline="0" axis="axisRow" fieldPosition="0"/>
    </format>
    <format dxfId="111">
      <pivotArea dataOnly="0" labelOnly="1" fieldPosition="0">
        <references count="1">
          <reference field="4" count="0"/>
        </references>
      </pivotArea>
    </format>
    <format dxfId="11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2A28AD-BA86-44C2-836B-182CB062F0F9}" name="PivotTable1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G10:AH34" firstHeaderRow="1" firstDataRow="1" firstDataCol="1"/>
  <pivotFields count="20">
    <pivotField axis="axisRow" showAll="0">
      <items count="24">
        <item x="9"/>
        <item x="18"/>
        <item x="4"/>
        <item x="19"/>
        <item x="20"/>
        <item x="0"/>
        <item x="10"/>
        <item x="5"/>
        <item x="6"/>
        <item x="11"/>
        <item x="12"/>
        <item x="13"/>
        <item x="14"/>
        <item x="15"/>
        <item x="16"/>
        <item x="1"/>
        <item x="7"/>
        <item x="2"/>
        <item x="3"/>
        <item x="21"/>
        <item x="8"/>
        <item x="17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numFmtId="2"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0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Items count="1">
    <i/>
  </colItems>
  <dataFields count="1">
    <dataField name="Min of Accepted EC10s" fld="19" subtotal="min" baseField="0" baseItem="0"/>
  </dataFields>
  <formats count="1">
    <format dxfId="10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CBE47E-5E31-4488-80E3-83C24045A820}" name="PivotTable2" cacheId="1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>
  <location ref="AJ10:AK39" firstHeaderRow="1" firstDataRow="1" firstDataCol="1"/>
  <pivotFields count="20">
    <pivotField axis="axisRow" showAll="0" defaultSubtotal="0">
      <items count="23">
        <item x="10"/>
        <item x="19"/>
        <item x="5"/>
        <item x="20"/>
        <item x="21"/>
        <item x="0"/>
        <item x="11"/>
        <item x="6"/>
        <item x="7"/>
        <item x="12"/>
        <item x="13"/>
        <item x="14"/>
        <item x="15"/>
        <item x="16"/>
        <item x="17"/>
        <item x="1"/>
        <item x="2"/>
        <item x="8"/>
        <item x="3"/>
        <item x="4"/>
        <item x="22"/>
        <item x="9"/>
        <item x="18"/>
      </items>
    </pivotField>
    <pivotField axis="axisRow" showAll="0" defaultSubtotal="0">
      <items count="6">
        <item x="1"/>
        <item x="0"/>
        <item x="5"/>
        <item x="2"/>
        <item x="3"/>
        <item x="4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2" showAll="0" defaultSubtotal="0"/>
    <pivotField showAll="0" defaultSubtotal="0"/>
    <pivotField numFmtId="2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</pivotFields>
  <rowFields count="2">
    <field x="1"/>
    <field x="0"/>
  </rowFields>
  <rowItems count="29">
    <i>
      <x/>
    </i>
    <i r="1">
      <x v="2"/>
    </i>
    <i r="1">
      <x v="7"/>
    </i>
    <i r="1">
      <x v="8"/>
    </i>
    <i r="1">
      <x v="17"/>
    </i>
    <i>
      <x v="1"/>
    </i>
    <i r="1">
      <x v="5"/>
    </i>
    <i r="1">
      <x v="15"/>
    </i>
    <i r="1">
      <x v="16"/>
    </i>
    <i r="1">
      <x v="18"/>
    </i>
    <i r="1">
      <x v="19"/>
    </i>
    <i>
      <x v="2"/>
    </i>
    <i r="1">
      <x v="3"/>
    </i>
    <i r="1">
      <x v="4"/>
    </i>
    <i r="1">
      <x v="20"/>
    </i>
    <i>
      <x v="3"/>
    </i>
    <i r="1">
      <x v="21"/>
    </i>
    <i>
      <x v="4"/>
    </i>
    <i r="1">
      <x/>
    </i>
    <i r="1">
      <x v="6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22"/>
    </i>
    <i>
      <x v="5"/>
    </i>
    <i r="1">
      <x v="1"/>
    </i>
  </rowItems>
  <colItems count="1">
    <i/>
  </colItems>
  <dataFields count="1">
    <dataField name="Min of Accepted EC10s" fld="19" subtotal="min" baseField="0" baseItem="0"/>
  </dataFields>
  <formats count="1">
    <format dxfId="10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P69" dT="2021-11-22T19:44:52.13" personId="{42E79AAA-7E3C-4404-88C1-512061830974}" id="{A6B3BC90-60F3-4BE7-9DCF-37F78CB9B144}">
    <text>Estimated by CCME</text>
  </threadedComment>
  <threadedComment ref="AP70" dT="2021-11-22T19:44:52.13" personId="{42E79AAA-7E3C-4404-88C1-512061830974}" id="{DABBF835-BA0A-496F-8BE3-80AD9B5F8829}">
    <text>Estimated by CCME</text>
  </threadedComment>
  <threadedComment ref="AP71" dT="2021-11-22T19:44:52.13" personId="{42E79AAA-7E3C-4404-88C1-512061830974}" id="{C59B028A-DA6C-46D6-9939-EDB2ADB2E81E}">
    <text>Estimated by CCME</text>
  </threadedComment>
  <threadedComment ref="AB72" dT="2021-11-22T19:52:45.22" personId="{42E79AAA-7E3C-4404-88C1-512061830974}" id="{B52B4ECA-0BE6-4401-BCAF-5437035C9E5F}">
    <text>Calc by DeForest&amp;VanG</text>
  </threadedComment>
  <threadedComment ref="AP72" dT="2021-11-22T19:44:52.13" personId="{42E79AAA-7E3C-4404-88C1-512061830974}" id="{E6ACA954-8E7F-4321-8AC9-9CF76D69773B}">
    <text>Estimated by CCME</text>
  </threadedComment>
  <threadedComment ref="AB73" dT="2021-11-22T19:44:09.11" personId="{42E79AAA-7E3C-4404-88C1-512061830974}" id="{88B5BD56-591F-4501-B04C-1F03FF490F29}">
    <text>From CCME</text>
  </threadedComment>
  <threadedComment ref="AP73" dT="2021-11-22T19:44:52.13" personId="{42E79AAA-7E3C-4404-88C1-512061830974}" id="{AF8CA891-AB25-4A97-A820-E5E9AE8073D9}">
    <text>Estimated by CCME</text>
  </threadedComment>
  <threadedComment ref="AP74" dT="2021-11-22T19:44:52.13" personId="{42E79AAA-7E3C-4404-88C1-512061830974}" id="{6E79A1A2-442F-444F-BA2D-D95692227407}">
    <text>Estimated by CCME</text>
  </threadedComment>
  <threadedComment ref="AP75" dT="2021-11-22T19:44:52.13" personId="{42E79AAA-7E3C-4404-88C1-512061830974}" id="{A6C48F7C-6C56-4EB3-8108-F00903415075}">
    <text>Estimated by CCME</text>
  </threadedComment>
  <threadedComment ref="AP76" dT="2021-11-22T19:44:52.13" personId="{42E79AAA-7E3C-4404-88C1-512061830974}" id="{AE3DB21E-A63F-4958-A4E5-8C9B10AAE5A0}">
    <text>Estimated by CCME</text>
  </threadedComment>
  <threadedComment ref="AP77" dT="2021-11-22T19:44:52.13" personId="{42E79AAA-7E3C-4404-88C1-512061830974}" id="{2F733E8C-2782-4096-ADEE-8E09668A1962}">
    <text>Estimated by CCME</text>
  </threadedComment>
  <threadedComment ref="AP78" dT="2021-11-22T19:44:52.13" personId="{42E79AAA-7E3C-4404-88C1-512061830974}" id="{8373612E-3009-4EFF-9680-E3F80A695C02}">
    <text>Estimated by CCME</text>
  </threadedComment>
  <threadedComment ref="AP79" dT="2021-11-22T19:44:52.13" personId="{42E79AAA-7E3C-4404-88C1-512061830974}" id="{52EDAF7D-A354-4205-9FAE-19871A771EE2}">
    <text>Estimated by CCME</text>
  </threadedComment>
  <threadedComment ref="AB96" dT="2021-11-22T19:51:04.74" personId="{42E79AAA-7E3C-4404-88C1-512061830974}" id="{2F3F6D33-B3EC-464E-9C13-05C95F8FFE0A}">
    <text>Calc by DeForest&amp;VanG</text>
  </threadedComment>
  <threadedComment ref="AB124" dT="2021-11-22T19:59:47.29" personId="{42E79AAA-7E3C-4404-88C1-512061830974}" id="{19B850A8-CE76-4A68-B38E-49FACE363CCD}">
    <text>Calcd by DeForest&amp; VanG</text>
  </threadedComment>
  <threadedComment ref="AB126" dT="2021-11-22T19:59:47.29" personId="{42E79AAA-7E3C-4404-88C1-512061830974}" id="{0C0C2FC2-D777-42BD-9F9E-5EF06AD2C764}">
    <text>Calcd by DeForest&amp; VanG</text>
  </threadedComment>
  <threadedComment ref="AB354" dT="2021-11-22T20:10:14.25" personId="{42E79AAA-7E3C-4404-88C1-512061830974}" id="{6C8557AA-2F68-4CBC-8F5E-188B1C345E12}">
    <text>IC10 calcd by CCME</text>
  </threadedComment>
  <threadedComment ref="AB360" dT="2021-11-22T20:20:32.56" personId="{42E79AAA-7E3C-4404-88C1-512061830974}" id="{15DE5536-59F4-4F50-9EE7-758B5BC2A3DD}">
    <text>calcd by CCME</text>
  </threadedComment>
  <threadedComment ref="AB484" dT="2022-03-16T05:43:03.82" personId="{42E79AAA-7E3C-4404-88C1-512061830974}" id="{D154DBDF-8A09-4531-922C-B33D74B878AD}">
    <text>CCME calcd</text>
  </threadedComment>
  <threadedComment ref="AB992" dT="2021-11-21T23:26:03.45" personId="{42E79AAA-7E3C-4404-88C1-512061830974}" id="{B809B56F-26A9-44F9-AA48-E898A868E2E8}">
    <text>Calcd by DeForest&amp;VanG</text>
  </threadedComment>
  <threadedComment ref="AB1256" dT="2021-11-22T00:26:24.15" personId="{42E79AAA-7E3C-4404-88C1-512061830974}" id="{69C12766-15F8-44E7-9CBB-A93E2EF3C40B}">
    <text>Calcd by CCME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L10" dT="2021-11-22T19:44:09.11" personId="{42E79AAA-7E3C-4404-88C1-512061830974}" id="{D105E0AA-6699-4F18-87D8-95BD988E9A30}">
    <text>From CCME</text>
  </threadedComment>
  <threadedComment ref="O10" dT="2021-11-22T19:44:52.13" personId="{42E79AAA-7E3C-4404-88C1-512061830974}" id="{25B69655-2A89-44B5-AF89-DD254858B1A0}">
    <text>Estimated by CCME</text>
  </threadedComment>
  <threadedComment ref="O11" dT="2021-11-22T19:44:52.13" personId="{42E79AAA-7E3C-4404-88C1-512061830974}" id="{78A236CA-4A55-49D0-A811-5AEC8B4F4FE8}">
    <text>Estimated by CCME</text>
  </threadedComment>
  <threadedComment ref="O12" dT="2021-11-22T19:44:52.13" personId="{42E79AAA-7E3C-4404-88C1-512061830974}" id="{46749944-DA18-4216-B4A5-74AD2E35AFE6}">
    <text>Estimated by CCME</text>
  </threadedComment>
  <threadedComment ref="O13" dT="2021-11-22T19:44:52.13" personId="{42E79AAA-7E3C-4404-88C1-512061830974}" id="{456CB3B9-CF92-4EAF-9812-3074850854F8}">
    <text>Estimated by CCME</text>
  </threadedComment>
  <threadedComment ref="L15" dT="2021-11-22T19:59:47.29" personId="{42E79AAA-7E3C-4404-88C1-512061830974}" id="{49CB372B-BFBC-4459-97C8-87412FB03B7C}">
    <text>Calcd by DeForest&amp; VanG</text>
  </threadedComment>
  <threadedComment ref="L17" dT="2021-11-22T19:59:47.29" personId="{42E79AAA-7E3C-4404-88C1-512061830974}" id="{8EA0AC15-72F2-4AE5-9568-4F8D0AEE9983}">
    <text>Calcd by DeForest&amp; VanG</text>
  </threadedComment>
  <threadedComment ref="L71" dT="2021-11-22T20:10:14.25" personId="{42E79AAA-7E3C-4404-88C1-512061830974}" id="{E4194E9D-5F2A-4CFA-981A-C7A4740C9967}">
    <text>IC10 calcd by CCME</text>
  </threadedComment>
  <threadedComment ref="L73" dT="2023-01-25T02:13:45.56" personId="{42E79AAA-7E3C-4404-88C1-512061830974}" id="{05E4AE9D-3264-4482-B274-B3C74D8E14E5}">
    <text>Geomean of 5 tests</text>
  </threadedComment>
  <threadedComment ref="L75" dT="2021-11-22T20:20:32.56" personId="{42E79AAA-7E3C-4404-88C1-512061830974}" id="{3B7246EA-18C8-4511-8D56-053EC0F17A9E}">
    <text>calcd by CCME</text>
  </threadedComment>
  <threadedComment ref="O93" dT="2023-01-25T03:26:14.65" personId="{42E79AAA-7E3C-4404-88C1-512061830974}" id="{B0D766DD-5B2E-41EF-A549-4657BD8DB3FF}">
    <text>Estimated by CCME</text>
  </threadedComment>
  <threadedComment ref="O94" dT="2023-01-25T03:26:14.65" personId="{42E79AAA-7E3C-4404-88C1-512061830974}" id="{AD1D1970-DAD3-4B4A-9667-21894934A37E}">
    <text>Estimated by CCME</text>
  </threadedComment>
  <threadedComment ref="O95" dT="2023-01-25T03:26:14.65" personId="{42E79AAA-7E3C-4404-88C1-512061830974}" id="{CD72DA5A-B2C1-4BC0-A908-76D1CF5DCFC8}">
    <text>Estimated by CCME</text>
  </threadedComment>
  <threadedComment ref="O96" dT="2023-01-25T03:26:14.65" personId="{42E79AAA-7E3C-4404-88C1-512061830974}" id="{63B2C1E1-91D3-41C5-8194-00370864D891}">
    <text>Estimated by CCME</text>
  </threadedComment>
  <threadedComment ref="O97" dT="2023-01-25T03:26:14.65" personId="{42E79AAA-7E3C-4404-88C1-512061830974}" id="{A76F1E3A-8AC1-4E1C-9667-EE47866BF32D}">
    <text>Estimated by CCME</text>
  </threadedComment>
  <threadedComment ref="O98" dT="2023-01-25T03:26:14.65" personId="{42E79AAA-7E3C-4404-88C1-512061830974}" id="{42A17E84-02BA-44F2-B83F-94AB0D397F4B}">
    <text>Estimated by CCME</text>
  </threadedComment>
  <threadedComment ref="L216" dT="2022-03-16T05:43:03.82" personId="{42E79AAA-7E3C-4404-88C1-512061830974}" id="{7DA3DF23-E264-4E2A-98D0-5093C501511F}">
    <text>CCME calcd</text>
  </threadedComment>
  <threadedComment ref="L236" dT="2022-11-29T23:28:08.09" personId="{42E79AAA-7E3C-4404-88C1-512061830974}" id="{FE73AB72-6B80-4F01-ABBD-091A45218571}">
    <text>Reported as &lt;24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L13" dT="2021-11-22T19:44:09.11" personId="{42E79AAA-7E3C-4404-88C1-512061830974}" id="{F2D359B3-FB1B-46AB-BC8A-2D3E6AA5EFBD}">
    <text>From CCME</text>
  </threadedComment>
  <threadedComment ref="O13" dT="2021-11-22T19:44:52.13" personId="{42E79AAA-7E3C-4404-88C1-512061830974}" id="{468A1822-662F-4D67-A062-C9B33EAE8E96}">
    <text>Estimated by CCME</text>
  </threadedComment>
  <threadedComment ref="O14" dT="2021-11-22T19:44:52.13" personId="{42E79AAA-7E3C-4404-88C1-512061830974}" id="{99C3946A-A503-4EE6-93BD-1C4DB72FD12A}">
    <text>Estimated by CCME</text>
  </threadedComment>
  <threadedComment ref="O15" dT="2021-11-22T19:44:52.13" personId="{42E79AAA-7E3C-4404-88C1-512061830974}" id="{E918E049-B469-4DBB-983A-520140B23381}">
    <text>Estimated by CCME</text>
  </threadedComment>
  <threadedComment ref="O16" dT="2021-11-22T19:44:52.13" personId="{42E79AAA-7E3C-4404-88C1-512061830974}" id="{68391DAD-8D94-4440-A5AC-67B57EFD3FDB}">
    <text>Estimated by CCME</text>
  </threadedComment>
  <threadedComment ref="L18" dT="2021-11-22T19:59:47.29" personId="{42E79AAA-7E3C-4404-88C1-512061830974}" id="{FC1F3038-919F-408A-BF46-254BE549270D}">
    <text>Calcd by DeForest&amp; VanG</text>
  </threadedComment>
  <threadedComment ref="L20" dT="2021-11-22T19:59:47.29" personId="{42E79AAA-7E3C-4404-88C1-512061830974}" id="{F85747E5-BED8-4ED9-A479-32B1BC2BA985}">
    <text>Calcd by DeForest&amp; VanG</text>
  </threadedComment>
  <threadedComment ref="L74" dT="2021-11-22T20:10:14.25" personId="{42E79AAA-7E3C-4404-88C1-512061830974}" id="{6F94B07E-797F-4D6E-91A7-65F4027D0C18}">
    <text>IC10 calcd by CCME</text>
  </threadedComment>
  <threadedComment ref="L76" dT="2023-01-25T02:13:45.56" personId="{42E79AAA-7E3C-4404-88C1-512061830974}" id="{DFEDDF57-1590-49EC-8991-A651FDBFC799}">
    <text>Geomean of 5 tests</text>
  </threadedComment>
  <threadedComment ref="L78" dT="2021-11-22T20:20:32.56" personId="{42E79AAA-7E3C-4404-88C1-512061830974}" id="{174B2EB1-7E20-4D75-917A-48B5E7463C5A}">
    <text>calcd by CCME</text>
  </threadedComment>
  <threadedComment ref="O96" dT="2023-01-25T03:26:14.65" personId="{42E79AAA-7E3C-4404-88C1-512061830974}" id="{E2DA7368-EBFE-489B-9C10-6891F8854E3B}">
    <text>Estimated by CCME</text>
  </threadedComment>
  <threadedComment ref="O97" dT="2023-01-25T03:26:14.65" personId="{42E79AAA-7E3C-4404-88C1-512061830974}" id="{A3150D11-E88D-4EBD-8401-77DADE9C18DA}">
    <text>Estimated by CCME</text>
  </threadedComment>
  <threadedComment ref="O98" dT="2023-01-25T03:26:14.65" personId="{42E79AAA-7E3C-4404-88C1-512061830974}" id="{3943C0FA-DDF7-4B74-92CC-949823E879BD}">
    <text>Estimated by CCME</text>
  </threadedComment>
  <threadedComment ref="O99" dT="2023-01-25T03:26:14.65" personId="{42E79AAA-7E3C-4404-88C1-512061830974}" id="{A48C4C8D-B717-4A99-A3D6-1656A2C8E6F2}">
    <text>Estimated by CCME</text>
  </threadedComment>
  <threadedComment ref="O100" dT="2023-01-25T03:26:14.65" personId="{42E79AAA-7E3C-4404-88C1-512061830974}" id="{BAD46910-F13E-4E86-A58E-8C842D8E4C50}">
    <text>Estimated by CCME</text>
  </threadedComment>
  <threadedComment ref="O101" dT="2023-01-25T03:26:14.65" personId="{42E79AAA-7E3C-4404-88C1-512061830974}" id="{C715FCF0-5483-40CE-96FA-63A7BF7C8649}">
    <text>Estimated by CCME</text>
  </threadedComment>
  <threadedComment ref="L217" dT="2022-03-16T05:43:03.82" personId="{42E79AAA-7E3C-4404-88C1-512061830974}" id="{568F09BC-AEAC-46C5-8B1F-4411B69A41B8}">
    <text>CCME calcd</text>
  </threadedComment>
  <threadedComment ref="L237" dT="2022-11-29T23:28:08.09" personId="{42E79AAA-7E3C-4404-88C1-512061830974}" id="{D7E6FE25-46C6-41BD-B947-93B1ACBC50E0}">
    <text>Reported as &lt;24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L4" dT="2021-11-22T19:44:09.11" personId="{42E79AAA-7E3C-4404-88C1-512061830974}" id="{CBAD7175-F4A2-4119-8CC9-B289F25B09E8}">
    <text>From CCME</text>
  </threadedComment>
  <threadedComment ref="O4" dT="2021-11-22T19:44:52.13" personId="{42E79AAA-7E3C-4404-88C1-512061830974}" id="{604330CA-43D7-47C9-A86F-0910BB14BA1F}">
    <text>Estimated by CCME</text>
  </threadedComment>
  <threadedComment ref="L22" dT="2021-11-22T20:10:14.25" personId="{42E79AAA-7E3C-4404-88C1-512061830974}" id="{86C7F1CD-A3D2-40C3-AAE8-78C27C11537B}">
    <text>IC10 calcd by CCME</text>
  </threadedComment>
  <threadedComment ref="L23" dT="2021-11-22T20:20:32.56" personId="{42E79AAA-7E3C-4404-88C1-512061830974}" id="{E83A3767-2AAE-4E59-95E0-BAE6D1938F0B}">
    <text>calcd by CCME</text>
  </threadedComment>
  <threadedComment ref="L69" dT="2022-03-16T05:43:03.82" personId="{42E79AAA-7E3C-4404-88C1-512061830974}" id="{C9898238-E9FC-49D6-A83C-228EC65863A7}">
    <text>CCME calcd</text>
  </threadedComment>
  <threadedComment ref="L77" dT="2022-11-29T23:28:08.09" personId="{42E79AAA-7E3C-4404-88C1-512061830974}" id="{8161F800-C5CD-467D-8985-A15ABDEBA463}">
    <text>Reported as &lt;24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microsoft.com/office/2017/10/relationships/threadedComment" Target="../threadedComments/threadedComment2.xm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microsoft.com/office/2017/10/relationships/threadedComment" Target="../threadedComments/threadedComment4.xm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94AC0-C8D2-4B7B-ACBE-714CE5B8AE9B}">
  <sheetPr codeName="Sheet2">
    <tabColor rgb="FFFF0000"/>
  </sheetPr>
  <dimension ref="A2:B32"/>
  <sheetViews>
    <sheetView tabSelected="1" workbookViewId="0"/>
  </sheetViews>
  <sheetFormatPr defaultColWidth="8.85546875" defaultRowHeight="15" x14ac:dyDescent="0.25"/>
  <cols>
    <col min="1" max="1" width="30" bestFit="1" customWidth="1"/>
    <col min="2" max="2" width="58" customWidth="1"/>
    <col min="4" max="4" width="30" bestFit="1" customWidth="1"/>
    <col min="5" max="5" width="38" bestFit="1" customWidth="1"/>
  </cols>
  <sheetData>
    <row r="2" spans="1:2" x14ac:dyDescent="0.25">
      <c r="A2" t="s">
        <v>1800</v>
      </c>
    </row>
    <row r="3" spans="1:2" x14ac:dyDescent="0.25">
      <c r="A3" s="177" t="s">
        <v>1806</v>
      </c>
      <c r="B3" t="s">
        <v>1807</v>
      </c>
    </row>
    <row r="4" spans="1:2" x14ac:dyDescent="0.25">
      <c r="B4" t="s">
        <v>1805</v>
      </c>
    </row>
    <row r="5" spans="1:2" x14ac:dyDescent="0.25">
      <c r="B5" s="13" t="s">
        <v>1995</v>
      </c>
    </row>
    <row r="6" spans="1:2" x14ac:dyDescent="0.25">
      <c r="B6" s="13" t="s">
        <v>1801</v>
      </c>
    </row>
    <row r="7" spans="1:2" x14ac:dyDescent="0.25">
      <c r="B7" s="13" t="s">
        <v>1802</v>
      </c>
    </row>
    <row r="8" spans="1:2" x14ac:dyDescent="0.25">
      <c r="B8" s="13" t="s">
        <v>1803</v>
      </c>
    </row>
    <row r="9" spans="1:2" x14ac:dyDescent="0.25">
      <c r="B9" s="13" t="s">
        <v>1804</v>
      </c>
    </row>
    <row r="11" spans="1:2" x14ac:dyDescent="0.25">
      <c r="B11" s="13"/>
    </row>
    <row r="12" spans="1:2" x14ac:dyDescent="0.25">
      <c r="A12" s="306" t="s">
        <v>1988</v>
      </c>
      <c r="B12" t="s">
        <v>1989</v>
      </c>
    </row>
    <row r="13" spans="1:2" x14ac:dyDescent="0.25">
      <c r="B13" t="s">
        <v>2002</v>
      </c>
    </row>
    <row r="14" spans="1:2" ht="45" x14ac:dyDescent="0.25">
      <c r="B14" s="311" t="s">
        <v>2000</v>
      </c>
    </row>
    <row r="15" spans="1:2" x14ac:dyDescent="0.25">
      <c r="B15" t="s">
        <v>1990</v>
      </c>
    </row>
    <row r="16" spans="1:2" x14ac:dyDescent="0.25">
      <c r="B16" t="s">
        <v>1809</v>
      </c>
    </row>
    <row r="18" spans="1:2" x14ac:dyDescent="0.25">
      <c r="A18" s="307" t="s">
        <v>2003</v>
      </c>
      <c r="B18" t="s">
        <v>1991</v>
      </c>
    </row>
    <row r="19" spans="1:2" x14ac:dyDescent="0.25">
      <c r="B19" t="s">
        <v>1992</v>
      </c>
    </row>
    <row r="20" spans="1:2" x14ac:dyDescent="0.25">
      <c r="B20" t="s">
        <v>1808</v>
      </c>
    </row>
    <row r="21" spans="1:2" x14ac:dyDescent="0.25">
      <c r="B21" t="s">
        <v>1810</v>
      </c>
    </row>
    <row r="22" spans="1:2" x14ac:dyDescent="0.25">
      <c r="B22" t="s">
        <v>1809</v>
      </c>
    </row>
    <row r="23" spans="1:2" x14ac:dyDescent="0.25">
      <c r="B23" t="s">
        <v>1996</v>
      </c>
    </row>
    <row r="24" spans="1:2" x14ac:dyDescent="0.25">
      <c r="B24" s="310" t="s">
        <v>1999</v>
      </c>
    </row>
    <row r="27" spans="1:2" x14ac:dyDescent="0.25">
      <c r="A27" s="308" t="s">
        <v>1993</v>
      </c>
      <c r="B27" t="s">
        <v>1994</v>
      </c>
    </row>
    <row r="28" spans="1:2" x14ac:dyDescent="0.25">
      <c r="B28" t="s">
        <v>1992</v>
      </c>
    </row>
    <row r="29" spans="1:2" x14ac:dyDescent="0.25">
      <c r="B29" t="s">
        <v>1809</v>
      </c>
    </row>
    <row r="30" spans="1:2" x14ac:dyDescent="0.25">
      <c r="B30" t="s">
        <v>1996</v>
      </c>
    </row>
    <row r="32" spans="1:2" x14ac:dyDescent="0.25">
      <c r="A32" s="309" t="s">
        <v>1997</v>
      </c>
      <c r="B32" t="s">
        <v>1998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3:C23"/>
  <sheetViews>
    <sheetView workbookViewId="0"/>
  </sheetViews>
  <sheetFormatPr defaultColWidth="8.85546875" defaultRowHeight="15" x14ac:dyDescent="0.25"/>
  <cols>
    <col min="1" max="1" width="11.85546875" bestFit="1" customWidth="1"/>
    <col min="2" max="2" width="11.42578125" customWidth="1"/>
  </cols>
  <sheetData>
    <row r="3" spans="1:3" x14ac:dyDescent="0.25">
      <c r="A3" t="s">
        <v>213</v>
      </c>
      <c r="B3">
        <f>161.45</f>
        <v>161.44999999999999</v>
      </c>
      <c r="C3" t="s">
        <v>215</v>
      </c>
    </row>
    <row r="4" spans="1:3" x14ac:dyDescent="0.25">
      <c r="A4" t="s">
        <v>217</v>
      </c>
      <c r="B4">
        <f>7*18.02</f>
        <v>126.14</v>
      </c>
      <c r="C4" t="s">
        <v>215</v>
      </c>
    </row>
    <row r="5" spans="1:3" x14ac:dyDescent="0.25">
      <c r="A5" t="s">
        <v>218</v>
      </c>
      <c r="B5">
        <f>B3+B4</f>
        <v>287.58999999999997</v>
      </c>
      <c r="C5" t="s">
        <v>215</v>
      </c>
    </row>
    <row r="6" spans="1:3" x14ac:dyDescent="0.25">
      <c r="A6" t="s">
        <v>219</v>
      </c>
      <c r="B6">
        <v>65.39</v>
      </c>
      <c r="C6" t="s">
        <v>215</v>
      </c>
    </row>
    <row r="7" spans="1:3" x14ac:dyDescent="0.25">
      <c r="A7" t="s">
        <v>1261</v>
      </c>
      <c r="B7">
        <f>65.39+35.45*2</f>
        <v>136.29000000000002</v>
      </c>
      <c r="C7" t="s">
        <v>215</v>
      </c>
    </row>
    <row r="9" spans="1:3" x14ac:dyDescent="0.25">
      <c r="A9" t="s">
        <v>213</v>
      </c>
      <c r="B9" s="26"/>
      <c r="C9" t="s">
        <v>216</v>
      </c>
    </row>
    <row r="10" spans="1:3" x14ac:dyDescent="0.25">
      <c r="A10" t="s">
        <v>218</v>
      </c>
      <c r="B10" s="26">
        <v>5.6</v>
      </c>
      <c r="C10" t="s">
        <v>216</v>
      </c>
    </row>
    <row r="11" spans="1:3" x14ac:dyDescent="0.25">
      <c r="A11" t="s">
        <v>1261</v>
      </c>
      <c r="B11" s="26">
        <v>2.5000000000000001E-2</v>
      </c>
      <c r="C11" t="s">
        <v>216</v>
      </c>
    </row>
    <row r="13" spans="1:3" x14ac:dyDescent="0.25">
      <c r="A13" t="s">
        <v>220</v>
      </c>
    </row>
    <row r="14" spans="1:3" x14ac:dyDescent="0.25">
      <c r="A14" t="s">
        <v>219</v>
      </c>
      <c r="B14">
        <f>B9/B3</f>
        <v>0</v>
      </c>
      <c r="C14" t="s">
        <v>214</v>
      </c>
    </row>
    <row r="15" spans="1:3" x14ac:dyDescent="0.25">
      <c r="A15" t="s">
        <v>219</v>
      </c>
      <c r="B15" s="28">
        <f>B14*B6</f>
        <v>0</v>
      </c>
      <c r="C15" t="s">
        <v>216</v>
      </c>
    </row>
    <row r="17" spans="1:3" x14ac:dyDescent="0.25">
      <c r="A17" t="s">
        <v>221</v>
      </c>
    </row>
    <row r="18" spans="1:3" x14ac:dyDescent="0.25">
      <c r="A18" t="s">
        <v>219</v>
      </c>
      <c r="B18" s="25">
        <f>B10/B5</f>
        <v>1.947216523523071E-2</v>
      </c>
      <c r="C18" t="s">
        <v>214</v>
      </c>
    </row>
    <row r="19" spans="1:3" x14ac:dyDescent="0.25">
      <c r="A19" t="s">
        <v>219</v>
      </c>
      <c r="B19" s="27">
        <f>B18*B6</f>
        <v>1.2732848847317362</v>
      </c>
      <c r="C19" t="s">
        <v>216</v>
      </c>
    </row>
    <row r="21" spans="1:3" x14ac:dyDescent="0.25">
      <c r="A21" t="s">
        <v>1262</v>
      </c>
    </row>
    <row r="22" spans="1:3" x14ac:dyDescent="0.25">
      <c r="A22" t="s">
        <v>219</v>
      </c>
      <c r="B22" s="25">
        <f>B11/B7</f>
        <v>1.8343238682221733E-4</v>
      </c>
      <c r="C22" t="s">
        <v>214</v>
      </c>
    </row>
    <row r="23" spans="1:3" x14ac:dyDescent="0.25">
      <c r="A23" t="s">
        <v>219</v>
      </c>
      <c r="B23" s="27">
        <f>B22*B6*1000</f>
        <v>11.994643774304791</v>
      </c>
      <c r="C23" t="s">
        <v>1263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7683D-0CEA-424A-8CA0-5F501A2C404E}">
  <sheetPr codeName="Sheet1">
    <tabColor theme="5"/>
  </sheetPr>
  <dimension ref="A1:XEZ1473"/>
  <sheetViews>
    <sheetView workbookViewId="0"/>
  </sheetViews>
  <sheetFormatPr defaultColWidth="9.140625" defaultRowHeight="15.95" customHeight="1" x14ac:dyDescent="0.2"/>
  <cols>
    <col min="1" max="6" width="9.140625" style="20"/>
    <col min="7" max="7" width="16.7109375" style="20" customWidth="1"/>
    <col min="8" max="8" width="10.42578125" style="20" customWidth="1"/>
    <col min="9" max="9" width="24.28515625" style="20" customWidth="1"/>
    <col min="10" max="10" width="23.140625" style="20" customWidth="1"/>
    <col min="11" max="11" width="9.140625" style="20" customWidth="1"/>
    <col min="12" max="12" width="9.140625" style="72" customWidth="1"/>
    <col min="13" max="13" width="11.7109375" style="20" customWidth="1"/>
    <col min="14" max="14" width="9.140625" style="20" customWidth="1"/>
    <col min="15" max="15" width="6.42578125" style="20" customWidth="1"/>
    <col min="16" max="16" width="8.28515625" style="20" customWidth="1"/>
    <col min="17" max="17" width="3.140625" style="20" customWidth="1"/>
    <col min="18" max="18" width="7.7109375" style="20" customWidth="1"/>
    <col min="19" max="19" width="9.140625" style="20" customWidth="1"/>
    <col min="20" max="21" width="9.140625" style="20"/>
    <col min="22" max="22" width="8.7109375" style="20" customWidth="1"/>
    <col min="23" max="23" width="5.140625" style="20" customWidth="1"/>
    <col min="24" max="24" width="9.140625" style="20" customWidth="1"/>
    <col min="25" max="25" width="4" style="20" customWidth="1"/>
    <col min="26" max="26" width="7" style="20" customWidth="1"/>
    <col min="27" max="27" width="3.85546875" style="20" customWidth="1"/>
    <col min="28" max="28" width="7.42578125" style="20" customWidth="1"/>
    <col min="29" max="29" width="6.42578125" style="20" customWidth="1"/>
    <col min="30" max="30" width="3.85546875" style="20" customWidth="1"/>
    <col min="31" max="31" width="7.42578125" style="20" customWidth="1"/>
    <col min="32" max="32" width="9.140625" style="20" customWidth="1"/>
    <col min="33" max="35" width="5" style="20" customWidth="1"/>
    <col min="36" max="36" width="10.140625" style="20" customWidth="1"/>
    <col min="37" max="37" width="9.140625" style="20" customWidth="1"/>
    <col min="38" max="38" width="8.140625" style="20" customWidth="1"/>
    <col min="39" max="39" width="2.28515625" style="20" customWidth="1"/>
    <col min="40" max="40" width="9.140625" style="20" customWidth="1"/>
    <col min="41" max="41" width="5" style="20" customWidth="1"/>
    <col min="42" max="44" width="9.140625" style="20" customWidth="1"/>
    <col min="45" max="45" width="9.140625" style="20"/>
    <col min="46" max="46" width="9.7109375" style="20" customWidth="1"/>
    <col min="47" max="48" width="9.140625" style="20"/>
    <col min="49" max="50" width="9.140625" style="72"/>
    <col min="51" max="51" width="10.42578125" style="20" customWidth="1"/>
    <col min="52" max="52" width="9.140625" style="20" customWidth="1"/>
    <col min="53" max="53" width="6.85546875" style="20" customWidth="1"/>
    <col min="54" max="54" width="8.7109375" style="20" customWidth="1"/>
    <col min="55" max="55" width="6.7109375" style="20" customWidth="1"/>
    <col min="56" max="59" width="9.140625" style="20"/>
    <col min="60" max="60" width="9.140625" style="72"/>
    <col min="61" max="16384" width="9.140625" style="20"/>
  </cols>
  <sheetData>
    <row r="1" spans="1:62" ht="12.75" x14ac:dyDescent="0.2">
      <c r="A1" s="58" t="s">
        <v>0</v>
      </c>
      <c r="B1" s="58"/>
      <c r="C1" s="59"/>
      <c r="D1" s="59"/>
      <c r="E1" s="60"/>
      <c r="F1" s="60"/>
      <c r="G1" s="60"/>
      <c r="H1" s="60"/>
      <c r="I1" s="62" t="s">
        <v>1</v>
      </c>
      <c r="J1" s="62"/>
      <c r="K1" s="62"/>
      <c r="L1" s="63"/>
      <c r="M1" s="62"/>
      <c r="N1" s="62"/>
      <c r="O1" s="62"/>
      <c r="P1" s="62"/>
      <c r="Q1" s="61"/>
      <c r="R1" s="64" t="s">
        <v>2</v>
      </c>
      <c r="S1" s="64"/>
      <c r="T1" s="64"/>
      <c r="U1" s="64"/>
      <c r="V1" s="64"/>
      <c r="W1" s="64"/>
      <c r="X1" s="64"/>
      <c r="Y1" s="65"/>
      <c r="Z1" s="66" t="s">
        <v>4</v>
      </c>
      <c r="AA1" s="66"/>
      <c r="AB1" s="66"/>
      <c r="AC1" s="67"/>
      <c r="AD1" s="65"/>
      <c r="AE1" s="68"/>
      <c r="AF1" s="68"/>
      <c r="AG1" s="68"/>
      <c r="AH1" s="68"/>
      <c r="AI1" s="68"/>
      <c r="AJ1" s="68"/>
      <c r="AK1" s="68" t="s">
        <v>3</v>
      </c>
      <c r="AL1" s="68"/>
      <c r="AM1" s="68"/>
      <c r="AN1" s="68"/>
      <c r="AO1" s="68"/>
      <c r="AP1" s="68"/>
      <c r="AQ1" s="69"/>
      <c r="AR1" s="69"/>
      <c r="AS1" s="70">
        <v>1</v>
      </c>
      <c r="AT1" s="71"/>
      <c r="AU1" s="71"/>
      <c r="AV1" s="71"/>
      <c r="AY1" s="73"/>
      <c r="AZ1" s="74" t="s">
        <v>1544</v>
      </c>
      <c r="BA1" s="74"/>
      <c r="BB1" s="74"/>
      <c r="BD1" s="75"/>
      <c r="BE1" s="75"/>
      <c r="BF1" s="75" t="s">
        <v>1545</v>
      </c>
      <c r="BG1" s="75"/>
    </row>
    <row r="2" spans="1:62" ht="12.75" x14ac:dyDescent="0.2">
      <c r="A2" s="58"/>
      <c r="B2" s="58"/>
      <c r="C2" s="59"/>
      <c r="D2" s="59"/>
      <c r="E2" s="60"/>
      <c r="F2" s="60"/>
      <c r="G2" s="60"/>
      <c r="H2" s="60"/>
      <c r="I2" s="62"/>
      <c r="J2" s="62"/>
      <c r="K2" s="62"/>
      <c r="L2" s="63"/>
      <c r="M2" s="62"/>
      <c r="N2" s="62"/>
      <c r="O2" s="62"/>
      <c r="P2" s="62"/>
      <c r="Q2" s="61"/>
      <c r="R2" s="64"/>
      <c r="S2" s="64"/>
      <c r="T2" s="64"/>
      <c r="U2" s="64"/>
      <c r="V2" s="64"/>
      <c r="W2" s="64"/>
      <c r="X2" s="64"/>
      <c r="Z2" s="66"/>
      <c r="AA2" s="66"/>
      <c r="AB2" s="66"/>
      <c r="AC2" s="67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9"/>
      <c r="AR2" s="69"/>
      <c r="AS2" s="76"/>
      <c r="AT2" s="77" t="s">
        <v>1285</v>
      </c>
      <c r="AU2" s="65" t="str">
        <f>IF(AT2="N","N",IF(AM2&gt;1,"N","Y"))</f>
        <v>Y</v>
      </c>
      <c r="AV2" s="77" t="s">
        <v>1285</v>
      </c>
      <c r="AW2" s="78"/>
      <c r="AX2" s="78"/>
      <c r="AZ2" s="74"/>
      <c r="BA2" s="74"/>
      <c r="BB2" s="74"/>
      <c r="BD2" s="79" t="s">
        <v>178</v>
      </c>
      <c r="BE2" s="79"/>
      <c r="BF2" s="80" t="s">
        <v>179</v>
      </c>
      <c r="BG2" s="80"/>
      <c r="BH2" s="81"/>
      <c r="BI2" s="81"/>
    </row>
    <row r="3" spans="1:62" s="92" customFormat="1" ht="104.25" customHeight="1" x14ac:dyDescent="0.25">
      <c r="A3" s="4" t="s">
        <v>5</v>
      </c>
      <c r="B3" s="4" t="s">
        <v>6</v>
      </c>
      <c r="C3" s="4" t="s">
        <v>7</v>
      </c>
      <c r="D3" s="4" t="s">
        <v>8</v>
      </c>
      <c r="E3" s="4" t="s">
        <v>9</v>
      </c>
      <c r="F3" s="4" t="s">
        <v>1323</v>
      </c>
      <c r="G3" s="4" t="s">
        <v>1696</v>
      </c>
      <c r="H3" s="4" t="s">
        <v>1306</v>
      </c>
      <c r="I3" s="5" t="s">
        <v>10</v>
      </c>
      <c r="J3" s="5" t="s">
        <v>11</v>
      </c>
      <c r="K3" s="5" t="s">
        <v>12</v>
      </c>
      <c r="L3" s="82" t="s">
        <v>13</v>
      </c>
      <c r="M3" s="5" t="s">
        <v>152</v>
      </c>
      <c r="N3" s="5" t="s">
        <v>14</v>
      </c>
      <c r="O3" s="5" t="s">
        <v>15</v>
      </c>
      <c r="P3" s="5" t="s">
        <v>16</v>
      </c>
      <c r="Q3" s="40" t="s">
        <v>1458</v>
      </c>
      <c r="R3" s="6" t="s">
        <v>17</v>
      </c>
      <c r="S3" s="6" t="s">
        <v>18</v>
      </c>
      <c r="T3" s="6" t="s">
        <v>19</v>
      </c>
      <c r="U3" s="6" t="s">
        <v>1697</v>
      </c>
      <c r="V3" s="6" t="s">
        <v>20</v>
      </c>
      <c r="W3" s="6" t="s">
        <v>21</v>
      </c>
      <c r="X3" s="6" t="s">
        <v>22</v>
      </c>
      <c r="Y3" s="40" t="s">
        <v>1459</v>
      </c>
      <c r="Z3" s="83" t="s">
        <v>1198</v>
      </c>
      <c r="AA3" s="83" t="s">
        <v>29</v>
      </c>
      <c r="AB3" s="8" t="s">
        <v>30</v>
      </c>
      <c r="AC3" s="23" t="s">
        <v>1300</v>
      </c>
      <c r="AD3" s="40" t="s">
        <v>1460</v>
      </c>
      <c r="AE3" s="7" t="s">
        <v>25</v>
      </c>
      <c r="AF3" s="7" t="s">
        <v>1456</v>
      </c>
      <c r="AG3" s="7" t="s">
        <v>224</v>
      </c>
      <c r="AH3" s="7" t="s">
        <v>1694</v>
      </c>
      <c r="AI3" s="7" t="s">
        <v>1695</v>
      </c>
      <c r="AJ3" s="7" t="s">
        <v>1499</v>
      </c>
      <c r="AK3" s="7" t="s">
        <v>1500</v>
      </c>
      <c r="AL3" s="7" t="s">
        <v>1321</v>
      </c>
      <c r="AM3" s="7"/>
      <c r="AN3" s="84" t="s">
        <v>26</v>
      </c>
      <c r="AO3" s="84" t="s">
        <v>223</v>
      </c>
      <c r="AP3" s="84" t="s">
        <v>27</v>
      </c>
      <c r="AQ3" s="84" t="s">
        <v>28</v>
      </c>
      <c r="AR3" s="84" t="s">
        <v>199</v>
      </c>
      <c r="AS3" s="40" t="s">
        <v>1461</v>
      </c>
      <c r="AT3" s="85" t="s">
        <v>1541</v>
      </c>
      <c r="AU3" s="85" t="s">
        <v>1542</v>
      </c>
      <c r="AV3" s="85" t="s">
        <v>1637</v>
      </c>
      <c r="AW3" s="86" t="s">
        <v>211</v>
      </c>
      <c r="AX3" s="86" t="s">
        <v>1602</v>
      </c>
      <c r="AY3" s="40" t="s">
        <v>1462</v>
      </c>
      <c r="AZ3" s="87" t="s">
        <v>32</v>
      </c>
      <c r="BA3" s="88" t="s">
        <v>33</v>
      </c>
      <c r="BB3" s="88" t="s">
        <v>34</v>
      </c>
      <c r="BC3" s="40" t="s">
        <v>1463</v>
      </c>
      <c r="BD3" s="89" t="s">
        <v>1546</v>
      </c>
      <c r="BE3" s="90" t="s">
        <v>35</v>
      </c>
      <c r="BF3" s="89" t="s">
        <v>1547</v>
      </c>
      <c r="BG3" s="90" t="s">
        <v>1715</v>
      </c>
      <c r="BH3" s="91" t="s">
        <v>1286</v>
      </c>
      <c r="BI3" s="91" t="s">
        <v>1699</v>
      </c>
    </row>
    <row r="4" spans="1:62" ht="15.75" customHeight="1" x14ac:dyDescent="0.2">
      <c r="A4" s="18"/>
      <c r="B4" s="19">
        <v>106</v>
      </c>
      <c r="C4" s="20">
        <v>206199</v>
      </c>
      <c r="D4" s="36">
        <v>6199</v>
      </c>
      <c r="E4" s="93" t="s">
        <v>1324</v>
      </c>
      <c r="F4" s="93">
        <v>1978</v>
      </c>
      <c r="G4" s="19"/>
      <c r="H4" s="19"/>
      <c r="I4" s="19" t="s">
        <v>41</v>
      </c>
      <c r="J4" s="19" t="s">
        <v>130</v>
      </c>
      <c r="K4" s="19" t="s">
        <v>161</v>
      </c>
      <c r="L4" s="19" t="s">
        <v>167</v>
      </c>
      <c r="M4" s="19" t="s">
        <v>167</v>
      </c>
      <c r="N4" s="19" t="s">
        <v>66</v>
      </c>
      <c r="O4" s="19" t="s">
        <v>154</v>
      </c>
      <c r="P4" s="19" t="s">
        <v>162</v>
      </c>
      <c r="Q4" s="19"/>
      <c r="R4" s="19" t="s">
        <v>158</v>
      </c>
      <c r="S4" s="19" t="s">
        <v>157</v>
      </c>
      <c r="T4" s="19" t="s">
        <v>56</v>
      </c>
      <c r="U4" s="19" t="s">
        <v>44</v>
      </c>
      <c r="V4" s="93">
        <v>8</v>
      </c>
      <c r="W4" s="93" t="s">
        <v>45</v>
      </c>
      <c r="X4" s="19" t="s">
        <v>46</v>
      </c>
      <c r="Y4" s="29"/>
      <c r="Z4" s="93"/>
      <c r="AA4" s="93"/>
      <c r="AB4" s="93">
        <v>2380</v>
      </c>
      <c r="AC4" s="19" t="s">
        <v>214</v>
      </c>
      <c r="AD4" s="93"/>
      <c r="AE4" s="19">
        <v>99</v>
      </c>
      <c r="AF4" s="19" t="s">
        <v>128</v>
      </c>
      <c r="AG4" s="19"/>
      <c r="AH4" s="19"/>
      <c r="AI4" s="19"/>
      <c r="AJ4" s="19">
        <f>MEDIAN(7.2, 7.8)</f>
        <v>7.5</v>
      </c>
      <c r="AK4" s="19" t="s">
        <v>127</v>
      </c>
      <c r="AL4" s="19">
        <v>1</v>
      </c>
      <c r="AM4" s="19" t="s">
        <v>48</v>
      </c>
      <c r="AN4" s="19"/>
      <c r="AO4" s="19"/>
      <c r="AP4" s="94"/>
      <c r="AQ4" s="19" t="s">
        <v>131</v>
      </c>
      <c r="AR4" s="19" t="s">
        <v>200</v>
      </c>
      <c r="AS4" s="19"/>
      <c r="AT4" s="65" t="str">
        <f t="shared" ref="AT4:AT67" si="0">IF(F4&lt;1980,"N",IF(AC4="M","Y",IF(AC4="SM","Y","N")))</f>
        <v>N</v>
      </c>
      <c r="AU4" s="65" t="str">
        <f t="shared" ref="AU4:AU67" si="1">IF(AT4="N","N",IF(AJ4&lt;6,"N",IF(AJ4&gt;8.5,"N","Y")))</f>
        <v>N</v>
      </c>
      <c r="AV4" s="65" t="str">
        <f t="shared" ref="AV4:AV5" si="2">AU4</f>
        <v>N</v>
      </c>
      <c r="AW4" s="95" t="s">
        <v>1465</v>
      </c>
      <c r="AX4" s="95"/>
      <c r="AY4" s="93"/>
      <c r="AZ4" s="96" t="str">
        <f t="shared" ref="AZ4:AZ68" si="3">IF(AV4="N","n",T4)</f>
        <v>n</v>
      </c>
      <c r="BA4" s="96" t="str">
        <f>IF(BD4="n","n",VLOOKUP(BD4,'Conversion factors'!$C$4:$D$24,2,FALSE))</f>
        <v>n</v>
      </c>
      <c r="BB4" s="96" t="str">
        <f>IF(BA4="n","n",AB4/BA4)</f>
        <v>n</v>
      </c>
      <c r="BC4" s="97"/>
      <c r="BD4" s="96" t="str">
        <f t="shared" ref="BD4:BD67" si="4">IF(AV4="N","n",X4)</f>
        <v>n</v>
      </c>
      <c r="BE4" s="96" t="str">
        <f>IF(BD4="chronic","y","n")</f>
        <v>n</v>
      </c>
      <c r="BF4" s="98" t="str">
        <f>IF(BE4="n","",BD4)</f>
        <v/>
      </c>
      <c r="BG4" s="96" t="str">
        <f>IF(BF4="","",IF(ISNUMBER(VLOOKUP(BF4,'Conversion factors'!$B$35:$C$52,2,FALSE)),"y","n"))</f>
        <v/>
      </c>
      <c r="BH4" s="99"/>
      <c r="BI4" s="100"/>
      <c r="BJ4" s="100"/>
    </row>
    <row r="5" spans="1:62" ht="15.75" customHeight="1" x14ac:dyDescent="0.2">
      <c r="A5" s="18"/>
      <c r="B5" s="19">
        <v>106</v>
      </c>
      <c r="C5" s="20">
        <v>206199</v>
      </c>
      <c r="D5" s="36">
        <v>6199</v>
      </c>
      <c r="E5" s="93" t="s">
        <v>1324</v>
      </c>
      <c r="F5" s="93">
        <v>1978</v>
      </c>
      <c r="G5" s="19"/>
      <c r="H5" s="19"/>
      <c r="I5" s="19" t="s">
        <v>41</v>
      </c>
      <c r="J5" s="19" t="s">
        <v>130</v>
      </c>
      <c r="K5" s="19" t="s">
        <v>161</v>
      </c>
      <c r="L5" s="19" t="s">
        <v>167</v>
      </c>
      <c r="M5" s="19" t="s">
        <v>167</v>
      </c>
      <c r="N5" s="19" t="s">
        <v>66</v>
      </c>
      <c r="O5" s="19" t="s">
        <v>154</v>
      </c>
      <c r="P5" s="19" t="s">
        <v>162</v>
      </c>
      <c r="Q5" s="19"/>
      <c r="R5" s="19" t="s">
        <v>158</v>
      </c>
      <c r="S5" s="19" t="s">
        <v>157</v>
      </c>
      <c r="T5" s="19" t="s">
        <v>169</v>
      </c>
      <c r="U5" s="19" t="s">
        <v>169</v>
      </c>
      <c r="V5" s="93">
        <v>8</v>
      </c>
      <c r="W5" s="93" t="s">
        <v>45</v>
      </c>
      <c r="X5" s="19" t="s">
        <v>46</v>
      </c>
      <c r="Y5" s="29"/>
      <c r="Z5" s="93"/>
      <c r="AA5" s="93"/>
      <c r="AB5" s="93">
        <v>71</v>
      </c>
      <c r="AC5" s="19" t="s">
        <v>214</v>
      </c>
      <c r="AD5" s="93"/>
      <c r="AE5" s="19">
        <v>99</v>
      </c>
      <c r="AF5" s="19" t="s">
        <v>128</v>
      </c>
      <c r="AG5" s="19"/>
      <c r="AH5" s="19"/>
      <c r="AI5" s="19"/>
      <c r="AJ5" s="19">
        <f>MEDIAN(7.2, 7.8)</f>
        <v>7.5</v>
      </c>
      <c r="AK5" s="19" t="s">
        <v>127</v>
      </c>
      <c r="AL5" s="19"/>
      <c r="AM5" s="19" t="s">
        <v>48</v>
      </c>
      <c r="AN5" s="19"/>
      <c r="AO5" s="19"/>
      <c r="AP5" s="94"/>
      <c r="AQ5" s="19" t="s">
        <v>131</v>
      </c>
      <c r="AR5" s="19" t="s">
        <v>200</v>
      </c>
      <c r="AS5" s="19"/>
      <c r="AT5" s="65" t="str">
        <f t="shared" si="0"/>
        <v>N</v>
      </c>
      <c r="AU5" s="65" t="str">
        <f t="shared" si="1"/>
        <v>N</v>
      </c>
      <c r="AV5" s="65" t="str">
        <f t="shared" si="2"/>
        <v>N</v>
      </c>
      <c r="AW5" s="99" t="s">
        <v>1465</v>
      </c>
      <c r="AX5" s="99"/>
      <c r="AY5" s="93"/>
      <c r="AZ5" s="96" t="str">
        <f t="shared" si="3"/>
        <v>n</v>
      </c>
      <c r="BA5" s="96" t="str">
        <f>IF(AZ5="n","n",VLOOKUP(AZ5,'Conversion factors'!$C$4:$D$24,2,FALSE))</f>
        <v>n</v>
      </c>
      <c r="BB5" s="96" t="str">
        <f t="shared" ref="BB5:BB68" si="5">IF(BA5="n","n",AB5/BA5)</f>
        <v>n</v>
      </c>
      <c r="BC5" s="97"/>
      <c r="BD5" s="96" t="str">
        <f t="shared" si="4"/>
        <v>n</v>
      </c>
      <c r="BE5" s="96" t="str">
        <f t="shared" ref="BE5:BE68" si="6">IF(BD5="chronic","y","n")</f>
        <v>n</v>
      </c>
      <c r="BF5" s="98" t="str">
        <f t="shared" ref="BF5:BF68" si="7">IF(BE5="n","",AZ5)</f>
        <v/>
      </c>
      <c r="BG5" s="96" t="str">
        <f>IF(BF5="","",IF(ISNUMBER(VLOOKUP(BF5,'Conversion factors'!$B$35:$C$52,2,FALSE)),"y","n"))</f>
        <v/>
      </c>
      <c r="BH5" s="99"/>
      <c r="BI5" s="100"/>
      <c r="BJ5" s="100"/>
    </row>
    <row r="6" spans="1:62" ht="15.75" customHeight="1" x14ac:dyDescent="0.2">
      <c r="A6" s="18"/>
      <c r="B6" s="19">
        <v>321</v>
      </c>
      <c r="D6" s="36">
        <v>161496</v>
      </c>
      <c r="E6" s="93" t="s">
        <v>1224</v>
      </c>
      <c r="F6" s="93">
        <v>2011</v>
      </c>
      <c r="G6" s="19" t="s">
        <v>1134</v>
      </c>
      <c r="H6" s="19"/>
      <c r="I6" s="19" t="s">
        <v>41</v>
      </c>
      <c r="J6" s="19" t="s">
        <v>1135</v>
      </c>
      <c r="K6" s="19" t="s">
        <v>161</v>
      </c>
      <c r="L6" s="19" t="s">
        <v>167</v>
      </c>
      <c r="M6" s="19" t="s">
        <v>167</v>
      </c>
      <c r="N6" s="19" t="s">
        <v>66</v>
      </c>
      <c r="O6" s="19" t="s">
        <v>505</v>
      </c>
      <c r="P6" s="19" t="s">
        <v>162</v>
      </c>
      <c r="Q6" s="19"/>
      <c r="R6" s="19" t="s">
        <v>81</v>
      </c>
      <c r="S6" s="19" t="s">
        <v>1136</v>
      </c>
      <c r="T6" s="19" t="s">
        <v>54</v>
      </c>
      <c r="U6" s="19" t="s">
        <v>54</v>
      </c>
      <c r="V6" s="93" t="s">
        <v>97</v>
      </c>
      <c r="W6" s="93" t="s">
        <v>45</v>
      </c>
      <c r="X6" s="19" t="s">
        <v>46</v>
      </c>
      <c r="Y6" s="29"/>
      <c r="Z6" s="93"/>
      <c r="AA6" s="93"/>
      <c r="AB6" s="93" t="s">
        <v>1137</v>
      </c>
      <c r="AC6" s="19" t="s">
        <v>214</v>
      </c>
      <c r="AD6" s="93"/>
      <c r="AE6" s="19">
        <v>307.5</v>
      </c>
      <c r="AF6" s="19">
        <v>307.5</v>
      </c>
      <c r="AG6" s="19" t="s">
        <v>1138</v>
      </c>
      <c r="AH6" s="19"/>
      <c r="AI6" s="19"/>
      <c r="AJ6" s="19">
        <f t="shared" ref="AJ6:AJ10" si="8">MEDIAN(7.8)</f>
        <v>7.8</v>
      </c>
      <c r="AK6" s="19" t="s">
        <v>545</v>
      </c>
      <c r="AL6" s="19"/>
      <c r="AM6" s="19" t="s">
        <v>234</v>
      </c>
      <c r="AN6" s="19" t="s">
        <v>1139</v>
      </c>
      <c r="AO6" s="19" t="s">
        <v>216</v>
      </c>
      <c r="AP6" s="94"/>
      <c r="AQ6" s="19" t="s">
        <v>102</v>
      </c>
      <c r="AR6" s="19" t="s">
        <v>1140</v>
      </c>
      <c r="AS6" s="19"/>
      <c r="AT6" s="65" t="str">
        <f t="shared" si="0"/>
        <v>Y</v>
      </c>
      <c r="AU6" s="65" t="str">
        <f t="shared" si="1"/>
        <v>Y</v>
      </c>
      <c r="AV6" s="65" t="s">
        <v>162</v>
      </c>
      <c r="AW6" s="19" t="s">
        <v>1496</v>
      </c>
      <c r="AX6" s="19"/>
      <c r="AY6" s="93"/>
      <c r="AZ6" s="96" t="str">
        <f t="shared" si="3"/>
        <v>n</v>
      </c>
      <c r="BA6" s="96" t="str">
        <f>IF(AZ6="n","n",VLOOKUP(AZ6,'Conversion factors'!$C$4:$D$24,2,FALSE))</f>
        <v>n</v>
      </c>
      <c r="BB6" s="96" t="str">
        <f t="shared" si="5"/>
        <v>n</v>
      </c>
      <c r="BC6" s="97"/>
      <c r="BD6" s="96" t="str">
        <f t="shared" si="4"/>
        <v>n</v>
      </c>
      <c r="BE6" s="96" t="str">
        <f t="shared" si="6"/>
        <v>n</v>
      </c>
      <c r="BF6" s="98" t="str">
        <f t="shared" si="7"/>
        <v/>
      </c>
      <c r="BG6" s="96" t="str">
        <f>IF(BF6="","",IF(ISNUMBER(VLOOKUP(BF6,'Conversion factors'!$B$35:$C$52,2,FALSE)),"y","n"))</f>
        <v/>
      </c>
      <c r="BH6" s="99"/>
      <c r="BI6" s="100"/>
      <c r="BJ6" s="100"/>
    </row>
    <row r="7" spans="1:62" ht="15.75" customHeight="1" x14ac:dyDescent="0.2">
      <c r="A7" s="18"/>
      <c r="B7" s="19">
        <v>321</v>
      </c>
      <c r="D7" s="36">
        <v>161496</v>
      </c>
      <c r="E7" s="93" t="s">
        <v>1224</v>
      </c>
      <c r="F7" s="93">
        <v>2011</v>
      </c>
      <c r="G7" s="19" t="s">
        <v>1134</v>
      </c>
      <c r="H7" s="19"/>
      <c r="I7" s="19" t="s">
        <v>41</v>
      </c>
      <c r="J7" s="19" t="s">
        <v>1135</v>
      </c>
      <c r="K7" s="19" t="s">
        <v>161</v>
      </c>
      <c r="L7" s="19" t="s">
        <v>167</v>
      </c>
      <c r="M7" s="19" t="s">
        <v>167</v>
      </c>
      <c r="N7" s="19" t="s">
        <v>66</v>
      </c>
      <c r="O7" s="19" t="s">
        <v>505</v>
      </c>
      <c r="P7" s="19" t="s">
        <v>162</v>
      </c>
      <c r="Q7" s="19"/>
      <c r="R7" s="19" t="s">
        <v>81</v>
      </c>
      <c r="S7" s="19" t="s">
        <v>483</v>
      </c>
      <c r="T7" s="19" t="s">
        <v>54</v>
      </c>
      <c r="U7" s="19" t="s">
        <v>54</v>
      </c>
      <c r="V7" s="93" t="s">
        <v>97</v>
      </c>
      <c r="W7" s="93" t="s">
        <v>45</v>
      </c>
      <c r="X7" s="19" t="s">
        <v>46</v>
      </c>
      <c r="Y7" s="29"/>
      <c r="Z7" s="93"/>
      <c r="AA7" s="93"/>
      <c r="AB7" s="93" t="s">
        <v>1137</v>
      </c>
      <c r="AC7" s="19" t="s">
        <v>214</v>
      </c>
      <c r="AD7" s="93"/>
      <c r="AE7" s="19">
        <v>307.5</v>
      </c>
      <c r="AF7" s="19">
        <v>307.5</v>
      </c>
      <c r="AG7" s="19" t="s">
        <v>1138</v>
      </c>
      <c r="AH7" s="19"/>
      <c r="AI7" s="19"/>
      <c r="AJ7" s="19">
        <f t="shared" si="8"/>
        <v>7.8</v>
      </c>
      <c r="AK7" s="19" t="s">
        <v>545</v>
      </c>
      <c r="AL7" s="19"/>
      <c r="AM7" s="19" t="s">
        <v>234</v>
      </c>
      <c r="AN7" s="19" t="s">
        <v>1139</v>
      </c>
      <c r="AO7" s="19" t="s">
        <v>216</v>
      </c>
      <c r="AP7" s="94"/>
      <c r="AQ7" s="19" t="s">
        <v>102</v>
      </c>
      <c r="AR7" s="19" t="s">
        <v>1140</v>
      </c>
      <c r="AS7" s="19"/>
      <c r="AT7" s="65" t="str">
        <f t="shared" si="0"/>
        <v>Y</v>
      </c>
      <c r="AU7" s="65" t="str">
        <f t="shared" si="1"/>
        <v>Y</v>
      </c>
      <c r="AV7" s="65" t="s">
        <v>162</v>
      </c>
      <c r="AW7" s="19" t="s">
        <v>1496</v>
      </c>
      <c r="AX7" s="19"/>
      <c r="AY7" s="93"/>
      <c r="AZ7" s="96" t="str">
        <f t="shared" si="3"/>
        <v>n</v>
      </c>
      <c r="BA7" s="96" t="str">
        <f>IF(AZ7="n","n",VLOOKUP(AZ7,'Conversion factors'!$C$4:$D$24,2,FALSE))</f>
        <v>n</v>
      </c>
      <c r="BB7" s="96" t="str">
        <f t="shared" si="5"/>
        <v>n</v>
      </c>
      <c r="BC7" s="97"/>
      <c r="BD7" s="96" t="str">
        <f t="shared" si="4"/>
        <v>n</v>
      </c>
      <c r="BE7" s="96" t="str">
        <f t="shared" si="6"/>
        <v>n</v>
      </c>
      <c r="BF7" s="98" t="str">
        <f t="shared" si="7"/>
        <v/>
      </c>
      <c r="BG7" s="96" t="str">
        <f>IF(BF7="","",IF(ISNUMBER(VLOOKUP(BF7,'Conversion factors'!$B$35:$C$52,2,FALSE)),"y","n"))</f>
        <v/>
      </c>
      <c r="BH7" s="99"/>
      <c r="BI7" s="100"/>
      <c r="BJ7" s="100"/>
    </row>
    <row r="8" spans="1:62" ht="15.75" customHeight="1" x14ac:dyDescent="0.2">
      <c r="A8" s="18"/>
      <c r="B8" s="19">
        <v>321</v>
      </c>
      <c r="D8" s="36">
        <v>161496</v>
      </c>
      <c r="E8" s="93" t="s">
        <v>1224</v>
      </c>
      <c r="F8" s="93">
        <v>2011</v>
      </c>
      <c r="G8" s="19" t="s">
        <v>1134</v>
      </c>
      <c r="H8" s="19"/>
      <c r="I8" s="19" t="s">
        <v>41</v>
      </c>
      <c r="J8" s="19" t="s">
        <v>1135</v>
      </c>
      <c r="K8" s="19" t="s">
        <v>161</v>
      </c>
      <c r="L8" s="19" t="s">
        <v>167</v>
      </c>
      <c r="M8" s="19" t="s">
        <v>167</v>
      </c>
      <c r="N8" s="19" t="s">
        <v>66</v>
      </c>
      <c r="O8" s="19" t="s">
        <v>505</v>
      </c>
      <c r="P8" s="19" t="s">
        <v>162</v>
      </c>
      <c r="Q8" s="19"/>
      <c r="R8" s="19" t="s">
        <v>81</v>
      </c>
      <c r="S8" s="19" t="s">
        <v>402</v>
      </c>
      <c r="T8" s="19" t="s">
        <v>54</v>
      </c>
      <c r="U8" s="19" t="s">
        <v>54</v>
      </c>
      <c r="V8" s="93" t="s">
        <v>97</v>
      </c>
      <c r="W8" s="93" t="s">
        <v>45</v>
      </c>
      <c r="X8" s="19" t="s">
        <v>46</v>
      </c>
      <c r="Y8" s="29"/>
      <c r="Z8" s="93"/>
      <c r="AA8" s="93"/>
      <c r="AB8" s="93" t="s">
        <v>1137</v>
      </c>
      <c r="AC8" s="19" t="s">
        <v>214</v>
      </c>
      <c r="AD8" s="93"/>
      <c r="AE8" s="19">
        <v>307.5</v>
      </c>
      <c r="AF8" s="19">
        <v>307.5</v>
      </c>
      <c r="AG8" s="19" t="s">
        <v>1138</v>
      </c>
      <c r="AH8" s="19"/>
      <c r="AI8" s="19"/>
      <c r="AJ8" s="19">
        <f t="shared" si="8"/>
        <v>7.8</v>
      </c>
      <c r="AK8" s="19" t="s">
        <v>545</v>
      </c>
      <c r="AL8" s="19"/>
      <c r="AM8" s="19" t="s">
        <v>234</v>
      </c>
      <c r="AN8" s="19" t="s">
        <v>1139</v>
      </c>
      <c r="AO8" s="19" t="s">
        <v>216</v>
      </c>
      <c r="AP8" s="94"/>
      <c r="AQ8" s="19" t="s">
        <v>102</v>
      </c>
      <c r="AR8" s="19" t="s">
        <v>1140</v>
      </c>
      <c r="AS8" s="19"/>
      <c r="AT8" s="65" t="str">
        <f t="shared" si="0"/>
        <v>Y</v>
      </c>
      <c r="AU8" s="65" t="str">
        <f t="shared" si="1"/>
        <v>Y</v>
      </c>
      <c r="AV8" s="65" t="s">
        <v>162</v>
      </c>
      <c r="AW8" s="19" t="s">
        <v>1496</v>
      </c>
      <c r="AX8" s="19"/>
      <c r="AY8" s="93"/>
      <c r="AZ8" s="96" t="str">
        <f t="shared" si="3"/>
        <v>n</v>
      </c>
      <c r="BA8" s="96" t="str">
        <f>IF(AZ8="n","n",VLOOKUP(AZ8,'Conversion factors'!$C$4:$D$24,2,FALSE))</f>
        <v>n</v>
      </c>
      <c r="BB8" s="96" t="str">
        <f t="shared" si="5"/>
        <v>n</v>
      </c>
      <c r="BC8" s="97"/>
      <c r="BD8" s="96" t="str">
        <f t="shared" si="4"/>
        <v>n</v>
      </c>
      <c r="BE8" s="96" t="str">
        <f t="shared" si="6"/>
        <v>n</v>
      </c>
      <c r="BF8" s="98" t="str">
        <f t="shared" si="7"/>
        <v/>
      </c>
      <c r="BG8" s="96" t="str">
        <f>IF(BF8="","",IF(ISNUMBER(VLOOKUP(BF8,'Conversion factors'!$B$35:$C$52,2,FALSE)),"y","n"))</f>
        <v/>
      </c>
      <c r="BH8" s="99"/>
      <c r="BI8" s="100"/>
      <c r="BJ8" s="100"/>
    </row>
    <row r="9" spans="1:62" ht="15.75" customHeight="1" x14ac:dyDescent="0.2">
      <c r="A9" s="18"/>
      <c r="B9" s="19">
        <v>321</v>
      </c>
      <c r="D9" s="36">
        <v>161496</v>
      </c>
      <c r="E9" s="93" t="s">
        <v>1224</v>
      </c>
      <c r="F9" s="93">
        <v>2011</v>
      </c>
      <c r="G9" s="19" t="s">
        <v>1134</v>
      </c>
      <c r="H9" s="19"/>
      <c r="I9" s="19" t="s">
        <v>41</v>
      </c>
      <c r="J9" s="19" t="s">
        <v>1135</v>
      </c>
      <c r="K9" s="19" t="s">
        <v>161</v>
      </c>
      <c r="L9" s="19" t="s">
        <v>167</v>
      </c>
      <c r="M9" s="19" t="s">
        <v>167</v>
      </c>
      <c r="N9" s="19" t="s">
        <v>66</v>
      </c>
      <c r="O9" s="19" t="s">
        <v>505</v>
      </c>
      <c r="P9" s="19" t="s">
        <v>162</v>
      </c>
      <c r="Q9" s="19"/>
      <c r="R9" s="19" t="s">
        <v>81</v>
      </c>
      <c r="S9" s="19" t="s">
        <v>402</v>
      </c>
      <c r="T9" s="19" t="s">
        <v>54</v>
      </c>
      <c r="U9" s="19" t="s">
        <v>54</v>
      </c>
      <c r="V9" s="93" t="s">
        <v>97</v>
      </c>
      <c r="W9" s="93" t="s">
        <v>45</v>
      </c>
      <c r="X9" s="19" t="s">
        <v>46</v>
      </c>
      <c r="Y9" s="29"/>
      <c r="Z9" s="93"/>
      <c r="AA9" s="93"/>
      <c r="AB9" s="93" t="s">
        <v>1137</v>
      </c>
      <c r="AC9" s="19" t="s">
        <v>214</v>
      </c>
      <c r="AD9" s="93"/>
      <c r="AE9" s="19">
        <v>307.5</v>
      </c>
      <c r="AF9" s="19">
        <v>307.5</v>
      </c>
      <c r="AG9" s="19" t="s">
        <v>1138</v>
      </c>
      <c r="AH9" s="19"/>
      <c r="AI9" s="19"/>
      <c r="AJ9" s="101">
        <f t="shared" si="8"/>
        <v>7.8</v>
      </c>
      <c r="AK9" s="19" t="s">
        <v>545</v>
      </c>
      <c r="AL9" s="19"/>
      <c r="AM9" s="19" t="s">
        <v>234</v>
      </c>
      <c r="AN9" s="19" t="s">
        <v>1139</v>
      </c>
      <c r="AO9" s="19" t="s">
        <v>216</v>
      </c>
      <c r="AP9" s="94"/>
      <c r="AQ9" s="19" t="s">
        <v>102</v>
      </c>
      <c r="AR9" s="19" t="s">
        <v>1140</v>
      </c>
      <c r="AS9" s="19"/>
      <c r="AT9" s="65" t="str">
        <f t="shared" si="0"/>
        <v>Y</v>
      </c>
      <c r="AU9" s="65" t="str">
        <f t="shared" si="1"/>
        <v>Y</v>
      </c>
      <c r="AV9" s="65" t="s">
        <v>162</v>
      </c>
      <c r="AW9" s="19" t="s">
        <v>1496</v>
      </c>
      <c r="AX9" s="19"/>
      <c r="AY9" s="93"/>
      <c r="AZ9" s="96" t="str">
        <f t="shared" si="3"/>
        <v>n</v>
      </c>
      <c r="BA9" s="96" t="str">
        <f>IF(AZ9="n","n",VLOOKUP(AZ9,'Conversion factors'!$C$4:$D$24,2,FALSE))</f>
        <v>n</v>
      </c>
      <c r="BB9" s="96" t="str">
        <f t="shared" si="5"/>
        <v>n</v>
      </c>
      <c r="BC9" s="97"/>
      <c r="BD9" s="96" t="str">
        <f t="shared" si="4"/>
        <v>n</v>
      </c>
      <c r="BE9" s="96" t="str">
        <f t="shared" si="6"/>
        <v>n</v>
      </c>
      <c r="BF9" s="98" t="str">
        <f t="shared" si="7"/>
        <v/>
      </c>
      <c r="BG9" s="96" t="str">
        <f>IF(BF9="","",IF(ISNUMBER(VLOOKUP(BF9,'Conversion factors'!$B$35:$C$52,2,FALSE)),"y","n"))</f>
        <v/>
      </c>
      <c r="BH9" s="99"/>
      <c r="BI9" s="100"/>
      <c r="BJ9" s="100"/>
    </row>
    <row r="10" spans="1:62" ht="15.75" customHeight="1" x14ac:dyDescent="0.2">
      <c r="A10" s="18"/>
      <c r="B10" s="19">
        <v>321</v>
      </c>
      <c r="D10" s="36">
        <v>161496</v>
      </c>
      <c r="E10" s="93" t="s">
        <v>1224</v>
      </c>
      <c r="F10" s="93">
        <v>2011</v>
      </c>
      <c r="G10" s="19" t="s">
        <v>1134</v>
      </c>
      <c r="H10" s="19"/>
      <c r="I10" s="19" t="s">
        <v>41</v>
      </c>
      <c r="J10" s="19" t="s">
        <v>1135</v>
      </c>
      <c r="K10" s="19" t="s">
        <v>161</v>
      </c>
      <c r="L10" s="19" t="s">
        <v>167</v>
      </c>
      <c r="M10" s="19" t="s">
        <v>167</v>
      </c>
      <c r="N10" s="19" t="s">
        <v>66</v>
      </c>
      <c r="O10" s="19" t="s">
        <v>505</v>
      </c>
      <c r="P10" s="19" t="s">
        <v>162</v>
      </c>
      <c r="Q10" s="19"/>
      <c r="R10" s="19" t="s">
        <v>537</v>
      </c>
      <c r="S10" s="19" t="s">
        <v>402</v>
      </c>
      <c r="T10" s="19" t="s">
        <v>54</v>
      </c>
      <c r="U10" s="19" t="s">
        <v>54</v>
      </c>
      <c r="V10" s="93" t="s">
        <v>97</v>
      </c>
      <c r="W10" s="93" t="s">
        <v>45</v>
      </c>
      <c r="X10" s="19" t="s">
        <v>46</v>
      </c>
      <c r="Y10" s="29"/>
      <c r="Z10" s="93"/>
      <c r="AA10" s="93"/>
      <c r="AB10" s="93" t="s">
        <v>1137</v>
      </c>
      <c r="AC10" s="19" t="s">
        <v>214</v>
      </c>
      <c r="AD10" s="93"/>
      <c r="AE10" s="19">
        <v>307.5</v>
      </c>
      <c r="AF10" s="19">
        <v>307.5</v>
      </c>
      <c r="AG10" s="19" t="s">
        <v>1138</v>
      </c>
      <c r="AH10" s="19"/>
      <c r="AI10" s="19"/>
      <c r="AJ10" s="19">
        <f t="shared" si="8"/>
        <v>7.8</v>
      </c>
      <c r="AK10" s="19" t="s">
        <v>545</v>
      </c>
      <c r="AL10" s="19"/>
      <c r="AM10" s="19" t="s">
        <v>234</v>
      </c>
      <c r="AN10" s="19" t="s">
        <v>1139</v>
      </c>
      <c r="AO10" s="19" t="s">
        <v>216</v>
      </c>
      <c r="AP10" s="94"/>
      <c r="AQ10" s="19" t="s">
        <v>102</v>
      </c>
      <c r="AR10" s="19" t="s">
        <v>1140</v>
      </c>
      <c r="AS10" s="19"/>
      <c r="AT10" s="65" t="str">
        <f t="shared" si="0"/>
        <v>Y</v>
      </c>
      <c r="AU10" s="65" t="str">
        <f t="shared" si="1"/>
        <v>Y</v>
      </c>
      <c r="AV10" s="65" t="s">
        <v>162</v>
      </c>
      <c r="AW10" s="99" t="s">
        <v>1488</v>
      </c>
      <c r="AX10" s="99"/>
      <c r="AY10" s="93"/>
      <c r="AZ10" s="96" t="str">
        <f t="shared" si="3"/>
        <v>n</v>
      </c>
      <c r="BA10" s="96" t="str">
        <f>IF(AZ10="n","n",VLOOKUP(AZ10,'Conversion factors'!$C$4:$D$24,2,FALSE))</f>
        <v>n</v>
      </c>
      <c r="BB10" s="96" t="str">
        <f t="shared" si="5"/>
        <v>n</v>
      </c>
      <c r="BC10" s="97"/>
      <c r="BD10" s="96" t="str">
        <f t="shared" si="4"/>
        <v>n</v>
      </c>
      <c r="BE10" s="96" t="str">
        <f t="shared" si="6"/>
        <v>n</v>
      </c>
      <c r="BF10" s="98" t="str">
        <f t="shared" si="7"/>
        <v/>
      </c>
      <c r="BG10" s="96" t="str">
        <f>IF(BF10="","",IF(ISNUMBER(VLOOKUP(BF10,'Conversion factors'!$B$35:$C$52,2,FALSE)),"y","n"))</f>
        <v/>
      </c>
      <c r="BH10" s="99"/>
      <c r="BI10" s="100"/>
      <c r="BJ10" s="100"/>
    </row>
    <row r="11" spans="1:62" ht="15.75" customHeight="1" x14ac:dyDescent="0.2">
      <c r="A11" s="18"/>
      <c r="B11" s="19">
        <v>259</v>
      </c>
      <c r="D11" s="36">
        <v>84089</v>
      </c>
      <c r="E11" s="93" t="s">
        <v>1224</v>
      </c>
      <c r="F11" s="93">
        <v>2000</v>
      </c>
      <c r="G11" s="19" t="s">
        <v>883</v>
      </c>
      <c r="H11" s="19"/>
      <c r="I11" s="19" t="s">
        <v>41</v>
      </c>
      <c r="J11" s="19" t="s">
        <v>884</v>
      </c>
      <c r="K11" s="19" t="s">
        <v>161</v>
      </c>
      <c r="L11" s="19" t="s">
        <v>167</v>
      </c>
      <c r="M11" s="19" t="s">
        <v>167</v>
      </c>
      <c r="N11" s="19" t="s">
        <v>66</v>
      </c>
      <c r="O11" s="19" t="s">
        <v>698</v>
      </c>
      <c r="P11" s="19" t="s">
        <v>162</v>
      </c>
      <c r="Q11" s="19"/>
      <c r="R11" s="19" t="s">
        <v>81</v>
      </c>
      <c r="S11" s="19" t="s">
        <v>402</v>
      </c>
      <c r="T11" s="19" t="s">
        <v>54</v>
      </c>
      <c r="U11" s="19" t="s">
        <v>54</v>
      </c>
      <c r="V11" s="93" t="s">
        <v>101</v>
      </c>
      <c r="W11" s="93" t="s">
        <v>231</v>
      </c>
      <c r="X11" s="19" t="s">
        <v>46</v>
      </c>
      <c r="Y11" s="29"/>
      <c r="Z11" s="93"/>
      <c r="AA11" s="93"/>
      <c r="AB11" s="93">
        <v>1E-3</v>
      </c>
      <c r="AC11" s="19" t="s">
        <v>1322</v>
      </c>
      <c r="AD11" s="93"/>
      <c r="AE11" s="19"/>
      <c r="AF11" s="19"/>
      <c r="AG11" s="19" t="s">
        <v>235</v>
      </c>
      <c r="AH11" s="19"/>
      <c r="AI11" s="19"/>
      <c r="AJ11" s="19"/>
      <c r="AK11" s="19" t="s">
        <v>234</v>
      </c>
      <c r="AL11" s="19"/>
      <c r="AM11" s="19" t="s">
        <v>234</v>
      </c>
      <c r="AN11" s="19" t="s">
        <v>234</v>
      </c>
      <c r="AO11" s="19" t="s">
        <v>235</v>
      </c>
      <c r="AP11" s="94"/>
      <c r="AQ11" s="19" t="s">
        <v>885</v>
      </c>
      <c r="AR11" s="19" t="s">
        <v>241</v>
      </c>
      <c r="AS11" s="19"/>
      <c r="AT11" s="65" t="str">
        <f t="shared" si="0"/>
        <v>N</v>
      </c>
      <c r="AU11" s="65" t="str">
        <f t="shared" si="1"/>
        <v>N</v>
      </c>
      <c r="AV11" s="65" t="str">
        <f t="shared" ref="AV11:AV76" si="9">AU11</f>
        <v>N</v>
      </c>
      <c r="AW11" s="99"/>
      <c r="AX11" s="99"/>
      <c r="AY11" s="93"/>
      <c r="AZ11" s="96" t="str">
        <f t="shared" si="3"/>
        <v>n</v>
      </c>
      <c r="BA11" s="96" t="str">
        <f>IF(AZ11="n","n",VLOOKUP(AZ11,'Conversion factors'!$C$4:$D$24,2,FALSE))</f>
        <v>n</v>
      </c>
      <c r="BB11" s="96" t="str">
        <f t="shared" si="5"/>
        <v>n</v>
      </c>
      <c r="BC11" s="97"/>
      <c r="BD11" s="96" t="str">
        <f t="shared" si="4"/>
        <v>n</v>
      </c>
      <c r="BE11" s="96" t="str">
        <f t="shared" si="6"/>
        <v>n</v>
      </c>
      <c r="BF11" s="98" t="str">
        <f t="shared" si="7"/>
        <v/>
      </c>
      <c r="BG11" s="96" t="str">
        <f>IF(BF11="","",IF(ISNUMBER(VLOOKUP(BF11,'Conversion factors'!$B$35:$C$52,2,FALSE)),"y","n"))</f>
        <v/>
      </c>
      <c r="BH11" s="99"/>
      <c r="BI11" s="100"/>
      <c r="BJ11" s="100"/>
    </row>
    <row r="12" spans="1:62" ht="15.75" customHeight="1" x14ac:dyDescent="0.2">
      <c r="A12" s="18"/>
      <c r="B12" s="19">
        <v>259</v>
      </c>
      <c r="D12" s="36">
        <v>84089</v>
      </c>
      <c r="E12" s="93" t="s">
        <v>1224</v>
      </c>
      <c r="F12" s="93">
        <v>2000</v>
      </c>
      <c r="G12" s="19" t="s">
        <v>883</v>
      </c>
      <c r="H12" s="19"/>
      <c r="I12" s="19" t="s">
        <v>41</v>
      </c>
      <c r="J12" s="19" t="s">
        <v>884</v>
      </c>
      <c r="K12" s="19" t="s">
        <v>161</v>
      </c>
      <c r="L12" s="19" t="s">
        <v>167</v>
      </c>
      <c r="M12" s="19" t="s">
        <v>167</v>
      </c>
      <c r="N12" s="19" t="s">
        <v>66</v>
      </c>
      <c r="O12" s="19" t="s">
        <v>698</v>
      </c>
      <c r="P12" s="19" t="s">
        <v>162</v>
      </c>
      <c r="Q12" s="19"/>
      <c r="R12" s="19" t="s">
        <v>537</v>
      </c>
      <c r="S12" s="19" t="s">
        <v>402</v>
      </c>
      <c r="T12" s="19" t="s">
        <v>55</v>
      </c>
      <c r="U12" s="19" t="s">
        <v>55</v>
      </c>
      <c r="V12" s="93" t="s">
        <v>101</v>
      </c>
      <c r="W12" s="93" t="s">
        <v>231</v>
      </c>
      <c r="X12" s="19" t="s">
        <v>46</v>
      </c>
      <c r="Y12" s="29"/>
      <c r="Z12" s="93"/>
      <c r="AA12" s="93"/>
      <c r="AB12" s="93">
        <v>2.0000000000000001E-4</v>
      </c>
      <c r="AC12" s="19" t="s">
        <v>1322</v>
      </c>
      <c r="AD12" s="93"/>
      <c r="AE12" s="19"/>
      <c r="AF12" s="19"/>
      <c r="AG12" s="19" t="s">
        <v>235</v>
      </c>
      <c r="AH12" s="19"/>
      <c r="AI12" s="19"/>
      <c r="AJ12" s="19"/>
      <c r="AK12" s="19" t="s">
        <v>234</v>
      </c>
      <c r="AL12" s="19"/>
      <c r="AM12" s="19" t="s">
        <v>234</v>
      </c>
      <c r="AN12" s="19" t="s">
        <v>234</v>
      </c>
      <c r="AO12" s="19" t="s">
        <v>235</v>
      </c>
      <c r="AP12" s="94"/>
      <c r="AQ12" s="19" t="s">
        <v>885</v>
      </c>
      <c r="AR12" s="19" t="s">
        <v>241</v>
      </c>
      <c r="AS12" s="19"/>
      <c r="AT12" s="65" t="str">
        <f t="shared" si="0"/>
        <v>N</v>
      </c>
      <c r="AU12" s="65" t="str">
        <f t="shared" si="1"/>
        <v>N</v>
      </c>
      <c r="AV12" s="65" t="str">
        <f t="shared" si="9"/>
        <v>N</v>
      </c>
      <c r="AW12" s="99"/>
      <c r="AX12" s="99"/>
      <c r="AY12" s="93"/>
      <c r="AZ12" s="96" t="str">
        <f t="shared" si="3"/>
        <v>n</v>
      </c>
      <c r="BA12" s="96" t="str">
        <f>IF(AZ12="n","n",VLOOKUP(AZ12,'Conversion factors'!$C$4:$D$24,2,FALSE))</f>
        <v>n</v>
      </c>
      <c r="BB12" s="96" t="str">
        <f t="shared" si="5"/>
        <v>n</v>
      </c>
      <c r="BC12" s="97"/>
      <c r="BD12" s="96" t="str">
        <f t="shared" si="4"/>
        <v>n</v>
      </c>
      <c r="BE12" s="96" t="str">
        <f t="shared" si="6"/>
        <v>n</v>
      </c>
      <c r="BF12" s="98" t="str">
        <f t="shared" si="7"/>
        <v/>
      </c>
      <c r="BG12" s="96" t="str">
        <f>IF(BF12="","",IF(ISNUMBER(VLOOKUP(BF12,'Conversion factors'!$B$35:$C$52,2,FALSE)),"y","n"))</f>
        <v/>
      </c>
      <c r="BH12" s="99"/>
      <c r="BI12" s="100"/>
      <c r="BJ12" s="100"/>
    </row>
    <row r="13" spans="1:62" ht="15.75" customHeight="1" x14ac:dyDescent="0.2">
      <c r="A13" s="18"/>
      <c r="B13" s="19">
        <v>259</v>
      </c>
      <c r="D13" s="36">
        <v>84089</v>
      </c>
      <c r="E13" s="93" t="s">
        <v>1224</v>
      </c>
      <c r="F13" s="93">
        <v>2000</v>
      </c>
      <c r="G13" s="19" t="s">
        <v>883</v>
      </c>
      <c r="H13" s="19"/>
      <c r="I13" s="19" t="s">
        <v>41</v>
      </c>
      <c r="J13" s="19" t="s">
        <v>884</v>
      </c>
      <c r="K13" s="19" t="s">
        <v>161</v>
      </c>
      <c r="L13" s="19" t="s">
        <v>167</v>
      </c>
      <c r="M13" s="19" t="s">
        <v>167</v>
      </c>
      <c r="N13" s="19" t="s">
        <v>66</v>
      </c>
      <c r="O13" s="19" t="s">
        <v>698</v>
      </c>
      <c r="P13" s="19" t="s">
        <v>162</v>
      </c>
      <c r="Q13" s="19"/>
      <c r="R13" s="19" t="s">
        <v>537</v>
      </c>
      <c r="S13" s="19" t="s">
        <v>402</v>
      </c>
      <c r="T13" s="19" t="s">
        <v>55</v>
      </c>
      <c r="U13" s="19" t="s">
        <v>55</v>
      </c>
      <c r="V13" s="93" t="s">
        <v>101</v>
      </c>
      <c r="W13" s="93" t="s">
        <v>231</v>
      </c>
      <c r="X13" s="19" t="s">
        <v>46</v>
      </c>
      <c r="Y13" s="29"/>
      <c r="Z13" s="93"/>
      <c r="AA13" s="93"/>
      <c r="AB13" s="93">
        <v>1E-3</v>
      </c>
      <c r="AC13" s="19" t="s">
        <v>1322</v>
      </c>
      <c r="AD13" s="93"/>
      <c r="AE13" s="19"/>
      <c r="AF13" s="19"/>
      <c r="AG13" s="19" t="s">
        <v>235</v>
      </c>
      <c r="AH13" s="19"/>
      <c r="AI13" s="19"/>
      <c r="AJ13" s="19"/>
      <c r="AK13" s="19" t="s">
        <v>234</v>
      </c>
      <c r="AL13" s="19"/>
      <c r="AM13" s="19" t="s">
        <v>234</v>
      </c>
      <c r="AN13" s="19" t="s">
        <v>234</v>
      </c>
      <c r="AO13" s="19" t="s">
        <v>235</v>
      </c>
      <c r="AP13" s="94"/>
      <c r="AQ13" s="19" t="s">
        <v>885</v>
      </c>
      <c r="AR13" s="19" t="s">
        <v>241</v>
      </c>
      <c r="AS13" s="19"/>
      <c r="AT13" s="65" t="str">
        <f t="shared" si="0"/>
        <v>N</v>
      </c>
      <c r="AU13" s="65" t="str">
        <f t="shared" si="1"/>
        <v>N</v>
      </c>
      <c r="AV13" s="65" t="str">
        <f t="shared" si="9"/>
        <v>N</v>
      </c>
      <c r="AW13" s="99"/>
      <c r="AX13" s="99"/>
      <c r="AY13" s="93"/>
      <c r="AZ13" s="96" t="str">
        <f t="shared" si="3"/>
        <v>n</v>
      </c>
      <c r="BA13" s="96" t="str">
        <f>IF(AZ13="n","n",VLOOKUP(AZ13,'Conversion factors'!$C$4:$D$24,2,FALSE))</f>
        <v>n</v>
      </c>
      <c r="BB13" s="96" t="str">
        <f t="shared" si="5"/>
        <v>n</v>
      </c>
      <c r="BC13" s="97"/>
      <c r="BD13" s="96" t="str">
        <f t="shared" si="4"/>
        <v>n</v>
      </c>
      <c r="BE13" s="96" t="str">
        <f t="shared" si="6"/>
        <v>n</v>
      </c>
      <c r="BF13" s="98" t="str">
        <f t="shared" si="7"/>
        <v/>
      </c>
      <c r="BG13" s="96" t="str">
        <f>IF(BF13="","",IF(ISNUMBER(VLOOKUP(BF13,'Conversion factors'!$B$35:$C$52,2,FALSE)),"y","n"))</f>
        <v/>
      </c>
      <c r="BH13" s="99"/>
      <c r="BI13" s="100"/>
      <c r="BJ13" s="100"/>
    </row>
    <row r="14" spans="1:62" ht="15.75" customHeight="1" x14ac:dyDescent="0.2">
      <c r="A14" s="18"/>
      <c r="B14" s="19">
        <v>259</v>
      </c>
      <c r="D14" s="36">
        <v>84089</v>
      </c>
      <c r="E14" s="93" t="s">
        <v>1224</v>
      </c>
      <c r="F14" s="93">
        <v>2000</v>
      </c>
      <c r="G14" s="19" t="s">
        <v>883</v>
      </c>
      <c r="H14" s="19"/>
      <c r="I14" s="19" t="s">
        <v>41</v>
      </c>
      <c r="J14" s="19" t="s">
        <v>884</v>
      </c>
      <c r="K14" s="19" t="s">
        <v>161</v>
      </c>
      <c r="L14" s="19" t="s">
        <v>167</v>
      </c>
      <c r="M14" s="19" t="s">
        <v>167</v>
      </c>
      <c r="N14" s="19" t="s">
        <v>66</v>
      </c>
      <c r="O14" s="19" t="s">
        <v>698</v>
      </c>
      <c r="P14" s="19" t="s">
        <v>162</v>
      </c>
      <c r="Q14" s="19"/>
      <c r="R14" s="19" t="s">
        <v>537</v>
      </c>
      <c r="S14" s="19" t="s">
        <v>402</v>
      </c>
      <c r="T14" s="19" t="s">
        <v>54</v>
      </c>
      <c r="U14" s="19" t="s">
        <v>54</v>
      </c>
      <c r="V14" s="93" t="s">
        <v>101</v>
      </c>
      <c r="W14" s="93" t="s">
        <v>231</v>
      </c>
      <c r="X14" s="19" t="s">
        <v>46</v>
      </c>
      <c r="Y14" s="29"/>
      <c r="Z14" s="93"/>
      <c r="AA14" s="93"/>
      <c r="AB14" s="93">
        <v>1E-4</v>
      </c>
      <c r="AC14" s="19" t="s">
        <v>1322</v>
      </c>
      <c r="AD14" s="93"/>
      <c r="AE14" s="19"/>
      <c r="AF14" s="19"/>
      <c r="AG14" s="19" t="s">
        <v>235</v>
      </c>
      <c r="AH14" s="19"/>
      <c r="AI14" s="19"/>
      <c r="AJ14" s="19"/>
      <c r="AK14" s="19" t="s">
        <v>234</v>
      </c>
      <c r="AL14" s="19"/>
      <c r="AM14" s="19" t="s">
        <v>234</v>
      </c>
      <c r="AN14" s="19" t="s">
        <v>234</v>
      </c>
      <c r="AO14" s="19" t="s">
        <v>235</v>
      </c>
      <c r="AP14" s="94"/>
      <c r="AQ14" s="19" t="s">
        <v>885</v>
      </c>
      <c r="AR14" s="19" t="s">
        <v>241</v>
      </c>
      <c r="AS14" s="19"/>
      <c r="AT14" s="65" t="str">
        <f t="shared" si="0"/>
        <v>N</v>
      </c>
      <c r="AU14" s="65" t="str">
        <f t="shared" si="1"/>
        <v>N</v>
      </c>
      <c r="AV14" s="65" t="str">
        <f t="shared" si="9"/>
        <v>N</v>
      </c>
      <c r="AW14" s="99"/>
      <c r="AX14" s="99"/>
      <c r="AY14" s="93"/>
      <c r="AZ14" s="96" t="str">
        <f t="shared" si="3"/>
        <v>n</v>
      </c>
      <c r="BA14" s="96" t="str">
        <f>IF(AZ14="n","n",VLOOKUP(AZ14,'Conversion factors'!$C$4:$D$24,2,FALSE))</f>
        <v>n</v>
      </c>
      <c r="BB14" s="96" t="str">
        <f t="shared" si="5"/>
        <v>n</v>
      </c>
      <c r="BC14" s="97"/>
      <c r="BD14" s="96" t="str">
        <f t="shared" si="4"/>
        <v>n</v>
      </c>
      <c r="BE14" s="96" t="str">
        <f t="shared" si="6"/>
        <v>n</v>
      </c>
      <c r="BF14" s="98" t="str">
        <f t="shared" si="7"/>
        <v/>
      </c>
      <c r="BG14" s="96" t="str">
        <f>IF(BF14="","",IF(ISNUMBER(VLOOKUP(BF14,'Conversion factors'!$B$35:$C$52,2,FALSE)),"y","n"))</f>
        <v/>
      </c>
      <c r="BH14" s="99"/>
      <c r="BI14" s="100"/>
      <c r="BJ14" s="100"/>
    </row>
    <row r="15" spans="1:62" ht="15.75" customHeight="1" x14ac:dyDescent="0.2">
      <c r="A15" s="18"/>
      <c r="B15" s="19">
        <v>259</v>
      </c>
      <c r="D15" s="36">
        <v>84089</v>
      </c>
      <c r="E15" s="93" t="s">
        <v>1224</v>
      </c>
      <c r="F15" s="93">
        <v>2000</v>
      </c>
      <c r="G15" s="19" t="s">
        <v>883</v>
      </c>
      <c r="H15" s="19"/>
      <c r="I15" s="19" t="s">
        <v>41</v>
      </c>
      <c r="J15" s="19" t="s">
        <v>884</v>
      </c>
      <c r="K15" s="19" t="s">
        <v>161</v>
      </c>
      <c r="L15" s="19" t="s">
        <v>167</v>
      </c>
      <c r="M15" s="19" t="s">
        <v>167</v>
      </c>
      <c r="N15" s="19" t="s">
        <v>66</v>
      </c>
      <c r="O15" s="19" t="s">
        <v>698</v>
      </c>
      <c r="P15" s="19" t="s">
        <v>162</v>
      </c>
      <c r="Q15" s="19"/>
      <c r="R15" s="19" t="s">
        <v>537</v>
      </c>
      <c r="S15" s="19" t="s">
        <v>402</v>
      </c>
      <c r="T15" s="19" t="s">
        <v>54</v>
      </c>
      <c r="U15" s="19" t="s">
        <v>54</v>
      </c>
      <c r="V15" s="93" t="s">
        <v>101</v>
      </c>
      <c r="W15" s="93" t="s">
        <v>231</v>
      </c>
      <c r="X15" s="19" t="s">
        <v>46</v>
      </c>
      <c r="Y15" s="29"/>
      <c r="Z15" s="93"/>
      <c r="AA15" s="93"/>
      <c r="AB15" s="93">
        <v>6.9999999999999999E-4</v>
      </c>
      <c r="AC15" s="19" t="s">
        <v>1322</v>
      </c>
      <c r="AD15" s="93"/>
      <c r="AE15" s="19"/>
      <c r="AF15" s="19"/>
      <c r="AG15" s="19" t="s">
        <v>235</v>
      </c>
      <c r="AH15" s="19"/>
      <c r="AI15" s="19"/>
      <c r="AJ15" s="19"/>
      <c r="AK15" s="19" t="s">
        <v>234</v>
      </c>
      <c r="AL15" s="19"/>
      <c r="AM15" s="19" t="s">
        <v>234</v>
      </c>
      <c r="AN15" s="19" t="s">
        <v>234</v>
      </c>
      <c r="AO15" s="19" t="s">
        <v>235</v>
      </c>
      <c r="AP15" s="94"/>
      <c r="AQ15" s="19" t="s">
        <v>885</v>
      </c>
      <c r="AR15" s="19" t="s">
        <v>241</v>
      </c>
      <c r="AS15" s="19"/>
      <c r="AT15" s="65" t="str">
        <f t="shared" si="0"/>
        <v>N</v>
      </c>
      <c r="AU15" s="65" t="str">
        <f t="shared" si="1"/>
        <v>N</v>
      </c>
      <c r="AV15" s="65" t="str">
        <f t="shared" si="9"/>
        <v>N</v>
      </c>
      <c r="AW15" s="99"/>
      <c r="AX15" s="99"/>
      <c r="AY15" s="93"/>
      <c r="AZ15" s="96" t="str">
        <f t="shared" si="3"/>
        <v>n</v>
      </c>
      <c r="BA15" s="96" t="str">
        <f>IF(AZ15="n","n",VLOOKUP(AZ15,'Conversion factors'!$C$4:$D$24,2,FALSE))</f>
        <v>n</v>
      </c>
      <c r="BB15" s="96" t="str">
        <f t="shared" si="5"/>
        <v>n</v>
      </c>
      <c r="BC15" s="97"/>
      <c r="BD15" s="96" t="str">
        <f t="shared" si="4"/>
        <v>n</v>
      </c>
      <c r="BE15" s="96" t="str">
        <f t="shared" si="6"/>
        <v>n</v>
      </c>
      <c r="BF15" s="98" t="str">
        <f t="shared" si="7"/>
        <v/>
      </c>
      <c r="BG15" s="96" t="str">
        <f>IF(BF15="","",IF(ISNUMBER(VLOOKUP(BF15,'Conversion factors'!$B$35:$C$52,2,FALSE)),"y","n"))</f>
        <v/>
      </c>
      <c r="BH15" s="99"/>
      <c r="BI15" s="100"/>
      <c r="BJ15" s="100"/>
    </row>
    <row r="16" spans="1:62" ht="15.75" customHeight="1" x14ac:dyDescent="0.2">
      <c r="A16" s="18"/>
      <c r="B16" s="20">
        <v>338</v>
      </c>
      <c r="E16" s="20" t="s">
        <v>1359</v>
      </c>
      <c r="F16" s="93">
        <v>1999</v>
      </c>
      <c r="G16" s="19" t="s">
        <v>903</v>
      </c>
      <c r="I16" s="19" t="s">
        <v>41</v>
      </c>
      <c r="J16" s="19" t="s">
        <v>1360</v>
      </c>
      <c r="K16" s="19" t="s">
        <v>161</v>
      </c>
      <c r="L16" s="99" t="s">
        <v>167</v>
      </c>
      <c r="M16" s="19" t="s">
        <v>167</v>
      </c>
      <c r="N16" s="19" t="s">
        <v>66</v>
      </c>
      <c r="O16" s="19" t="s">
        <v>1251</v>
      </c>
      <c r="P16" s="19" t="s">
        <v>162</v>
      </c>
      <c r="R16" s="19" t="s">
        <v>1309</v>
      </c>
      <c r="S16" s="19" t="s">
        <v>1364</v>
      </c>
      <c r="T16" s="19" t="s">
        <v>54</v>
      </c>
      <c r="U16" s="19" t="s">
        <v>54</v>
      </c>
      <c r="V16" s="19">
        <v>28</v>
      </c>
      <c r="W16" s="19" t="s">
        <v>45</v>
      </c>
      <c r="X16" s="19" t="s">
        <v>46</v>
      </c>
      <c r="AB16" s="19">
        <v>172</v>
      </c>
      <c r="AC16" s="19" t="s">
        <v>214</v>
      </c>
      <c r="AE16" s="20">
        <v>57</v>
      </c>
      <c r="AF16" s="20">
        <v>57</v>
      </c>
      <c r="AG16" s="19" t="s">
        <v>270</v>
      </c>
      <c r="AH16" s="19"/>
      <c r="AI16" s="19"/>
      <c r="AJ16" s="101">
        <v>7.22</v>
      </c>
      <c r="AK16" s="19" t="s">
        <v>1361</v>
      </c>
      <c r="AL16" s="19">
        <v>103</v>
      </c>
      <c r="AN16" s="19">
        <v>35.9</v>
      </c>
      <c r="AP16" s="94"/>
      <c r="AQ16" s="19" t="s">
        <v>1362</v>
      </c>
      <c r="AR16" s="19" t="s">
        <v>1363</v>
      </c>
      <c r="AT16" s="65" t="str">
        <f t="shared" si="0"/>
        <v>Y</v>
      </c>
      <c r="AU16" s="65" t="str">
        <f t="shared" si="1"/>
        <v>Y</v>
      </c>
      <c r="AV16" s="65" t="str">
        <f t="shared" si="9"/>
        <v>Y</v>
      </c>
      <c r="AZ16" s="96" t="str">
        <f t="shared" si="3"/>
        <v>NOEC</v>
      </c>
      <c r="BA16" s="96">
        <f>IF(AZ16="n","n",VLOOKUP(AZ16,'Conversion factors'!$C$4:$D$24,2,FALSE))</f>
        <v>1</v>
      </c>
      <c r="BB16" s="96">
        <f t="shared" si="5"/>
        <v>172</v>
      </c>
      <c r="BD16" s="96" t="str">
        <f t="shared" si="4"/>
        <v>Chronic</v>
      </c>
      <c r="BE16" s="96" t="str">
        <f t="shared" si="6"/>
        <v>y</v>
      </c>
      <c r="BF16" s="98" t="str">
        <f t="shared" si="7"/>
        <v>NOEC</v>
      </c>
      <c r="BG16" s="96" t="str">
        <f>IF(BF16="","",IF(ISNUMBER(VLOOKUP(BF16,'Conversion factors'!$B$35:$C$52,2,FALSE)),"y","n"))</f>
        <v>y</v>
      </c>
      <c r="BH16" s="99"/>
    </row>
    <row r="17" spans="1:62" ht="15.75" customHeight="1" x14ac:dyDescent="0.2">
      <c r="A17" s="18"/>
      <c r="B17" s="20">
        <v>338</v>
      </c>
      <c r="E17" s="20" t="s">
        <v>1359</v>
      </c>
      <c r="F17" s="93">
        <v>1999</v>
      </c>
      <c r="G17" s="19" t="s">
        <v>903</v>
      </c>
      <c r="I17" s="19" t="s">
        <v>41</v>
      </c>
      <c r="J17" s="19" t="s">
        <v>1360</v>
      </c>
      <c r="K17" s="19" t="s">
        <v>161</v>
      </c>
      <c r="L17" s="99" t="s">
        <v>167</v>
      </c>
      <c r="M17" s="19" t="s">
        <v>167</v>
      </c>
      <c r="N17" s="19" t="s">
        <v>66</v>
      </c>
      <c r="O17" s="19" t="s">
        <v>1251</v>
      </c>
      <c r="P17" s="19" t="s">
        <v>162</v>
      </c>
      <c r="R17" s="19" t="s">
        <v>1309</v>
      </c>
      <c r="S17" s="19" t="s">
        <v>1364</v>
      </c>
      <c r="T17" s="19" t="s">
        <v>54</v>
      </c>
      <c r="U17" s="19" t="s">
        <v>54</v>
      </c>
      <c r="V17" s="19">
        <v>42</v>
      </c>
      <c r="W17" s="19" t="s">
        <v>45</v>
      </c>
      <c r="X17" s="19" t="s">
        <v>46</v>
      </c>
      <c r="AB17" s="19">
        <v>172</v>
      </c>
      <c r="AC17" s="19" t="s">
        <v>214</v>
      </c>
      <c r="AE17" s="20">
        <v>57</v>
      </c>
      <c r="AF17" s="20">
        <v>57</v>
      </c>
      <c r="AG17" s="19" t="s">
        <v>270</v>
      </c>
      <c r="AH17" s="19"/>
      <c r="AI17" s="19"/>
      <c r="AJ17" s="101">
        <v>7.22</v>
      </c>
      <c r="AK17" s="19" t="s">
        <v>1361</v>
      </c>
      <c r="AL17" s="19">
        <v>103</v>
      </c>
      <c r="AN17" s="19">
        <v>35.9</v>
      </c>
      <c r="AP17" s="94"/>
      <c r="AQ17" s="19" t="s">
        <v>1362</v>
      </c>
      <c r="AR17" s="19" t="s">
        <v>1363</v>
      </c>
      <c r="AT17" s="65" t="str">
        <f t="shared" si="0"/>
        <v>Y</v>
      </c>
      <c r="AU17" s="65" t="str">
        <f t="shared" si="1"/>
        <v>Y</v>
      </c>
      <c r="AV17" s="65" t="str">
        <f t="shared" si="9"/>
        <v>Y</v>
      </c>
      <c r="AZ17" s="96" t="str">
        <f t="shared" si="3"/>
        <v>NOEC</v>
      </c>
      <c r="BA17" s="96">
        <f>IF(AZ17="n","n",VLOOKUP(AZ17,'Conversion factors'!$C$4:$D$24,2,FALSE))</f>
        <v>1</v>
      </c>
      <c r="BB17" s="96">
        <f t="shared" si="5"/>
        <v>172</v>
      </c>
      <c r="BD17" s="96" t="str">
        <f t="shared" si="4"/>
        <v>Chronic</v>
      </c>
      <c r="BE17" s="96" t="str">
        <f t="shared" si="6"/>
        <v>y</v>
      </c>
      <c r="BF17" s="98" t="str">
        <f t="shared" si="7"/>
        <v>NOEC</v>
      </c>
      <c r="BG17" s="96" t="str">
        <f>IF(BF17="","",IF(ISNUMBER(VLOOKUP(BF17,'Conversion factors'!$B$35:$C$52,2,FALSE)),"y","n"))</f>
        <v>y</v>
      </c>
      <c r="BH17" s="99"/>
    </row>
    <row r="18" spans="1:62" ht="15.75" customHeight="1" x14ac:dyDescent="0.2">
      <c r="A18" s="18"/>
      <c r="B18" s="20">
        <v>338</v>
      </c>
      <c r="E18" s="20" t="s">
        <v>1359</v>
      </c>
      <c r="F18" s="93">
        <v>1999</v>
      </c>
      <c r="G18" s="19" t="s">
        <v>903</v>
      </c>
      <c r="I18" s="19" t="s">
        <v>41</v>
      </c>
      <c r="J18" s="19" t="s">
        <v>1360</v>
      </c>
      <c r="K18" s="19" t="s">
        <v>161</v>
      </c>
      <c r="L18" s="99" t="s">
        <v>167</v>
      </c>
      <c r="M18" s="19" t="s">
        <v>167</v>
      </c>
      <c r="N18" s="19" t="s">
        <v>66</v>
      </c>
      <c r="O18" s="19" t="s">
        <v>1251</v>
      </c>
      <c r="P18" s="19" t="s">
        <v>162</v>
      </c>
      <c r="R18" s="19" t="s">
        <v>81</v>
      </c>
      <c r="S18" s="19" t="s">
        <v>1354</v>
      </c>
      <c r="T18" s="19" t="s">
        <v>54</v>
      </c>
      <c r="U18" s="19" t="s">
        <v>54</v>
      </c>
      <c r="V18" s="19">
        <v>14</v>
      </c>
      <c r="W18" s="19" t="s">
        <v>45</v>
      </c>
      <c r="X18" s="19" t="s">
        <v>46</v>
      </c>
      <c r="AB18" s="19">
        <v>172</v>
      </c>
      <c r="AC18" s="19" t="s">
        <v>214</v>
      </c>
      <c r="AE18" s="20">
        <v>57</v>
      </c>
      <c r="AF18" s="20">
        <v>57</v>
      </c>
      <c r="AG18" s="19" t="s">
        <v>270</v>
      </c>
      <c r="AH18" s="19"/>
      <c r="AI18" s="19"/>
      <c r="AJ18" s="101">
        <v>7.22</v>
      </c>
      <c r="AK18" s="19" t="s">
        <v>1361</v>
      </c>
      <c r="AL18" s="19">
        <v>103</v>
      </c>
      <c r="AN18" s="19">
        <v>35.9</v>
      </c>
      <c r="AP18" s="94"/>
      <c r="AQ18" s="19" t="s">
        <v>1362</v>
      </c>
      <c r="AR18" s="19" t="s">
        <v>1363</v>
      </c>
      <c r="AT18" s="65" t="str">
        <f t="shared" si="0"/>
        <v>Y</v>
      </c>
      <c r="AU18" s="65" t="str">
        <f t="shared" si="1"/>
        <v>Y</v>
      </c>
      <c r="AV18" s="65" t="str">
        <f t="shared" si="9"/>
        <v>Y</v>
      </c>
      <c r="AZ18" s="96" t="str">
        <f t="shared" si="3"/>
        <v>NOEC</v>
      </c>
      <c r="BA18" s="96">
        <f>IF(AZ18="n","n",VLOOKUP(AZ18,'Conversion factors'!$C$4:$D$24,2,FALSE))</f>
        <v>1</v>
      </c>
      <c r="BB18" s="96">
        <f t="shared" si="5"/>
        <v>172</v>
      </c>
      <c r="BD18" s="96" t="str">
        <f t="shared" si="4"/>
        <v>Chronic</v>
      </c>
      <c r="BE18" s="96" t="str">
        <f t="shared" si="6"/>
        <v>y</v>
      </c>
      <c r="BF18" s="98" t="str">
        <f t="shared" si="7"/>
        <v>NOEC</v>
      </c>
      <c r="BG18" s="96" t="str">
        <f>IF(BF18="","",IF(ISNUMBER(VLOOKUP(BF18,'Conversion factors'!$B$35:$C$52,2,FALSE)),"y","n"))</f>
        <v>y</v>
      </c>
      <c r="BH18" s="99"/>
    </row>
    <row r="19" spans="1:62" ht="15.75" customHeight="1" x14ac:dyDescent="0.2">
      <c r="A19" s="18"/>
      <c r="B19" s="20">
        <v>338</v>
      </c>
      <c r="E19" s="20" t="s">
        <v>1359</v>
      </c>
      <c r="F19" s="93">
        <v>1999</v>
      </c>
      <c r="G19" s="19" t="s">
        <v>903</v>
      </c>
      <c r="I19" s="19" t="s">
        <v>41</v>
      </c>
      <c r="J19" s="19" t="s">
        <v>1360</v>
      </c>
      <c r="K19" s="19" t="s">
        <v>161</v>
      </c>
      <c r="L19" s="99" t="s">
        <v>167</v>
      </c>
      <c r="M19" s="19" t="s">
        <v>167</v>
      </c>
      <c r="N19" s="19" t="s">
        <v>66</v>
      </c>
      <c r="O19" s="19" t="s">
        <v>1251</v>
      </c>
      <c r="P19" s="19" t="s">
        <v>162</v>
      </c>
      <c r="R19" s="19" t="s">
        <v>237</v>
      </c>
      <c r="S19" s="19" t="s">
        <v>79</v>
      </c>
      <c r="T19" s="19" t="s">
        <v>54</v>
      </c>
      <c r="U19" s="19" t="s">
        <v>54</v>
      </c>
      <c r="V19" s="19">
        <v>14</v>
      </c>
      <c r="W19" s="19" t="s">
        <v>45</v>
      </c>
      <c r="X19" s="19" t="s">
        <v>46</v>
      </c>
      <c r="AB19" s="19">
        <v>404</v>
      </c>
      <c r="AC19" s="19" t="s">
        <v>214</v>
      </c>
      <c r="AE19" s="20">
        <v>57</v>
      </c>
      <c r="AF19" s="20">
        <v>57</v>
      </c>
      <c r="AG19" s="19" t="s">
        <v>270</v>
      </c>
      <c r="AH19" s="19"/>
      <c r="AI19" s="19"/>
      <c r="AJ19" s="101">
        <v>7.22</v>
      </c>
      <c r="AK19" s="19" t="s">
        <v>1361</v>
      </c>
      <c r="AL19" s="19">
        <v>103</v>
      </c>
      <c r="AN19" s="19">
        <v>35.9</v>
      </c>
      <c r="AP19" s="94"/>
      <c r="AQ19" s="19" t="s">
        <v>1362</v>
      </c>
      <c r="AR19" s="19" t="s">
        <v>1363</v>
      </c>
      <c r="AT19" s="65" t="str">
        <f t="shared" si="0"/>
        <v>Y</v>
      </c>
      <c r="AU19" s="65" t="str">
        <f t="shared" si="1"/>
        <v>Y</v>
      </c>
      <c r="AV19" s="65" t="str">
        <f t="shared" si="9"/>
        <v>Y</v>
      </c>
      <c r="AZ19" s="96" t="str">
        <f t="shared" si="3"/>
        <v>NOEC</v>
      </c>
      <c r="BA19" s="96">
        <f>IF(AZ19="n","n",VLOOKUP(AZ19,'Conversion factors'!$C$4:$D$24,2,FALSE))</f>
        <v>1</v>
      </c>
      <c r="BB19" s="96">
        <f t="shared" si="5"/>
        <v>404</v>
      </c>
      <c r="BD19" s="96" t="str">
        <f t="shared" si="4"/>
        <v>Chronic</v>
      </c>
      <c r="BE19" s="96" t="str">
        <f t="shared" si="6"/>
        <v>y</v>
      </c>
      <c r="BF19" s="98" t="str">
        <f t="shared" si="7"/>
        <v>NOEC</v>
      </c>
      <c r="BG19" s="96" t="str">
        <f>IF(BF19="","",IF(ISNUMBER(VLOOKUP(BF19,'Conversion factors'!$B$35:$C$52,2,FALSE)),"y","n"))</f>
        <v>y</v>
      </c>
      <c r="BH19" s="99"/>
    </row>
    <row r="20" spans="1:62" ht="15.75" customHeight="1" x14ac:dyDescent="0.2">
      <c r="A20" s="18"/>
      <c r="B20" s="20">
        <v>338</v>
      </c>
      <c r="E20" s="20" t="s">
        <v>1359</v>
      </c>
      <c r="F20" s="93">
        <v>1999</v>
      </c>
      <c r="G20" s="19" t="s">
        <v>903</v>
      </c>
      <c r="I20" s="19" t="s">
        <v>41</v>
      </c>
      <c r="J20" s="19" t="s">
        <v>1360</v>
      </c>
      <c r="K20" s="19" t="s">
        <v>161</v>
      </c>
      <c r="L20" s="99" t="s">
        <v>167</v>
      </c>
      <c r="M20" s="19" t="s">
        <v>167</v>
      </c>
      <c r="N20" s="19" t="s">
        <v>66</v>
      </c>
      <c r="O20" s="19" t="s">
        <v>1251</v>
      </c>
      <c r="P20" s="19" t="s">
        <v>162</v>
      </c>
      <c r="R20" s="19" t="s">
        <v>237</v>
      </c>
      <c r="S20" s="19" t="s">
        <v>79</v>
      </c>
      <c r="T20" s="19" t="s">
        <v>54</v>
      </c>
      <c r="U20" s="19" t="s">
        <v>54</v>
      </c>
      <c r="V20" s="19">
        <v>28</v>
      </c>
      <c r="W20" s="19" t="s">
        <v>45</v>
      </c>
      <c r="X20" s="19" t="s">
        <v>46</v>
      </c>
      <c r="AB20" s="19">
        <v>404</v>
      </c>
      <c r="AC20" s="19" t="s">
        <v>214</v>
      </c>
      <c r="AE20" s="20">
        <v>57</v>
      </c>
      <c r="AF20" s="20">
        <v>57</v>
      </c>
      <c r="AG20" s="19" t="s">
        <v>270</v>
      </c>
      <c r="AH20" s="19"/>
      <c r="AI20" s="19"/>
      <c r="AJ20" s="101">
        <v>7.22</v>
      </c>
      <c r="AK20" s="19" t="s">
        <v>1361</v>
      </c>
      <c r="AL20" s="19">
        <v>103</v>
      </c>
      <c r="AN20" s="19">
        <v>35.9</v>
      </c>
      <c r="AP20" s="94"/>
      <c r="AQ20" s="19" t="s">
        <v>1362</v>
      </c>
      <c r="AR20" s="19" t="s">
        <v>1363</v>
      </c>
      <c r="AT20" s="65" t="str">
        <f t="shared" si="0"/>
        <v>Y</v>
      </c>
      <c r="AU20" s="65" t="str">
        <f t="shared" si="1"/>
        <v>Y</v>
      </c>
      <c r="AV20" s="65" t="str">
        <f t="shared" si="9"/>
        <v>Y</v>
      </c>
      <c r="AZ20" s="96" t="str">
        <f t="shared" si="3"/>
        <v>NOEC</v>
      </c>
      <c r="BA20" s="96">
        <f>IF(AZ20="n","n",VLOOKUP(AZ20,'Conversion factors'!$C$4:$D$24,2,FALSE))</f>
        <v>1</v>
      </c>
      <c r="BB20" s="96">
        <f t="shared" si="5"/>
        <v>404</v>
      </c>
      <c r="BD20" s="96" t="str">
        <f t="shared" si="4"/>
        <v>Chronic</v>
      </c>
      <c r="BE20" s="96" t="str">
        <f t="shared" si="6"/>
        <v>y</v>
      </c>
      <c r="BF20" s="98" t="str">
        <f t="shared" si="7"/>
        <v>NOEC</v>
      </c>
      <c r="BG20" s="96" t="str">
        <f>IF(BF20="","",IF(ISNUMBER(VLOOKUP(BF20,'Conversion factors'!$B$35:$C$52,2,FALSE)),"y","n"))</f>
        <v>y</v>
      </c>
      <c r="BH20" s="99"/>
    </row>
    <row r="21" spans="1:62" ht="15.75" customHeight="1" x14ac:dyDescent="0.2">
      <c r="A21" s="18"/>
      <c r="B21" s="20">
        <v>338</v>
      </c>
      <c r="E21" s="20" t="s">
        <v>1359</v>
      </c>
      <c r="F21" s="93">
        <v>1999</v>
      </c>
      <c r="G21" s="19" t="s">
        <v>903</v>
      </c>
      <c r="I21" s="19" t="s">
        <v>41</v>
      </c>
      <c r="J21" s="19" t="s">
        <v>1360</v>
      </c>
      <c r="K21" s="19" t="s">
        <v>161</v>
      </c>
      <c r="L21" s="99" t="s">
        <v>167</v>
      </c>
      <c r="M21" s="19" t="s">
        <v>167</v>
      </c>
      <c r="N21" s="19" t="s">
        <v>66</v>
      </c>
      <c r="O21" s="19" t="s">
        <v>1251</v>
      </c>
      <c r="P21" s="19" t="s">
        <v>162</v>
      </c>
      <c r="R21" s="19" t="s">
        <v>237</v>
      </c>
      <c r="S21" s="19" t="s">
        <v>79</v>
      </c>
      <c r="T21" s="19" t="s">
        <v>54</v>
      </c>
      <c r="U21" s="19" t="s">
        <v>54</v>
      </c>
      <c r="V21" s="19">
        <v>42</v>
      </c>
      <c r="W21" s="19" t="s">
        <v>45</v>
      </c>
      <c r="X21" s="19" t="s">
        <v>46</v>
      </c>
      <c r="AB21" s="19">
        <v>404</v>
      </c>
      <c r="AC21" s="19" t="s">
        <v>214</v>
      </c>
      <c r="AE21" s="20">
        <v>57</v>
      </c>
      <c r="AF21" s="20">
        <v>57</v>
      </c>
      <c r="AG21" s="19" t="s">
        <v>270</v>
      </c>
      <c r="AH21" s="19"/>
      <c r="AI21" s="19"/>
      <c r="AJ21" s="101">
        <v>7.22</v>
      </c>
      <c r="AK21" s="19" t="s">
        <v>1361</v>
      </c>
      <c r="AL21" s="19">
        <v>103</v>
      </c>
      <c r="AN21" s="19">
        <v>35.9</v>
      </c>
      <c r="AP21" s="94"/>
      <c r="AQ21" s="19" t="s">
        <v>1362</v>
      </c>
      <c r="AR21" s="19" t="s">
        <v>1363</v>
      </c>
      <c r="AT21" s="65" t="str">
        <f t="shared" si="0"/>
        <v>Y</v>
      </c>
      <c r="AU21" s="65" t="str">
        <f t="shared" si="1"/>
        <v>Y</v>
      </c>
      <c r="AV21" s="65" t="str">
        <f t="shared" si="9"/>
        <v>Y</v>
      </c>
      <c r="AZ21" s="96" t="str">
        <f t="shared" si="3"/>
        <v>NOEC</v>
      </c>
      <c r="BA21" s="96">
        <f>IF(AZ21="n","n",VLOOKUP(AZ21,'Conversion factors'!$C$4:$D$24,2,FALSE))</f>
        <v>1</v>
      </c>
      <c r="BB21" s="96">
        <f t="shared" si="5"/>
        <v>404</v>
      </c>
      <c r="BD21" s="96" t="str">
        <f t="shared" si="4"/>
        <v>Chronic</v>
      </c>
      <c r="BE21" s="96" t="str">
        <f t="shared" si="6"/>
        <v>y</v>
      </c>
      <c r="BF21" s="98" t="str">
        <f t="shared" si="7"/>
        <v>NOEC</v>
      </c>
      <c r="BG21" s="96" t="str">
        <f>IF(BF21="","",IF(ISNUMBER(VLOOKUP(BF21,'Conversion factors'!$B$35:$C$52,2,FALSE)),"y","n"))</f>
        <v>y</v>
      </c>
      <c r="BH21" s="99"/>
    </row>
    <row r="22" spans="1:62" ht="15.75" customHeight="1" x14ac:dyDescent="0.2">
      <c r="A22" s="18"/>
      <c r="B22" s="19">
        <v>318</v>
      </c>
      <c r="D22" s="36">
        <v>159422</v>
      </c>
      <c r="E22" s="93" t="s">
        <v>1224</v>
      </c>
      <c r="F22" s="93">
        <v>2012</v>
      </c>
      <c r="G22" s="19" t="s">
        <v>1122</v>
      </c>
      <c r="H22" s="19"/>
      <c r="I22" s="19" t="s">
        <v>41</v>
      </c>
      <c r="J22" s="19" t="s">
        <v>1123</v>
      </c>
      <c r="K22" s="19" t="s">
        <v>161</v>
      </c>
      <c r="L22" s="19" t="s">
        <v>167</v>
      </c>
      <c r="M22" s="19" t="s">
        <v>167</v>
      </c>
      <c r="N22" s="19" t="s">
        <v>66</v>
      </c>
      <c r="O22" s="19" t="s">
        <v>505</v>
      </c>
      <c r="P22" s="19" t="s">
        <v>162</v>
      </c>
      <c r="Q22" s="19"/>
      <c r="R22" s="19" t="s">
        <v>237</v>
      </c>
      <c r="S22" s="19" t="s">
        <v>79</v>
      </c>
      <c r="T22" s="19" t="s">
        <v>261</v>
      </c>
      <c r="U22" s="19" t="s">
        <v>261</v>
      </c>
      <c r="V22" s="93" t="s">
        <v>1223</v>
      </c>
      <c r="W22" s="93" t="s">
        <v>45</v>
      </c>
      <c r="X22" s="19" t="s">
        <v>46</v>
      </c>
      <c r="Y22" s="29"/>
      <c r="Z22" s="93"/>
      <c r="AA22" s="93"/>
      <c r="AB22" s="93" t="s">
        <v>598</v>
      </c>
      <c r="AC22" s="19" t="s">
        <v>214</v>
      </c>
      <c r="AD22" s="93"/>
      <c r="AE22" s="19">
        <v>18.600000000000001</v>
      </c>
      <c r="AF22" s="19">
        <v>18.600000000000001</v>
      </c>
      <c r="AG22" s="19" t="s">
        <v>270</v>
      </c>
      <c r="AH22" s="19"/>
      <c r="AI22" s="19"/>
      <c r="AJ22" s="19">
        <f>MEDIAN(6.5)</f>
        <v>6.5</v>
      </c>
      <c r="AK22" s="19" t="s">
        <v>613</v>
      </c>
      <c r="AL22" s="19"/>
      <c r="AM22" s="19" t="s">
        <v>234</v>
      </c>
      <c r="AN22" s="19" t="s">
        <v>234</v>
      </c>
      <c r="AO22" s="19" t="s">
        <v>235</v>
      </c>
      <c r="AP22" s="94"/>
      <c r="AQ22" s="19" t="s">
        <v>1124</v>
      </c>
      <c r="AR22" s="19" t="s">
        <v>1125</v>
      </c>
      <c r="AS22" s="19"/>
      <c r="AT22" s="65" t="str">
        <f t="shared" si="0"/>
        <v>Y</v>
      </c>
      <c r="AU22" s="65" t="str">
        <f t="shared" si="1"/>
        <v>Y</v>
      </c>
      <c r="AV22" s="65" t="str">
        <f t="shared" si="9"/>
        <v>Y</v>
      </c>
      <c r="AW22" s="99"/>
      <c r="AX22" s="99"/>
      <c r="AY22" s="93"/>
      <c r="AZ22" s="96" t="str">
        <f t="shared" si="3"/>
        <v>LT50</v>
      </c>
      <c r="BA22" s="96" t="e">
        <f>IF(AZ22="n","n",VLOOKUP(AZ22,'Conversion factors'!$C$4:$D$24,2,FALSE))</f>
        <v>#N/A</v>
      </c>
      <c r="BB22" s="96" t="e">
        <f t="shared" si="5"/>
        <v>#N/A</v>
      </c>
      <c r="BC22" s="97"/>
      <c r="BD22" s="96" t="str">
        <f t="shared" si="4"/>
        <v>Chronic</v>
      </c>
      <c r="BE22" s="96" t="str">
        <f t="shared" si="6"/>
        <v>y</v>
      </c>
      <c r="BF22" s="98" t="str">
        <f t="shared" si="7"/>
        <v>LT50</v>
      </c>
      <c r="BG22" s="96" t="str">
        <f>IF(BF22="","",IF(ISNUMBER(VLOOKUP(BF22,'Conversion factors'!$B$35:$C$52,2,FALSE)),"y","n"))</f>
        <v>n</v>
      </c>
      <c r="BH22" s="99"/>
      <c r="BI22" s="100"/>
      <c r="BJ22" s="100"/>
    </row>
    <row r="23" spans="1:62" ht="15.75" customHeight="1" x14ac:dyDescent="0.2">
      <c r="A23" s="18"/>
      <c r="B23" s="19">
        <v>105</v>
      </c>
      <c r="C23" s="20">
        <v>205305</v>
      </c>
      <c r="D23" s="36">
        <v>5305</v>
      </c>
      <c r="E23" s="93" t="s">
        <v>1324</v>
      </c>
      <c r="F23" s="93">
        <v>1978</v>
      </c>
      <c r="G23" s="19"/>
      <c r="H23" s="19" t="s">
        <v>162</v>
      </c>
      <c r="I23" s="19" t="s">
        <v>41</v>
      </c>
      <c r="J23" s="19" t="s">
        <v>168</v>
      </c>
      <c r="K23" s="19" t="s">
        <v>161</v>
      </c>
      <c r="L23" s="19" t="s">
        <v>167</v>
      </c>
      <c r="M23" s="19" t="s">
        <v>167</v>
      </c>
      <c r="N23" s="19" t="s">
        <v>66</v>
      </c>
      <c r="O23" s="19" t="s">
        <v>154</v>
      </c>
      <c r="P23" s="19" t="s">
        <v>162</v>
      </c>
      <c r="Q23" s="19"/>
      <c r="R23" s="19" t="s">
        <v>158</v>
      </c>
      <c r="S23" s="19" t="s">
        <v>157</v>
      </c>
      <c r="T23" s="19" t="s">
        <v>56</v>
      </c>
      <c r="U23" s="19" t="s">
        <v>44</v>
      </c>
      <c r="V23" s="93">
        <v>7</v>
      </c>
      <c r="W23" s="93" t="s">
        <v>45</v>
      </c>
      <c r="X23" s="19" t="s">
        <v>46</v>
      </c>
      <c r="Y23" s="29"/>
      <c r="Z23" s="93"/>
      <c r="AA23" s="93"/>
      <c r="AB23" s="93">
        <v>10</v>
      </c>
      <c r="AC23" s="19" t="s">
        <v>214</v>
      </c>
      <c r="AD23" s="93"/>
      <c r="AE23" s="19">
        <v>195</v>
      </c>
      <c r="AF23" s="19">
        <v>195</v>
      </c>
      <c r="AG23" s="19"/>
      <c r="AH23" s="19"/>
      <c r="AI23" s="19"/>
      <c r="AJ23" s="19">
        <f>MEDIAN(7.4)</f>
        <v>7.4</v>
      </c>
      <c r="AK23" s="19" t="s">
        <v>117</v>
      </c>
      <c r="AL23" s="19"/>
      <c r="AM23" s="19" t="s">
        <v>48</v>
      </c>
      <c r="AN23" s="19"/>
      <c r="AO23" s="19"/>
      <c r="AP23" s="94"/>
      <c r="AQ23" s="19" t="s">
        <v>121</v>
      </c>
      <c r="AR23" s="19" t="s">
        <v>200</v>
      </c>
      <c r="AS23" s="19"/>
      <c r="AT23" s="65" t="str">
        <f t="shared" si="0"/>
        <v>N</v>
      </c>
      <c r="AU23" s="65" t="str">
        <f t="shared" si="1"/>
        <v>N</v>
      </c>
      <c r="AV23" s="65" t="str">
        <f t="shared" si="9"/>
        <v>N</v>
      </c>
      <c r="AW23" s="99" t="s">
        <v>1465</v>
      </c>
      <c r="AX23" s="99"/>
      <c r="AY23" s="93"/>
      <c r="AZ23" s="96" t="str">
        <f t="shared" si="3"/>
        <v>n</v>
      </c>
      <c r="BA23" s="96" t="str">
        <f>IF(AZ23="n","n",VLOOKUP(AZ23,'Conversion factors'!$C$4:$D$24,2,FALSE))</f>
        <v>n</v>
      </c>
      <c r="BB23" s="96" t="str">
        <f t="shared" si="5"/>
        <v>n</v>
      </c>
      <c r="BC23" s="97"/>
      <c r="BD23" s="96" t="str">
        <f t="shared" si="4"/>
        <v>n</v>
      </c>
      <c r="BE23" s="96" t="str">
        <f t="shared" si="6"/>
        <v>n</v>
      </c>
      <c r="BF23" s="98" t="str">
        <f t="shared" si="7"/>
        <v/>
      </c>
      <c r="BG23" s="96" t="str">
        <f>IF(BF23="","",IF(ISNUMBER(VLOOKUP(BF23,'Conversion factors'!$B$35:$C$52,2,FALSE)),"y","n"))</f>
        <v/>
      </c>
      <c r="BH23" s="99"/>
      <c r="BI23" s="100"/>
      <c r="BJ23" s="100"/>
    </row>
    <row r="24" spans="1:62" ht="15.75" customHeight="1" x14ac:dyDescent="0.2">
      <c r="A24" s="18"/>
      <c r="B24" s="19">
        <v>105</v>
      </c>
      <c r="C24" s="20">
        <v>205305</v>
      </c>
      <c r="D24" s="36">
        <v>5305</v>
      </c>
      <c r="E24" s="93" t="s">
        <v>1324</v>
      </c>
      <c r="F24" s="93">
        <v>1978</v>
      </c>
      <c r="G24" s="19"/>
      <c r="H24" s="19" t="s">
        <v>162</v>
      </c>
      <c r="I24" s="19" t="s">
        <v>41</v>
      </c>
      <c r="J24" s="19" t="s">
        <v>168</v>
      </c>
      <c r="K24" s="19" t="s">
        <v>161</v>
      </c>
      <c r="L24" s="19" t="s">
        <v>167</v>
      </c>
      <c r="M24" s="19" t="s">
        <v>167</v>
      </c>
      <c r="N24" s="19" t="s">
        <v>66</v>
      </c>
      <c r="O24" s="19" t="s">
        <v>154</v>
      </c>
      <c r="P24" s="19" t="s">
        <v>162</v>
      </c>
      <c r="Q24" s="19"/>
      <c r="R24" s="19" t="s">
        <v>158</v>
      </c>
      <c r="S24" s="19" t="s">
        <v>157</v>
      </c>
      <c r="T24" s="19" t="s">
        <v>56</v>
      </c>
      <c r="U24" s="19" t="s">
        <v>44</v>
      </c>
      <c r="V24" s="93">
        <v>7</v>
      </c>
      <c r="W24" s="93" t="s">
        <v>45</v>
      </c>
      <c r="X24" s="19" t="s">
        <v>46</v>
      </c>
      <c r="Y24" s="29"/>
      <c r="Z24" s="93"/>
      <c r="AA24" s="93"/>
      <c r="AB24" s="93">
        <v>0.6</v>
      </c>
      <c r="AC24" s="19" t="s">
        <v>214</v>
      </c>
      <c r="AD24" s="93"/>
      <c r="AE24" s="19">
        <v>195</v>
      </c>
      <c r="AF24" s="19">
        <v>195</v>
      </c>
      <c r="AG24" s="19"/>
      <c r="AH24" s="19"/>
      <c r="AI24" s="19"/>
      <c r="AJ24" s="19">
        <f>MEDIAN(7.4)</f>
        <v>7.4</v>
      </c>
      <c r="AK24" s="19" t="s">
        <v>117</v>
      </c>
      <c r="AL24" s="19"/>
      <c r="AM24" s="19" t="s">
        <v>48</v>
      </c>
      <c r="AN24" s="19"/>
      <c r="AO24" s="19"/>
      <c r="AP24" s="94"/>
      <c r="AQ24" s="19" t="s">
        <v>121</v>
      </c>
      <c r="AR24" s="19" t="s">
        <v>200</v>
      </c>
      <c r="AS24" s="19"/>
      <c r="AT24" s="65" t="str">
        <f t="shared" si="0"/>
        <v>N</v>
      </c>
      <c r="AU24" s="65" t="str">
        <f t="shared" si="1"/>
        <v>N</v>
      </c>
      <c r="AV24" s="65" t="str">
        <f t="shared" si="9"/>
        <v>N</v>
      </c>
      <c r="AW24" s="99" t="s">
        <v>1465</v>
      </c>
      <c r="AX24" s="99"/>
      <c r="AY24" s="93"/>
      <c r="AZ24" s="96" t="str">
        <f t="shared" si="3"/>
        <v>n</v>
      </c>
      <c r="BA24" s="96" t="str">
        <f>IF(AZ24="n","n",VLOOKUP(AZ24,'Conversion factors'!$C$4:$D$24,2,FALSE))</f>
        <v>n</v>
      </c>
      <c r="BB24" s="96" t="str">
        <f t="shared" si="5"/>
        <v>n</v>
      </c>
      <c r="BC24" s="97"/>
      <c r="BD24" s="96" t="str">
        <f t="shared" si="4"/>
        <v>n</v>
      </c>
      <c r="BE24" s="96" t="str">
        <f t="shared" si="6"/>
        <v>n</v>
      </c>
      <c r="BF24" s="98" t="str">
        <f t="shared" si="7"/>
        <v/>
      </c>
      <c r="BG24" s="96" t="str">
        <f>IF(BF24="","",IF(ISNUMBER(VLOOKUP(BF24,'Conversion factors'!$B$35:$C$52,2,FALSE)),"y","n"))</f>
        <v/>
      </c>
      <c r="BH24" s="99"/>
      <c r="BI24" s="100"/>
      <c r="BJ24" s="100"/>
    </row>
    <row r="25" spans="1:62" ht="15.75" customHeight="1" x14ac:dyDescent="0.2">
      <c r="A25" s="18"/>
      <c r="B25" s="19">
        <v>312</v>
      </c>
      <c r="D25" s="36">
        <v>117667</v>
      </c>
      <c r="E25" s="93" t="s">
        <v>1224</v>
      </c>
      <c r="F25" s="93">
        <v>2009</v>
      </c>
      <c r="G25" s="19" t="s">
        <v>1081</v>
      </c>
      <c r="H25" s="19"/>
      <c r="I25" s="19" t="s">
        <v>41</v>
      </c>
      <c r="J25" s="19" t="s">
        <v>1082</v>
      </c>
      <c r="K25" s="19" t="s">
        <v>161</v>
      </c>
      <c r="L25" s="19" t="s">
        <v>167</v>
      </c>
      <c r="M25" s="19" t="s">
        <v>167</v>
      </c>
      <c r="N25" s="19" t="s">
        <v>66</v>
      </c>
      <c r="O25" s="19" t="s">
        <v>505</v>
      </c>
      <c r="P25" s="19" t="s">
        <v>162</v>
      </c>
      <c r="Q25" s="19"/>
      <c r="R25" s="19" t="s">
        <v>81</v>
      </c>
      <c r="S25" s="19" t="s">
        <v>402</v>
      </c>
      <c r="T25" s="19" t="s">
        <v>55</v>
      </c>
      <c r="U25" s="19" t="s">
        <v>55</v>
      </c>
      <c r="V25" s="93" t="s">
        <v>253</v>
      </c>
      <c r="W25" s="93" t="s">
        <v>45</v>
      </c>
      <c r="X25" s="19" t="s">
        <v>46</v>
      </c>
      <c r="Y25" s="29"/>
      <c r="Z25" s="93"/>
      <c r="AA25" s="93"/>
      <c r="AB25" s="93" t="s">
        <v>242</v>
      </c>
      <c r="AC25" s="19" t="s">
        <v>1322</v>
      </c>
      <c r="AD25" s="93"/>
      <c r="AE25" s="19"/>
      <c r="AF25" s="19"/>
      <c r="AG25" s="19" t="s">
        <v>235</v>
      </c>
      <c r="AH25" s="19"/>
      <c r="AI25" s="19"/>
      <c r="AJ25" s="19" t="s">
        <v>1503</v>
      </c>
      <c r="AK25" s="19" t="s">
        <v>234</v>
      </c>
      <c r="AL25" s="19"/>
      <c r="AM25" s="19" t="s">
        <v>234</v>
      </c>
      <c r="AN25" s="19" t="s">
        <v>234</v>
      </c>
      <c r="AO25" s="19" t="s">
        <v>235</v>
      </c>
      <c r="AP25" s="94"/>
      <c r="AQ25" s="19" t="s">
        <v>97</v>
      </c>
      <c r="AR25" s="19" t="s">
        <v>241</v>
      </c>
      <c r="AS25" s="19"/>
      <c r="AT25" s="65" t="str">
        <f t="shared" si="0"/>
        <v>N</v>
      </c>
      <c r="AU25" s="65" t="str">
        <f t="shared" si="1"/>
        <v>N</v>
      </c>
      <c r="AV25" s="65" t="str">
        <f t="shared" si="9"/>
        <v>N</v>
      </c>
      <c r="AW25" s="99"/>
      <c r="AX25" s="99"/>
      <c r="AY25" s="93"/>
      <c r="AZ25" s="96" t="str">
        <f t="shared" si="3"/>
        <v>n</v>
      </c>
      <c r="BA25" s="96" t="str">
        <f>IF(AZ25="n","n",VLOOKUP(AZ25,'Conversion factors'!$C$4:$D$24,2,FALSE))</f>
        <v>n</v>
      </c>
      <c r="BB25" s="96" t="str">
        <f t="shared" si="5"/>
        <v>n</v>
      </c>
      <c r="BC25" s="97"/>
      <c r="BD25" s="96" t="str">
        <f t="shared" si="4"/>
        <v>n</v>
      </c>
      <c r="BE25" s="96" t="str">
        <f t="shared" si="6"/>
        <v>n</v>
      </c>
      <c r="BF25" s="98" t="str">
        <f t="shared" si="7"/>
        <v/>
      </c>
      <c r="BG25" s="96" t="str">
        <f>IF(BF25="","",IF(ISNUMBER(VLOOKUP(BF25,'Conversion factors'!$B$35:$C$52,2,FALSE)),"y","n"))</f>
        <v/>
      </c>
      <c r="BH25" s="99"/>
      <c r="BI25" s="100"/>
      <c r="BJ25" s="100"/>
    </row>
    <row r="26" spans="1:62" ht="15.75" customHeight="1" x14ac:dyDescent="0.2">
      <c r="A26" s="18"/>
      <c r="B26" s="19">
        <v>312</v>
      </c>
      <c r="D26" s="36">
        <v>117667</v>
      </c>
      <c r="E26" s="93" t="s">
        <v>1224</v>
      </c>
      <c r="F26" s="93">
        <v>2009</v>
      </c>
      <c r="G26" s="19" t="s">
        <v>1081</v>
      </c>
      <c r="H26" s="19"/>
      <c r="I26" s="19" t="s">
        <v>41</v>
      </c>
      <c r="J26" s="19" t="s">
        <v>1082</v>
      </c>
      <c r="K26" s="19" t="s">
        <v>161</v>
      </c>
      <c r="L26" s="19" t="s">
        <v>167</v>
      </c>
      <c r="M26" s="19" t="s">
        <v>167</v>
      </c>
      <c r="N26" s="19" t="s">
        <v>66</v>
      </c>
      <c r="O26" s="19" t="s">
        <v>505</v>
      </c>
      <c r="P26" s="19" t="s">
        <v>162</v>
      </c>
      <c r="Q26" s="19"/>
      <c r="R26" s="19" t="s">
        <v>81</v>
      </c>
      <c r="S26" s="19" t="s">
        <v>402</v>
      </c>
      <c r="T26" s="19" t="s">
        <v>54</v>
      </c>
      <c r="U26" s="19" t="s">
        <v>54</v>
      </c>
      <c r="V26" s="93" t="s">
        <v>253</v>
      </c>
      <c r="W26" s="93" t="s">
        <v>45</v>
      </c>
      <c r="X26" s="19" t="s">
        <v>46</v>
      </c>
      <c r="Y26" s="29"/>
      <c r="Z26" s="93"/>
      <c r="AA26" s="93"/>
      <c r="AB26" s="93" t="s">
        <v>86</v>
      </c>
      <c r="AC26" s="19" t="s">
        <v>1322</v>
      </c>
      <c r="AD26" s="93"/>
      <c r="AE26" s="19"/>
      <c r="AF26" s="19"/>
      <c r="AG26" s="19" t="s">
        <v>235</v>
      </c>
      <c r="AH26" s="19"/>
      <c r="AI26" s="19"/>
      <c r="AJ26" s="19" t="s">
        <v>1503</v>
      </c>
      <c r="AK26" s="19" t="s">
        <v>234</v>
      </c>
      <c r="AL26" s="19"/>
      <c r="AM26" s="19" t="s">
        <v>234</v>
      </c>
      <c r="AN26" s="19" t="s">
        <v>234</v>
      </c>
      <c r="AO26" s="19" t="s">
        <v>235</v>
      </c>
      <c r="AP26" s="94"/>
      <c r="AQ26" s="19" t="s">
        <v>97</v>
      </c>
      <c r="AR26" s="19" t="s">
        <v>241</v>
      </c>
      <c r="AS26" s="19"/>
      <c r="AT26" s="65" t="str">
        <f t="shared" si="0"/>
        <v>N</v>
      </c>
      <c r="AU26" s="65" t="str">
        <f t="shared" si="1"/>
        <v>N</v>
      </c>
      <c r="AV26" s="65" t="str">
        <f t="shared" si="9"/>
        <v>N</v>
      </c>
      <c r="AW26" s="99"/>
      <c r="AX26" s="99"/>
      <c r="AY26" s="93"/>
      <c r="AZ26" s="96" t="str">
        <f t="shared" si="3"/>
        <v>n</v>
      </c>
      <c r="BA26" s="96" t="str">
        <f>IF(AZ26="n","n",VLOOKUP(AZ26,'Conversion factors'!$C$4:$D$24,2,FALSE))</f>
        <v>n</v>
      </c>
      <c r="BB26" s="96" t="str">
        <f t="shared" si="5"/>
        <v>n</v>
      </c>
      <c r="BC26" s="97"/>
      <c r="BD26" s="96" t="str">
        <f t="shared" si="4"/>
        <v>n</v>
      </c>
      <c r="BE26" s="96" t="str">
        <f t="shared" si="6"/>
        <v>n</v>
      </c>
      <c r="BF26" s="98" t="str">
        <f t="shared" si="7"/>
        <v/>
      </c>
      <c r="BG26" s="96" t="str">
        <f>IF(BF26="","",IF(ISNUMBER(VLOOKUP(BF26,'Conversion factors'!$B$35:$C$52,2,FALSE)),"y","n"))</f>
        <v/>
      </c>
      <c r="BH26" s="99"/>
      <c r="BI26" s="100"/>
      <c r="BJ26" s="100"/>
    </row>
    <row r="27" spans="1:62" ht="15.75" customHeight="1" x14ac:dyDescent="0.2">
      <c r="A27" s="18"/>
      <c r="B27" s="19">
        <v>312</v>
      </c>
      <c r="D27" s="36">
        <v>117667</v>
      </c>
      <c r="E27" s="93" t="s">
        <v>1224</v>
      </c>
      <c r="F27" s="93">
        <v>2009</v>
      </c>
      <c r="G27" s="19" t="s">
        <v>1081</v>
      </c>
      <c r="H27" s="19"/>
      <c r="I27" s="19" t="s">
        <v>41</v>
      </c>
      <c r="J27" s="19" t="s">
        <v>1082</v>
      </c>
      <c r="K27" s="19" t="s">
        <v>161</v>
      </c>
      <c r="L27" s="19" t="s">
        <v>167</v>
      </c>
      <c r="M27" s="19" t="s">
        <v>167</v>
      </c>
      <c r="N27" s="19" t="s">
        <v>66</v>
      </c>
      <c r="O27" s="19" t="s">
        <v>505</v>
      </c>
      <c r="P27" s="19" t="s">
        <v>162</v>
      </c>
      <c r="Q27" s="19"/>
      <c r="R27" s="19" t="s">
        <v>81</v>
      </c>
      <c r="S27" s="19" t="s">
        <v>402</v>
      </c>
      <c r="T27" s="19" t="s">
        <v>55</v>
      </c>
      <c r="U27" s="19" t="s">
        <v>55</v>
      </c>
      <c r="V27" s="93" t="s">
        <v>94</v>
      </c>
      <c r="W27" s="93" t="s">
        <v>45</v>
      </c>
      <c r="X27" s="19" t="s">
        <v>46</v>
      </c>
      <c r="Y27" s="29"/>
      <c r="Z27" s="93"/>
      <c r="AA27" s="93"/>
      <c r="AB27" s="93" t="s">
        <v>242</v>
      </c>
      <c r="AC27" s="19" t="s">
        <v>1322</v>
      </c>
      <c r="AD27" s="93"/>
      <c r="AE27" s="19"/>
      <c r="AF27" s="19"/>
      <c r="AG27" s="19" t="s">
        <v>235</v>
      </c>
      <c r="AH27" s="19"/>
      <c r="AI27" s="19"/>
      <c r="AJ27" s="19" t="s">
        <v>1503</v>
      </c>
      <c r="AK27" s="19" t="s">
        <v>234</v>
      </c>
      <c r="AL27" s="19"/>
      <c r="AM27" s="19" t="s">
        <v>234</v>
      </c>
      <c r="AN27" s="19" t="s">
        <v>234</v>
      </c>
      <c r="AO27" s="19" t="s">
        <v>235</v>
      </c>
      <c r="AP27" s="94"/>
      <c r="AQ27" s="19" t="s">
        <v>97</v>
      </c>
      <c r="AR27" s="19" t="s">
        <v>241</v>
      </c>
      <c r="AS27" s="19"/>
      <c r="AT27" s="65" t="str">
        <f t="shared" si="0"/>
        <v>N</v>
      </c>
      <c r="AU27" s="65" t="str">
        <f t="shared" si="1"/>
        <v>N</v>
      </c>
      <c r="AV27" s="65" t="str">
        <f t="shared" si="9"/>
        <v>N</v>
      </c>
      <c r="AW27" s="99"/>
      <c r="AX27" s="99"/>
      <c r="AY27" s="93"/>
      <c r="AZ27" s="96" t="str">
        <f t="shared" si="3"/>
        <v>n</v>
      </c>
      <c r="BA27" s="96" t="str">
        <f>IF(AZ27="n","n",VLOOKUP(AZ27,'Conversion factors'!$C$4:$D$24,2,FALSE))</f>
        <v>n</v>
      </c>
      <c r="BB27" s="96" t="str">
        <f t="shared" si="5"/>
        <v>n</v>
      </c>
      <c r="BC27" s="97"/>
      <c r="BD27" s="96" t="str">
        <f t="shared" si="4"/>
        <v>n</v>
      </c>
      <c r="BE27" s="96" t="str">
        <f t="shared" si="6"/>
        <v>n</v>
      </c>
      <c r="BF27" s="98" t="str">
        <f t="shared" si="7"/>
        <v/>
      </c>
      <c r="BG27" s="96" t="str">
        <f>IF(BF27="","",IF(ISNUMBER(VLOOKUP(BF27,'Conversion factors'!$B$35:$C$52,2,FALSE)),"y","n"))</f>
        <v/>
      </c>
      <c r="BH27" s="99"/>
      <c r="BI27" s="100"/>
      <c r="BJ27" s="100"/>
    </row>
    <row r="28" spans="1:62" ht="15.75" customHeight="1" x14ac:dyDescent="0.2">
      <c r="A28" s="18"/>
      <c r="B28" s="19">
        <v>312</v>
      </c>
      <c r="D28" s="36">
        <v>117667</v>
      </c>
      <c r="E28" s="93" t="s">
        <v>1224</v>
      </c>
      <c r="F28" s="93">
        <v>2009</v>
      </c>
      <c r="G28" s="19" t="s">
        <v>1081</v>
      </c>
      <c r="H28" s="19"/>
      <c r="I28" s="19" t="s">
        <v>41</v>
      </c>
      <c r="J28" s="19" t="s">
        <v>1082</v>
      </c>
      <c r="K28" s="19" t="s">
        <v>161</v>
      </c>
      <c r="L28" s="19" t="s">
        <v>167</v>
      </c>
      <c r="M28" s="19" t="s">
        <v>167</v>
      </c>
      <c r="N28" s="19" t="s">
        <v>66</v>
      </c>
      <c r="O28" s="19" t="s">
        <v>505</v>
      </c>
      <c r="P28" s="19" t="s">
        <v>162</v>
      </c>
      <c r="Q28" s="19"/>
      <c r="R28" s="19" t="s">
        <v>81</v>
      </c>
      <c r="S28" s="19" t="s">
        <v>402</v>
      </c>
      <c r="T28" s="19" t="s">
        <v>54</v>
      </c>
      <c r="U28" s="19" t="s">
        <v>54</v>
      </c>
      <c r="V28" s="93" t="s">
        <v>94</v>
      </c>
      <c r="W28" s="93" t="s">
        <v>45</v>
      </c>
      <c r="X28" s="19" t="s">
        <v>46</v>
      </c>
      <c r="Y28" s="29"/>
      <c r="Z28" s="93"/>
      <c r="AA28" s="93"/>
      <c r="AB28" s="93" t="s">
        <v>86</v>
      </c>
      <c r="AC28" s="19" t="s">
        <v>1322</v>
      </c>
      <c r="AD28" s="93"/>
      <c r="AE28" s="19"/>
      <c r="AF28" s="19"/>
      <c r="AG28" s="19" t="s">
        <v>235</v>
      </c>
      <c r="AH28" s="19"/>
      <c r="AI28" s="19"/>
      <c r="AJ28" s="19" t="s">
        <v>1503</v>
      </c>
      <c r="AK28" s="19" t="s">
        <v>234</v>
      </c>
      <c r="AL28" s="19"/>
      <c r="AM28" s="19" t="s">
        <v>234</v>
      </c>
      <c r="AN28" s="19" t="s">
        <v>234</v>
      </c>
      <c r="AO28" s="19" t="s">
        <v>235</v>
      </c>
      <c r="AP28" s="94"/>
      <c r="AQ28" s="19" t="s">
        <v>97</v>
      </c>
      <c r="AR28" s="19" t="s">
        <v>241</v>
      </c>
      <c r="AS28" s="19"/>
      <c r="AT28" s="65" t="str">
        <f t="shared" si="0"/>
        <v>N</v>
      </c>
      <c r="AU28" s="65" t="str">
        <f t="shared" si="1"/>
        <v>N</v>
      </c>
      <c r="AV28" s="65" t="str">
        <f t="shared" si="9"/>
        <v>N</v>
      </c>
      <c r="AW28" s="99"/>
      <c r="AX28" s="99"/>
      <c r="AY28" s="93"/>
      <c r="AZ28" s="96" t="str">
        <f t="shared" si="3"/>
        <v>n</v>
      </c>
      <c r="BA28" s="96" t="str">
        <f>IF(AZ28="n","n",VLOOKUP(AZ28,'Conversion factors'!$C$4:$D$24,2,FALSE))</f>
        <v>n</v>
      </c>
      <c r="BB28" s="96" t="str">
        <f t="shared" si="5"/>
        <v>n</v>
      </c>
      <c r="BC28" s="97"/>
      <c r="BD28" s="96" t="str">
        <f t="shared" si="4"/>
        <v>n</v>
      </c>
      <c r="BE28" s="96" t="str">
        <f t="shared" si="6"/>
        <v>n</v>
      </c>
      <c r="BF28" s="98" t="str">
        <f t="shared" si="7"/>
        <v/>
      </c>
      <c r="BG28" s="96" t="str">
        <f>IF(BF28="","",IF(ISNUMBER(VLOOKUP(BF28,'Conversion factors'!$B$35:$C$52,2,FALSE)),"y","n"))</f>
        <v/>
      </c>
      <c r="BH28" s="99"/>
      <c r="BI28" s="100"/>
      <c r="BJ28" s="100"/>
    </row>
    <row r="29" spans="1:62" ht="15.75" customHeight="1" x14ac:dyDescent="0.2">
      <c r="A29" s="18"/>
      <c r="B29" s="19">
        <v>312</v>
      </c>
      <c r="D29" s="36">
        <v>117667</v>
      </c>
      <c r="E29" s="93" t="s">
        <v>1224</v>
      </c>
      <c r="F29" s="93">
        <v>2009</v>
      </c>
      <c r="G29" s="19" t="s">
        <v>1081</v>
      </c>
      <c r="H29" s="19"/>
      <c r="I29" s="19" t="s">
        <v>41</v>
      </c>
      <c r="J29" s="19" t="s">
        <v>1082</v>
      </c>
      <c r="K29" s="19" t="s">
        <v>161</v>
      </c>
      <c r="L29" s="19" t="s">
        <v>167</v>
      </c>
      <c r="M29" s="19" t="s">
        <v>167</v>
      </c>
      <c r="N29" s="19" t="s">
        <v>66</v>
      </c>
      <c r="O29" s="19" t="s">
        <v>505</v>
      </c>
      <c r="P29" s="19" t="s">
        <v>162</v>
      </c>
      <c r="Q29" s="19"/>
      <c r="R29" s="19" t="s">
        <v>81</v>
      </c>
      <c r="S29" s="19" t="s">
        <v>402</v>
      </c>
      <c r="T29" s="19" t="s">
        <v>55</v>
      </c>
      <c r="U29" s="19" t="s">
        <v>55</v>
      </c>
      <c r="V29" s="93" t="s">
        <v>252</v>
      </c>
      <c r="W29" s="93" t="s">
        <v>45</v>
      </c>
      <c r="X29" s="19" t="s">
        <v>46</v>
      </c>
      <c r="Y29" s="29"/>
      <c r="Z29" s="93"/>
      <c r="AA29" s="93"/>
      <c r="AB29" s="93" t="s">
        <v>242</v>
      </c>
      <c r="AC29" s="19" t="s">
        <v>1322</v>
      </c>
      <c r="AD29" s="93"/>
      <c r="AE29" s="19"/>
      <c r="AF29" s="19"/>
      <c r="AG29" s="19" t="s">
        <v>235</v>
      </c>
      <c r="AH29" s="19"/>
      <c r="AI29" s="19"/>
      <c r="AJ29" s="19" t="s">
        <v>1503</v>
      </c>
      <c r="AK29" s="19" t="s">
        <v>234</v>
      </c>
      <c r="AL29" s="19"/>
      <c r="AM29" s="19" t="s">
        <v>234</v>
      </c>
      <c r="AN29" s="19" t="s">
        <v>234</v>
      </c>
      <c r="AO29" s="19" t="s">
        <v>235</v>
      </c>
      <c r="AP29" s="94"/>
      <c r="AQ29" s="19" t="s">
        <v>97</v>
      </c>
      <c r="AR29" s="19" t="s">
        <v>241</v>
      </c>
      <c r="AS29" s="19"/>
      <c r="AT29" s="65" t="str">
        <f t="shared" si="0"/>
        <v>N</v>
      </c>
      <c r="AU29" s="65" t="str">
        <f t="shared" si="1"/>
        <v>N</v>
      </c>
      <c r="AV29" s="65" t="str">
        <f t="shared" si="9"/>
        <v>N</v>
      </c>
      <c r="AW29" s="99"/>
      <c r="AX29" s="99"/>
      <c r="AY29" s="93"/>
      <c r="AZ29" s="96" t="str">
        <f t="shared" si="3"/>
        <v>n</v>
      </c>
      <c r="BA29" s="96" t="str">
        <f>IF(AZ29="n","n",VLOOKUP(AZ29,'Conversion factors'!$C$4:$D$24,2,FALSE))</f>
        <v>n</v>
      </c>
      <c r="BB29" s="96" t="str">
        <f t="shared" si="5"/>
        <v>n</v>
      </c>
      <c r="BC29" s="97"/>
      <c r="BD29" s="96" t="str">
        <f t="shared" si="4"/>
        <v>n</v>
      </c>
      <c r="BE29" s="96" t="str">
        <f t="shared" si="6"/>
        <v>n</v>
      </c>
      <c r="BF29" s="98" t="str">
        <f t="shared" si="7"/>
        <v/>
      </c>
      <c r="BG29" s="96" t="str">
        <f>IF(BF29="","",IF(ISNUMBER(VLOOKUP(BF29,'Conversion factors'!$B$35:$C$52,2,FALSE)),"y","n"))</f>
        <v/>
      </c>
      <c r="BH29" s="99"/>
      <c r="BI29" s="100"/>
      <c r="BJ29" s="100"/>
    </row>
    <row r="30" spans="1:62" ht="15.75" customHeight="1" x14ac:dyDescent="0.2">
      <c r="A30" s="18"/>
      <c r="B30" s="19">
        <v>312</v>
      </c>
      <c r="D30" s="36">
        <v>117667</v>
      </c>
      <c r="E30" s="93" t="s">
        <v>1224</v>
      </c>
      <c r="F30" s="93">
        <v>2009</v>
      </c>
      <c r="G30" s="19" t="s">
        <v>1081</v>
      </c>
      <c r="H30" s="19"/>
      <c r="I30" s="19" t="s">
        <v>41</v>
      </c>
      <c r="J30" s="19" t="s">
        <v>1082</v>
      </c>
      <c r="K30" s="19" t="s">
        <v>161</v>
      </c>
      <c r="L30" s="19" t="s">
        <v>167</v>
      </c>
      <c r="M30" s="19" t="s">
        <v>167</v>
      </c>
      <c r="N30" s="19" t="s">
        <v>66</v>
      </c>
      <c r="O30" s="19" t="s">
        <v>505</v>
      </c>
      <c r="P30" s="19" t="s">
        <v>162</v>
      </c>
      <c r="Q30" s="19"/>
      <c r="R30" s="19" t="s">
        <v>81</v>
      </c>
      <c r="S30" s="19" t="s">
        <v>402</v>
      </c>
      <c r="T30" s="19" t="s">
        <v>54</v>
      </c>
      <c r="U30" s="19" t="s">
        <v>54</v>
      </c>
      <c r="V30" s="93" t="s">
        <v>252</v>
      </c>
      <c r="W30" s="93" t="s">
        <v>45</v>
      </c>
      <c r="X30" s="19" t="s">
        <v>46</v>
      </c>
      <c r="Y30" s="29"/>
      <c r="Z30" s="93"/>
      <c r="AA30" s="93"/>
      <c r="AB30" s="93" t="s">
        <v>86</v>
      </c>
      <c r="AC30" s="19" t="s">
        <v>1322</v>
      </c>
      <c r="AD30" s="93"/>
      <c r="AE30" s="19"/>
      <c r="AF30" s="19"/>
      <c r="AG30" s="19" t="s">
        <v>235</v>
      </c>
      <c r="AH30" s="19"/>
      <c r="AI30" s="19"/>
      <c r="AJ30" s="19" t="s">
        <v>1503</v>
      </c>
      <c r="AK30" s="19" t="s">
        <v>234</v>
      </c>
      <c r="AL30" s="19"/>
      <c r="AM30" s="19" t="s">
        <v>234</v>
      </c>
      <c r="AN30" s="19" t="s">
        <v>234</v>
      </c>
      <c r="AO30" s="19" t="s">
        <v>235</v>
      </c>
      <c r="AP30" s="94"/>
      <c r="AQ30" s="19" t="s">
        <v>97</v>
      </c>
      <c r="AR30" s="19" t="s">
        <v>241</v>
      </c>
      <c r="AS30" s="19"/>
      <c r="AT30" s="65" t="str">
        <f t="shared" si="0"/>
        <v>N</v>
      </c>
      <c r="AU30" s="65" t="str">
        <f t="shared" si="1"/>
        <v>N</v>
      </c>
      <c r="AV30" s="65" t="str">
        <f t="shared" si="9"/>
        <v>N</v>
      </c>
      <c r="AW30" s="99"/>
      <c r="AX30" s="99"/>
      <c r="AY30" s="93"/>
      <c r="AZ30" s="96" t="str">
        <f t="shared" si="3"/>
        <v>n</v>
      </c>
      <c r="BA30" s="96" t="str">
        <f>IF(AZ30="n","n",VLOOKUP(AZ30,'Conversion factors'!$C$4:$D$24,2,FALSE))</f>
        <v>n</v>
      </c>
      <c r="BB30" s="96" t="str">
        <f t="shared" si="5"/>
        <v>n</v>
      </c>
      <c r="BC30" s="97"/>
      <c r="BD30" s="96" t="str">
        <f t="shared" si="4"/>
        <v>n</v>
      </c>
      <c r="BE30" s="96" t="str">
        <f t="shared" si="6"/>
        <v>n</v>
      </c>
      <c r="BF30" s="98" t="str">
        <f t="shared" si="7"/>
        <v/>
      </c>
      <c r="BG30" s="96" t="str">
        <f>IF(BF30="","",IF(ISNUMBER(VLOOKUP(BF30,'Conversion factors'!$B$35:$C$52,2,FALSE)),"y","n"))</f>
        <v/>
      </c>
      <c r="BH30" s="99"/>
      <c r="BI30" s="100"/>
      <c r="BJ30" s="100"/>
    </row>
    <row r="31" spans="1:62" ht="15.75" customHeight="1" x14ac:dyDescent="0.2">
      <c r="A31" s="18"/>
      <c r="B31" s="19">
        <v>312</v>
      </c>
      <c r="D31" s="36">
        <v>117667</v>
      </c>
      <c r="E31" s="93" t="s">
        <v>1224</v>
      </c>
      <c r="F31" s="93">
        <v>2009</v>
      </c>
      <c r="G31" s="19" t="s">
        <v>1081</v>
      </c>
      <c r="H31" s="19"/>
      <c r="I31" s="19" t="s">
        <v>41</v>
      </c>
      <c r="J31" s="19" t="s">
        <v>1082</v>
      </c>
      <c r="K31" s="19" t="s">
        <v>161</v>
      </c>
      <c r="L31" s="19" t="s">
        <v>167</v>
      </c>
      <c r="M31" s="19" t="s">
        <v>167</v>
      </c>
      <c r="N31" s="19" t="s">
        <v>66</v>
      </c>
      <c r="O31" s="19" t="s">
        <v>505</v>
      </c>
      <c r="P31" s="19" t="s">
        <v>162</v>
      </c>
      <c r="Q31" s="19"/>
      <c r="R31" s="19" t="s">
        <v>237</v>
      </c>
      <c r="S31" s="19" t="s">
        <v>79</v>
      </c>
      <c r="T31" s="19" t="s">
        <v>174</v>
      </c>
      <c r="U31" s="19" t="s">
        <v>49</v>
      </c>
      <c r="V31" s="93" t="s">
        <v>85</v>
      </c>
      <c r="W31" s="93" t="s">
        <v>45</v>
      </c>
      <c r="X31" s="19" t="s">
        <v>46</v>
      </c>
      <c r="Y31" s="29"/>
      <c r="Z31" s="93"/>
      <c r="AA31" s="93"/>
      <c r="AB31" s="93" t="s">
        <v>1083</v>
      </c>
      <c r="AC31" s="19" t="s">
        <v>1322</v>
      </c>
      <c r="AD31" s="93"/>
      <c r="AE31" s="19"/>
      <c r="AF31" s="19"/>
      <c r="AG31" s="19" t="s">
        <v>235</v>
      </c>
      <c r="AH31" s="19"/>
      <c r="AI31" s="19"/>
      <c r="AJ31" s="19" t="s">
        <v>1503</v>
      </c>
      <c r="AK31" s="19" t="s">
        <v>234</v>
      </c>
      <c r="AL31" s="19"/>
      <c r="AM31" s="19" t="s">
        <v>234</v>
      </c>
      <c r="AN31" s="19" t="s">
        <v>234</v>
      </c>
      <c r="AO31" s="19" t="s">
        <v>235</v>
      </c>
      <c r="AP31" s="94"/>
      <c r="AQ31" s="19" t="s">
        <v>97</v>
      </c>
      <c r="AR31" s="19" t="s">
        <v>241</v>
      </c>
      <c r="AS31" s="19"/>
      <c r="AT31" s="65" t="str">
        <f t="shared" si="0"/>
        <v>N</v>
      </c>
      <c r="AU31" s="65" t="str">
        <f t="shared" si="1"/>
        <v>N</v>
      </c>
      <c r="AV31" s="65" t="str">
        <f t="shared" si="9"/>
        <v>N</v>
      </c>
      <c r="AW31" s="99"/>
      <c r="AX31" s="99"/>
      <c r="AY31" s="93"/>
      <c r="AZ31" s="96" t="str">
        <f t="shared" si="3"/>
        <v>n</v>
      </c>
      <c r="BA31" s="96" t="str">
        <f>IF(AZ31="n","n",VLOOKUP(AZ31,'Conversion factors'!$C$4:$D$24,2,FALSE))</f>
        <v>n</v>
      </c>
      <c r="BB31" s="96" t="str">
        <f t="shared" si="5"/>
        <v>n</v>
      </c>
      <c r="BC31" s="97"/>
      <c r="BD31" s="96" t="str">
        <f t="shared" si="4"/>
        <v>n</v>
      </c>
      <c r="BE31" s="96" t="str">
        <f t="shared" si="6"/>
        <v>n</v>
      </c>
      <c r="BF31" s="98" t="str">
        <f t="shared" si="7"/>
        <v/>
      </c>
      <c r="BG31" s="96" t="str">
        <f>IF(BF31="","",IF(ISNUMBER(VLOOKUP(BF31,'Conversion factors'!$B$35:$C$52,2,FALSE)),"y","n"))</f>
        <v/>
      </c>
      <c r="BH31" s="99"/>
      <c r="BI31" s="100"/>
      <c r="BJ31" s="100"/>
    </row>
    <row r="32" spans="1:62" ht="15.75" customHeight="1" x14ac:dyDescent="0.2">
      <c r="A32" s="18"/>
      <c r="B32" s="19">
        <v>312</v>
      </c>
      <c r="D32" s="36">
        <v>117667</v>
      </c>
      <c r="E32" s="93" t="s">
        <v>1224</v>
      </c>
      <c r="F32" s="93">
        <v>2009</v>
      </c>
      <c r="G32" s="19" t="s">
        <v>1081</v>
      </c>
      <c r="H32" s="19"/>
      <c r="I32" s="19" t="s">
        <v>41</v>
      </c>
      <c r="J32" s="19" t="s">
        <v>1082</v>
      </c>
      <c r="K32" s="19" t="s">
        <v>161</v>
      </c>
      <c r="L32" s="19" t="s">
        <v>167</v>
      </c>
      <c r="M32" s="19" t="s">
        <v>167</v>
      </c>
      <c r="N32" s="19" t="s">
        <v>66</v>
      </c>
      <c r="O32" s="19" t="s">
        <v>505</v>
      </c>
      <c r="P32" s="19" t="s">
        <v>162</v>
      </c>
      <c r="Q32" s="19"/>
      <c r="R32" s="19" t="s">
        <v>237</v>
      </c>
      <c r="S32" s="19" t="s">
        <v>79</v>
      </c>
      <c r="T32" s="19" t="s">
        <v>56</v>
      </c>
      <c r="U32" s="19" t="s">
        <v>44</v>
      </c>
      <c r="V32" s="93" t="s">
        <v>85</v>
      </c>
      <c r="W32" s="93" t="s">
        <v>45</v>
      </c>
      <c r="X32" s="19" t="s">
        <v>46</v>
      </c>
      <c r="Y32" s="29"/>
      <c r="Z32" s="93"/>
      <c r="AA32" s="93"/>
      <c r="AB32" s="93" t="s">
        <v>1087</v>
      </c>
      <c r="AC32" s="19" t="s">
        <v>1322</v>
      </c>
      <c r="AD32" s="93"/>
      <c r="AE32" s="19"/>
      <c r="AF32" s="19"/>
      <c r="AG32" s="19" t="s">
        <v>235</v>
      </c>
      <c r="AH32" s="19"/>
      <c r="AI32" s="19"/>
      <c r="AJ32" s="19" t="s">
        <v>1503</v>
      </c>
      <c r="AK32" s="19" t="s">
        <v>234</v>
      </c>
      <c r="AL32" s="19"/>
      <c r="AM32" s="19" t="s">
        <v>234</v>
      </c>
      <c r="AN32" s="19" t="s">
        <v>234</v>
      </c>
      <c r="AO32" s="19" t="s">
        <v>235</v>
      </c>
      <c r="AP32" s="94"/>
      <c r="AQ32" s="19" t="s">
        <v>97</v>
      </c>
      <c r="AR32" s="19" t="s">
        <v>241</v>
      </c>
      <c r="AS32" s="19"/>
      <c r="AT32" s="65" t="str">
        <f t="shared" si="0"/>
        <v>N</v>
      </c>
      <c r="AU32" s="65" t="str">
        <f t="shared" si="1"/>
        <v>N</v>
      </c>
      <c r="AV32" s="65" t="str">
        <f t="shared" si="9"/>
        <v>N</v>
      </c>
      <c r="AW32" s="99"/>
      <c r="AX32" s="99"/>
      <c r="AY32" s="93"/>
      <c r="AZ32" s="96" t="str">
        <f t="shared" si="3"/>
        <v>n</v>
      </c>
      <c r="BA32" s="96" t="str">
        <f>IF(AZ32="n","n",VLOOKUP(AZ32,'Conversion factors'!$C$4:$D$24,2,FALSE))</f>
        <v>n</v>
      </c>
      <c r="BB32" s="96" t="str">
        <f t="shared" si="5"/>
        <v>n</v>
      </c>
      <c r="BC32" s="97"/>
      <c r="BD32" s="96" t="str">
        <f t="shared" si="4"/>
        <v>n</v>
      </c>
      <c r="BE32" s="96" t="str">
        <f t="shared" si="6"/>
        <v>n</v>
      </c>
      <c r="BF32" s="98" t="str">
        <f t="shared" si="7"/>
        <v/>
      </c>
      <c r="BG32" s="96" t="str">
        <f>IF(BF32="","",IF(ISNUMBER(VLOOKUP(BF32,'Conversion factors'!$B$35:$C$52,2,FALSE)),"y","n"))</f>
        <v/>
      </c>
      <c r="BH32" s="99"/>
      <c r="BI32" s="100"/>
      <c r="BJ32" s="100"/>
    </row>
    <row r="33" spans="1:62" ht="15.75" customHeight="1" x14ac:dyDescent="0.2">
      <c r="A33" s="18"/>
      <c r="B33" s="19">
        <v>312</v>
      </c>
      <c r="D33" s="36">
        <v>117667</v>
      </c>
      <c r="E33" s="93" t="s">
        <v>1224</v>
      </c>
      <c r="F33" s="93">
        <v>2009</v>
      </c>
      <c r="G33" s="19" t="s">
        <v>1081</v>
      </c>
      <c r="H33" s="19"/>
      <c r="I33" s="19" t="s">
        <v>41</v>
      </c>
      <c r="J33" s="19" t="s">
        <v>1082</v>
      </c>
      <c r="K33" s="19" t="s">
        <v>161</v>
      </c>
      <c r="L33" s="19" t="s">
        <v>167</v>
      </c>
      <c r="M33" s="19" t="s">
        <v>167</v>
      </c>
      <c r="N33" s="19" t="s">
        <v>66</v>
      </c>
      <c r="O33" s="19" t="s">
        <v>505</v>
      </c>
      <c r="P33" s="19" t="s">
        <v>162</v>
      </c>
      <c r="Q33" s="19"/>
      <c r="R33" s="19" t="s">
        <v>237</v>
      </c>
      <c r="S33" s="19" t="s">
        <v>79</v>
      </c>
      <c r="T33" s="19" t="s">
        <v>1089</v>
      </c>
      <c r="U33" s="19" t="s">
        <v>1089</v>
      </c>
      <c r="V33" s="93" t="s">
        <v>85</v>
      </c>
      <c r="W33" s="93" t="s">
        <v>45</v>
      </c>
      <c r="X33" s="19" t="s">
        <v>46</v>
      </c>
      <c r="Y33" s="29"/>
      <c r="Z33" s="93"/>
      <c r="AA33" s="93"/>
      <c r="AB33" s="93" t="s">
        <v>1090</v>
      </c>
      <c r="AC33" s="19" t="s">
        <v>1322</v>
      </c>
      <c r="AD33" s="93"/>
      <c r="AE33" s="19"/>
      <c r="AF33" s="19"/>
      <c r="AG33" s="19" t="s">
        <v>235</v>
      </c>
      <c r="AH33" s="19"/>
      <c r="AI33" s="19"/>
      <c r="AJ33" s="19" t="s">
        <v>1503</v>
      </c>
      <c r="AK33" s="19" t="s">
        <v>234</v>
      </c>
      <c r="AL33" s="19"/>
      <c r="AM33" s="19" t="s">
        <v>234</v>
      </c>
      <c r="AN33" s="19" t="s">
        <v>234</v>
      </c>
      <c r="AO33" s="19" t="s">
        <v>235</v>
      </c>
      <c r="AP33" s="94"/>
      <c r="AQ33" s="19" t="s">
        <v>97</v>
      </c>
      <c r="AR33" s="19" t="s">
        <v>241</v>
      </c>
      <c r="AS33" s="19"/>
      <c r="AT33" s="65" t="str">
        <f t="shared" si="0"/>
        <v>N</v>
      </c>
      <c r="AU33" s="65" t="str">
        <f t="shared" si="1"/>
        <v>N</v>
      </c>
      <c r="AV33" s="65" t="str">
        <f t="shared" si="9"/>
        <v>N</v>
      </c>
      <c r="AW33" s="99"/>
      <c r="AX33" s="99"/>
      <c r="AY33" s="93"/>
      <c r="AZ33" s="96" t="str">
        <f t="shared" si="3"/>
        <v>n</v>
      </c>
      <c r="BA33" s="96" t="str">
        <f>IF(AZ33="n","n",VLOOKUP(AZ33,'Conversion factors'!$C$4:$D$24,2,FALSE))</f>
        <v>n</v>
      </c>
      <c r="BB33" s="96" t="str">
        <f t="shared" si="5"/>
        <v>n</v>
      </c>
      <c r="BC33" s="97"/>
      <c r="BD33" s="96" t="str">
        <f t="shared" si="4"/>
        <v>n</v>
      </c>
      <c r="BE33" s="96" t="str">
        <f t="shared" si="6"/>
        <v>n</v>
      </c>
      <c r="BF33" s="98" t="str">
        <f t="shared" si="7"/>
        <v/>
      </c>
      <c r="BG33" s="96" t="str">
        <f>IF(BF33="","",IF(ISNUMBER(VLOOKUP(BF33,'Conversion factors'!$B$35:$C$52,2,FALSE)),"y","n"))</f>
        <v/>
      </c>
      <c r="BH33" s="99"/>
      <c r="BI33" s="100"/>
      <c r="BJ33" s="100"/>
    </row>
    <row r="34" spans="1:62" ht="15.75" customHeight="1" x14ac:dyDescent="0.2">
      <c r="A34" s="18"/>
      <c r="B34" s="19">
        <v>312</v>
      </c>
      <c r="D34" s="36">
        <v>117667</v>
      </c>
      <c r="E34" s="93" t="s">
        <v>1224</v>
      </c>
      <c r="F34" s="93">
        <v>2009</v>
      </c>
      <c r="G34" s="19" t="s">
        <v>1081</v>
      </c>
      <c r="H34" s="19"/>
      <c r="I34" s="19" t="s">
        <v>41</v>
      </c>
      <c r="J34" s="19" t="s">
        <v>1082</v>
      </c>
      <c r="K34" s="19" t="s">
        <v>161</v>
      </c>
      <c r="L34" s="19" t="s">
        <v>167</v>
      </c>
      <c r="M34" s="19" t="s">
        <v>167</v>
      </c>
      <c r="N34" s="19" t="s">
        <v>66</v>
      </c>
      <c r="O34" s="19" t="s">
        <v>505</v>
      </c>
      <c r="P34" s="19" t="s">
        <v>162</v>
      </c>
      <c r="Q34" s="19"/>
      <c r="R34" s="19" t="s">
        <v>237</v>
      </c>
      <c r="S34" s="19" t="s">
        <v>414</v>
      </c>
      <c r="T34" s="19" t="s">
        <v>54</v>
      </c>
      <c r="U34" s="19" t="s">
        <v>54</v>
      </c>
      <c r="V34" s="93" t="s">
        <v>85</v>
      </c>
      <c r="W34" s="93" t="s">
        <v>45</v>
      </c>
      <c r="X34" s="19" t="s">
        <v>46</v>
      </c>
      <c r="Y34" s="29"/>
      <c r="Z34" s="93"/>
      <c r="AA34" s="93"/>
      <c r="AB34" s="93" t="s">
        <v>902</v>
      </c>
      <c r="AC34" s="19" t="s">
        <v>1322</v>
      </c>
      <c r="AD34" s="93"/>
      <c r="AE34" s="19"/>
      <c r="AF34" s="19"/>
      <c r="AG34" s="19" t="s">
        <v>235</v>
      </c>
      <c r="AH34" s="19"/>
      <c r="AI34" s="19"/>
      <c r="AJ34" s="19" t="s">
        <v>1503</v>
      </c>
      <c r="AK34" s="19" t="s">
        <v>234</v>
      </c>
      <c r="AL34" s="19"/>
      <c r="AM34" s="19" t="s">
        <v>234</v>
      </c>
      <c r="AN34" s="19" t="s">
        <v>234</v>
      </c>
      <c r="AO34" s="19" t="s">
        <v>235</v>
      </c>
      <c r="AP34" s="94"/>
      <c r="AQ34" s="19" t="s">
        <v>97</v>
      </c>
      <c r="AR34" s="19" t="s">
        <v>241</v>
      </c>
      <c r="AS34" s="19"/>
      <c r="AT34" s="65" t="str">
        <f t="shared" si="0"/>
        <v>N</v>
      </c>
      <c r="AU34" s="65" t="str">
        <f t="shared" si="1"/>
        <v>N</v>
      </c>
      <c r="AV34" s="65" t="str">
        <f t="shared" si="9"/>
        <v>N</v>
      </c>
      <c r="AW34" s="99"/>
      <c r="AX34" s="99"/>
      <c r="AY34" s="93"/>
      <c r="AZ34" s="96" t="str">
        <f t="shared" si="3"/>
        <v>n</v>
      </c>
      <c r="BA34" s="96" t="str">
        <f>IF(AZ34="n","n",VLOOKUP(AZ34,'Conversion factors'!$C$4:$D$24,2,FALSE))</f>
        <v>n</v>
      </c>
      <c r="BB34" s="96" t="str">
        <f t="shared" si="5"/>
        <v>n</v>
      </c>
      <c r="BC34" s="97"/>
      <c r="BD34" s="96" t="str">
        <f t="shared" si="4"/>
        <v>n</v>
      </c>
      <c r="BE34" s="96" t="str">
        <f t="shared" si="6"/>
        <v>n</v>
      </c>
      <c r="BF34" s="98" t="str">
        <f t="shared" si="7"/>
        <v/>
      </c>
      <c r="BG34" s="96" t="str">
        <f>IF(BF34="","",IF(ISNUMBER(VLOOKUP(BF34,'Conversion factors'!$B$35:$C$52,2,FALSE)),"y","n"))</f>
        <v/>
      </c>
      <c r="BH34" s="99"/>
      <c r="BI34" s="100"/>
      <c r="BJ34" s="100"/>
    </row>
    <row r="35" spans="1:62" ht="15.75" customHeight="1" x14ac:dyDescent="0.2">
      <c r="A35" s="18"/>
      <c r="B35" s="19">
        <v>312</v>
      </c>
      <c r="D35" s="36">
        <v>117667</v>
      </c>
      <c r="E35" s="93" t="s">
        <v>1224</v>
      </c>
      <c r="F35" s="93">
        <v>2009</v>
      </c>
      <c r="G35" s="19" t="s">
        <v>1081</v>
      </c>
      <c r="H35" s="19"/>
      <c r="I35" s="19" t="s">
        <v>41</v>
      </c>
      <c r="J35" s="19" t="s">
        <v>1082</v>
      </c>
      <c r="K35" s="19" t="s">
        <v>161</v>
      </c>
      <c r="L35" s="19" t="s">
        <v>167</v>
      </c>
      <c r="M35" s="19" t="s">
        <v>167</v>
      </c>
      <c r="N35" s="19" t="s">
        <v>66</v>
      </c>
      <c r="O35" s="19" t="s">
        <v>505</v>
      </c>
      <c r="P35" s="19" t="s">
        <v>162</v>
      </c>
      <c r="Q35" s="19"/>
      <c r="R35" s="19" t="s">
        <v>237</v>
      </c>
      <c r="S35" s="19" t="s">
        <v>79</v>
      </c>
      <c r="T35" s="19" t="s">
        <v>174</v>
      </c>
      <c r="U35" s="19" t="s">
        <v>49</v>
      </c>
      <c r="V35" s="93" t="s">
        <v>253</v>
      </c>
      <c r="W35" s="93" t="s">
        <v>45</v>
      </c>
      <c r="X35" s="19" t="s">
        <v>46</v>
      </c>
      <c r="Y35" s="29"/>
      <c r="Z35" s="93"/>
      <c r="AA35" s="93"/>
      <c r="AB35" s="93" t="s">
        <v>1084</v>
      </c>
      <c r="AC35" s="19" t="s">
        <v>1322</v>
      </c>
      <c r="AD35" s="93"/>
      <c r="AE35" s="19"/>
      <c r="AF35" s="19"/>
      <c r="AG35" s="19" t="s">
        <v>235</v>
      </c>
      <c r="AH35" s="19"/>
      <c r="AI35" s="19"/>
      <c r="AJ35" s="19" t="s">
        <v>1503</v>
      </c>
      <c r="AK35" s="19" t="s">
        <v>234</v>
      </c>
      <c r="AL35" s="19"/>
      <c r="AM35" s="19" t="s">
        <v>234</v>
      </c>
      <c r="AN35" s="19" t="s">
        <v>234</v>
      </c>
      <c r="AO35" s="19" t="s">
        <v>235</v>
      </c>
      <c r="AP35" s="94"/>
      <c r="AQ35" s="19" t="s">
        <v>97</v>
      </c>
      <c r="AR35" s="19" t="s">
        <v>241</v>
      </c>
      <c r="AS35" s="19"/>
      <c r="AT35" s="65" t="str">
        <f t="shared" si="0"/>
        <v>N</v>
      </c>
      <c r="AU35" s="65" t="str">
        <f t="shared" si="1"/>
        <v>N</v>
      </c>
      <c r="AV35" s="65" t="str">
        <f t="shared" si="9"/>
        <v>N</v>
      </c>
      <c r="AW35" s="99"/>
      <c r="AX35" s="99"/>
      <c r="AY35" s="93"/>
      <c r="AZ35" s="96" t="str">
        <f t="shared" si="3"/>
        <v>n</v>
      </c>
      <c r="BA35" s="96" t="str">
        <f>IF(AZ35="n","n",VLOOKUP(AZ35,'Conversion factors'!$C$4:$D$24,2,FALSE))</f>
        <v>n</v>
      </c>
      <c r="BB35" s="96" t="str">
        <f t="shared" si="5"/>
        <v>n</v>
      </c>
      <c r="BC35" s="97"/>
      <c r="BD35" s="96" t="str">
        <f t="shared" si="4"/>
        <v>n</v>
      </c>
      <c r="BE35" s="96" t="str">
        <f t="shared" si="6"/>
        <v>n</v>
      </c>
      <c r="BF35" s="98" t="str">
        <f t="shared" si="7"/>
        <v/>
      </c>
      <c r="BG35" s="96" t="str">
        <f>IF(BF35="","",IF(ISNUMBER(VLOOKUP(BF35,'Conversion factors'!$B$35:$C$52,2,FALSE)),"y","n"))</f>
        <v/>
      </c>
      <c r="BH35" s="99"/>
      <c r="BI35" s="100"/>
      <c r="BJ35" s="100"/>
    </row>
    <row r="36" spans="1:62" ht="15.75" customHeight="1" x14ac:dyDescent="0.2">
      <c r="A36" s="18"/>
      <c r="B36" s="19">
        <v>312</v>
      </c>
      <c r="D36" s="36">
        <v>117667</v>
      </c>
      <c r="E36" s="93" t="s">
        <v>1224</v>
      </c>
      <c r="F36" s="93">
        <v>2009</v>
      </c>
      <c r="G36" s="19" t="s">
        <v>1081</v>
      </c>
      <c r="H36" s="19"/>
      <c r="I36" s="19" t="s">
        <v>41</v>
      </c>
      <c r="J36" s="19" t="s">
        <v>1082</v>
      </c>
      <c r="K36" s="19" t="s">
        <v>161</v>
      </c>
      <c r="L36" s="19" t="s">
        <v>167</v>
      </c>
      <c r="M36" s="19" t="s">
        <v>167</v>
      </c>
      <c r="N36" s="19" t="s">
        <v>66</v>
      </c>
      <c r="O36" s="19" t="s">
        <v>505</v>
      </c>
      <c r="P36" s="19" t="s">
        <v>162</v>
      </c>
      <c r="Q36" s="19"/>
      <c r="R36" s="19" t="s">
        <v>237</v>
      </c>
      <c r="S36" s="19" t="s">
        <v>79</v>
      </c>
      <c r="T36" s="19" t="s">
        <v>56</v>
      </c>
      <c r="U36" s="19" t="s">
        <v>44</v>
      </c>
      <c r="V36" s="93" t="s">
        <v>253</v>
      </c>
      <c r="W36" s="93" t="s">
        <v>45</v>
      </c>
      <c r="X36" s="19" t="s">
        <v>46</v>
      </c>
      <c r="Y36" s="29"/>
      <c r="Z36" s="93"/>
      <c r="AA36" s="93"/>
      <c r="AB36" s="93" t="s">
        <v>1086</v>
      </c>
      <c r="AC36" s="19" t="s">
        <v>1322</v>
      </c>
      <c r="AD36" s="93"/>
      <c r="AE36" s="19"/>
      <c r="AF36" s="19"/>
      <c r="AG36" s="19" t="s">
        <v>235</v>
      </c>
      <c r="AH36" s="19"/>
      <c r="AI36" s="19"/>
      <c r="AJ36" s="19" t="s">
        <v>1503</v>
      </c>
      <c r="AK36" s="19" t="s">
        <v>234</v>
      </c>
      <c r="AL36" s="19"/>
      <c r="AM36" s="19" t="s">
        <v>234</v>
      </c>
      <c r="AN36" s="19" t="s">
        <v>234</v>
      </c>
      <c r="AO36" s="19" t="s">
        <v>235</v>
      </c>
      <c r="AP36" s="94"/>
      <c r="AQ36" s="19" t="s">
        <v>97</v>
      </c>
      <c r="AR36" s="19" t="s">
        <v>241</v>
      </c>
      <c r="AS36" s="19"/>
      <c r="AT36" s="65" t="str">
        <f t="shared" si="0"/>
        <v>N</v>
      </c>
      <c r="AU36" s="65" t="str">
        <f t="shared" si="1"/>
        <v>N</v>
      </c>
      <c r="AV36" s="65" t="str">
        <f t="shared" si="9"/>
        <v>N</v>
      </c>
      <c r="AW36" s="99"/>
      <c r="AX36" s="99"/>
      <c r="AY36" s="93"/>
      <c r="AZ36" s="96" t="str">
        <f t="shared" si="3"/>
        <v>n</v>
      </c>
      <c r="BA36" s="96" t="str">
        <f>IF(AZ36="n","n",VLOOKUP(AZ36,'Conversion factors'!$C$4:$D$24,2,FALSE))</f>
        <v>n</v>
      </c>
      <c r="BB36" s="96" t="str">
        <f t="shared" si="5"/>
        <v>n</v>
      </c>
      <c r="BC36" s="97"/>
      <c r="BD36" s="96" t="str">
        <f t="shared" si="4"/>
        <v>n</v>
      </c>
      <c r="BE36" s="96" t="str">
        <f t="shared" si="6"/>
        <v>n</v>
      </c>
      <c r="BF36" s="98" t="str">
        <f t="shared" si="7"/>
        <v/>
      </c>
      <c r="BG36" s="96" t="str">
        <f>IF(BF36="","",IF(ISNUMBER(VLOOKUP(BF36,'Conversion factors'!$B$35:$C$52,2,FALSE)),"y","n"))</f>
        <v/>
      </c>
      <c r="BH36" s="99"/>
      <c r="BI36" s="100"/>
      <c r="BJ36" s="100"/>
    </row>
    <row r="37" spans="1:62" ht="15.75" customHeight="1" x14ac:dyDescent="0.2">
      <c r="A37" s="18"/>
      <c r="B37" s="19">
        <v>312</v>
      </c>
      <c r="D37" s="36">
        <v>117667</v>
      </c>
      <c r="E37" s="93" t="s">
        <v>1224</v>
      </c>
      <c r="F37" s="93">
        <v>2009</v>
      </c>
      <c r="G37" s="19" t="s">
        <v>1081</v>
      </c>
      <c r="H37" s="19"/>
      <c r="I37" s="19" t="s">
        <v>41</v>
      </c>
      <c r="J37" s="19" t="s">
        <v>1082</v>
      </c>
      <c r="K37" s="19" t="s">
        <v>161</v>
      </c>
      <c r="L37" s="19" t="s">
        <v>167</v>
      </c>
      <c r="M37" s="19" t="s">
        <v>167</v>
      </c>
      <c r="N37" s="19" t="s">
        <v>66</v>
      </c>
      <c r="O37" s="19" t="s">
        <v>505</v>
      </c>
      <c r="P37" s="19" t="s">
        <v>162</v>
      </c>
      <c r="Q37" s="19"/>
      <c r="R37" s="19" t="s">
        <v>237</v>
      </c>
      <c r="S37" s="19" t="s">
        <v>79</v>
      </c>
      <c r="T37" s="19" t="s">
        <v>1089</v>
      </c>
      <c r="U37" s="19" t="s">
        <v>1089</v>
      </c>
      <c r="V37" s="93" t="s">
        <v>253</v>
      </c>
      <c r="W37" s="93" t="s">
        <v>45</v>
      </c>
      <c r="X37" s="19" t="s">
        <v>46</v>
      </c>
      <c r="Y37" s="29"/>
      <c r="Z37" s="93"/>
      <c r="AA37" s="93"/>
      <c r="AB37" s="93" t="s">
        <v>1091</v>
      </c>
      <c r="AC37" s="19" t="s">
        <v>1322</v>
      </c>
      <c r="AD37" s="93"/>
      <c r="AE37" s="19"/>
      <c r="AF37" s="19"/>
      <c r="AG37" s="19" t="s">
        <v>235</v>
      </c>
      <c r="AH37" s="19"/>
      <c r="AI37" s="19"/>
      <c r="AJ37" s="19" t="s">
        <v>1503</v>
      </c>
      <c r="AK37" s="19" t="s">
        <v>234</v>
      </c>
      <c r="AL37" s="19"/>
      <c r="AM37" s="19" t="s">
        <v>234</v>
      </c>
      <c r="AN37" s="19" t="s">
        <v>234</v>
      </c>
      <c r="AO37" s="19" t="s">
        <v>235</v>
      </c>
      <c r="AP37" s="94"/>
      <c r="AQ37" s="19" t="s">
        <v>97</v>
      </c>
      <c r="AR37" s="19" t="s">
        <v>241</v>
      </c>
      <c r="AS37" s="19"/>
      <c r="AT37" s="65" t="str">
        <f t="shared" si="0"/>
        <v>N</v>
      </c>
      <c r="AU37" s="65" t="str">
        <f t="shared" si="1"/>
        <v>N</v>
      </c>
      <c r="AV37" s="65" t="str">
        <f t="shared" si="9"/>
        <v>N</v>
      </c>
      <c r="AW37" s="99"/>
      <c r="AX37" s="99"/>
      <c r="AY37" s="93"/>
      <c r="AZ37" s="96" t="str">
        <f t="shared" si="3"/>
        <v>n</v>
      </c>
      <c r="BA37" s="96" t="str">
        <f>IF(AZ37="n","n",VLOOKUP(AZ37,'Conversion factors'!$C$4:$D$24,2,FALSE))</f>
        <v>n</v>
      </c>
      <c r="BB37" s="96" t="str">
        <f t="shared" si="5"/>
        <v>n</v>
      </c>
      <c r="BC37" s="97"/>
      <c r="BD37" s="96" t="str">
        <f t="shared" si="4"/>
        <v>n</v>
      </c>
      <c r="BE37" s="96" t="str">
        <f t="shared" si="6"/>
        <v>n</v>
      </c>
      <c r="BF37" s="98" t="str">
        <f t="shared" si="7"/>
        <v/>
      </c>
      <c r="BG37" s="96" t="str">
        <f>IF(BF37="","",IF(ISNUMBER(VLOOKUP(BF37,'Conversion factors'!$B$35:$C$52,2,FALSE)),"y","n"))</f>
        <v/>
      </c>
      <c r="BH37" s="99"/>
      <c r="BI37" s="100"/>
      <c r="BJ37" s="100"/>
    </row>
    <row r="38" spans="1:62" ht="15.75" customHeight="1" x14ac:dyDescent="0.2">
      <c r="A38" s="18"/>
      <c r="B38" s="19">
        <v>312</v>
      </c>
      <c r="D38" s="36">
        <v>117667</v>
      </c>
      <c r="E38" s="93" t="s">
        <v>1224</v>
      </c>
      <c r="F38" s="93">
        <v>2009</v>
      </c>
      <c r="G38" s="19" t="s">
        <v>1081</v>
      </c>
      <c r="H38" s="19"/>
      <c r="I38" s="19" t="s">
        <v>41</v>
      </c>
      <c r="J38" s="19" t="s">
        <v>1082</v>
      </c>
      <c r="K38" s="19" t="s">
        <v>161</v>
      </c>
      <c r="L38" s="19" t="s">
        <v>167</v>
      </c>
      <c r="M38" s="19" t="s">
        <v>167</v>
      </c>
      <c r="N38" s="19" t="s">
        <v>66</v>
      </c>
      <c r="O38" s="19" t="s">
        <v>505</v>
      </c>
      <c r="P38" s="19" t="s">
        <v>162</v>
      </c>
      <c r="Q38" s="19"/>
      <c r="R38" s="19" t="s">
        <v>237</v>
      </c>
      <c r="S38" s="19" t="s">
        <v>414</v>
      </c>
      <c r="T38" s="19" t="s">
        <v>54</v>
      </c>
      <c r="U38" s="19" t="s">
        <v>54</v>
      </c>
      <c r="V38" s="93" t="s">
        <v>253</v>
      </c>
      <c r="W38" s="93" t="s">
        <v>45</v>
      </c>
      <c r="X38" s="19" t="s">
        <v>46</v>
      </c>
      <c r="Y38" s="29"/>
      <c r="Z38" s="93"/>
      <c r="AA38" s="93"/>
      <c r="AB38" s="93" t="s">
        <v>902</v>
      </c>
      <c r="AC38" s="19" t="s">
        <v>1322</v>
      </c>
      <c r="AD38" s="93"/>
      <c r="AE38" s="19"/>
      <c r="AF38" s="19"/>
      <c r="AG38" s="19" t="s">
        <v>235</v>
      </c>
      <c r="AH38" s="19"/>
      <c r="AI38" s="19"/>
      <c r="AJ38" s="19" t="s">
        <v>1503</v>
      </c>
      <c r="AK38" s="19" t="s">
        <v>234</v>
      </c>
      <c r="AL38" s="19"/>
      <c r="AM38" s="19" t="s">
        <v>234</v>
      </c>
      <c r="AN38" s="19" t="s">
        <v>234</v>
      </c>
      <c r="AO38" s="19" t="s">
        <v>235</v>
      </c>
      <c r="AP38" s="94"/>
      <c r="AQ38" s="19" t="s">
        <v>97</v>
      </c>
      <c r="AR38" s="19" t="s">
        <v>241</v>
      </c>
      <c r="AS38" s="19"/>
      <c r="AT38" s="65" t="str">
        <f t="shared" si="0"/>
        <v>N</v>
      </c>
      <c r="AU38" s="65" t="str">
        <f t="shared" si="1"/>
        <v>N</v>
      </c>
      <c r="AV38" s="65" t="str">
        <f t="shared" si="9"/>
        <v>N</v>
      </c>
      <c r="AW38" s="99"/>
      <c r="AX38" s="99"/>
      <c r="AY38" s="93"/>
      <c r="AZ38" s="96" t="str">
        <f t="shared" si="3"/>
        <v>n</v>
      </c>
      <c r="BA38" s="96" t="str">
        <f>IF(AZ38="n","n",VLOOKUP(AZ38,'Conversion factors'!$C$4:$D$24,2,FALSE))</f>
        <v>n</v>
      </c>
      <c r="BB38" s="96" t="str">
        <f t="shared" si="5"/>
        <v>n</v>
      </c>
      <c r="BC38" s="97"/>
      <c r="BD38" s="96" t="str">
        <f t="shared" si="4"/>
        <v>n</v>
      </c>
      <c r="BE38" s="96" t="str">
        <f t="shared" si="6"/>
        <v>n</v>
      </c>
      <c r="BF38" s="98" t="str">
        <f t="shared" si="7"/>
        <v/>
      </c>
      <c r="BG38" s="96" t="str">
        <f>IF(BF38="","",IF(ISNUMBER(VLOOKUP(BF38,'Conversion factors'!$B$35:$C$52,2,FALSE)),"y","n"))</f>
        <v/>
      </c>
      <c r="BH38" s="99"/>
      <c r="BI38" s="100"/>
      <c r="BJ38" s="100"/>
    </row>
    <row r="39" spans="1:62" ht="15.75" customHeight="1" x14ac:dyDescent="0.2">
      <c r="A39" s="18"/>
      <c r="B39" s="19">
        <v>312</v>
      </c>
      <c r="D39" s="36">
        <v>117667</v>
      </c>
      <c r="E39" s="93" t="s">
        <v>1224</v>
      </c>
      <c r="F39" s="93">
        <v>2009</v>
      </c>
      <c r="G39" s="19" t="s">
        <v>1081</v>
      </c>
      <c r="H39" s="19"/>
      <c r="I39" s="19" t="s">
        <v>41</v>
      </c>
      <c r="J39" s="19" t="s">
        <v>1082</v>
      </c>
      <c r="K39" s="19" t="s">
        <v>161</v>
      </c>
      <c r="L39" s="19" t="s">
        <v>167</v>
      </c>
      <c r="M39" s="19" t="s">
        <v>167</v>
      </c>
      <c r="N39" s="19" t="s">
        <v>66</v>
      </c>
      <c r="O39" s="19" t="s">
        <v>505</v>
      </c>
      <c r="P39" s="19" t="s">
        <v>162</v>
      </c>
      <c r="Q39" s="19"/>
      <c r="R39" s="19" t="s">
        <v>237</v>
      </c>
      <c r="S39" s="19" t="s">
        <v>79</v>
      </c>
      <c r="T39" s="19" t="s">
        <v>174</v>
      </c>
      <c r="U39" s="19" t="s">
        <v>49</v>
      </c>
      <c r="V39" s="93" t="s">
        <v>1057</v>
      </c>
      <c r="W39" s="93" t="s">
        <v>45</v>
      </c>
      <c r="X39" s="19" t="s">
        <v>46</v>
      </c>
      <c r="Y39" s="29"/>
      <c r="Z39" s="93"/>
      <c r="AA39" s="93"/>
      <c r="AB39" s="93" t="s">
        <v>1085</v>
      </c>
      <c r="AC39" s="19" t="s">
        <v>1322</v>
      </c>
      <c r="AD39" s="93"/>
      <c r="AE39" s="19"/>
      <c r="AF39" s="19"/>
      <c r="AG39" s="19" t="s">
        <v>235</v>
      </c>
      <c r="AH39" s="19"/>
      <c r="AI39" s="19"/>
      <c r="AJ39" s="19" t="s">
        <v>1503</v>
      </c>
      <c r="AK39" s="19" t="s">
        <v>234</v>
      </c>
      <c r="AL39" s="19"/>
      <c r="AM39" s="19" t="s">
        <v>234</v>
      </c>
      <c r="AN39" s="19" t="s">
        <v>234</v>
      </c>
      <c r="AO39" s="19" t="s">
        <v>235</v>
      </c>
      <c r="AP39" s="94"/>
      <c r="AQ39" s="19" t="s">
        <v>97</v>
      </c>
      <c r="AR39" s="19" t="s">
        <v>241</v>
      </c>
      <c r="AS39" s="19"/>
      <c r="AT39" s="65" t="str">
        <f t="shared" si="0"/>
        <v>N</v>
      </c>
      <c r="AU39" s="65" t="str">
        <f t="shared" si="1"/>
        <v>N</v>
      </c>
      <c r="AV39" s="65" t="str">
        <f t="shared" si="9"/>
        <v>N</v>
      </c>
      <c r="AW39" s="99"/>
      <c r="AX39" s="99"/>
      <c r="AY39" s="93"/>
      <c r="AZ39" s="96" t="str">
        <f t="shared" si="3"/>
        <v>n</v>
      </c>
      <c r="BA39" s="96" t="str">
        <f>IF(AZ39="n","n",VLOOKUP(AZ39,'Conversion factors'!$C$4:$D$24,2,FALSE))</f>
        <v>n</v>
      </c>
      <c r="BB39" s="96" t="str">
        <f t="shared" si="5"/>
        <v>n</v>
      </c>
      <c r="BC39" s="97"/>
      <c r="BD39" s="96" t="str">
        <f t="shared" si="4"/>
        <v>n</v>
      </c>
      <c r="BE39" s="96" t="str">
        <f t="shared" si="6"/>
        <v>n</v>
      </c>
      <c r="BF39" s="98" t="str">
        <f t="shared" si="7"/>
        <v/>
      </c>
      <c r="BG39" s="96" t="str">
        <f>IF(BF39="","",IF(ISNUMBER(VLOOKUP(BF39,'Conversion factors'!$B$35:$C$52,2,FALSE)),"y","n"))</f>
        <v/>
      </c>
      <c r="BH39" s="99"/>
      <c r="BI39" s="100"/>
      <c r="BJ39" s="100"/>
    </row>
    <row r="40" spans="1:62" ht="15.75" customHeight="1" x14ac:dyDescent="0.2">
      <c r="A40" s="18"/>
      <c r="B40" s="19">
        <v>312</v>
      </c>
      <c r="D40" s="36">
        <v>117667</v>
      </c>
      <c r="E40" s="93" t="s">
        <v>1224</v>
      </c>
      <c r="F40" s="93">
        <v>2009</v>
      </c>
      <c r="G40" s="19" t="s">
        <v>1081</v>
      </c>
      <c r="H40" s="19"/>
      <c r="I40" s="19" t="s">
        <v>41</v>
      </c>
      <c r="J40" s="19" t="s">
        <v>1082</v>
      </c>
      <c r="K40" s="19" t="s">
        <v>161</v>
      </c>
      <c r="L40" s="19" t="s">
        <v>167</v>
      </c>
      <c r="M40" s="19" t="s">
        <v>167</v>
      </c>
      <c r="N40" s="19" t="s">
        <v>66</v>
      </c>
      <c r="O40" s="19" t="s">
        <v>505</v>
      </c>
      <c r="P40" s="19" t="s">
        <v>162</v>
      </c>
      <c r="Q40" s="19"/>
      <c r="R40" s="19" t="s">
        <v>237</v>
      </c>
      <c r="S40" s="19" t="s">
        <v>79</v>
      </c>
      <c r="T40" s="19" t="s">
        <v>56</v>
      </c>
      <c r="U40" s="19" t="s">
        <v>44</v>
      </c>
      <c r="V40" s="93" t="s">
        <v>1057</v>
      </c>
      <c r="W40" s="93" t="s">
        <v>45</v>
      </c>
      <c r="X40" s="19" t="s">
        <v>46</v>
      </c>
      <c r="Y40" s="29"/>
      <c r="Z40" s="93"/>
      <c r="AA40" s="93"/>
      <c r="AB40" s="93" t="s">
        <v>682</v>
      </c>
      <c r="AC40" s="19" t="s">
        <v>1322</v>
      </c>
      <c r="AD40" s="93"/>
      <c r="AE40" s="19"/>
      <c r="AF40" s="19"/>
      <c r="AG40" s="19" t="s">
        <v>235</v>
      </c>
      <c r="AH40" s="19"/>
      <c r="AI40" s="19"/>
      <c r="AJ40" s="19" t="s">
        <v>1503</v>
      </c>
      <c r="AK40" s="19" t="s">
        <v>234</v>
      </c>
      <c r="AL40" s="19"/>
      <c r="AM40" s="19" t="s">
        <v>234</v>
      </c>
      <c r="AN40" s="19" t="s">
        <v>234</v>
      </c>
      <c r="AO40" s="19" t="s">
        <v>235</v>
      </c>
      <c r="AP40" s="94"/>
      <c r="AQ40" s="19" t="s">
        <v>97</v>
      </c>
      <c r="AR40" s="19" t="s">
        <v>241</v>
      </c>
      <c r="AS40" s="19"/>
      <c r="AT40" s="65" t="str">
        <f t="shared" si="0"/>
        <v>N</v>
      </c>
      <c r="AU40" s="65" t="str">
        <f t="shared" si="1"/>
        <v>N</v>
      </c>
      <c r="AV40" s="65" t="str">
        <f t="shared" si="9"/>
        <v>N</v>
      </c>
      <c r="AW40" s="99"/>
      <c r="AX40" s="99"/>
      <c r="AY40" s="93"/>
      <c r="AZ40" s="96" t="str">
        <f t="shared" si="3"/>
        <v>n</v>
      </c>
      <c r="BA40" s="96" t="str">
        <f>IF(AZ40="n","n",VLOOKUP(AZ40,'Conversion factors'!$C$4:$D$24,2,FALSE))</f>
        <v>n</v>
      </c>
      <c r="BB40" s="96" t="str">
        <f t="shared" si="5"/>
        <v>n</v>
      </c>
      <c r="BC40" s="97"/>
      <c r="BD40" s="96" t="str">
        <f t="shared" si="4"/>
        <v>n</v>
      </c>
      <c r="BE40" s="96" t="str">
        <f t="shared" si="6"/>
        <v>n</v>
      </c>
      <c r="BF40" s="98" t="str">
        <f t="shared" si="7"/>
        <v/>
      </c>
      <c r="BG40" s="96" t="str">
        <f>IF(BF40="","",IF(ISNUMBER(VLOOKUP(BF40,'Conversion factors'!$B$35:$C$52,2,FALSE)),"y","n"))</f>
        <v/>
      </c>
      <c r="BH40" s="99"/>
      <c r="BI40" s="100"/>
      <c r="BJ40" s="100"/>
    </row>
    <row r="41" spans="1:62" ht="15.75" customHeight="1" x14ac:dyDescent="0.2">
      <c r="A41" s="18"/>
      <c r="B41" s="19">
        <v>312</v>
      </c>
      <c r="D41" s="36">
        <v>117667</v>
      </c>
      <c r="E41" s="93" t="s">
        <v>1224</v>
      </c>
      <c r="F41" s="93">
        <v>2009</v>
      </c>
      <c r="G41" s="19" t="s">
        <v>1081</v>
      </c>
      <c r="H41" s="19"/>
      <c r="I41" s="19" t="s">
        <v>41</v>
      </c>
      <c r="J41" s="19" t="s">
        <v>1082</v>
      </c>
      <c r="K41" s="19" t="s">
        <v>161</v>
      </c>
      <c r="L41" s="19" t="s">
        <v>167</v>
      </c>
      <c r="M41" s="19" t="s">
        <v>167</v>
      </c>
      <c r="N41" s="19" t="s">
        <v>66</v>
      </c>
      <c r="O41" s="19" t="s">
        <v>505</v>
      </c>
      <c r="P41" s="19" t="s">
        <v>162</v>
      </c>
      <c r="Q41" s="19"/>
      <c r="R41" s="19" t="s">
        <v>237</v>
      </c>
      <c r="S41" s="19" t="s">
        <v>79</v>
      </c>
      <c r="T41" s="19" t="s">
        <v>1089</v>
      </c>
      <c r="U41" s="19" t="s">
        <v>1089</v>
      </c>
      <c r="V41" s="93" t="s">
        <v>1057</v>
      </c>
      <c r="W41" s="93" t="s">
        <v>45</v>
      </c>
      <c r="X41" s="19" t="s">
        <v>46</v>
      </c>
      <c r="Y41" s="29"/>
      <c r="Z41" s="93"/>
      <c r="AA41" s="93"/>
      <c r="AB41" s="93" t="s">
        <v>1092</v>
      </c>
      <c r="AC41" s="19" t="s">
        <v>1322</v>
      </c>
      <c r="AD41" s="93"/>
      <c r="AE41" s="19"/>
      <c r="AF41" s="19"/>
      <c r="AG41" s="19" t="s">
        <v>235</v>
      </c>
      <c r="AH41" s="19"/>
      <c r="AI41" s="19"/>
      <c r="AJ41" s="19" t="s">
        <v>1503</v>
      </c>
      <c r="AK41" s="19" t="s">
        <v>234</v>
      </c>
      <c r="AL41" s="19"/>
      <c r="AM41" s="19" t="s">
        <v>234</v>
      </c>
      <c r="AN41" s="19" t="s">
        <v>234</v>
      </c>
      <c r="AO41" s="19" t="s">
        <v>235</v>
      </c>
      <c r="AP41" s="94"/>
      <c r="AQ41" s="19" t="s">
        <v>97</v>
      </c>
      <c r="AR41" s="19" t="s">
        <v>241</v>
      </c>
      <c r="AS41" s="19"/>
      <c r="AT41" s="65" t="str">
        <f t="shared" si="0"/>
        <v>N</v>
      </c>
      <c r="AU41" s="65" t="str">
        <f t="shared" si="1"/>
        <v>N</v>
      </c>
      <c r="AV41" s="65" t="str">
        <f t="shared" si="9"/>
        <v>N</v>
      </c>
      <c r="AW41" s="99"/>
      <c r="AX41" s="99"/>
      <c r="AY41" s="93"/>
      <c r="AZ41" s="96" t="str">
        <f t="shared" si="3"/>
        <v>n</v>
      </c>
      <c r="BA41" s="96" t="str">
        <f>IF(AZ41="n","n",VLOOKUP(AZ41,'Conversion factors'!$C$4:$D$24,2,FALSE))</f>
        <v>n</v>
      </c>
      <c r="BB41" s="96" t="str">
        <f t="shared" si="5"/>
        <v>n</v>
      </c>
      <c r="BC41" s="97"/>
      <c r="BD41" s="96" t="str">
        <f t="shared" si="4"/>
        <v>n</v>
      </c>
      <c r="BE41" s="96" t="str">
        <f t="shared" si="6"/>
        <v>n</v>
      </c>
      <c r="BF41" s="98" t="str">
        <f t="shared" si="7"/>
        <v/>
      </c>
      <c r="BG41" s="96" t="str">
        <f>IF(BF41="","",IF(ISNUMBER(VLOOKUP(BF41,'Conversion factors'!$B$35:$C$52,2,FALSE)),"y","n"))</f>
        <v/>
      </c>
      <c r="BH41" s="99"/>
      <c r="BI41" s="100"/>
      <c r="BJ41" s="100"/>
    </row>
    <row r="42" spans="1:62" ht="15.75" customHeight="1" x14ac:dyDescent="0.2">
      <c r="A42" s="18"/>
      <c r="B42" s="19">
        <v>312</v>
      </c>
      <c r="D42" s="36">
        <v>117667</v>
      </c>
      <c r="E42" s="93" t="s">
        <v>1224</v>
      </c>
      <c r="F42" s="93">
        <v>2009</v>
      </c>
      <c r="G42" s="19" t="s">
        <v>1081</v>
      </c>
      <c r="H42" s="19"/>
      <c r="I42" s="19" t="s">
        <v>41</v>
      </c>
      <c r="J42" s="19" t="s">
        <v>1082</v>
      </c>
      <c r="K42" s="19" t="s">
        <v>161</v>
      </c>
      <c r="L42" s="19" t="s">
        <v>167</v>
      </c>
      <c r="M42" s="19" t="s">
        <v>167</v>
      </c>
      <c r="N42" s="19" t="s">
        <v>66</v>
      </c>
      <c r="O42" s="19" t="s">
        <v>505</v>
      </c>
      <c r="P42" s="19" t="s">
        <v>162</v>
      </c>
      <c r="Q42" s="19"/>
      <c r="R42" s="19" t="s">
        <v>237</v>
      </c>
      <c r="S42" s="19" t="s">
        <v>79</v>
      </c>
      <c r="T42" s="19" t="s">
        <v>174</v>
      </c>
      <c r="U42" s="19" t="s">
        <v>49</v>
      </c>
      <c r="V42" s="93" t="s">
        <v>94</v>
      </c>
      <c r="W42" s="93" t="s">
        <v>45</v>
      </c>
      <c r="X42" s="19" t="s">
        <v>46</v>
      </c>
      <c r="Y42" s="29"/>
      <c r="Z42" s="93"/>
      <c r="AA42" s="93"/>
      <c r="AB42" s="93" t="s">
        <v>413</v>
      </c>
      <c r="AC42" s="19" t="s">
        <v>1322</v>
      </c>
      <c r="AD42" s="93"/>
      <c r="AE42" s="19"/>
      <c r="AF42" s="19"/>
      <c r="AG42" s="19" t="s">
        <v>235</v>
      </c>
      <c r="AH42" s="19"/>
      <c r="AI42" s="19"/>
      <c r="AJ42" s="19" t="s">
        <v>1503</v>
      </c>
      <c r="AK42" s="19" t="s">
        <v>234</v>
      </c>
      <c r="AL42" s="19"/>
      <c r="AM42" s="19" t="s">
        <v>234</v>
      </c>
      <c r="AN42" s="19" t="s">
        <v>234</v>
      </c>
      <c r="AO42" s="19" t="s">
        <v>235</v>
      </c>
      <c r="AP42" s="94"/>
      <c r="AQ42" s="19" t="s">
        <v>97</v>
      </c>
      <c r="AR42" s="19" t="s">
        <v>241</v>
      </c>
      <c r="AS42" s="19"/>
      <c r="AT42" s="65" t="str">
        <f t="shared" si="0"/>
        <v>N</v>
      </c>
      <c r="AU42" s="65" t="str">
        <f t="shared" si="1"/>
        <v>N</v>
      </c>
      <c r="AV42" s="65" t="str">
        <f t="shared" si="9"/>
        <v>N</v>
      </c>
      <c r="AW42" s="99"/>
      <c r="AX42" s="99"/>
      <c r="AY42" s="93"/>
      <c r="AZ42" s="96" t="str">
        <f t="shared" si="3"/>
        <v>n</v>
      </c>
      <c r="BA42" s="96" t="str">
        <f>IF(AZ42="n","n",VLOOKUP(AZ42,'Conversion factors'!$C$4:$D$24,2,FALSE))</f>
        <v>n</v>
      </c>
      <c r="BB42" s="96" t="str">
        <f t="shared" si="5"/>
        <v>n</v>
      </c>
      <c r="BC42" s="97"/>
      <c r="BD42" s="96" t="str">
        <f t="shared" si="4"/>
        <v>n</v>
      </c>
      <c r="BE42" s="96" t="str">
        <f t="shared" si="6"/>
        <v>n</v>
      </c>
      <c r="BF42" s="98" t="str">
        <f t="shared" si="7"/>
        <v/>
      </c>
      <c r="BG42" s="96" t="str">
        <f>IF(BF42="","",IF(ISNUMBER(VLOOKUP(BF42,'Conversion factors'!$B$35:$C$52,2,FALSE)),"y","n"))</f>
        <v/>
      </c>
      <c r="BH42" s="99"/>
      <c r="BI42" s="100"/>
      <c r="BJ42" s="100"/>
    </row>
    <row r="43" spans="1:62" ht="15.75" customHeight="1" x14ac:dyDescent="0.2">
      <c r="A43" s="18"/>
      <c r="B43" s="19">
        <v>312</v>
      </c>
      <c r="D43" s="36">
        <v>117667</v>
      </c>
      <c r="E43" s="93" t="s">
        <v>1224</v>
      </c>
      <c r="F43" s="93">
        <v>2009</v>
      </c>
      <c r="G43" s="19" t="s">
        <v>1081</v>
      </c>
      <c r="H43" s="19"/>
      <c r="I43" s="19" t="s">
        <v>41</v>
      </c>
      <c r="J43" s="19" t="s">
        <v>1082</v>
      </c>
      <c r="K43" s="19" t="s">
        <v>161</v>
      </c>
      <c r="L43" s="19" t="s">
        <v>167</v>
      </c>
      <c r="M43" s="19" t="s">
        <v>167</v>
      </c>
      <c r="N43" s="19" t="s">
        <v>66</v>
      </c>
      <c r="O43" s="19" t="s">
        <v>505</v>
      </c>
      <c r="P43" s="19" t="s">
        <v>162</v>
      </c>
      <c r="Q43" s="19"/>
      <c r="R43" s="19" t="s">
        <v>237</v>
      </c>
      <c r="S43" s="19" t="s">
        <v>79</v>
      </c>
      <c r="T43" s="19" t="s">
        <v>56</v>
      </c>
      <c r="U43" s="19" t="s">
        <v>44</v>
      </c>
      <c r="V43" s="93" t="s">
        <v>94</v>
      </c>
      <c r="W43" s="93" t="s">
        <v>45</v>
      </c>
      <c r="X43" s="19" t="s">
        <v>46</v>
      </c>
      <c r="Y43" s="29"/>
      <c r="Z43" s="93"/>
      <c r="AA43" s="93"/>
      <c r="AB43" s="93" t="s">
        <v>1088</v>
      </c>
      <c r="AC43" s="19" t="s">
        <v>1322</v>
      </c>
      <c r="AD43" s="93"/>
      <c r="AE43" s="19"/>
      <c r="AF43" s="19"/>
      <c r="AG43" s="19" t="s">
        <v>235</v>
      </c>
      <c r="AH43" s="19"/>
      <c r="AI43" s="19"/>
      <c r="AJ43" s="19" t="s">
        <v>1503</v>
      </c>
      <c r="AK43" s="19" t="s">
        <v>234</v>
      </c>
      <c r="AL43" s="19"/>
      <c r="AM43" s="19" t="s">
        <v>234</v>
      </c>
      <c r="AN43" s="19" t="s">
        <v>234</v>
      </c>
      <c r="AO43" s="19" t="s">
        <v>235</v>
      </c>
      <c r="AP43" s="94"/>
      <c r="AQ43" s="19" t="s">
        <v>97</v>
      </c>
      <c r="AR43" s="19" t="s">
        <v>241</v>
      </c>
      <c r="AS43" s="19"/>
      <c r="AT43" s="65" t="str">
        <f t="shared" si="0"/>
        <v>N</v>
      </c>
      <c r="AU43" s="65" t="str">
        <f t="shared" si="1"/>
        <v>N</v>
      </c>
      <c r="AV43" s="65" t="str">
        <f t="shared" si="9"/>
        <v>N</v>
      </c>
      <c r="AW43" s="99"/>
      <c r="AX43" s="99"/>
      <c r="AY43" s="93"/>
      <c r="AZ43" s="96" t="str">
        <f t="shared" si="3"/>
        <v>n</v>
      </c>
      <c r="BA43" s="96" t="str">
        <f>IF(AZ43="n","n",VLOOKUP(AZ43,'Conversion factors'!$C$4:$D$24,2,FALSE))</f>
        <v>n</v>
      </c>
      <c r="BB43" s="96" t="str">
        <f t="shared" si="5"/>
        <v>n</v>
      </c>
      <c r="BC43" s="97"/>
      <c r="BD43" s="96" t="str">
        <f t="shared" si="4"/>
        <v>n</v>
      </c>
      <c r="BE43" s="96" t="str">
        <f t="shared" si="6"/>
        <v>n</v>
      </c>
      <c r="BF43" s="98" t="str">
        <f t="shared" si="7"/>
        <v/>
      </c>
      <c r="BG43" s="96" t="str">
        <f>IF(BF43="","",IF(ISNUMBER(VLOOKUP(BF43,'Conversion factors'!$B$35:$C$52,2,FALSE)),"y","n"))</f>
        <v/>
      </c>
      <c r="BH43" s="99"/>
      <c r="BI43" s="100"/>
      <c r="BJ43" s="100"/>
    </row>
    <row r="44" spans="1:62" ht="15.75" customHeight="1" x14ac:dyDescent="0.2">
      <c r="A44" s="18"/>
      <c r="B44" s="19">
        <v>312</v>
      </c>
      <c r="D44" s="36">
        <v>117667</v>
      </c>
      <c r="E44" s="93" t="s">
        <v>1224</v>
      </c>
      <c r="F44" s="93">
        <v>2009</v>
      </c>
      <c r="G44" s="19" t="s">
        <v>1081</v>
      </c>
      <c r="H44" s="19"/>
      <c r="I44" s="19" t="s">
        <v>41</v>
      </c>
      <c r="J44" s="19" t="s">
        <v>1082</v>
      </c>
      <c r="K44" s="19" t="s">
        <v>161</v>
      </c>
      <c r="L44" s="19" t="s">
        <v>167</v>
      </c>
      <c r="M44" s="19" t="s">
        <v>167</v>
      </c>
      <c r="N44" s="19" t="s">
        <v>66</v>
      </c>
      <c r="O44" s="19" t="s">
        <v>505</v>
      </c>
      <c r="P44" s="19" t="s">
        <v>162</v>
      </c>
      <c r="Q44" s="19"/>
      <c r="R44" s="19" t="s">
        <v>237</v>
      </c>
      <c r="S44" s="19" t="s">
        <v>79</v>
      </c>
      <c r="T44" s="19" t="s">
        <v>1089</v>
      </c>
      <c r="U44" s="19" t="s">
        <v>1089</v>
      </c>
      <c r="V44" s="93" t="s">
        <v>94</v>
      </c>
      <c r="W44" s="93" t="s">
        <v>45</v>
      </c>
      <c r="X44" s="19" t="s">
        <v>46</v>
      </c>
      <c r="Y44" s="29"/>
      <c r="Z44" s="93"/>
      <c r="AA44" s="93"/>
      <c r="AB44" s="93" t="s">
        <v>734</v>
      </c>
      <c r="AC44" s="19" t="s">
        <v>1322</v>
      </c>
      <c r="AD44" s="93"/>
      <c r="AE44" s="19"/>
      <c r="AF44" s="19"/>
      <c r="AG44" s="19" t="s">
        <v>235</v>
      </c>
      <c r="AH44" s="19"/>
      <c r="AI44" s="19"/>
      <c r="AJ44" s="19" t="s">
        <v>1503</v>
      </c>
      <c r="AK44" s="19" t="s">
        <v>234</v>
      </c>
      <c r="AL44" s="19"/>
      <c r="AM44" s="19" t="s">
        <v>234</v>
      </c>
      <c r="AN44" s="19" t="s">
        <v>234</v>
      </c>
      <c r="AO44" s="19" t="s">
        <v>235</v>
      </c>
      <c r="AP44" s="94"/>
      <c r="AQ44" s="19" t="s">
        <v>97</v>
      </c>
      <c r="AR44" s="19" t="s">
        <v>241</v>
      </c>
      <c r="AS44" s="19"/>
      <c r="AT44" s="65" t="str">
        <f t="shared" si="0"/>
        <v>N</v>
      </c>
      <c r="AU44" s="65" t="str">
        <f t="shared" si="1"/>
        <v>N</v>
      </c>
      <c r="AV44" s="65" t="str">
        <f t="shared" si="9"/>
        <v>N</v>
      </c>
      <c r="AW44" s="99"/>
      <c r="AX44" s="99"/>
      <c r="AY44" s="93"/>
      <c r="AZ44" s="96" t="str">
        <f t="shared" si="3"/>
        <v>n</v>
      </c>
      <c r="BA44" s="96" t="str">
        <f>IF(AZ44="n","n",VLOOKUP(AZ44,'Conversion factors'!$C$4:$D$24,2,FALSE))</f>
        <v>n</v>
      </c>
      <c r="BB44" s="96" t="str">
        <f t="shared" si="5"/>
        <v>n</v>
      </c>
      <c r="BC44" s="97"/>
      <c r="BD44" s="96" t="str">
        <f t="shared" si="4"/>
        <v>n</v>
      </c>
      <c r="BE44" s="96" t="str">
        <f t="shared" si="6"/>
        <v>n</v>
      </c>
      <c r="BF44" s="98" t="str">
        <f t="shared" si="7"/>
        <v/>
      </c>
      <c r="BG44" s="96" t="str">
        <f>IF(BF44="","",IF(ISNUMBER(VLOOKUP(BF44,'Conversion factors'!$B$35:$C$52,2,FALSE)),"y","n"))</f>
        <v/>
      </c>
      <c r="BH44" s="99"/>
      <c r="BI44" s="100"/>
      <c r="BJ44" s="100"/>
    </row>
    <row r="45" spans="1:62" ht="15.75" customHeight="1" x14ac:dyDescent="0.2">
      <c r="A45" s="18"/>
      <c r="B45" s="19">
        <v>312</v>
      </c>
      <c r="D45" s="36">
        <v>117667</v>
      </c>
      <c r="E45" s="93" t="s">
        <v>1224</v>
      </c>
      <c r="F45" s="93">
        <v>2009</v>
      </c>
      <c r="G45" s="19" t="s">
        <v>1081</v>
      </c>
      <c r="H45" s="19"/>
      <c r="I45" s="19" t="s">
        <v>41</v>
      </c>
      <c r="J45" s="19" t="s">
        <v>1082</v>
      </c>
      <c r="K45" s="19" t="s">
        <v>161</v>
      </c>
      <c r="L45" s="19" t="s">
        <v>167</v>
      </c>
      <c r="M45" s="19" t="s">
        <v>167</v>
      </c>
      <c r="N45" s="19" t="s">
        <v>66</v>
      </c>
      <c r="O45" s="19" t="s">
        <v>505</v>
      </c>
      <c r="P45" s="19" t="s">
        <v>162</v>
      </c>
      <c r="Q45" s="19"/>
      <c r="R45" s="19" t="s">
        <v>237</v>
      </c>
      <c r="S45" s="19" t="s">
        <v>414</v>
      </c>
      <c r="T45" s="19" t="s">
        <v>55</v>
      </c>
      <c r="U45" s="19" t="s">
        <v>55</v>
      </c>
      <c r="V45" s="93" t="s">
        <v>94</v>
      </c>
      <c r="W45" s="93" t="s">
        <v>45</v>
      </c>
      <c r="X45" s="19" t="s">
        <v>46</v>
      </c>
      <c r="Y45" s="29"/>
      <c r="Z45" s="93"/>
      <c r="AA45" s="93"/>
      <c r="AB45" s="93" t="s">
        <v>902</v>
      </c>
      <c r="AC45" s="19" t="s">
        <v>1322</v>
      </c>
      <c r="AD45" s="93"/>
      <c r="AE45" s="19"/>
      <c r="AF45" s="19"/>
      <c r="AG45" s="19" t="s">
        <v>235</v>
      </c>
      <c r="AH45" s="19"/>
      <c r="AI45" s="19"/>
      <c r="AJ45" s="19" t="s">
        <v>1503</v>
      </c>
      <c r="AK45" s="19" t="s">
        <v>234</v>
      </c>
      <c r="AL45" s="19"/>
      <c r="AM45" s="19" t="s">
        <v>234</v>
      </c>
      <c r="AN45" s="19" t="s">
        <v>234</v>
      </c>
      <c r="AO45" s="19" t="s">
        <v>235</v>
      </c>
      <c r="AP45" s="94"/>
      <c r="AQ45" s="19" t="s">
        <v>97</v>
      </c>
      <c r="AR45" s="19" t="s">
        <v>241</v>
      </c>
      <c r="AS45" s="19"/>
      <c r="AT45" s="65" t="str">
        <f t="shared" si="0"/>
        <v>N</v>
      </c>
      <c r="AU45" s="65" t="str">
        <f t="shared" si="1"/>
        <v>N</v>
      </c>
      <c r="AV45" s="65" t="str">
        <f t="shared" si="9"/>
        <v>N</v>
      </c>
      <c r="AW45" s="99"/>
      <c r="AX45" s="99"/>
      <c r="AY45" s="93"/>
      <c r="AZ45" s="96" t="str">
        <f t="shared" si="3"/>
        <v>n</v>
      </c>
      <c r="BA45" s="96" t="str">
        <f>IF(AZ45="n","n",VLOOKUP(AZ45,'Conversion factors'!$C$4:$D$24,2,FALSE))</f>
        <v>n</v>
      </c>
      <c r="BB45" s="96" t="str">
        <f t="shared" si="5"/>
        <v>n</v>
      </c>
      <c r="BC45" s="97"/>
      <c r="BD45" s="96" t="str">
        <f t="shared" si="4"/>
        <v>n</v>
      </c>
      <c r="BE45" s="96" t="str">
        <f t="shared" si="6"/>
        <v>n</v>
      </c>
      <c r="BF45" s="98" t="str">
        <f t="shared" si="7"/>
        <v/>
      </c>
      <c r="BG45" s="96" t="str">
        <f>IF(BF45="","",IF(ISNUMBER(VLOOKUP(BF45,'Conversion factors'!$B$35:$C$52,2,FALSE)),"y","n"))</f>
        <v/>
      </c>
      <c r="BH45" s="99"/>
      <c r="BI45" s="100"/>
      <c r="BJ45" s="100"/>
    </row>
    <row r="46" spans="1:62" ht="15.75" customHeight="1" x14ac:dyDescent="0.2">
      <c r="A46" s="18"/>
      <c r="B46" s="19">
        <v>312</v>
      </c>
      <c r="D46" s="36">
        <v>117667</v>
      </c>
      <c r="E46" s="93" t="s">
        <v>1224</v>
      </c>
      <c r="F46" s="93">
        <v>2009</v>
      </c>
      <c r="G46" s="19" t="s">
        <v>1081</v>
      </c>
      <c r="H46" s="19"/>
      <c r="I46" s="19" t="s">
        <v>41</v>
      </c>
      <c r="J46" s="19" t="s">
        <v>1082</v>
      </c>
      <c r="K46" s="19" t="s">
        <v>161</v>
      </c>
      <c r="L46" s="19" t="s">
        <v>167</v>
      </c>
      <c r="M46" s="19" t="s">
        <v>167</v>
      </c>
      <c r="N46" s="19" t="s">
        <v>66</v>
      </c>
      <c r="O46" s="19" t="s">
        <v>505</v>
      </c>
      <c r="P46" s="19" t="s">
        <v>162</v>
      </c>
      <c r="Q46" s="19"/>
      <c r="R46" s="19" t="s">
        <v>237</v>
      </c>
      <c r="S46" s="19" t="s">
        <v>414</v>
      </c>
      <c r="T46" s="19" t="s">
        <v>54</v>
      </c>
      <c r="U46" s="19" t="s">
        <v>54</v>
      </c>
      <c r="V46" s="93" t="s">
        <v>94</v>
      </c>
      <c r="W46" s="93" t="s">
        <v>45</v>
      </c>
      <c r="X46" s="19" t="s">
        <v>46</v>
      </c>
      <c r="Y46" s="29"/>
      <c r="Z46" s="93"/>
      <c r="AA46" s="93"/>
      <c r="AB46" s="93" t="s">
        <v>242</v>
      </c>
      <c r="AC46" s="19" t="s">
        <v>1322</v>
      </c>
      <c r="AD46" s="93"/>
      <c r="AE46" s="19"/>
      <c r="AF46" s="19"/>
      <c r="AG46" s="19" t="s">
        <v>235</v>
      </c>
      <c r="AH46" s="19"/>
      <c r="AI46" s="19"/>
      <c r="AJ46" s="19" t="s">
        <v>1503</v>
      </c>
      <c r="AK46" s="19" t="s">
        <v>234</v>
      </c>
      <c r="AL46" s="19"/>
      <c r="AM46" s="19" t="s">
        <v>234</v>
      </c>
      <c r="AN46" s="19" t="s">
        <v>234</v>
      </c>
      <c r="AO46" s="19" t="s">
        <v>235</v>
      </c>
      <c r="AP46" s="94"/>
      <c r="AQ46" s="19" t="s">
        <v>97</v>
      </c>
      <c r="AR46" s="19" t="s">
        <v>241</v>
      </c>
      <c r="AS46" s="19"/>
      <c r="AT46" s="65" t="str">
        <f t="shared" si="0"/>
        <v>N</v>
      </c>
      <c r="AU46" s="65" t="str">
        <f t="shared" si="1"/>
        <v>N</v>
      </c>
      <c r="AV46" s="65" t="str">
        <f t="shared" si="9"/>
        <v>N</v>
      </c>
      <c r="AW46" s="99"/>
      <c r="AX46" s="99"/>
      <c r="AY46" s="93"/>
      <c r="AZ46" s="96" t="str">
        <f t="shared" si="3"/>
        <v>n</v>
      </c>
      <c r="BA46" s="96" t="str">
        <f>IF(AZ46="n","n",VLOOKUP(AZ46,'Conversion factors'!$C$4:$D$24,2,FALSE))</f>
        <v>n</v>
      </c>
      <c r="BB46" s="96" t="str">
        <f t="shared" si="5"/>
        <v>n</v>
      </c>
      <c r="BC46" s="97"/>
      <c r="BD46" s="96" t="str">
        <f t="shared" si="4"/>
        <v>n</v>
      </c>
      <c r="BE46" s="96" t="str">
        <f t="shared" si="6"/>
        <v>n</v>
      </c>
      <c r="BF46" s="98" t="str">
        <f t="shared" si="7"/>
        <v/>
      </c>
      <c r="BG46" s="96" t="str">
        <f>IF(BF46="","",IF(ISNUMBER(VLOOKUP(BF46,'Conversion factors'!$B$35:$C$52,2,FALSE)),"y","n"))</f>
        <v/>
      </c>
      <c r="BH46" s="99"/>
      <c r="BI46" s="100"/>
      <c r="BJ46" s="100"/>
    </row>
    <row r="47" spans="1:62" ht="15.75" customHeight="1" x14ac:dyDescent="0.2">
      <c r="A47" s="18"/>
      <c r="B47" s="19">
        <v>312</v>
      </c>
      <c r="D47" s="36">
        <v>117667</v>
      </c>
      <c r="E47" s="93" t="s">
        <v>1224</v>
      </c>
      <c r="F47" s="93">
        <v>2009</v>
      </c>
      <c r="G47" s="19" t="s">
        <v>1081</v>
      </c>
      <c r="H47" s="19"/>
      <c r="I47" s="19" t="s">
        <v>41</v>
      </c>
      <c r="J47" s="19" t="s">
        <v>1082</v>
      </c>
      <c r="K47" s="19" t="s">
        <v>161</v>
      </c>
      <c r="L47" s="19" t="s">
        <v>167</v>
      </c>
      <c r="M47" s="19" t="s">
        <v>167</v>
      </c>
      <c r="N47" s="19" t="s">
        <v>66</v>
      </c>
      <c r="O47" s="19" t="s">
        <v>505</v>
      </c>
      <c r="P47" s="19" t="s">
        <v>162</v>
      </c>
      <c r="Q47" s="19"/>
      <c r="R47" s="19" t="s">
        <v>237</v>
      </c>
      <c r="S47" s="19" t="s">
        <v>414</v>
      </c>
      <c r="T47" s="19" t="s">
        <v>55</v>
      </c>
      <c r="U47" s="19" t="s">
        <v>55</v>
      </c>
      <c r="V47" s="93" t="s">
        <v>252</v>
      </c>
      <c r="W47" s="93" t="s">
        <v>45</v>
      </c>
      <c r="X47" s="19" t="s">
        <v>46</v>
      </c>
      <c r="Y47" s="29"/>
      <c r="Z47" s="93"/>
      <c r="AA47" s="93"/>
      <c r="AB47" s="93" t="s">
        <v>242</v>
      </c>
      <c r="AC47" s="19" t="s">
        <v>1322</v>
      </c>
      <c r="AD47" s="93"/>
      <c r="AE47" s="19"/>
      <c r="AF47" s="19"/>
      <c r="AG47" s="19" t="s">
        <v>235</v>
      </c>
      <c r="AH47" s="19"/>
      <c r="AI47" s="19"/>
      <c r="AJ47" s="19" t="s">
        <v>1503</v>
      </c>
      <c r="AK47" s="19" t="s">
        <v>234</v>
      </c>
      <c r="AL47" s="19"/>
      <c r="AM47" s="19" t="s">
        <v>234</v>
      </c>
      <c r="AN47" s="19" t="s">
        <v>234</v>
      </c>
      <c r="AO47" s="19" t="s">
        <v>235</v>
      </c>
      <c r="AP47" s="94"/>
      <c r="AQ47" s="19" t="s">
        <v>97</v>
      </c>
      <c r="AR47" s="19" t="s">
        <v>241</v>
      </c>
      <c r="AS47" s="19"/>
      <c r="AT47" s="65" t="str">
        <f t="shared" si="0"/>
        <v>N</v>
      </c>
      <c r="AU47" s="65" t="str">
        <f t="shared" si="1"/>
        <v>N</v>
      </c>
      <c r="AV47" s="65" t="str">
        <f t="shared" si="9"/>
        <v>N</v>
      </c>
      <c r="AW47" s="99"/>
      <c r="AX47" s="99"/>
      <c r="AY47" s="93"/>
      <c r="AZ47" s="96" t="str">
        <f t="shared" si="3"/>
        <v>n</v>
      </c>
      <c r="BA47" s="96" t="str">
        <f>IF(AZ47="n","n",VLOOKUP(AZ47,'Conversion factors'!$C$4:$D$24,2,FALSE))</f>
        <v>n</v>
      </c>
      <c r="BB47" s="96" t="str">
        <f t="shared" si="5"/>
        <v>n</v>
      </c>
      <c r="BC47" s="97"/>
      <c r="BD47" s="96" t="str">
        <f t="shared" si="4"/>
        <v>n</v>
      </c>
      <c r="BE47" s="96" t="str">
        <f t="shared" si="6"/>
        <v>n</v>
      </c>
      <c r="BF47" s="98" t="str">
        <f t="shared" si="7"/>
        <v/>
      </c>
      <c r="BG47" s="96" t="str">
        <f>IF(BF47="","",IF(ISNUMBER(VLOOKUP(BF47,'Conversion factors'!$B$35:$C$52,2,FALSE)),"y","n"))</f>
        <v/>
      </c>
      <c r="BH47" s="99"/>
      <c r="BI47" s="100"/>
      <c r="BJ47" s="100"/>
    </row>
    <row r="48" spans="1:62" ht="15.75" customHeight="1" x14ac:dyDescent="0.2">
      <c r="A48" s="18"/>
      <c r="B48" s="19">
        <v>312</v>
      </c>
      <c r="D48" s="36">
        <v>117667</v>
      </c>
      <c r="E48" s="93" t="s">
        <v>1224</v>
      </c>
      <c r="F48" s="93">
        <v>2009</v>
      </c>
      <c r="G48" s="19" t="s">
        <v>1081</v>
      </c>
      <c r="H48" s="19"/>
      <c r="I48" s="19" t="s">
        <v>41</v>
      </c>
      <c r="J48" s="19" t="s">
        <v>1082</v>
      </c>
      <c r="K48" s="19" t="s">
        <v>161</v>
      </c>
      <c r="L48" s="19" t="s">
        <v>167</v>
      </c>
      <c r="M48" s="19" t="s">
        <v>167</v>
      </c>
      <c r="N48" s="19" t="s">
        <v>66</v>
      </c>
      <c r="O48" s="19" t="s">
        <v>505</v>
      </c>
      <c r="P48" s="19" t="s">
        <v>162</v>
      </c>
      <c r="Q48" s="19"/>
      <c r="R48" s="19" t="s">
        <v>237</v>
      </c>
      <c r="S48" s="19" t="s">
        <v>414</v>
      </c>
      <c r="T48" s="19" t="s">
        <v>54</v>
      </c>
      <c r="U48" s="19" t="s">
        <v>54</v>
      </c>
      <c r="V48" s="93" t="s">
        <v>252</v>
      </c>
      <c r="W48" s="93" t="s">
        <v>45</v>
      </c>
      <c r="X48" s="19" t="s">
        <v>46</v>
      </c>
      <c r="Y48" s="29"/>
      <c r="Z48" s="93"/>
      <c r="AA48" s="93"/>
      <c r="AB48" s="93" t="s">
        <v>86</v>
      </c>
      <c r="AC48" s="19" t="s">
        <v>1322</v>
      </c>
      <c r="AD48" s="93"/>
      <c r="AE48" s="19"/>
      <c r="AF48" s="19"/>
      <c r="AG48" s="19" t="s">
        <v>235</v>
      </c>
      <c r="AH48" s="19"/>
      <c r="AI48" s="19"/>
      <c r="AJ48" s="19" t="s">
        <v>1503</v>
      </c>
      <c r="AK48" s="19" t="s">
        <v>234</v>
      </c>
      <c r="AL48" s="19"/>
      <c r="AM48" s="19" t="s">
        <v>234</v>
      </c>
      <c r="AN48" s="19" t="s">
        <v>234</v>
      </c>
      <c r="AO48" s="19" t="s">
        <v>235</v>
      </c>
      <c r="AP48" s="94"/>
      <c r="AQ48" s="19" t="s">
        <v>97</v>
      </c>
      <c r="AR48" s="19" t="s">
        <v>241</v>
      </c>
      <c r="AS48" s="19"/>
      <c r="AT48" s="65" t="str">
        <f t="shared" si="0"/>
        <v>N</v>
      </c>
      <c r="AU48" s="65" t="str">
        <f t="shared" si="1"/>
        <v>N</v>
      </c>
      <c r="AV48" s="65" t="str">
        <f t="shared" si="9"/>
        <v>N</v>
      </c>
      <c r="AW48" s="99"/>
      <c r="AX48" s="99"/>
      <c r="AY48" s="93"/>
      <c r="AZ48" s="96" t="str">
        <f t="shared" si="3"/>
        <v>n</v>
      </c>
      <c r="BA48" s="96" t="str">
        <f>IF(AZ48="n","n",VLOOKUP(AZ48,'Conversion factors'!$C$4:$D$24,2,FALSE))</f>
        <v>n</v>
      </c>
      <c r="BB48" s="96" t="str">
        <f t="shared" si="5"/>
        <v>n</v>
      </c>
      <c r="BC48" s="97"/>
      <c r="BD48" s="96" t="str">
        <f t="shared" si="4"/>
        <v>n</v>
      </c>
      <c r="BE48" s="96" t="str">
        <f t="shared" si="6"/>
        <v>n</v>
      </c>
      <c r="BF48" s="98" t="str">
        <f t="shared" si="7"/>
        <v/>
      </c>
      <c r="BG48" s="96" t="str">
        <f>IF(BF48="","",IF(ISNUMBER(VLOOKUP(BF48,'Conversion factors'!$B$35:$C$52,2,FALSE)),"y","n"))</f>
        <v/>
      </c>
      <c r="BH48" s="99"/>
      <c r="BI48" s="100"/>
      <c r="BJ48" s="100"/>
    </row>
    <row r="49" spans="1:62" ht="15.75" customHeight="1" x14ac:dyDescent="0.2">
      <c r="A49" s="18"/>
      <c r="B49" s="19">
        <v>197</v>
      </c>
      <c r="D49" s="36">
        <v>45211</v>
      </c>
      <c r="E49" s="93" t="s">
        <v>1224</v>
      </c>
      <c r="F49" s="93">
        <v>1996</v>
      </c>
      <c r="G49" s="19" t="s">
        <v>401</v>
      </c>
      <c r="H49" s="19"/>
      <c r="I49" s="19" t="s">
        <v>41</v>
      </c>
      <c r="J49" s="19" t="s">
        <v>180</v>
      </c>
      <c r="K49" s="19" t="s">
        <v>161</v>
      </c>
      <c r="L49" s="19" t="s">
        <v>167</v>
      </c>
      <c r="M49" s="19" t="s">
        <v>167</v>
      </c>
      <c r="N49" s="19" t="s">
        <v>66</v>
      </c>
      <c r="O49" s="19" t="s">
        <v>328</v>
      </c>
      <c r="P49" s="19" t="s">
        <v>162</v>
      </c>
      <c r="Q49" s="19"/>
      <c r="R49" s="19" t="s">
        <v>81</v>
      </c>
      <c r="S49" s="19" t="s">
        <v>402</v>
      </c>
      <c r="T49" s="19" t="s">
        <v>55</v>
      </c>
      <c r="U49" s="19" t="s">
        <v>55</v>
      </c>
      <c r="V49" s="93" t="s">
        <v>85</v>
      </c>
      <c r="W49" s="93" t="s">
        <v>231</v>
      </c>
      <c r="X49" s="19" t="s">
        <v>46</v>
      </c>
      <c r="Y49" s="29"/>
      <c r="Z49" s="93"/>
      <c r="AA49" s="93"/>
      <c r="AB49" s="93" t="s">
        <v>329</v>
      </c>
      <c r="AC49" s="19" t="s">
        <v>1322</v>
      </c>
      <c r="AD49" s="93"/>
      <c r="AE49" s="19">
        <v>106</v>
      </c>
      <c r="AF49" s="19" t="s">
        <v>1299</v>
      </c>
      <c r="AG49" s="19" t="s">
        <v>270</v>
      </c>
      <c r="AH49" s="19"/>
      <c r="AI49" s="19"/>
      <c r="AJ49" s="19">
        <f>MEDIAN(7,7.5)</f>
        <v>7.25</v>
      </c>
      <c r="AK49" s="19" t="s">
        <v>403</v>
      </c>
      <c r="AL49" s="19"/>
      <c r="AM49" s="19" t="s">
        <v>234</v>
      </c>
      <c r="AN49" s="19" t="s">
        <v>234</v>
      </c>
      <c r="AO49" s="19" t="s">
        <v>235</v>
      </c>
      <c r="AP49" s="94"/>
      <c r="AQ49" s="19" t="s">
        <v>150</v>
      </c>
      <c r="AR49" s="19" t="s">
        <v>241</v>
      </c>
      <c r="AS49" s="19"/>
      <c r="AT49" s="65" t="str">
        <f t="shared" si="0"/>
        <v>N</v>
      </c>
      <c r="AU49" s="65" t="str">
        <f t="shared" si="1"/>
        <v>N</v>
      </c>
      <c r="AV49" s="65" t="str">
        <f t="shared" si="9"/>
        <v>N</v>
      </c>
      <c r="AW49" s="99"/>
      <c r="AX49" s="99"/>
      <c r="AY49" s="93"/>
      <c r="AZ49" s="96" t="str">
        <f t="shared" si="3"/>
        <v>n</v>
      </c>
      <c r="BA49" s="96" t="str">
        <f>IF(AZ49="n","n",VLOOKUP(AZ49,'Conversion factors'!$C$4:$D$24,2,FALSE))</f>
        <v>n</v>
      </c>
      <c r="BB49" s="96" t="str">
        <f t="shared" si="5"/>
        <v>n</v>
      </c>
      <c r="BC49" s="97"/>
      <c r="BD49" s="96" t="str">
        <f t="shared" si="4"/>
        <v>n</v>
      </c>
      <c r="BE49" s="96" t="str">
        <f t="shared" si="6"/>
        <v>n</v>
      </c>
      <c r="BF49" s="98" t="str">
        <f t="shared" si="7"/>
        <v/>
      </c>
      <c r="BG49" s="96" t="str">
        <f>IF(BF49="","",IF(ISNUMBER(VLOOKUP(BF49,'Conversion factors'!$B$35:$C$52,2,FALSE)),"y","n"))</f>
        <v/>
      </c>
      <c r="BH49" s="99"/>
      <c r="BI49" s="100"/>
      <c r="BJ49" s="100"/>
    </row>
    <row r="50" spans="1:62" ht="15.75" customHeight="1" x14ac:dyDescent="0.2">
      <c r="A50" s="18"/>
      <c r="B50" s="19">
        <v>197</v>
      </c>
      <c r="D50" s="36">
        <v>45211</v>
      </c>
      <c r="E50" s="93" t="s">
        <v>1224</v>
      </c>
      <c r="F50" s="93">
        <v>1996</v>
      </c>
      <c r="G50" s="19" t="s">
        <v>401</v>
      </c>
      <c r="H50" s="19"/>
      <c r="I50" s="19" t="s">
        <v>41</v>
      </c>
      <c r="J50" s="19" t="s">
        <v>180</v>
      </c>
      <c r="K50" s="19" t="s">
        <v>161</v>
      </c>
      <c r="L50" s="19" t="s">
        <v>167</v>
      </c>
      <c r="M50" s="19" t="s">
        <v>167</v>
      </c>
      <c r="N50" s="19" t="s">
        <v>66</v>
      </c>
      <c r="O50" s="19" t="s">
        <v>328</v>
      </c>
      <c r="P50" s="19" t="s">
        <v>162</v>
      </c>
      <c r="Q50" s="19"/>
      <c r="R50" s="19" t="s">
        <v>81</v>
      </c>
      <c r="S50" s="19" t="s">
        <v>402</v>
      </c>
      <c r="T50" s="19" t="s">
        <v>55</v>
      </c>
      <c r="U50" s="19" t="s">
        <v>55</v>
      </c>
      <c r="V50" s="93" t="s">
        <v>85</v>
      </c>
      <c r="W50" s="93" t="s">
        <v>231</v>
      </c>
      <c r="X50" s="19" t="s">
        <v>46</v>
      </c>
      <c r="Y50" s="29"/>
      <c r="Z50" s="93"/>
      <c r="AA50" s="93"/>
      <c r="AB50" s="93" t="s">
        <v>329</v>
      </c>
      <c r="AC50" s="19" t="s">
        <v>1322</v>
      </c>
      <c r="AD50" s="93"/>
      <c r="AE50" s="19">
        <v>106</v>
      </c>
      <c r="AF50" s="19" t="s">
        <v>1299</v>
      </c>
      <c r="AG50" s="19" t="s">
        <v>270</v>
      </c>
      <c r="AH50" s="19"/>
      <c r="AI50" s="19"/>
      <c r="AJ50" s="19">
        <f>MEDIAN(7,7.5)</f>
        <v>7.25</v>
      </c>
      <c r="AK50" s="19" t="s">
        <v>403</v>
      </c>
      <c r="AL50" s="19"/>
      <c r="AM50" s="19" t="s">
        <v>234</v>
      </c>
      <c r="AN50" s="19" t="s">
        <v>234</v>
      </c>
      <c r="AO50" s="19" t="s">
        <v>235</v>
      </c>
      <c r="AP50" s="94"/>
      <c r="AQ50" s="19" t="s">
        <v>150</v>
      </c>
      <c r="AR50" s="19" t="s">
        <v>241</v>
      </c>
      <c r="AS50" s="19"/>
      <c r="AT50" s="65" t="str">
        <f t="shared" si="0"/>
        <v>N</v>
      </c>
      <c r="AU50" s="65" t="str">
        <f t="shared" si="1"/>
        <v>N</v>
      </c>
      <c r="AV50" s="65" t="str">
        <f t="shared" si="9"/>
        <v>N</v>
      </c>
      <c r="AW50" s="99"/>
      <c r="AX50" s="99"/>
      <c r="AY50" s="93"/>
      <c r="AZ50" s="96" t="str">
        <f t="shared" si="3"/>
        <v>n</v>
      </c>
      <c r="BA50" s="96" t="str">
        <f>IF(AZ50="n","n",VLOOKUP(AZ50,'Conversion factors'!$C$4:$D$24,2,FALSE))</f>
        <v>n</v>
      </c>
      <c r="BB50" s="96" t="str">
        <f t="shared" si="5"/>
        <v>n</v>
      </c>
      <c r="BC50" s="97"/>
      <c r="BD50" s="96" t="str">
        <f t="shared" si="4"/>
        <v>n</v>
      </c>
      <c r="BE50" s="96" t="str">
        <f t="shared" si="6"/>
        <v>n</v>
      </c>
      <c r="BF50" s="98" t="str">
        <f t="shared" si="7"/>
        <v/>
      </c>
      <c r="BG50" s="96" t="str">
        <f>IF(BF50="","",IF(ISNUMBER(VLOOKUP(BF50,'Conversion factors'!$B$35:$C$52,2,FALSE)),"y","n"))</f>
        <v/>
      </c>
      <c r="BH50" s="99"/>
      <c r="BI50" s="100"/>
      <c r="BJ50" s="100"/>
    </row>
    <row r="51" spans="1:62" ht="15.75" customHeight="1" x14ac:dyDescent="0.2">
      <c r="A51" s="18"/>
      <c r="B51" s="19">
        <v>300</v>
      </c>
      <c r="D51" s="36">
        <v>110332</v>
      </c>
      <c r="E51" s="93" t="s">
        <v>1224</v>
      </c>
      <c r="F51" s="93">
        <v>2004</v>
      </c>
      <c r="G51" s="19" t="s">
        <v>1042</v>
      </c>
      <c r="H51" s="19"/>
      <c r="I51" s="19" t="s">
        <v>41</v>
      </c>
      <c r="J51" s="19" t="s">
        <v>180</v>
      </c>
      <c r="K51" s="19" t="s">
        <v>161</v>
      </c>
      <c r="L51" s="19" t="s">
        <v>167</v>
      </c>
      <c r="M51" s="19" t="s">
        <v>167</v>
      </c>
      <c r="N51" s="19" t="s">
        <v>66</v>
      </c>
      <c r="O51" s="19" t="s">
        <v>505</v>
      </c>
      <c r="P51" s="19" t="s">
        <v>162</v>
      </c>
      <c r="Q51" s="19"/>
      <c r="R51" s="19" t="s">
        <v>537</v>
      </c>
      <c r="S51" s="19" t="s">
        <v>268</v>
      </c>
      <c r="T51" s="19" t="s">
        <v>54</v>
      </c>
      <c r="U51" s="19" t="s">
        <v>54</v>
      </c>
      <c r="V51" s="93" t="s">
        <v>1209</v>
      </c>
      <c r="W51" s="93" t="s">
        <v>231</v>
      </c>
      <c r="X51" s="19" t="s">
        <v>46</v>
      </c>
      <c r="Y51" s="29"/>
      <c r="Z51" s="93"/>
      <c r="AA51" s="93"/>
      <c r="AB51" s="93" t="s">
        <v>242</v>
      </c>
      <c r="AC51" s="19" t="s">
        <v>1322</v>
      </c>
      <c r="AD51" s="93"/>
      <c r="AE51" s="19">
        <v>410</v>
      </c>
      <c r="AF51" s="19">
        <v>410</v>
      </c>
      <c r="AG51" s="19" t="s">
        <v>270</v>
      </c>
      <c r="AH51" s="19"/>
      <c r="AI51" s="19"/>
      <c r="AJ51" s="19">
        <f>MEDIAN(8.2)</f>
        <v>8.1999999999999993</v>
      </c>
      <c r="AK51" s="19">
        <v>8.1999999999999993</v>
      </c>
      <c r="AL51" s="19"/>
      <c r="AM51" s="19" t="s">
        <v>234</v>
      </c>
      <c r="AN51" s="19">
        <v>250</v>
      </c>
      <c r="AO51" s="19" t="s">
        <v>270</v>
      </c>
      <c r="AP51" s="94"/>
      <c r="AQ51" s="19" t="s">
        <v>97</v>
      </c>
      <c r="AR51" s="19" t="s">
        <v>241</v>
      </c>
      <c r="AS51" s="19"/>
      <c r="AT51" s="65" t="str">
        <f t="shared" si="0"/>
        <v>N</v>
      </c>
      <c r="AU51" s="65" t="str">
        <f t="shared" si="1"/>
        <v>N</v>
      </c>
      <c r="AV51" s="65" t="str">
        <f t="shared" si="9"/>
        <v>N</v>
      </c>
      <c r="AW51" s="99"/>
      <c r="AX51" s="99"/>
      <c r="AY51" s="93"/>
      <c r="AZ51" s="96" t="str">
        <f t="shared" si="3"/>
        <v>n</v>
      </c>
      <c r="BA51" s="96" t="str">
        <f>IF(AZ51="n","n",VLOOKUP(AZ51,'Conversion factors'!$C$4:$D$24,2,FALSE))</f>
        <v>n</v>
      </c>
      <c r="BB51" s="96" t="str">
        <f t="shared" si="5"/>
        <v>n</v>
      </c>
      <c r="BC51" s="97"/>
      <c r="BD51" s="96" t="str">
        <f t="shared" si="4"/>
        <v>n</v>
      </c>
      <c r="BE51" s="96" t="str">
        <f t="shared" si="6"/>
        <v>n</v>
      </c>
      <c r="BF51" s="98" t="str">
        <f t="shared" si="7"/>
        <v/>
      </c>
      <c r="BG51" s="96" t="str">
        <f>IF(BF51="","",IF(ISNUMBER(VLOOKUP(BF51,'Conversion factors'!$B$35:$C$52,2,FALSE)),"y","n"))</f>
        <v/>
      </c>
      <c r="BH51" s="99"/>
      <c r="BI51" s="100"/>
      <c r="BJ51" s="100"/>
    </row>
    <row r="52" spans="1:62" ht="15.75" customHeight="1" x14ac:dyDescent="0.2">
      <c r="A52" s="18"/>
      <c r="B52" s="19">
        <v>316</v>
      </c>
      <c r="D52" s="36">
        <v>156324</v>
      </c>
      <c r="E52" s="93" t="s">
        <v>1224</v>
      </c>
      <c r="F52" s="93">
        <v>2011</v>
      </c>
      <c r="G52" s="19" t="s">
        <v>1114</v>
      </c>
      <c r="H52" s="19"/>
      <c r="I52" s="19" t="s">
        <v>41</v>
      </c>
      <c r="J52" s="19" t="s">
        <v>1115</v>
      </c>
      <c r="K52" s="19" t="s">
        <v>161</v>
      </c>
      <c r="L52" s="19" t="s">
        <v>82</v>
      </c>
      <c r="M52" s="19" t="s">
        <v>82</v>
      </c>
      <c r="N52" s="19" t="s">
        <v>66</v>
      </c>
      <c r="O52" s="19" t="s">
        <v>1116</v>
      </c>
      <c r="P52" s="19" t="s">
        <v>162</v>
      </c>
      <c r="Q52" s="19"/>
      <c r="R52" s="19" t="s">
        <v>81</v>
      </c>
      <c r="S52" s="19" t="s">
        <v>1121</v>
      </c>
      <c r="T52" s="19" t="s">
        <v>55</v>
      </c>
      <c r="U52" s="19" t="s">
        <v>55</v>
      </c>
      <c r="V52" s="93" t="s">
        <v>1118</v>
      </c>
      <c r="W52" s="93" t="s">
        <v>45</v>
      </c>
      <c r="X52" s="19" t="s">
        <v>46</v>
      </c>
      <c r="Y52" s="29"/>
      <c r="Z52" s="93"/>
      <c r="AA52" s="93"/>
      <c r="AB52" s="93" t="s">
        <v>1120</v>
      </c>
      <c r="AC52" s="19" t="s">
        <v>214</v>
      </c>
      <c r="AD52" s="93"/>
      <c r="AE52" s="19">
        <v>70</v>
      </c>
      <c r="AF52" s="19">
        <v>70</v>
      </c>
      <c r="AG52" s="19" t="s">
        <v>270</v>
      </c>
      <c r="AH52" s="19"/>
      <c r="AI52" s="19"/>
      <c r="AJ52" s="19">
        <f>MEDIAN(7.9)</f>
        <v>7.9</v>
      </c>
      <c r="AK52" s="19" t="s">
        <v>112</v>
      </c>
      <c r="AL52" s="19"/>
      <c r="AM52" s="19" t="s">
        <v>234</v>
      </c>
      <c r="AN52" s="19" t="s">
        <v>234</v>
      </c>
      <c r="AO52" s="19" t="s">
        <v>235</v>
      </c>
      <c r="AP52" s="94">
        <v>2.5</v>
      </c>
      <c r="AQ52" s="19" t="s">
        <v>101</v>
      </c>
      <c r="AR52" s="19" t="s">
        <v>334</v>
      </c>
      <c r="AS52" s="19"/>
      <c r="AT52" s="65" t="str">
        <f t="shared" si="0"/>
        <v>Y</v>
      </c>
      <c r="AU52" s="65" t="str">
        <f t="shared" si="1"/>
        <v>Y</v>
      </c>
      <c r="AV52" s="65" t="str">
        <f t="shared" si="9"/>
        <v>Y</v>
      </c>
      <c r="AW52" s="99"/>
      <c r="AX52" s="99"/>
      <c r="AY52" s="93"/>
      <c r="AZ52" s="96" t="str">
        <f t="shared" si="3"/>
        <v>LOEC</v>
      </c>
      <c r="BA52" s="96">
        <f>IF(AZ52="n","n",VLOOKUP(AZ52,'Conversion factors'!$C$4:$D$24,2,FALSE))</f>
        <v>2.5</v>
      </c>
      <c r="BB52" s="96">
        <f t="shared" si="5"/>
        <v>79.2</v>
      </c>
      <c r="BC52" s="97"/>
      <c r="BD52" s="96" t="str">
        <f t="shared" si="4"/>
        <v>Chronic</v>
      </c>
      <c r="BE52" s="96" t="str">
        <f t="shared" si="6"/>
        <v>y</v>
      </c>
      <c r="BF52" s="98" t="str">
        <f t="shared" si="7"/>
        <v>LOEC</v>
      </c>
      <c r="BG52" s="96" t="str">
        <f>IF(BF52="","",IF(ISNUMBER(VLOOKUP(BF52,'Conversion factors'!$B$35:$C$52,2,FALSE)),"y","n"))</f>
        <v>n</v>
      </c>
      <c r="BH52" s="99" t="s">
        <v>1638</v>
      </c>
      <c r="BI52" s="99" t="s">
        <v>1636</v>
      </c>
      <c r="BJ52" s="100"/>
    </row>
    <row r="53" spans="1:62" ht="15.75" customHeight="1" x14ac:dyDescent="0.2">
      <c r="A53" s="18"/>
      <c r="B53" s="19">
        <v>316</v>
      </c>
      <c r="D53" s="36">
        <v>156324</v>
      </c>
      <c r="E53" s="93" t="s">
        <v>1224</v>
      </c>
      <c r="F53" s="93">
        <v>2011</v>
      </c>
      <c r="G53" s="19" t="s">
        <v>1114</v>
      </c>
      <c r="H53" s="19"/>
      <c r="I53" s="19" t="s">
        <v>41</v>
      </c>
      <c r="J53" s="19" t="s">
        <v>1115</v>
      </c>
      <c r="K53" s="19" t="s">
        <v>161</v>
      </c>
      <c r="L53" s="19" t="s">
        <v>82</v>
      </c>
      <c r="M53" s="19" t="s">
        <v>82</v>
      </c>
      <c r="N53" s="19" t="s">
        <v>66</v>
      </c>
      <c r="O53" s="19" t="s">
        <v>1116</v>
      </c>
      <c r="P53" s="19" t="s">
        <v>162</v>
      </c>
      <c r="Q53" s="19"/>
      <c r="R53" s="19" t="s">
        <v>81</v>
      </c>
      <c r="S53" s="19" t="s">
        <v>1121</v>
      </c>
      <c r="T53" s="19" t="s">
        <v>54</v>
      </c>
      <c r="U53" s="19" t="s">
        <v>54</v>
      </c>
      <c r="V53" s="93" t="s">
        <v>1118</v>
      </c>
      <c r="W53" s="93" t="s">
        <v>45</v>
      </c>
      <c r="X53" s="19" t="s">
        <v>46</v>
      </c>
      <c r="Y53" s="29"/>
      <c r="Z53" s="93"/>
      <c r="AA53" s="93"/>
      <c r="AB53" s="93" t="s">
        <v>357</v>
      </c>
      <c r="AC53" s="19" t="s">
        <v>214</v>
      </c>
      <c r="AD53" s="93"/>
      <c r="AE53" s="19">
        <v>70</v>
      </c>
      <c r="AF53" s="19">
        <v>70</v>
      </c>
      <c r="AG53" s="19" t="s">
        <v>270</v>
      </c>
      <c r="AH53" s="19"/>
      <c r="AI53" s="19"/>
      <c r="AJ53" s="19">
        <f>MEDIAN(7.9)</f>
        <v>7.9</v>
      </c>
      <c r="AK53" s="19" t="s">
        <v>112</v>
      </c>
      <c r="AL53" s="19"/>
      <c r="AM53" s="19" t="s">
        <v>234</v>
      </c>
      <c r="AN53" s="19" t="s">
        <v>234</v>
      </c>
      <c r="AO53" s="19" t="s">
        <v>235</v>
      </c>
      <c r="AP53" s="94">
        <v>2.5</v>
      </c>
      <c r="AQ53" s="19" t="s">
        <v>101</v>
      </c>
      <c r="AR53" s="19" t="s">
        <v>334</v>
      </c>
      <c r="AS53" s="19"/>
      <c r="AT53" s="65" t="str">
        <f t="shared" si="0"/>
        <v>Y</v>
      </c>
      <c r="AU53" s="65" t="str">
        <f t="shared" si="1"/>
        <v>Y</v>
      </c>
      <c r="AV53" s="65" t="str">
        <f t="shared" si="9"/>
        <v>Y</v>
      </c>
      <c r="AW53" s="99"/>
      <c r="AX53" s="99"/>
      <c r="AY53" s="93"/>
      <c r="AZ53" s="96" t="str">
        <f t="shared" si="3"/>
        <v>NOEC</v>
      </c>
      <c r="BA53" s="96">
        <f>IF(AZ53="n","n",VLOOKUP(AZ53,'Conversion factors'!$C$4:$D$24,2,FALSE))</f>
        <v>1</v>
      </c>
      <c r="BB53" s="96">
        <f t="shared" si="5"/>
        <v>34</v>
      </c>
      <c r="BC53" s="97"/>
      <c r="BD53" s="96" t="str">
        <f t="shared" si="4"/>
        <v>Chronic</v>
      </c>
      <c r="BE53" s="96" t="str">
        <f t="shared" si="6"/>
        <v>y</v>
      </c>
      <c r="BF53" s="98" t="str">
        <f t="shared" si="7"/>
        <v>NOEC</v>
      </c>
      <c r="BG53" s="96" t="s">
        <v>47</v>
      </c>
      <c r="BH53" s="99" t="s">
        <v>1638</v>
      </c>
      <c r="BI53" s="99" t="s">
        <v>1636</v>
      </c>
      <c r="BJ53" s="100"/>
    </row>
    <row r="54" spans="1:62" ht="15.75" customHeight="1" x14ac:dyDescent="0.2">
      <c r="A54" s="18"/>
      <c r="B54" s="19">
        <v>316</v>
      </c>
      <c r="D54" s="36">
        <v>156324</v>
      </c>
      <c r="E54" s="93" t="s">
        <v>1224</v>
      </c>
      <c r="F54" s="93">
        <v>2011</v>
      </c>
      <c r="G54" s="19" t="s">
        <v>1114</v>
      </c>
      <c r="H54" s="19"/>
      <c r="I54" s="19" t="s">
        <v>41</v>
      </c>
      <c r="J54" s="19" t="s">
        <v>1115</v>
      </c>
      <c r="K54" s="19" t="s">
        <v>161</v>
      </c>
      <c r="L54" s="19" t="s">
        <v>82</v>
      </c>
      <c r="M54" s="19" t="s">
        <v>82</v>
      </c>
      <c r="N54" s="19" t="s">
        <v>66</v>
      </c>
      <c r="O54" s="19" t="s">
        <v>1116</v>
      </c>
      <c r="P54" s="19" t="s">
        <v>162</v>
      </c>
      <c r="Q54" s="19"/>
      <c r="R54" s="19" t="s">
        <v>237</v>
      </c>
      <c r="S54" s="19" t="s">
        <v>79</v>
      </c>
      <c r="T54" s="19" t="s">
        <v>55</v>
      </c>
      <c r="U54" s="19" t="s">
        <v>55</v>
      </c>
      <c r="V54" s="93" t="s">
        <v>1118</v>
      </c>
      <c r="W54" s="93" t="s">
        <v>45</v>
      </c>
      <c r="X54" s="19" t="s">
        <v>46</v>
      </c>
      <c r="Y54" s="29"/>
      <c r="Z54" s="93"/>
      <c r="AA54" s="93"/>
      <c r="AB54" s="93" t="s">
        <v>1120</v>
      </c>
      <c r="AC54" s="19" t="s">
        <v>214</v>
      </c>
      <c r="AD54" s="93"/>
      <c r="AE54" s="19">
        <v>70</v>
      </c>
      <c r="AF54" s="19">
        <v>70</v>
      </c>
      <c r="AG54" s="19" t="s">
        <v>270</v>
      </c>
      <c r="AH54" s="19"/>
      <c r="AI54" s="19"/>
      <c r="AJ54" s="19">
        <f>MEDIAN(7.9)</f>
        <v>7.9</v>
      </c>
      <c r="AK54" s="19" t="s">
        <v>112</v>
      </c>
      <c r="AL54" s="19"/>
      <c r="AM54" s="19" t="s">
        <v>234</v>
      </c>
      <c r="AN54" s="19" t="s">
        <v>234</v>
      </c>
      <c r="AO54" s="19" t="s">
        <v>235</v>
      </c>
      <c r="AP54" s="94">
        <v>2.5</v>
      </c>
      <c r="AQ54" s="19" t="s">
        <v>101</v>
      </c>
      <c r="AR54" s="19" t="s">
        <v>334</v>
      </c>
      <c r="AS54" s="19"/>
      <c r="AT54" s="65" t="str">
        <f t="shared" si="0"/>
        <v>Y</v>
      </c>
      <c r="AU54" s="65" t="str">
        <f t="shared" si="1"/>
        <v>Y</v>
      </c>
      <c r="AV54" s="65" t="str">
        <f t="shared" si="9"/>
        <v>Y</v>
      </c>
      <c r="AW54" s="99"/>
      <c r="AX54" s="99"/>
      <c r="AY54" s="93"/>
      <c r="AZ54" s="96" t="str">
        <f t="shared" si="3"/>
        <v>LOEC</v>
      </c>
      <c r="BA54" s="96">
        <f>IF(AZ54="n","n",VLOOKUP(AZ54,'Conversion factors'!$C$4:$D$24,2,FALSE))</f>
        <v>2.5</v>
      </c>
      <c r="BB54" s="96">
        <f t="shared" si="5"/>
        <v>79.2</v>
      </c>
      <c r="BC54" s="97"/>
      <c r="BD54" s="96" t="str">
        <f t="shared" si="4"/>
        <v>Chronic</v>
      </c>
      <c r="BE54" s="96" t="str">
        <f t="shared" si="6"/>
        <v>y</v>
      </c>
      <c r="BF54" s="98" t="str">
        <f t="shared" si="7"/>
        <v>LOEC</v>
      </c>
      <c r="BG54" s="96" t="str">
        <f>IF(BF54="","",IF(ISNUMBER(VLOOKUP(BF54,'Conversion factors'!$B$35:$C$52,2,FALSE)),"y","n"))</f>
        <v>n</v>
      </c>
      <c r="BH54" s="99" t="s">
        <v>1638</v>
      </c>
      <c r="BI54" s="99" t="s">
        <v>1636</v>
      </c>
      <c r="BJ54" s="100"/>
    </row>
    <row r="55" spans="1:62" ht="15.75" customHeight="1" x14ac:dyDescent="0.2">
      <c r="A55" s="18"/>
      <c r="B55" s="19">
        <v>316</v>
      </c>
      <c r="D55" s="36">
        <v>156324</v>
      </c>
      <c r="E55" s="93" t="s">
        <v>1224</v>
      </c>
      <c r="F55" s="93">
        <v>2011</v>
      </c>
      <c r="G55" s="19" t="s">
        <v>1114</v>
      </c>
      <c r="H55" s="19"/>
      <c r="I55" s="19" t="s">
        <v>41</v>
      </c>
      <c r="J55" s="19" t="s">
        <v>1115</v>
      </c>
      <c r="K55" s="19" t="s">
        <v>161</v>
      </c>
      <c r="L55" s="19" t="s">
        <v>82</v>
      </c>
      <c r="M55" s="19" t="s">
        <v>82</v>
      </c>
      <c r="N55" s="19" t="s">
        <v>66</v>
      </c>
      <c r="O55" s="19" t="s">
        <v>1116</v>
      </c>
      <c r="P55" s="19" t="s">
        <v>162</v>
      </c>
      <c r="Q55" s="19"/>
      <c r="R55" s="19" t="s">
        <v>237</v>
      </c>
      <c r="S55" s="19" t="s">
        <v>79</v>
      </c>
      <c r="T55" s="19" t="s">
        <v>54</v>
      </c>
      <c r="U55" s="19" t="s">
        <v>54</v>
      </c>
      <c r="V55" s="93" t="s">
        <v>1118</v>
      </c>
      <c r="W55" s="93" t="s">
        <v>45</v>
      </c>
      <c r="X55" s="19" t="s">
        <v>46</v>
      </c>
      <c r="Y55" s="29"/>
      <c r="Z55" s="93"/>
      <c r="AA55" s="93"/>
      <c r="AB55" s="93" t="s">
        <v>357</v>
      </c>
      <c r="AC55" s="19" t="s">
        <v>214</v>
      </c>
      <c r="AD55" s="93"/>
      <c r="AE55" s="19">
        <v>70</v>
      </c>
      <c r="AF55" s="19">
        <v>70</v>
      </c>
      <c r="AG55" s="19" t="s">
        <v>270</v>
      </c>
      <c r="AH55" s="19"/>
      <c r="AI55" s="19"/>
      <c r="AJ55" s="19">
        <f>MEDIAN(7.9)</f>
        <v>7.9</v>
      </c>
      <c r="AK55" s="19" t="s">
        <v>112</v>
      </c>
      <c r="AL55" s="19"/>
      <c r="AM55" s="19" t="s">
        <v>234</v>
      </c>
      <c r="AN55" s="19" t="s">
        <v>234</v>
      </c>
      <c r="AO55" s="19" t="s">
        <v>235</v>
      </c>
      <c r="AP55" s="94">
        <v>2.5</v>
      </c>
      <c r="AQ55" s="19" t="s">
        <v>101</v>
      </c>
      <c r="AR55" s="19" t="s">
        <v>334</v>
      </c>
      <c r="AS55" s="19"/>
      <c r="AT55" s="65" t="str">
        <f t="shared" si="0"/>
        <v>Y</v>
      </c>
      <c r="AU55" s="65" t="str">
        <f t="shared" si="1"/>
        <v>Y</v>
      </c>
      <c r="AV55" s="65" t="str">
        <f t="shared" si="9"/>
        <v>Y</v>
      </c>
      <c r="AW55" s="99"/>
      <c r="AX55" s="99"/>
      <c r="AY55" s="93"/>
      <c r="AZ55" s="96" t="str">
        <f t="shared" si="3"/>
        <v>NOEC</v>
      </c>
      <c r="BA55" s="96">
        <f>IF(AZ55="n","n",VLOOKUP(AZ55,'Conversion factors'!$C$4:$D$24,2,FALSE))</f>
        <v>1</v>
      </c>
      <c r="BB55" s="96">
        <f t="shared" si="5"/>
        <v>34</v>
      </c>
      <c r="BC55" s="97"/>
      <c r="BD55" s="96" t="str">
        <f t="shared" si="4"/>
        <v>Chronic</v>
      </c>
      <c r="BE55" s="96" t="str">
        <f t="shared" si="6"/>
        <v>y</v>
      </c>
      <c r="BF55" s="98" t="str">
        <f t="shared" si="7"/>
        <v>NOEC</v>
      </c>
      <c r="BG55" s="96" t="s">
        <v>47</v>
      </c>
      <c r="BH55" s="99" t="s">
        <v>1638</v>
      </c>
      <c r="BI55" s="99" t="s">
        <v>1636</v>
      </c>
      <c r="BJ55" s="100"/>
    </row>
    <row r="56" spans="1:62" ht="15.75" customHeight="1" x14ac:dyDescent="0.2">
      <c r="A56" s="18"/>
      <c r="B56" s="19">
        <v>316</v>
      </c>
      <c r="D56" s="36">
        <v>156324</v>
      </c>
      <c r="E56" s="93" t="s">
        <v>1224</v>
      </c>
      <c r="F56" s="93">
        <v>2011</v>
      </c>
      <c r="G56" s="19" t="s">
        <v>1114</v>
      </c>
      <c r="H56" s="19"/>
      <c r="I56" s="19" t="s">
        <v>41</v>
      </c>
      <c r="J56" s="19" t="s">
        <v>1115</v>
      </c>
      <c r="K56" s="19" t="s">
        <v>161</v>
      </c>
      <c r="L56" s="19" t="s">
        <v>82</v>
      </c>
      <c r="M56" s="19" t="s">
        <v>82</v>
      </c>
      <c r="N56" s="19" t="s">
        <v>66</v>
      </c>
      <c r="O56" s="19" t="s">
        <v>1116</v>
      </c>
      <c r="P56" s="19" t="s">
        <v>162</v>
      </c>
      <c r="Q56" s="19"/>
      <c r="R56" s="19" t="s">
        <v>237</v>
      </c>
      <c r="S56" s="19" t="s">
        <v>79</v>
      </c>
      <c r="T56" s="19" t="s">
        <v>1117</v>
      </c>
      <c r="U56" s="19" t="s">
        <v>927</v>
      </c>
      <c r="V56" s="93" t="s">
        <v>247</v>
      </c>
      <c r="W56" s="93" t="s">
        <v>45</v>
      </c>
      <c r="X56" s="19" t="s">
        <v>46</v>
      </c>
      <c r="Y56" s="29"/>
      <c r="Z56" s="93"/>
      <c r="AA56" s="93"/>
      <c r="AB56" s="93" t="s">
        <v>1119</v>
      </c>
      <c r="AC56" s="19" t="s">
        <v>214</v>
      </c>
      <c r="AD56" s="93"/>
      <c r="AE56" s="19">
        <v>70</v>
      </c>
      <c r="AF56" s="19">
        <v>70</v>
      </c>
      <c r="AG56" s="19" t="s">
        <v>270</v>
      </c>
      <c r="AH56" s="19"/>
      <c r="AI56" s="19"/>
      <c r="AJ56" s="19">
        <v>7.9</v>
      </c>
      <c r="AK56" s="19" t="s">
        <v>112</v>
      </c>
      <c r="AL56" s="19"/>
      <c r="AM56" s="19" t="s">
        <v>234</v>
      </c>
      <c r="AN56" s="19" t="s">
        <v>234</v>
      </c>
      <c r="AO56" s="19" t="s">
        <v>235</v>
      </c>
      <c r="AP56" s="94">
        <v>2.5</v>
      </c>
      <c r="AQ56" s="19" t="s">
        <v>101</v>
      </c>
      <c r="AR56" s="19" t="s">
        <v>334</v>
      </c>
      <c r="AS56" s="19"/>
      <c r="AT56" s="65" t="str">
        <f t="shared" si="0"/>
        <v>Y</v>
      </c>
      <c r="AU56" s="65" t="str">
        <f t="shared" si="1"/>
        <v>Y</v>
      </c>
      <c r="AV56" s="65" t="s">
        <v>162</v>
      </c>
      <c r="AW56" s="99" t="s">
        <v>1638</v>
      </c>
      <c r="AX56" s="99" t="s">
        <v>1636</v>
      </c>
      <c r="AY56" s="93"/>
      <c r="AZ56" s="96" t="str">
        <f t="shared" si="3"/>
        <v>n</v>
      </c>
      <c r="BA56" s="96" t="str">
        <f>IF(AZ56="n","n",VLOOKUP(AZ56,'Conversion factors'!$C$4:$D$24,2,FALSE))</f>
        <v>n</v>
      </c>
      <c r="BB56" s="96" t="str">
        <f t="shared" si="5"/>
        <v>n</v>
      </c>
      <c r="BC56" s="97"/>
      <c r="BD56" s="96" t="str">
        <f t="shared" si="4"/>
        <v>n</v>
      </c>
      <c r="BE56" s="96" t="str">
        <f t="shared" si="6"/>
        <v>n</v>
      </c>
      <c r="BF56" s="98" t="str">
        <f t="shared" si="7"/>
        <v/>
      </c>
      <c r="BG56" s="96" t="str">
        <f>IF(BF56="","",IF(ISNUMBER(VLOOKUP(BF56,'Conversion factors'!$B$35:$C$52,2,FALSE)),"y","n"))</f>
        <v/>
      </c>
      <c r="BH56" s="99" t="s">
        <v>1638</v>
      </c>
      <c r="BI56" s="99" t="s">
        <v>1636</v>
      </c>
      <c r="BJ56" s="100"/>
    </row>
    <row r="57" spans="1:62" ht="15.75" customHeight="1" x14ac:dyDescent="0.2">
      <c r="A57" s="18"/>
      <c r="B57" s="19">
        <v>316</v>
      </c>
      <c r="D57" s="36">
        <v>156324</v>
      </c>
      <c r="E57" s="93" t="s">
        <v>1224</v>
      </c>
      <c r="F57" s="93">
        <v>2011</v>
      </c>
      <c r="G57" s="19" t="s">
        <v>1114</v>
      </c>
      <c r="H57" s="19"/>
      <c r="I57" s="19" t="s">
        <v>41</v>
      </c>
      <c r="J57" s="19" t="s">
        <v>1115</v>
      </c>
      <c r="K57" s="19" t="s">
        <v>161</v>
      </c>
      <c r="L57" s="19" t="s">
        <v>82</v>
      </c>
      <c r="M57" s="19" t="s">
        <v>82</v>
      </c>
      <c r="N57" s="19" t="s">
        <v>66</v>
      </c>
      <c r="O57" s="19" t="s">
        <v>1116</v>
      </c>
      <c r="P57" s="19" t="s">
        <v>162</v>
      </c>
      <c r="Q57" s="19"/>
      <c r="R57" s="19" t="s">
        <v>237</v>
      </c>
      <c r="S57" s="19" t="s">
        <v>79</v>
      </c>
      <c r="T57" s="19" t="s">
        <v>56</v>
      </c>
      <c r="U57" s="19" t="s">
        <v>44</v>
      </c>
      <c r="V57" s="93" t="s">
        <v>247</v>
      </c>
      <c r="W57" s="93" t="s">
        <v>45</v>
      </c>
      <c r="X57" s="19" t="s">
        <v>46</v>
      </c>
      <c r="Y57" s="29"/>
      <c r="Z57" s="93"/>
      <c r="AA57" s="93"/>
      <c r="AB57" s="93" t="s">
        <v>262</v>
      </c>
      <c r="AC57" s="19" t="s">
        <v>214</v>
      </c>
      <c r="AD57" s="93"/>
      <c r="AE57" s="19">
        <v>70</v>
      </c>
      <c r="AF57" s="19">
        <v>70</v>
      </c>
      <c r="AG57" s="19" t="s">
        <v>270</v>
      </c>
      <c r="AH57" s="19"/>
      <c r="AI57" s="19"/>
      <c r="AJ57" s="19">
        <v>7.9</v>
      </c>
      <c r="AK57" s="19" t="s">
        <v>112</v>
      </c>
      <c r="AL57" s="19"/>
      <c r="AM57" s="19" t="s">
        <v>234</v>
      </c>
      <c r="AN57" s="19" t="s">
        <v>234</v>
      </c>
      <c r="AO57" s="19" t="s">
        <v>235</v>
      </c>
      <c r="AP57" s="94">
        <v>2.5</v>
      </c>
      <c r="AQ57" s="19" t="s">
        <v>101</v>
      </c>
      <c r="AR57" s="19" t="s">
        <v>334</v>
      </c>
      <c r="AS57" s="19"/>
      <c r="AT57" s="65" t="str">
        <f t="shared" si="0"/>
        <v>Y</v>
      </c>
      <c r="AU57" s="65" t="str">
        <f t="shared" si="1"/>
        <v>Y</v>
      </c>
      <c r="AV57" s="65" t="str">
        <f t="shared" si="9"/>
        <v>Y</v>
      </c>
      <c r="AW57" s="99"/>
      <c r="AX57" s="99"/>
      <c r="AY57" s="93"/>
      <c r="AZ57" s="96" t="str">
        <f t="shared" si="3"/>
        <v>LC50</v>
      </c>
      <c r="BA57" s="96">
        <f>IF(AZ57="n","n",VLOOKUP(AZ57,'Conversion factors'!$C$4:$D$24,2,FALSE))</f>
        <v>5</v>
      </c>
      <c r="BB57" s="96">
        <f t="shared" si="5"/>
        <v>50</v>
      </c>
      <c r="BC57" s="97"/>
      <c r="BD57" s="96" t="str">
        <f t="shared" si="4"/>
        <v>Chronic</v>
      </c>
      <c r="BE57" s="96" t="str">
        <f t="shared" si="6"/>
        <v>y</v>
      </c>
      <c r="BF57" s="98" t="str">
        <f t="shared" si="7"/>
        <v>LC50</v>
      </c>
      <c r="BG57" s="96" t="str">
        <f>IF(BF57="","",IF(ISNUMBER(VLOOKUP(BF57,'Conversion factors'!$B$35:$C$52,2,FALSE)),"y","n"))</f>
        <v>n</v>
      </c>
      <c r="BH57" s="99" t="s">
        <v>1638</v>
      </c>
      <c r="BI57" s="99" t="s">
        <v>1636</v>
      </c>
      <c r="BJ57" s="100"/>
    </row>
    <row r="58" spans="1:62" ht="15.75" customHeight="1" x14ac:dyDescent="0.2">
      <c r="A58" s="18"/>
      <c r="B58" s="19">
        <v>316</v>
      </c>
      <c r="D58" s="36">
        <v>156324</v>
      </c>
      <c r="E58" s="93" t="s">
        <v>1224</v>
      </c>
      <c r="F58" s="93">
        <v>2011</v>
      </c>
      <c r="G58" s="19" t="s">
        <v>1114</v>
      </c>
      <c r="H58" s="19"/>
      <c r="I58" s="19" t="s">
        <v>41</v>
      </c>
      <c r="J58" s="19" t="s">
        <v>1115</v>
      </c>
      <c r="K58" s="19" t="s">
        <v>161</v>
      </c>
      <c r="L58" s="19" t="s">
        <v>82</v>
      </c>
      <c r="M58" s="19" t="s">
        <v>82</v>
      </c>
      <c r="N58" s="19" t="s">
        <v>66</v>
      </c>
      <c r="O58" s="19" t="s">
        <v>1116</v>
      </c>
      <c r="P58" s="19" t="s">
        <v>162</v>
      </c>
      <c r="Q58" s="19"/>
      <c r="R58" s="19" t="s">
        <v>237</v>
      </c>
      <c r="S58" s="19" t="s">
        <v>79</v>
      </c>
      <c r="T58" s="19" t="s">
        <v>1117</v>
      </c>
      <c r="U58" s="19" t="s">
        <v>927</v>
      </c>
      <c r="V58" s="93" t="s">
        <v>1222</v>
      </c>
      <c r="W58" s="93" t="s">
        <v>45</v>
      </c>
      <c r="X58" s="19" t="s">
        <v>46</v>
      </c>
      <c r="Y58" s="29"/>
      <c r="Z58" s="93"/>
      <c r="AA58" s="93"/>
      <c r="AB58" s="93" t="s">
        <v>697</v>
      </c>
      <c r="AC58" s="19" t="s">
        <v>214</v>
      </c>
      <c r="AD58" s="93"/>
      <c r="AE58" s="19">
        <v>70</v>
      </c>
      <c r="AF58" s="19">
        <v>70</v>
      </c>
      <c r="AG58" s="19" t="s">
        <v>270</v>
      </c>
      <c r="AH58" s="19"/>
      <c r="AI58" s="19"/>
      <c r="AJ58" s="19">
        <v>7.9</v>
      </c>
      <c r="AK58" s="19" t="s">
        <v>112</v>
      </c>
      <c r="AL58" s="19"/>
      <c r="AM58" s="19" t="s">
        <v>234</v>
      </c>
      <c r="AN58" s="19" t="s">
        <v>234</v>
      </c>
      <c r="AO58" s="19" t="s">
        <v>235</v>
      </c>
      <c r="AP58" s="94">
        <v>2.5</v>
      </c>
      <c r="AQ58" s="19" t="s">
        <v>101</v>
      </c>
      <c r="AR58" s="19" t="s">
        <v>334</v>
      </c>
      <c r="AS58" s="19"/>
      <c r="AT58" s="65" t="str">
        <f t="shared" si="0"/>
        <v>Y</v>
      </c>
      <c r="AU58" s="65" t="str">
        <f t="shared" si="1"/>
        <v>Y</v>
      </c>
      <c r="AV58" s="65" t="s">
        <v>162</v>
      </c>
      <c r="AW58" s="99" t="s">
        <v>1638</v>
      </c>
      <c r="AX58" s="99" t="s">
        <v>1636</v>
      </c>
      <c r="AY58" s="93"/>
      <c r="AZ58" s="96" t="str">
        <f t="shared" si="3"/>
        <v>n</v>
      </c>
      <c r="BA58" s="96" t="str">
        <f>IF(AZ58="n","n",VLOOKUP(AZ58,'Conversion factors'!$C$4:$D$24,2,FALSE))</f>
        <v>n</v>
      </c>
      <c r="BB58" s="96" t="str">
        <f t="shared" si="5"/>
        <v>n</v>
      </c>
      <c r="BC58" s="97"/>
      <c r="BD58" s="96" t="str">
        <f t="shared" si="4"/>
        <v>n</v>
      </c>
      <c r="BE58" s="96" t="str">
        <f t="shared" si="6"/>
        <v>n</v>
      </c>
      <c r="BF58" s="98" t="str">
        <f t="shared" si="7"/>
        <v/>
      </c>
      <c r="BG58" s="96" t="str">
        <f>IF(BF58="","",IF(ISNUMBER(VLOOKUP(BF58,'Conversion factors'!$B$35:$C$52,2,FALSE)),"y","n"))</f>
        <v/>
      </c>
      <c r="BH58" s="99" t="s">
        <v>1638</v>
      </c>
      <c r="BI58" s="99" t="s">
        <v>1636</v>
      </c>
      <c r="BJ58" s="100"/>
    </row>
    <row r="59" spans="1:62" ht="15.75" customHeight="1" x14ac:dyDescent="0.2">
      <c r="A59" s="18"/>
      <c r="B59" s="19">
        <v>316</v>
      </c>
      <c r="D59" s="36">
        <v>156324</v>
      </c>
      <c r="E59" s="93" t="s">
        <v>1224</v>
      </c>
      <c r="F59" s="93">
        <v>2011</v>
      </c>
      <c r="G59" s="19" t="s">
        <v>1114</v>
      </c>
      <c r="H59" s="19"/>
      <c r="I59" s="19" t="s">
        <v>41</v>
      </c>
      <c r="J59" s="19" t="s">
        <v>1115</v>
      </c>
      <c r="K59" s="19" t="s">
        <v>161</v>
      </c>
      <c r="L59" s="19" t="s">
        <v>82</v>
      </c>
      <c r="M59" s="19" t="s">
        <v>82</v>
      </c>
      <c r="N59" s="19" t="s">
        <v>66</v>
      </c>
      <c r="O59" s="19" t="s">
        <v>1116</v>
      </c>
      <c r="P59" s="19" t="s">
        <v>162</v>
      </c>
      <c r="Q59" s="19"/>
      <c r="R59" s="19" t="s">
        <v>237</v>
      </c>
      <c r="S59" s="19" t="s">
        <v>79</v>
      </c>
      <c r="T59" s="19" t="s">
        <v>56</v>
      </c>
      <c r="U59" s="19" t="s">
        <v>44</v>
      </c>
      <c r="V59" s="93" t="s">
        <v>1222</v>
      </c>
      <c r="W59" s="93" t="s">
        <v>45</v>
      </c>
      <c r="X59" s="19" t="s">
        <v>46</v>
      </c>
      <c r="Y59" s="29"/>
      <c r="Z59" s="93"/>
      <c r="AA59" s="93"/>
      <c r="AB59" s="93" t="s">
        <v>1012</v>
      </c>
      <c r="AC59" s="19" t="s">
        <v>214</v>
      </c>
      <c r="AD59" s="93"/>
      <c r="AE59" s="19">
        <v>70</v>
      </c>
      <c r="AF59" s="19">
        <v>70</v>
      </c>
      <c r="AG59" s="19" t="s">
        <v>270</v>
      </c>
      <c r="AH59" s="19"/>
      <c r="AI59" s="19"/>
      <c r="AJ59" s="19">
        <v>7.9</v>
      </c>
      <c r="AK59" s="19" t="s">
        <v>112</v>
      </c>
      <c r="AL59" s="19"/>
      <c r="AM59" s="19" t="s">
        <v>234</v>
      </c>
      <c r="AN59" s="19" t="s">
        <v>234</v>
      </c>
      <c r="AO59" s="19" t="s">
        <v>235</v>
      </c>
      <c r="AP59" s="94">
        <v>2.5</v>
      </c>
      <c r="AQ59" s="19" t="s">
        <v>101</v>
      </c>
      <c r="AR59" s="19" t="s">
        <v>334</v>
      </c>
      <c r="AS59" s="19"/>
      <c r="AT59" s="65" t="str">
        <f t="shared" si="0"/>
        <v>Y</v>
      </c>
      <c r="AU59" s="65" t="str">
        <f t="shared" si="1"/>
        <v>Y</v>
      </c>
      <c r="AV59" s="65" t="str">
        <f t="shared" si="9"/>
        <v>Y</v>
      </c>
      <c r="AW59" s="99"/>
      <c r="AX59" s="99"/>
      <c r="AY59" s="93"/>
      <c r="AZ59" s="96" t="str">
        <f t="shared" si="3"/>
        <v>LC50</v>
      </c>
      <c r="BA59" s="96">
        <f>IF(AZ59="n","n",VLOOKUP(AZ59,'Conversion factors'!$C$4:$D$24,2,FALSE))</f>
        <v>5</v>
      </c>
      <c r="BB59" s="96">
        <f t="shared" si="5"/>
        <v>68</v>
      </c>
      <c r="BC59" s="97"/>
      <c r="BD59" s="96" t="str">
        <f t="shared" si="4"/>
        <v>Chronic</v>
      </c>
      <c r="BE59" s="96" t="str">
        <f t="shared" si="6"/>
        <v>y</v>
      </c>
      <c r="BF59" s="98" t="str">
        <f t="shared" si="7"/>
        <v>LC50</v>
      </c>
      <c r="BG59" s="96" t="str">
        <f>IF(BF59="","",IF(ISNUMBER(VLOOKUP(BF59,'Conversion factors'!$B$35:$C$52,2,FALSE)),"y","n"))</f>
        <v>n</v>
      </c>
      <c r="BH59" s="99" t="s">
        <v>1638</v>
      </c>
      <c r="BI59" s="99" t="s">
        <v>1636</v>
      </c>
      <c r="BJ59" s="100"/>
    </row>
    <row r="60" spans="1:62" ht="15.75" customHeight="1" x14ac:dyDescent="0.2">
      <c r="A60" s="18"/>
      <c r="B60" s="19">
        <v>105</v>
      </c>
      <c r="C60" s="20">
        <v>205305</v>
      </c>
      <c r="D60" s="36">
        <v>5305</v>
      </c>
      <c r="E60" s="93" t="s">
        <v>1324</v>
      </c>
      <c r="F60" s="93">
        <v>1978</v>
      </c>
      <c r="G60" s="19"/>
      <c r="H60" s="19" t="s">
        <v>51</v>
      </c>
      <c r="I60" s="19" t="s">
        <v>41</v>
      </c>
      <c r="J60" s="19" t="s">
        <v>120</v>
      </c>
      <c r="K60" s="19" t="s">
        <v>161</v>
      </c>
      <c r="L60" s="19" t="s">
        <v>82</v>
      </c>
      <c r="M60" s="19" t="s">
        <v>82</v>
      </c>
      <c r="N60" s="19" t="s">
        <v>66</v>
      </c>
      <c r="O60" s="19" t="s">
        <v>154</v>
      </c>
      <c r="P60" s="19" t="s">
        <v>51</v>
      </c>
      <c r="Q60" s="19"/>
      <c r="R60" s="19" t="s">
        <v>158</v>
      </c>
      <c r="S60" s="19" t="s">
        <v>157</v>
      </c>
      <c r="T60" s="19" t="s">
        <v>56</v>
      </c>
      <c r="U60" s="19" t="s">
        <v>44</v>
      </c>
      <c r="V60" s="93">
        <v>7</v>
      </c>
      <c r="W60" s="93" t="s">
        <v>45</v>
      </c>
      <c r="X60" s="19" t="s">
        <v>46</v>
      </c>
      <c r="Y60" s="29"/>
      <c r="Z60" s="93"/>
      <c r="AA60" s="93"/>
      <c r="AB60" s="93">
        <v>2540</v>
      </c>
      <c r="AC60" s="19" t="s">
        <v>214</v>
      </c>
      <c r="AD60" s="93"/>
      <c r="AE60" s="19">
        <v>195</v>
      </c>
      <c r="AF60" s="19">
        <v>195</v>
      </c>
      <c r="AG60" s="19"/>
      <c r="AH60" s="19"/>
      <c r="AI60" s="19"/>
      <c r="AJ60" s="19">
        <v>7.4</v>
      </c>
      <c r="AK60" s="19" t="s">
        <v>117</v>
      </c>
      <c r="AL60" s="19"/>
      <c r="AM60" s="19" t="s">
        <v>48</v>
      </c>
      <c r="AN60" s="19"/>
      <c r="AO60" s="19"/>
      <c r="AP60" s="94"/>
      <c r="AQ60" s="19" t="s">
        <v>121</v>
      </c>
      <c r="AR60" s="19" t="s">
        <v>200</v>
      </c>
      <c r="AS60" s="19"/>
      <c r="AT60" s="65" t="str">
        <f t="shared" si="0"/>
        <v>N</v>
      </c>
      <c r="AU60" s="65" t="str">
        <f t="shared" si="1"/>
        <v>N</v>
      </c>
      <c r="AV60" s="65" t="str">
        <f t="shared" si="9"/>
        <v>N</v>
      </c>
      <c r="AW60" s="95" t="s">
        <v>1465</v>
      </c>
      <c r="AX60" s="95"/>
      <c r="AY60" s="93"/>
      <c r="AZ60" s="96" t="str">
        <f t="shared" si="3"/>
        <v>n</v>
      </c>
      <c r="BA60" s="96" t="str">
        <f>IF(AZ60="n","n",VLOOKUP(AZ60,'Conversion factors'!$C$4:$D$24,2,FALSE))</f>
        <v>n</v>
      </c>
      <c r="BB60" s="96" t="str">
        <f t="shared" si="5"/>
        <v>n</v>
      </c>
      <c r="BC60" s="97"/>
      <c r="BD60" s="96" t="str">
        <f t="shared" si="4"/>
        <v>n</v>
      </c>
      <c r="BE60" s="96" t="str">
        <f t="shared" si="6"/>
        <v>n</v>
      </c>
      <c r="BF60" s="98" t="str">
        <f t="shared" si="7"/>
        <v/>
      </c>
      <c r="BG60" s="96" t="str">
        <f>IF(BF60="","",IF(ISNUMBER(VLOOKUP(BF60,'Conversion factors'!$B$35:$C$52,2,FALSE)),"y","n"))</f>
        <v/>
      </c>
      <c r="BH60" s="99"/>
      <c r="BI60" s="100"/>
      <c r="BJ60" s="100"/>
    </row>
    <row r="61" spans="1:62" ht="15.75" customHeight="1" x14ac:dyDescent="0.2">
      <c r="A61" s="18"/>
      <c r="B61" s="19">
        <v>105</v>
      </c>
      <c r="C61" s="20">
        <v>205305</v>
      </c>
      <c r="D61" s="36">
        <v>5305</v>
      </c>
      <c r="E61" s="93" t="s">
        <v>1324</v>
      </c>
      <c r="F61" s="93">
        <v>1978</v>
      </c>
      <c r="G61" s="19"/>
      <c r="H61" s="19" t="s">
        <v>51</v>
      </c>
      <c r="I61" s="19" t="s">
        <v>41</v>
      </c>
      <c r="J61" s="19" t="s">
        <v>120</v>
      </c>
      <c r="K61" s="19" t="s">
        <v>161</v>
      </c>
      <c r="L61" s="19" t="s">
        <v>82</v>
      </c>
      <c r="M61" s="19" t="s">
        <v>82</v>
      </c>
      <c r="N61" s="19" t="s">
        <v>66</v>
      </c>
      <c r="O61" s="19" t="s">
        <v>154</v>
      </c>
      <c r="P61" s="19" t="s">
        <v>51</v>
      </c>
      <c r="Q61" s="19"/>
      <c r="R61" s="19" t="s">
        <v>158</v>
      </c>
      <c r="S61" s="19" t="s">
        <v>157</v>
      </c>
      <c r="T61" s="19" t="s">
        <v>56</v>
      </c>
      <c r="U61" s="19" t="s">
        <v>44</v>
      </c>
      <c r="V61" s="93">
        <v>7</v>
      </c>
      <c r="W61" s="93" t="s">
        <v>45</v>
      </c>
      <c r="X61" s="19" t="s">
        <v>46</v>
      </c>
      <c r="Y61" s="29"/>
      <c r="Z61" s="93"/>
      <c r="AA61" s="93"/>
      <c r="AB61" s="93">
        <v>26.5</v>
      </c>
      <c r="AC61" s="19" t="s">
        <v>214</v>
      </c>
      <c r="AD61" s="93"/>
      <c r="AE61" s="19">
        <v>195</v>
      </c>
      <c r="AF61" s="19">
        <v>195</v>
      </c>
      <c r="AG61" s="19"/>
      <c r="AH61" s="19"/>
      <c r="AI61" s="19"/>
      <c r="AJ61" s="19">
        <v>7.4</v>
      </c>
      <c r="AK61" s="19" t="s">
        <v>117</v>
      </c>
      <c r="AL61" s="19"/>
      <c r="AM61" s="19" t="s">
        <v>48</v>
      </c>
      <c r="AN61" s="19"/>
      <c r="AO61" s="19"/>
      <c r="AP61" s="94"/>
      <c r="AQ61" s="19" t="s">
        <v>121</v>
      </c>
      <c r="AR61" s="19" t="s">
        <v>200</v>
      </c>
      <c r="AS61" s="19"/>
      <c r="AT61" s="65" t="str">
        <f t="shared" si="0"/>
        <v>N</v>
      </c>
      <c r="AU61" s="65" t="str">
        <f t="shared" si="1"/>
        <v>N</v>
      </c>
      <c r="AV61" s="65" t="str">
        <f t="shared" si="9"/>
        <v>N</v>
      </c>
      <c r="AW61" s="95" t="s">
        <v>1465</v>
      </c>
      <c r="AX61" s="95"/>
      <c r="AY61" s="93"/>
      <c r="AZ61" s="96" t="str">
        <f t="shared" si="3"/>
        <v>n</v>
      </c>
      <c r="BA61" s="96" t="str">
        <f>IF(AZ61="n","n",VLOOKUP(AZ61,'Conversion factors'!$C$4:$D$24,2,FALSE))</f>
        <v>n</v>
      </c>
      <c r="BB61" s="96" t="str">
        <f t="shared" si="5"/>
        <v>n</v>
      </c>
      <c r="BC61" s="97"/>
      <c r="BD61" s="96" t="str">
        <f t="shared" si="4"/>
        <v>n</v>
      </c>
      <c r="BE61" s="96" t="str">
        <f t="shared" si="6"/>
        <v>n</v>
      </c>
      <c r="BF61" s="98" t="str">
        <f t="shared" si="7"/>
        <v/>
      </c>
      <c r="BG61" s="96" t="str">
        <f>IF(BF61="","",IF(ISNUMBER(VLOOKUP(BF61,'Conversion factors'!$B$35:$C$52,2,FALSE)),"y","n"))</f>
        <v/>
      </c>
      <c r="BH61" s="99"/>
      <c r="BI61" s="100"/>
      <c r="BJ61" s="100"/>
    </row>
    <row r="62" spans="1:62" ht="15.75" customHeight="1" x14ac:dyDescent="0.2">
      <c r="A62" s="18"/>
      <c r="B62" s="19">
        <v>258</v>
      </c>
      <c r="D62" s="36">
        <v>84088</v>
      </c>
      <c r="E62" s="93" t="s">
        <v>1224</v>
      </c>
      <c r="F62" s="93">
        <v>1996</v>
      </c>
      <c r="G62" s="19" t="s">
        <v>325</v>
      </c>
      <c r="H62" s="19"/>
      <c r="I62" s="19" t="s">
        <v>41</v>
      </c>
      <c r="J62" s="19" t="s">
        <v>120</v>
      </c>
      <c r="K62" s="19" t="s">
        <v>161</v>
      </c>
      <c r="L62" s="99" t="s">
        <v>82</v>
      </c>
      <c r="M62" s="19" t="s">
        <v>82</v>
      </c>
      <c r="N62" s="19" t="s">
        <v>66</v>
      </c>
      <c r="O62" s="19" t="s">
        <v>185</v>
      </c>
      <c r="P62" s="19" t="s">
        <v>51</v>
      </c>
      <c r="Q62" s="19"/>
      <c r="R62" s="19" t="s">
        <v>537</v>
      </c>
      <c r="S62" s="19" t="s">
        <v>882</v>
      </c>
      <c r="T62" s="19" t="s">
        <v>54</v>
      </c>
      <c r="U62" s="19" t="s">
        <v>54</v>
      </c>
      <c r="V62" s="93" t="s">
        <v>1213</v>
      </c>
      <c r="W62" s="93" t="s">
        <v>231</v>
      </c>
      <c r="X62" s="19" t="s">
        <v>46</v>
      </c>
      <c r="Y62" s="29"/>
      <c r="Z62" s="93"/>
      <c r="AA62" s="93"/>
      <c r="AB62" s="93" t="s">
        <v>326</v>
      </c>
      <c r="AC62" s="19" t="s">
        <v>214</v>
      </c>
      <c r="AD62" s="93"/>
      <c r="AE62" s="102">
        <v>6.1</v>
      </c>
      <c r="AF62" s="102" t="s">
        <v>1407</v>
      </c>
      <c r="AG62" s="19" t="s">
        <v>879</v>
      </c>
      <c r="AH62" s="19"/>
      <c r="AI62" s="19"/>
      <c r="AJ62" s="19" t="s">
        <v>1503</v>
      </c>
      <c r="AK62" s="19" t="s">
        <v>234</v>
      </c>
      <c r="AL62" s="19"/>
      <c r="AM62" s="19" t="s">
        <v>234</v>
      </c>
      <c r="AN62" s="19" t="s">
        <v>234</v>
      </c>
      <c r="AO62" s="19" t="s">
        <v>235</v>
      </c>
      <c r="AP62" s="94"/>
      <c r="AQ62" s="19" t="s">
        <v>880</v>
      </c>
      <c r="AR62" s="19" t="s">
        <v>881</v>
      </c>
      <c r="AS62" s="19"/>
      <c r="AT62" s="65" t="str">
        <f t="shared" si="0"/>
        <v>Y</v>
      </c>
      <c r="AU62" s="65" t="str">
        <f t="shared" si="1"/>
        <v>N</v>
      </c>
      <c r="AV62" s="65" t="str">
        <f t="shared" si="9"/>
        <v>N</v>
      </c>
      <c r="AW62" s="99" t="s">
        <v>1492</v>
      </c>
      <c r="AX62" s="99"/>
      <c r="AY62" s="93"/>
      <c r="AZ62" s="96" t="str">
        <f t="shared" si="3"/>
        <v>n</v>
      </c>
      <c r="BA62" s="96" t="str">
        <f>IF(AZ62="n","n",VLOOKUP(AZ62,'Conversion factors'!$C$4:$D$24,2,FALSE))</f>
        <v>n</v>
      </c>
      <c r="BB62" s="96" t="str">
        <f t="shared" si="5"/>
        <v>n</v>
      </c>
      <c r="BC62" s="97"/>
      <c r="BD62" s="96" t="str">
        <f t="shared" si="4"/>
        <v>n</v>
      </c>
      <c r="BE62" s="96" t="str">
        <f t="shared" si="6"/>
        <v>n</v>
      </c>
      <c r="BF62" s="98" t="str">
        <f t="shared" si="7"/>
        <v/>
      </c>
      <c r="BG62" s="96" t="str">
        <f>IF(BF62="","",IF(ISNUMBER(VLOOKUP(BF62,'Conversion factors'!$B$35:$C$52,2,FALSE)),"y","n"))</f>
        <v/>
      </c>
      <c r="BH62" s="99"/>
      <c r="BI62" s="100"/>
      <c r="BJ62" s="100"/>
    </row>
    <row r="63" spans="1:62" ht="15.75" customHeight="1" x14ac:dyDescent="0.2">
      <c r="A63" s="18"/>
      <c r="B63" s="19">
        <v>258</v>
      </c>
      <c r="D63" s="36">
        <v>84088</v>
      </c>
      <c r="E63" s="93" t="s">
        <v>1224</v>
      </c>
      <c r="F63" s="93">
        <v>1996</v>
      </c>
      <c r="G63" s="19" t="s">
        <v>325</v>
      </c>
      <c r="H63" s="19"/>
      <c r="I63" s="19" t="s">
        <v>41</v>
      </c>
      <c r="J63" s="19" t="s">
        <v>120</v>
      </c>
      <c r="K63" s="19" t="s">
        <v>161</v>
      </c>
      <c r="L63" s="99" t="s">
        <v>82</v>
      </c>
      <c r="M63" s="19" t="s">
        <v>82</v>
      </c>
      <c r="N63" s="19" t="s">
        <v>66</v>
      </c>
      <c r="O63" s="19" t="s">
        <v>185</v>
      </c>
      <c r="P63" s="19" t="s">
        <v>51</v>
      </c>
      <c r="Q63" s="19"/>
      <c r="R63" s="19" t="s">
        <v>537</v>
      </c>
      <c r="S63" s="19" t="s">
        <v>882</v>
      </c>
      <c r="T63" s="19" t="s">
        <v>54</v>
      </c>
      <c r="U63" s="19" t="s">
        <v>54</v>
      </c>
      <c r="V63" s="93" t="s">
        <v>1213</v>
      </c>
      <c r="W63" s="93" t="s">
        <v>231</v>
      </c>
      <c r="X63" s="19" t="s">
        <v>46</v>
      </c>
      <c r="Y63" s="29"/>
      <c r="Z63" s="93"/>
      <c r="AA63" s="93"/>
      <c r="AB63" s="93" t="s">
        <v>326</v>
      </c>
      <c r="AC63" s="19" t="s">
        <v>214</v>
      </c>
      <c r="AD63" s="93"/>
      <c r="AE63" s="102">
        <v>6.1</v>
      </c>
      <c r="AF63" s="102" t="s">
        <v>1407</v>
      </c>
      <c r="AG63" s="19" t="s">
        <v>879</v>
      </c>
      <c r="AH63" s="19"/>
      <c r="AI63" s="19"/>
      <c r="AJ63" s="19" t="s">
        <v>1503</v>
      </c>
      <c r="AK63" s="19" t="s">
        <v>234</v>
      </c>
      <c r="AL63" s="19"/>
      <c r="AM63" s="19" t="s">
        <v>234</v>
      </c>
      <c r="AN63" s="19" t="s">
        <v>234</v>
      </c>
      <c r="AO63" s="19" t="s">
        <v>235</v>
      </c>
      <c r="AP63" s="94"/>
      <c r="AQ63" s="19" t="s">
        <v>880</v>
      </c>
      <c r="AR63" s="19" t="s">
        <v>881</v>
      </c>
      <c r="AS63" s="19"/>
      <c r="AT63" s="65" t="str">
        <f t="shared" si="0"/>
        <v>Y</v>
      </c>
      <c r="AU63" s="65" t="str">
        <f t="shared" si="1"/>
        <v>N</v>
      </c>
      <c r="AV63" s="65" t="str">
        <f t="shared" si="9"/>
        <v>N</v>
      </c>
      <c r="AW63" s="99" t="s">
        <v>1492</v>
      </c>
      <c r="AX63" s="99"/>
      <c r="AY63" s="93"/>
      <c r="AZ63" s="96" t="str">
        <f t="shared" si="3"/>
        <v>n</v>
      </c>
      <c r="BA63" s="96" t="str">
        <f>IF(AZ63="n","n",VLOOKUP(AZ63,'Conversion factors'!$C$4:$D$24,2,FALSE))</f>
        <v>n</v>
      </c>
      <c r="BB63" s="96" t="str">
        <f t="shared" si="5"/>
        <v>n</v>
      </c>
      <c r="BC63" s="97"/>
      <c r="BD63" s="96" t="str">
        <f t="shared" si="4"/>
        <v>n</v>
      </c>
      <c r="BE63" s="96" t="str">
        <f t="shared" si="6"/>
        <v>n</v>
      </c>
      <c r="BF63" s="98" t="str">
        <f t="shared" si="7"/>
        <v/>
      </c>
      <c r="BG63" s="96" t="str">
        <f>IF(BF63="","",IF(ISNUMBER(VLOOKUP(BF63,'Conversion factors'!$B$35:$C$52,2,FALSE)),"y","n"))</f>
        <v/>
      </c>
      <c r="BH63" s="99"/>
      <c r="BI63" s="100"/>
      <c r="BJ63" s="100"/>
    </row>
    <row r="64" spans="1:62" ht="15.75" customHeight="1" x14ac:dyDescent="0.2">
      <c r="A64" s="18"/>
      <c r="B64" s="19">
        <v>258</v>
      </c>
      <c r="D64" s="36">
        <v>84088</v>
      </c>
      <c r="E64" s="93" t="s">
        <v>1224</v>
      </c>
      <c r="F64" s="93">
        <v>1996</v>
      </c>
      <c r="G64" s="19" t="s">
        <v>325</v>
      </c>
      <c r="H64" s="19"/>
      <c r="I64" s="19" t="s">
        <v>41</v>
      </c>
      <c r="J64" s="19" t="s">
        <v>120</v>
      </c>
      <c r="K64" s="19" t="s">
        <v>161</v>
      </c>
      <c r="L64" s="99" t="s">
        <v>82</v>
      </c>
      <c r="M64" s="19" t="s">
        <v>82</v>
      </c>
      <c r="N64" s="19" t="s">
        <v>66</v>
      </c>
      <c r="O64" s="19" t="s">
        <v>185</v>
      </c>
      <c r="P64" s="19" t="s">
        <v>51</v>
      </c>
      <c r="Q64" s="19"/>
      <c r="R64" s="19" t="s">
        <v>76</v>
      </c>
      <c r="S64" s="19" t="s">
        <v>396</v>
      </c>
      <c r="T64" s="19" t="s">
        <v>54</v>
      </c>
      <c r="U64" s="19" t="s">
        <v>54</v>
      </c>
      <c r="V64" s="93" t="s">
        <v>1212</v>
      </c>
      <c r="W64" s="93" t="s">
        <v>231</v>
      </c>
      <c r="X64" s="19" t="s">
        <v>46</v>
      </c>
      <c r="Y64" s="29"/>
      <c r="Z64" s="93"/>
      <c r="AA64" s="93"/>
      <c r="AB64" s="93" t="s">
        <v>326</v>
      </c>
      <c r="AC64" s="19" t="s">
        <v>214</v>
      </c>
      <c r="AD64" s="93"/>
      <c r="AE64" s="102">
        <v>6.1</v>
      </c>
      <c r="AF64" s="102" t="s">
        <v>1407</v>
      </c>
      <c r="AG64" s="19" t="s">
        <v>879</v>
      </c>
      <c r="AH64" s="19"/>
      <c r="AI64" s="19"/>
      <c r="AJ64" s="19" t="s">
        <v>1503</v>
      </c>
      <c r="AK64" s="19" t="s">
        <v>234</v>
      </c>
      <c r="AL64" s="19"/>
      <c r="AM64" s="19" t="s">
        <v>234</v>
      </c>
      <c r="AN64" s="19" t="s">
        <v>234</v>
      </c>
      <c r="AO64" s="19" t="s">
        <v>235</v>
      </c>
      <c r="AP64" s="94"/>
      <c r="AQ64" s="19" t="s">
        <v>880</v>
      </c>
      <c r="AR64" s="19" t="s">
        <v>881</v>
      </c>
      <c r="AS64" s="19"/>
      <c r="AT64" s="65" t="str">
        <f t="shared" si="0"/>
        <v>Y</v>
      </c>
      <c r="AU64" s="65" t="str">
        <f t="shared" si="1"/>
        <v>N</v>
      </c>
      <c r="AV64" s="65" t="str">
        <f t="shared" si="9"/>
        <v>N</v>
      </c>
      <c r="AW64" s="99" t="s">
        <v>1522</v>
      </c>
      <c r="AX64" s="99"/>
      <c r="AY64" s="93"/>
      <c r="AZ64" s="96" t="str">
        <f t="shared" si="3"/>
        <v>n</v>
      </c>
      <c r="BA64" s="96" t="str">
        <f>IF(AZ64="n","n",VLOOKUP(AZ64,'Conversion factors'!$C$4:$D$24,2,FALSE))</f>
        <v>n</v>
      </c>
      <c r="BB64" s="96" t="str">
        <f t="shared" si="5"/>
        <v>n</v>
      </c>
      <c r="BC64" s="97"/>
      <c r="BD64" s="96" t="str">
        <f t="shared" si="4"/>
        <v>n</v>
      </c>
      <c r="BE64" s="96" t="str">
        <f t="shared" si="6"/>
        <v>n</v>
      </c>
      <c r="BF64" s="98" t="str">
        <f t="shared" si="7"/>
        <v/>
      </c>
      <c r="BG64" s="96" t="str">
        <f>IF(BF64="","",IF(ISNUMBER(VLOOKUP(BF64,'Conversion factors'!$B$35:$C$52,2,FALSE)),"y","n"))</f>
        <v/>
      </c>
      <c r="BH64" s="99"/>
      <c r="BI64" s="100"/>
      <c r="BJ64" s="100"/>
    </row>
    <row r="65" spans="1:62" ht="15.75" customHeight="1" x14ac:dyDescent="0.2">
      <c r="A65" s="18"/>
      <c r="B65" s="19">
        <v>258</v>
      </c>
      <c r="D65" s="36">
        <v>84088</v>
      </c>
      <c r="E65" s="93" t="s">
        <v>1224</v>
      </c>
      <c r="F65" s="93">
        <v>1996</v>
      </c>
      <c r="G65" s="19" t="s">
        <v>325</v>
      </c>
      <c r="H65" s="19"/>
      <c r="I65" s="19" t="s">
        <v>41</v>
      </c>
      <c r="J65" s="19" t="s">
        <v>120</v>
      </c>
      <c r="K65" s="19" t="s">
        <v>161</v>
      </c>
      <c r="L65" s="99" t="s">
        <v>82</v>
      </c>
      <c r="M65" s="19" t="s">
        <v>82</v>
      </c>
      <c r="N65" s="19" t="s">
        <v>66</v>
      </c>
      <c r="O65" s="19" t="s">
        <v>185</v>
      </c>
      <c r="P65" s="19" t="s">
        <v>51</v>
      </c>
      <c r="Q65" s="19"/>
      <c r="R65" s="19" t="s">
        <v>76</v>
      </c>
      <c r="S65" s="19" t="s">
        <v>396</v>
      </c>
      <c r="T65" s="19" t="s">
        <v>54</v>
      </c>
      <c r="U65" s="19" t="s">
        <v>54</v>
      </c>
      <c r="V65" s="93" t="s">
        <v>1214</v>
      </c>
      <c r="W65" s="93" t="s">
        <v>231</v>
      </c>
      <c r="X65" s="19" t="s">
        <v>46</v>
      </c>
      <c r="Y65" s="29"/>
      <c r="Z65" s="93"/>
      <c r="AA65" s="93"/>
      <c r="AB65" s="93" t="s">
        <v>326</v>
      </c>
      <c r="AC65" s="19" t="s">
        <v>214</v>
      </c>
      <c r="AD65" s="93"/>
      <c r="AE65" s="102">
        <v>6.1</v>
      </c>
      <c r="AF65" s="102" t="s">
        <v>1407</v>
      </c>
      <c r="AG65" s="19" t="s">
        <v>879</v>
      </c>
      <c r="AH65" s="19"/>
      <c r="AI65" s="19"/>
      <c r="AJ65" s="19" t="s">
        <v>1503</v>
      </c>
      <c r="AK65" s="19" t="s">
        <v>234</v>
      </c>
      <c r="AL65" s="19"/>
      <c r="AM65" s="19" t="s">
        <v>234</v>
      </c>
      <c r="AN65" s="19" t="s">
        <v>234</v>
      </c>
      <c r="AO65" s="19" t="s">
        <v>235</v>
      </c>
      <c r="AP65" s="94"/>
      <c r="AQ65" s="19" t="s">
        <v>880</v>
      </c>
      <c r="AR65" s="19" t="s">
        <v>881</v>
      </c>
      <c r="AS65" s="19"/>
      <c r="AT65" s="65" t="str">
        <f t="shared" si="0"/>
        <v>Y</v>
      </c>
      <c r="AU65" s="65" t="str">
        <f t="shared" si="1"/>
        <v>N</v>
      </c>
      <c r="AV65" s="65" t="str">
        <f t="shared" si="9"/>
        <v>N</v>
      </c>
      <c r="AW65" s="99" t="s">
        <v>1522</v>
      </c>
      <c r="AX65" s="99"/>
      <c r="AY65" s="93"/>
      <c r="AZ65" s="96" t="str">
        <f t="shared" si="3"/>
        <v>n</v>
      </c>
      <c r="BA65" s="96" t="str">
        <f>IF(AZ65="n","n",VLOOKUP(AZ65,'Conversion factors'!$C$4:$D$24,2,FALSE))</f>
        <v>n</v>
      </c>
      <c r="BB65" s="96" t="str">
        <f t="shared" si="5"/>
        <v>n</v>
      </c>
      <c r="BC65" s="97"/>
      <c r="BD65" s="96" t="str">
        <f t="shared" si="4"/>
        <v>n</v>
      </c>
      <c r="BE65" s="96" t="str">
        <f t="shared" si="6"/>
        <v>n</v>
      </c>
      <c r="BF65" s="98" t="str">
        <f t="shared" si="7"/>
        <v/>
      </c>
      <c r="BG65" s="96" t="str">
        <f>IF(BF65="","",IF(ISNUMBER(VLOOKUP(BF65,'Conversion factors'!$B$35:$C$52,2,FALSE)),"y","n"))</f>
        <v/>
      </c>
      <c r="BH65" s="99"/>
      <c r="BI65" s="100"/>
      <c r="BJ65" s="100"/>
    </row>
    <row r="66" spans="1:62" ht="15.75" customHeight="1" x14ac:dyDescent="0.2">
      <c r="A66" s="18"/>
      <c r="B66" s="19">
        <v>258</v>
      </c>
      <c r="D66" s="36">
        <v>84088</v>
      </c>
      <c r="E66" s="93" t="s">
        <v>1224</v>
      </c>
      <c r="F66" s="93">
        <v>1996</v>
      </c>
      <c r="G66" s="19" t="s">
        <v>325</v>
      </c>
      <c r="H66" s="19"/>
      <c r="I66" s="19" t="s">
        <v>41</v>
      </c>
      <c r="J66" s="19" t="s">
        <v>120</v>
      </c>
      <c r="K66" s="19" t="s">
        <v>161</v>
      </c>
      <c r="L66" s="99" t="s">
        <v>82</v>
      </c>
      <c r="M66" s="19" t="s">
        <v>82</v>
      </c>
      <c r="N66" s="19" t="s">
        <v>66</v>
      </c>
      <c r="O66" s="19" t="s">
        <v>185</v>
      </c>
      <c r="P66" s="19" t="s">
        <v>51</v>
      </c>
      <c r="Q66" s="19"/>
      <c r="R66" s="19" t="s">
        <v>76</v>
      </c>
      <c r="S66" s="19" t="s">
        <v>396</v>
      </c>
      <c r="T66" s="19" t="s">
        <v>54</v>
      </c>
      <c r="U66" s="19" t="s">
        <v>54</v>
      </c>
      <c r="V66" s="93" t="s">
        <v>1213</v>
      </c>
      <c r="W66" s="93" t="s">
        <v>231</v>
      </c>
      <c r="X66" s="19" t="s">
        <v>46</v>
      </c>
      <c r="Y66" s="29"/>
      <c r="Z66" s="93"/>
      <c r="AA66" s="93"/>
      <c r="AB66" s="93" t="s">
        <v>326</v>
      </c>
      <c r="AC66" s="19" t="s">
        <v>214</v>
      </c>
      <c r="AD66" s="93"/>
      <c r="AE66" s="102">
        <v>6.1</v>
      </c>
      <c r="AF66" s="102" t="s">
        <v>1407</v>
      </c>
      <c r="AG66" s="19" t="s">
        <v>879</v>
      </c>
      <c r="AH66" s="19"/>
      <c r="AI66" s="19"/>
      <c r="AJ66" s="19" t="s">
        <v>1503</v>
      </c>
      <c r="AK66" s="19" t="s">
        <v>234</v>
      </c>
      <c r="AL66" s="19"/>
      <c r="AM66" s="19" t="s">
        <v>234</v>
      </c>
      <c r="AN66" s="19" t="s">
        <v>234</v>
      </c>
      <c r="AO66" s="19" t="s">
        <v>235</v>
      </c>
      <c r="AP66" s="94"/>
      <c r="AQ66" s="19" t="s">
        <v>880</v>
      </c>
      <c r="AR66" s="19" t="s">
        <v>881</v>
      </c>
      <c r="AS66" s="19"/>
      <c r="AT66" s="65" t="str">
        <f t="shared" si="0"/>
        <v>Y</v>
      </c>
      <c r="AU66" s="65" t="str">
        <f t="shared" si="1"/>
        <v>N</v>
      </c>
      <c r="AV66" s="65" t="str">
        <f t="shared" si="9"/>
        <v>N</v>
      </c>
      <c r="AW66" s="99" t="s">
        <v>1522</v>
      </c>
      <c r="AX66" s="99"/>
      <c r="AY66" s="93"/>
      <c r="AZ66" s="96" t="str">
        <f t="shared" si="3"/>
        <v>n</v>
      </c>
      <c r="BA66" s="96" t="str">
        <f>IF(AZ66="n","n",VLOOKUP(AZ66,'Conversion factors'!$C$4:$D$24,2,FALSE))</f>
        <v>n</v>
      </c>
      <c r="BB66" s="96" t="str">
        <f t="shared" si="5"/>
        <v>n</v>
      </c>
      <c r="BC66" s="97"/>
      <c r="BD66" s="96" t="str">
        <f t="shared" si="4"/>
        <v>n</v>
      </c>
      <c r="BE66" s="96" t="str">
        <f t="shared" si="6"/>
        <v>n</v>
      </c>
      <c r="BF66" s="98" t="str">
        <f t="shared" si="7"/>
        <v/>
      </c>
      <c r="BG66" s="96" t="str">
        <f>IF(BF66="","",IF(ISNUMBER(VLOOKUP(BF66,'Conversion factors'!$B$35:$C$52,2,FALSE)),"y","n"))</f>
        <v/>
      </c>
      <c r="BH66" s="99"/>
      <c r="BI66" s="100"/>
      <c r="BJ66" s="100"/>
    </row>
    <row r="67" spans="1:62" ht="15.75" customHeight="1" x14ac:dyDescent="0.2">
      <c r="A67" s="18"/>
      <c r="B67" s="19">
        <v>258</v>
      </c>
      <c r="D67" s="36">
        <v>84088</v>
      </c>
      <c r="E67" s="93" t="s">
        <v>1224</v>
      </c>
      <c r="F67" s="93">
        <v>1996</v>
      </c>
      <c r="G67" s="19" t="s">
        <v>325</v>
      </c>
      <c r="H67" s="19"/>
      <c r="I67" s="19" t="s">
        <v>41</v>
      </c>
      <c r="J67" s="19" t="s">
        <v>120</v>
      </c>
      <c r="K67" s="19" t="s">
        <v>161</v>
      </c>
      <c r="L67" s="19" t="s">
        <v>82</v>
      </c>
      <c r="M67" s="19" t="s">
        <v>82</v>
      </c>
      <c r="N67" s="19" t="s">
        <v>66</v>
      </c>
      <c r="O67" s="19" t="s">
        <v>185</v>
      </c>
      <c r="P67" s="19" t="s">
        <v>51</v>
      </c>
      <c r="Q67" s="19"/>
      <c r="R67" s="19" t="s">
        <v>76</v>
      </c>
      <c r="S67" s="19" t="s">
        <v>534</v>
      </c>
      <c r="T67" s="19" t="s">
        <v>55</v>
      </c>
      <c r="U67" s="19" t="s">
        <v>55</v>
      </c>
      <c r="V67" s="93" t="s">
        <v>1211</v>
      </c>
      <c r="W67" s="93" t="s">
        <v>231</v>
      </c>
      <c r="X67" s="19" t="s">
        <v>46</v>
      </c>
      <c r="Y67" s="29"/>
      <c r="Z67" s="93"/>
      <c r="AA67" s="93"/>
      <c r="AB67" s="93" t="s">
        <v>326</v>
      </c>
      <c r="AC67" s="19" t="s">
        <v>214</v>
      </c>
      <c r="AD67" s="93"/>
      <c r="AE67" s="102">
        <v>6.1</v>
      </c>
      <c r="AF67" s="102" t="s">
        <v>1407</v>
      </c>
      <c r="AG67" s="19" t="s">
        <v>879</v>
      </c>
      <c r="AH67" s="19"/>
      <c r="AI67" s="19"/>
      <c r="AJ67" s="19" t="s">
        <v>1503</v>
      </c>
      <c r="AK67" s="19" t="s">
        <v>234</v>
      </c>
      <c r="AL67" s="19"/>
      <c r="AM67" s="19" t="s">
        <v>234</v>
      </c>
      <c r="AN67" s="19" t="s">
        <v>234</v>
      </c>
      <c r="AO67" s="19" t="s">
        <v>235</v>
      </c>
      <c r="AP67" s="94"/>
      <c r="AQ67" s="19" t="s">
        <v>880</v>
      </c>
      <c r="AR67" s="19" t="s">
        <v>881</v>
      </c>
      <c r="AS67" s="19"/>
      <c r="AT67" s="65" t="str">
        <f t="shared" si="0"/>
        <v>Y</v>
      </c>
      <c r="AU67" s="65" t="str">
        <f t="shared" si="1"/>
        <v>N</v>
      </c>
      <c r="AV67" s="65" t="str">
        <f t="shared" si="9"/>
        <v>N</v>
      </c>
      <c r="AW67" s="99" t="s">
        <v>1522</v>
      </c>
      <c r="AX67" s="99"/>
      <c r="AY67" s="93"/>
      <c r="AZ67" s="96" t="str">
        <f t="shared" si="3"/>
        <v>n</v>
      </c>
      <c r="BA67" s="96" t="str">
        <f>IF(AZ67="n","n",VLOOKUP(AZ67,'Conversion factors'!$C$4:$D$24,2,FALSE))</f>
        <v>n</v>
      </c>
      <c r="BB67" s="96" t="str">
        <f t="shared" si="5"/>
        <v>n</v>
      </c>
      <c r="BC67" s="97"/>
      <c r="BD67" s="96" t="str">
        <f t="shared" si="4"/>
        <v>n</v>
      </c>
      <c r="BE67" s="96" t="str">
        <f t="shared" si="6"/>
        <v>n</v>
      </c>
      <c r="BF67" s="98" t="str">
        <f t="shared" si="7"/>
        <v/>
      </c>
      <c r="BG67" s="96" t="str">
        <f>IF(BF67="","",IF(ISNUMBER(VLOOKUP(BF67,'Conversion factors'!$B$35:$C$52,2,FALSE)),"y","n"))</f>
        <v/>
      </c>
      <c r="BH67" s="99" t="s">
        <v>1464</v>
      </c>
      <c r="BI67" s="100"/>
      <c r="BJ67" s="100"/>
    </row>
    <row r="68" spans="1:62" ht="15.75" customHeight="1" x14ac:dyDescent="0.2">
      <c r="A68" s="18"/>
      <c r="B68" s="19">
        <v>258</v>
      </c>
      <c r="D68" s="36">
        <v>84088</v>
      </c>
      <c r="E68" s="93" t="s">
        <v>1224</v>
      </c>
      <c r="F68" s="93">
        <v>1996</v>
      </c>
      <c r="G68" s="19" t="s">
        <v>325</v>
      </c>
      <c r="H68" s="19"/>
      <c r="I68" s="19" t="s">
        <v>41</v>
      </c>
      <c r="J68" s="19" t="s">
        <v>120</v>
      </c>
      <c r="K68" s="19" t="s">
        <v>161</v>
      </c>
      <c r="L68" s="99" t="s">
        <v>82</v>
      </c>
      <c r="M68" s="19" t="s">
        <v>82</v>
      </c>
      <c r="N68" s="19" t="s">
        <v>66</v>
      </c>
      <c r="O68" s="19" t="s">
        <v>185</v>
      </c>
      <c r="P68" s="19" t="s">
        <v>51</v>
      </c>
      <c r="Q68" s="19"/>
      <c r="R68" s="19" t="s">
        <v>76</v>
      </c>
      <c r="S68" s="19" t="s">
        <v>534</v>
      </c>
      <c r="T68" s="19" t="s">
        <v>54</v>
      </c>
      <c r="U68" s="19" t="s">
        <v>54</v>
      </c>
      <c r="V68" s="93" t="s">
        <v>1211</v>
      </c>
      <c r="W68" s="93" t="s">
        <v>231</v>
      </c>
      <c r="X68" s="19" t="s">
        <v>46</v>
      </c>
      <c r="Y68" s="29"/>
      <c r="Z68" s="93"/>
      <c r="AA68" s="93"/>
      <c r="AB68" s="93" t="s">
        <v>242</v>
      </c>
      <c r="AC68" s="19" t="s">
        <v>214</v>
      </c>
      <c r="AD68" s="93"/>
      <c r="AE68" s="102">
        <v>6.1</v>
      </c>
      <c r="AF68" s="102" t="s">
        <v>1407</v>
      </c>
      <c r="AG68" s="19" t="s">
        <v>879</v>
      </c>
      <c r="AH68" s="19"/>
      <c r="AI68" s="19"/>
      <c r="AJ68" s="19" t="s">
        <v>1503</v>
      </c>
      <c r="AK68" s="19" t="s">
        <v>234</v>
      </c>
      <c r="AL68" s="19"/>
      <c r="AM68" s="19" t="s">
        <v>234</v>
      </c>
      <c r="AN68" s="19" t="s">
        <v>234</v>
      </c>
      <c r="AO68" s="19" t="s">
        <v>235</v>
      </c>
      <c r="AP68" s="94"/>
      <c r="AQ68" s="19" t="s">
        <v>880</v>
      </c>
      <c r="AR68" s="19" t="s">
        <v>881</v>
      </c>
      <c r="AS68" s="19"/>
      <c r="AT68" s="65" t="str">
        <f t="shared" ref="AT68:AT131" si="10">IF(F68&lt;1980,"N",IF(AC68="M","Y",IF(AC68="SM","Y","N")))</f>
        <v>Y</v>
      </c>
      <c r="AU68" s="65" t="str">
        <f t="shared" ref="AU68:AU137" si="11">IF(AT68="N","N",IF(AJ68&lt;6,"N",IF(AJ68&gt;8.5,"N","Y")))</f>
        <v>N</v>
      </c>
      <c r="AV68" s="65" t="str">
        <f t="shared" si="9"/>
        <v>N</v>
      </c>
      <c r="AW68" s="99" t="s">
        <v>1522</v>
      </c>
      <c r="AX68" s="99"/>
      <c r="AY68" s="93"/>
      <c r="AZ68" s="96" t="str">
        <f t="shared" si="3"/>
        <v>n</v>
      </c>
      <c r="BA68" s="96" t="str">
        <f>IF(AZ68="n","n",VLOOKUP(AZ68,'Conversion factors'!$C$4:$D$24,2,FALSE))</f>
        <v>n</v>
      </c>
      <c r="BB68" s="96" t="str">
        <f t="shared" si="5"/>
        <v>n</v>
      </c>
      <c r="BC68" s="97"/>
      <c r="BD68" s="96" t="str">
        <f t="shared" ref="BD68:BD131" si="12">IF(AV68="N","n",X68)</f>
        <v>n</v>
      </c>
      <c r="BE68" s="96" t="str">
        <f t="shared" si="6"/>
        <v>n</v>
      </c>
      <c r="BF68" s="98" t="str">
        <f t="shared" si="7"/>
        <v/>
      </c>
      <c r="BG68" s="96" t="str">
        <f>IF(BF68="","",IF(ISNUMBER(VLOOKUP(BF68,'Conversion factors'!$B$35:$C$52,2,FALSE)),"y","n"))</f>
        <v/>
      </c>
      <c r="BH68" s="99"/>
      <c r="BI68" s="100"/>
      <c r="BJ68" s="100"/>
    </row>
    <row r="69" spans="1:62" ht="15.75" customHeight="1" x14ac:dyDescent="0.2">
      <c r="A69" s="18"/>
      <c r="B69" s="19">
        <v>229</v>
      </c>
      <c r="D69" s="36">
        <v>68304</v>
      </c>
      <c r="E69" s="93" t="s">
        <v>1224</v>
      </c>
      <c r="F69" s="93">
        <v>2002</v>
      </c>
      <c r="G69" s="19" t="s">
        <v>573</v>
      </c>
      <c r="H69" s="19"/>
      <c r="I69" s="19" t="s">
        <v>41</v>
      </c>
      <c r="J69" s="19" t="s">
        <v>574</v>
      </c>
      <c r="K69" s="19" t="s">
        <v>161</v>
      </c>
      <c r="L69" s="19" t="s">
        <v>82</v>
      </c>
      <c r="M69" s="19" t="s">
        <v>82</v>
      </c>
      <c r="N69" s="19" t="s">
        <v>66</v>
      </c>
      <c r="O69" s="19" t="s">
        <v>575</v>
      </c>
      <c r="P69" s="19" t="s">
        <v>162</v>
      </c>
      <c r="Q69" s="19"/>
      <c r="R69" s="19" t="s">
        <v>237</v>
      </c>
      <c r="S69" s="19" t="s">
        <v>79</v>
      </c>
      <c r="T69" s="19" t="s">
        <v>56</v>
      </c>
      <c r="U69" s="19" t="s">
        <v>44</v>
      </c>
      <c r="V69" s="93" t="s">
        <v>94</v>
      </c>
      <c r="W69" s="93" t="s">
        <v>231</v>
      </c>
      <c r="X69" s="19" t="s">
        <v>46</v>
      </c>
      <c r="Y69" s="29"/>
      <c r="Z69" s="93"/>
      <c r="AA69" s="93"/>
      <c r="AB69" s="93" t="s">
        <v>133</v>
      </c>
      <c r="AC69" s="19" t="s">
        <v>214</v>
      </c>
      <c r="AD69" s="93"/>
      <c r="AE69" s="19">
        <f>(42.8+49.8)/2</f>
        <v>46.3</v>
      </c>
      <c r="AF69" s="19" t="s">
        <v>577</v>
      </c>
      <c r="AG69" s="19" t="s">
        <v>270</v>
      </c>
      <c r="AH69" s="19"/>
      <c r="AI69" s="19"/>
      <c r="AJ69" s="19">
        <f>MEDIAN(7.4,7.7)</f>
        <v>7.5500000000000007</v>
      </c>
      <c r="AK69" s="19" t="s">
        <v>576</v>
      </c>
      <c r="AL69" s="19"/>
      <c r="AM69" s="19" t="s">
        <v>234</v>
      </c>
      <c r="AN69" s="19" t="s">
        <v>578</v>
      </c>
      <c r="AO69" s="19" t="s">
        <v>270</v>
      </c>
      <c r="AP69" s="157">
        <v>1.9</v>
      </c>
      <c r="AQ69" s="19" t="s">
        <v>579</v>
      </c>
      <c r="AR69" s="19" t="s">
        <v>580</v>
      </c>
      <c r="AS69" s="19"/>
      <c r="AT69" s="65" t="str">
        <f t="shared" si="10"/>
        <v>Y</v>
      </c>
      <c r="AU69" s="65" t="str">
        <f t="shared" si="11"/>
        <v>Y</v>
      </c>
      <c r="AV69" s="96" t="s">
        <v>162</v>
      </c>
      <c r="AW69" s="99" t="s">
        <v>1597</v>
      </c>
      <c r="AX69" s="99"/>
      <c r="AY69" s="93"/>
      <c r="AZ69" s="96" t="str">
        <f t="shared" ref="AZ69:AZ138" si="13">IF(AV69="N","n",T69)</f>
        <v>n</v>
      </c>
      <c r="BA69" s="96" t="str">
        <f>IF(AZ69="n","n",VLOOKUP(AZ69,'Conversion factors'!$C$4:$D$24,2,FALSE))</f>
        <v>n</v>
      </c>
      <c r="BB69" s="96" t="str">
        <f t="shared" ref="BB69:BB138" si="14">IF(BA69="n","n",AB69/BA69)</f>
        <v>n</v>
      </c>
      <c r="BC69" s="97"/>
      <c r="BD69" s="96" t="str">
        <f t="shared" si="12"/>
        <v>n</v>
      </c>
      <c r="BE69" s="96" t="str">
        <f t="shared" ref="BE69:BE138" si="15">IF(BD69="chronic","y","n")</f>
        <v>n</v>
      </c>
      <c r="BF69" s="98" t="str">
        <f t="shared" ref="BF69:BF132" si="16">IF(BE69="n","",AZ69)</f>
        <v/>
      </c>
      <c r="BG69" s="96" t="str">
        <f>IF(BF69="","",IF(ISNUMBER(VLOOKUP(BF69,'Conversion factors'!$B$35:$C$52,2,FALSE)),"y","n"))</f>
        <v/>
      </c>
      <c r="BH69" s="99" t="s">
        <v>1597</v>
      </c>
      <c r="BI69" s="100"/>
      <c r="BJ69" s="100"/>
    </row>
    <row r="70" spans="1:62" ht="15.75" customHeight="1" x14ac:dyDescent="0.2">
      <c r="A70" s="18"/>
      <c r="B70" s="19">
        <v>229</v>
      </c>
      <c r="D70" s="36">
        <v>68304</v>
      </c>
      <c r="E70" s="93" t="s">
        <v>1224</v>
      </c>
      <c r="F70" s="93">
        <v>2002</v>
      </c>
      <c r="G70" s="19" t="s">
        <v>573</v>
      </c>
      <c r="H70" s="19"/>
      <c r="I70" s="19" t="s">
        <v>41</v>
      </c>
      <c r="J70" s="19" t="s">
        <v>574</v>
      </c>
      <c r="K70" s="19" t="s">
        <v>161</v>
      </c>
      <c r="L70" s="19" t="s">
        <v>82</v>
      </c>
      <c r="M70" s="19" t="s">
        <v>82</v>
      </c>
      <c r="N70" s="19" t="s">
        <v>66</v>
      </c>
      <c r="O70" s="19" t="s">
        <v>575</v>
      </c>
      <c r="P70" s="19" t="s">
        <v>162</v>
      </c>
      <c r="Q70" s="19"/>
      <c r="R70" s="19" t="s">
        <v>237</v>
      </c>
      <c r="S70" s="19" t="s">
        <v>79</v>
      </c>
      <c r="T70" s="19" t="s">
        <v>54</v>
      </c>
      <c r="U70" s="19" t="s">
        <v>54</v>
      </c>
      <c r="V70" s="93" t="s">
        <v>78</v>
      </c>
      <c r="W70" s="93" t="s">
        <v>231</v>
      </c>
      <c r="X70" s="19" t="s">
        <v>46</v>
      </c>
      <c r="Y70" s="29"/>
      <c r="Z70" s="93"/>
      <c r="AA70" s="93"/>
      <c r="AB70" s="93">
        <v>16</v>
      </c>
      <c r="AC70" s="19" t="s">
        <v>214</v>
      </c>
      <c r="AD70" s="93"/>
      <c r="AE70" s="19">
        <f>(42.8+49.8)/2</f>
        <v>46.3</v>
      </c>
      <c r="AF70" s="19" t="s">
        <v>577</v>
      </c>
      <c r="AG70" s="19" t="s">
        <v>270</v>
      </c>
      <c r="AH70" s="19"/>
      <c r="AI70" s="19"/>
      <c r="AJ70" s="19">
        <f>MEDIAN(7.4,7.7)</f>
        <v>7.5500000000000007</v>
      </c>
      <c r="AK70" s="19" t="s">
        <v>576</v>
      </c>
      <c r="AL70" s="19"/>
      <c r="AM70" s="19"/>
      <c r="AN70" s="19" t="s">
        <v>578</v>
      </c>
      <c r="AO70" s="19" t="s">
        <v>270</v>
      </c>
      <c r="AP70" s="157">
        <v>1.9</v>
      </c>
      <c r="AQ70" s="19" t="s">
        <v>579</v>
      </c>
      <c r="AR70" s="19" t="s">
        <v>580</v>
      </c>
      <c r="AS70" s="19"/>
      <c r="AT70" s="65" t="str">
        <f t="shared" si="10"/>
        <v>Y</v>
      </c>
      <c r="AU70" s="65" t="str">
        <f t="shared" ref="AU70" si="17">IF(AT70="N","N",IF(AJ70&lt;6,"N",IF(AJ70&gt;8.5,"N","Y")))</f>
        <v>Y</v>
      </c>
      <c r="AV70" s="96" t="s">
        <v>162</v>
      </c>
      <c r="AW70" s="99" t="s">
        <v>1597</v>
      </c>
      <c r="AX70" s="99"/>
      <c r="AY70" s="93"/>
      <c r="AZ70" s="96" t="str">
        <f t="shared" ref="AZ70" si="18">IF(AV70="N","n",T70)</f>
        <v>n</v>
      </c>
      <c r="BA70" s="96" t="str">
        <f>IF(AZ70="n","n",VLOOKUP(AZ70,'Conversion factors'!$C$4:$D$24,2,FALSE))</f>
        <v>n</v>
      </c>
      <c r="BB70" s="96" t="str">
        <f t="shared" ref="BB70" si="19">IF(BA70="n","n",AB70/BA70)</f>
        <v>n</v>
      </c>
      <c r="BC70" s="97"/>
      <c r="BD70" s="96" t="str">
        <f t="shared" si="12"/>
        <v>n</v>
      </c>
      <c r="BE70" s="96" t="str">
        <f t="shared" ref="BE70" si="20">IF(BD70="chronic","y","n")</f>
        <v>n</v>
      </c>
      <c r="BF70" s="98" t="str">
        <f t="shared" si="16"/>
        <v/>
      </c>
      <c r="BG70" s="96" t="str">
        <f>IF(BF70="","",IF(ISNUMBER(VLOOKUP(BF70,'Conversion factors'!$B$35:$C$52,2,FALSE)),"y","n"))</f>
        <v/>
      </c>
      <c r="BH70" s="99" t="s">
        <v>1597</v>
      </c>
      <c r="BI70" s="100"/>
      <c r="BJ70" s="100"/>
    </row>
    <row r="71" spans="1:62" ht="15.75" customHeight="1" x14ac:dyDescent="0.2">
      <c r="A71" s="18"/>
      <c r="B71" s="19">
        <v>229</v>
      </c>
      <c r="D71" s="36">
        <v>68304</v>
      </c>
      <c r="E71" s="93" t="s">
        <v>1224</v>
      </c>
      <c r="F71" s="93">
        <v>2002</v>
      </c>
      <c r="G71" s="19" t="s">
        <v>573</v>
      </c>
      <c r="H71" s="19"/>
      <c r="I71" s="19" t="s">
        <v>41</v>
      </c>
      <c r="J71" s="19" t="s">
        <v>574</v>
      </c>
      <c r="K71" s="19" t="s">
        <v>161</v>
      </c>
      <c r="L71" s="19" t="s">
        <v>82</v>
      </c>
      <c r="M71" s="19" t="s">
        <v>82</v>
      </c>
      <c r="N71" s="19" t="s">
        <v>66</v>
      </c>
      <c r="O71" s="19" t="s">
        <v>575</v>
      </c>
      <c r="P71" s="19" t="s">
        <v>162</v>
      </c>
      <c r="Q71" s="19"/>
      <c r="R71" s="19" t="s">
        <v>237</v>
      </c>
      <c r="S71" s="19" t="s">
        <v>79</v>
      </c>
      <c r="T71" s="19" t="s">
        <v>56</v>
      </c>
      <c r="U71" s="19" t="s">
        <v>44</v>
      </c>
      <c r="V71" s="93" t="s">
        <v>78</v>
      </c>
      <c r="W71" s="93" t="s">
        <v>231</v>
      </c>
      <c r="X71" s="19" t="s">
        <v>46</v>
      </c>
      <c r="Y71" s="29"/>
      <c r="Z71" s="93"/>
      <c r="AA71" s="93"/>
      <c r="AB71" s="93" t="s">
        <v>133</v>
      </c>
      <c r="AC71" s="19" t="s">
        <v>214</v>
      </c>
      <c r="AD71" s="93"/>
      <c r="AE71" s="19">
        <f>(42.8+49.8)/2</f>
        <v>46.3</v>
      </c>
      <c r="AF71" s="19" t="s">
        <v>577</v>
      </c>
      <c r="AG71" s="19" t="s">
        <v>270</v>
      </c>
      <c r="AH71" s="19"/>
      <c r="AI71" s="19"/>
      <c r="AJ71" s="19">
        <f>MEDIAN(7.4,7.7)</f>
        <v>7.5500000000000007</v>
      </c>
      <c r="AK71" s="19" t="s">
        <v>576</v>
      </c>
      <c r="AL71" s="19"/>
      <c r="AM71" s="19" t="s">
        <v>234</v>
      </c>
      <c r="AN71" s="19" t="s">
        <v>578</v>
      </c>
      <c r="AO71" s="19" t="s">
        <v>270</v>
      </c>
      <c r="AP71" s="157">
        <v>1.9</v>
      </c>
      <c r="AQ71" s="19" t="s">
        <v>579</v>
      </c>
      <c r="AR71" s="19" t="s">
        <v>580</v>
      </c>
      <c r="AS71" s="19"/>
      <c r="AT71" s="65" t="str">
        <f t="shared" si="10"/>
        <v>Y</v>
      </c>
      <c r="AU71" s="65" t="str">
        <f t="shared" si="11"/>
        <v>Y</v>
      </c>
      <c r="AV71" s="96" t="s">
        <v>162</v>
      </c>
      <c r="AW71" s="99" t="s">
        <v>1597</v>
      </c>
      <c r="AX71" s="99"/>
      <c r="AY71" s="93"/>
      <c r="AZ71" s="96" t="str">
        <f t="shared" si="13"/>
        <v>n</v>
      </c>
      <c r="BA71" s="96" t="str">
        <f>IF(AZ71="n","n",VLOOKUP(AZ71,'Conversion factors'!$C$4:$D$24,2,FALSE))</f>
        <v>n</v>
      </c>
      <c r="BB71" s="96" t="str">
        <f t="shared" si="14"/>
        <v>n</v>
      </c>
      <c r="BC71" s="97"/>
      <c r="BD71" s="96" t="str">
        <f t="shared" si="12"/>
        <v>n</v>
      </c>
      <c r="BE71" s="96" t="str">
        <f t="shared" si="15"/>
        <v>n</v>
      </c>
      <c r="BF71" s="98" t="str">
        <f t="shared" si="16"/>
        <v/>
      </c>
      <c r="BG71" s="96" t="str">
        <f>IF(BF71="","",IF(ISNUMBER(VLOOKUP(BF71,'Conversion factors'!$B$35:$C$52,2,FALSE)),"y","n"))</f>
        <v/>
      </c>
      <c r="BH71" s="99" t="s">
        <v>1597</v>
      </c>
      <c r="BI71" s="100"/>
      <c r="BJ71" s="100"/>
    </row>
    <row r="72" spans="1:62" ht="15.75" customHeight="1" x14ac:dyDescent="0.2">
      <c r="A72" s="18"/>
      <c r="B72" s="19">
        <v>229</v>
      </c>
      <c r="D72" s="36">
        <v>68304</v>
      </c>
      <c r="E72" s="93" t="s">
        <v>1224</v>
      </c>
      <c r="F72" s="93">
        <v>2002</v>
      </c>
      <c r="G72" s="19" t="s">
        <v>573</v>
      </c>
      <c r="H72" s="19"/>
      <c r="I72" s="19" t="s">
        <v>41</v>
      </c>
      <c r="J72" s="19" t="s">
        <v>574</v>
      </c>
      <c r="K72" s="19" t="s">
        <v>161</v>
      </c>
      <c r="L72" s="19" t="s">
        <v>82</v>
      </c>
      <c r="M72" s="19" t="s">
        <v>82</v>
      </c>
      <c r="N72" s="19" t="s">
        <v>66</v>
      </c>
      <c r="O72" s="19" t="s">
        <v>575</v>
      </c>
      <c r="P72" s="19" t="s">
        <v>162</v>
      </c>
      <c r="Q72" s="19"/>
      <c r="R72" s="19" t="s">
        <v>237</v>
      </c>
      <c r="S72" s="19" t="s">
        <v>79</v>
      </c>
      <c r="T72" s="19" t="s">
        <v>927</v>
      </c>
      <c r="U72" s="19" t="s">
        <v>927</v>
      </c>
      <c r="V72" s="93" t="s">
        <v>78</v>
      </c>
      <c r="W72" s="93" t="s">
        <v>231</v>
      </c>
      <c r="X72" s="19" t="s">
        <v>46</v>
      </c>
      <c r="Y72" s="29"/>
      <c r="Z72" s="93"/>
      <c r="AA72" s="93"/>
      <c r="AB72" s="93">
        <v>24.8</v>
      </c>
      <c r="AC72" s="19" t="s">
        <v>214</v>
      </c>
      <c r="AD72" s="93"/>
      <c r="AE72" s="19">
        <f>(42.8+49.8)/2</f>
        <v>46.3</v>
      </c>
      <c r="AF72" s="19" t="s">
        <v>577</v>
      </c>
      <c r="AG72" s="19" t="s">
        <v>270</v>
      </c>
      <c r="AH72" s="19"/>
      <c r="AI72" s="19"/>
      <c r="AJ72" s="19">
        <f>MEDIAN(7.4,7.7)</f>
        <v>7.5500000000000007</v>
      </c>
      <c r="AK72" s="19" t="s">
        <v>576</v>
      </c>
      <c r="AL72" s="19"/>
      <c r="AM72" s="19"/>
      <c r="AN72" s="19" t="s">
        <v>578</v>
      </c>
      <c r="AO72" s="19" t="s">
        <v>270</v>
      </c>
      <c r="AP72" s="157">
        <v>1.9</v>
      </c>
      <c r="AQ72" s="19" t="s">
        <v>579</v>
      </c>
      <c r="AR72" s="19" t="s">
        <v>580</v>
      </c>
      <c r="AS72" s="19"/>
      <c r="AT72" s="65" t="str">
        <f t="shared" si="10"/>
        <v>Y</v>
      </c>
      <c r="AU72" s="65" t="str">
        <f t="shared" ref="AU72" si="21">IF(AT72="N","N",IF(AJ72&lt;6,"N",IF(AJ72&gt;8.5,"N","Y")))</f>
        <v>Y</v>
      </c>
      <c r="AV72" s="96" t="s">
        <v>162</v>
      </c>
      <c r="AW72" s="99" t="s">
        <v>1597</v>
      </c>
      <c r="AX72" s="99"/>
      <c r="AY72" s="93"/>
      <c r="AZ72" s="96" t="str">
        <f t="shared" ref="AZ72" si="22">IF(AV72="N","n",T72)</f>
        <v>n</v>
      </c>
      <c r="BA72" s="96" t="str">
        <f>IF(AZ72="n","n",VLOOKUP(AZ72,'Conversion factors'!$C$4:$D$24,2,FALSE))</f>
        <v>n</v>
      </c>
      <c r="BB72" s="96" t="str">
        <f t="shared" ref="BB72" si="23">IF(BA72="n","n",AB72/BA72)</f>
        <v>n</v>
      </c>
      <c r="BC72" s="97"/>
      <c r="BD72" s="96" t="str">
        <f t="shared" si="12"/>
        <v>n</v>
      </c>
      <c r="BE72" s="96" t="str">
        <f t="shared" ref="BE72" si="24">IF(BD72="chronic","y","n")</f>
        <v>n</v>
      </c>
      <c r="BF72" s="98" t="str">
        <f t="shared" si="16"/>
        <v/>
      </c>
      <c r="BG72" s="96" t="str">
        <f>IF(BF72="","",IF(ISNUMBER(VLOOKUP(BF72,'Conversion factors'!$B$35:$C$52,2,FALSE)),"y","n"))</f>
        <v/>
      </c>
      <c r="BH72" s="99" t="s">
        <v>1597</v>
      </c>
      <c r="BI72" s="100"/>
      <c r="BJ72" s="100"/>
    </row>
    <row r="73" spans="1:62" ht="15.75" customHeight="1" x14ac:dyDescent="0.2">
      <c r="A73" s="18"/>
      <c r="B73" s="19">
        <v>255</v>
      </c>
      <c r="D73" s="36">
        <v>84053</v>
      </c>
      <c r="E73" s="93" t="s">
        <v>1224</v>
      </c>
      <c r="F73" s="93">
        <v>2005</v>
      </c>
      <c r="G73" s="19" t="s">
        <v>863</v>
      </c>
      <c r="H73" s="19"/>
      <c r="I73" s="19" t="s">
        <v>41</v>
      </c>
      <c r="J73" s="19" t="s">
        <v>574</v>
      </c>
      <c r="K73" s="19" t="s">
        <v>161</v>
      </c>
      <c r="L73" s="99" t="s">
        <v>82</v>
      </c>
      <c r="M73" s="19" t="s">
        <v>82</v>
      </c>
      <c r="N73" s="19" t="s">
        <v>66</v>
      </c>
      <c r="O73" s="19" t="s">
        <v>1797</v>
      </c>
      <c r="P73" s="19" t="s">
        <v>162</v>
      </c>
      <c r="Q73" s="19"/>
      <c r="R73" s="19" t="s">
        <v>156</v>
      </c>
      <c r="S73" s="19" t="s">
        <v>156</v>
      </c>
      <c r="T73" s="19" t="s">
        <v>49</v>
      </c>
      <c r="U73" s="19" t="s">
        <v>49</v>
      </c>
      <c r="V73" s="93" t="s">
        <v>78</v>
      </c>
      <c r="W73" s="93" t="s">
        <v>231</v>
      </c>
      <c r="X73" s="19" t="s">
        <v>46</v>
      </c>
      <c r="Y73" s="29"/>
      <c r="Z73" s="93"/>
      <c r="AA73" s="93"/>
      <c r="AB73" s="93">
        <v>155.69999999999999</v>
      </c>
      <c r="AC73" s="19" t="s">
        <v>214</v>
      </c>
      <c r="AD73" s="93"/>
      <c r="AE73" s="19">
        <v>154</v>
      </c>
      <c r="AF73" s="19">
        <v>154</v>
      </c>
      <c r="AG73" s="19" t="s">
        <v>270</v>
      </c>
      <c r="AH73" s="19"/>
      <c r="AI73" s="19"/>
      <c r="AJ73" s="101">
        <v>7.5</v>
      </c>
      <c r="AK73" s="19" t="s">
        <v>544</v>
      </c>
      <c r="AL73" s="19"/>
      <c r="AM73" s="19"/>
      <c r="AN73" s="19" t="s">
        <v>622</v>
      </c>
      <c r="AO73" s="19" t="s">
        <v>270</v>
      </c>
      <c r="AP73" s="157">
        <v>1.9</v>
      </c>
      <c r="AQ73" s="19" t="s">
        <v>83</v>
      </c>
      <c r="AR73" s="19" t="s">
        <v>865</v>
      </c>
      <c r="AS73" s="19"/>
      <c r="AT73" s="65" t="str">
        <f t="shared" si="10"/>
        <v>Y</v>
      </c>
      <c r="AU73" s="65" t="str">
        <f t="shared" ref="AU73" si="25">IF(AT73="N","N",IF(AJ73&lt;6,"N",IF(AJ73&gt;8.5,"N","Y")))</f>
        <v>Y</v>
      </c>
      <c r="AV73" s="65" t="str">
        <f t="shared" si="9"/>
        <v>Y</v>
      </c>
      <c r="AW73" s="99" t="s">
        <v>1596</v>
      </c>
      <c r="AX73" s="99"/>
      <c r="AY73" s="93"/>
      <c r="AZ73" s="96" t="str">
        <f t="shared" ref="AZ73" si="26">IF(AV73="N","n",T73)</f>
        <v>EC10</v>
      </c>
      <c r="BA73" s="96">
        <f>IF(AZ73="n","n",VLOOKUP(AZ73,'Conversion factors'!$C$4:$D$24,2,FALSE))</f>
        <v>1</v>
      </c>
      <c r="BB73" s="96">
        <f t="shared" ref="BB73" si="27">IF(BA73="n","n",AB73/BA73)</f>
        <v>155.69999999999999</v>
      </c>
      <c r="BC73" s="97"/>
      <c r="BD73" s="96" t="str">
        <f t="shared" si="12"/>
        <v>Chronic</v>
      </c>
      <c r="BE73" s="96" t="str">
        <f t="shared" ref="BE73" si="28">IF(BD73="chronic","y","n")</f>
        <v>y</v>
      </c>
      <c r="BF73" s="98" t="str">
        <f t="shared" si="16"/>
        <v>EC10</v>
      </c>
      <c r="BG73" s="96" t="str">
        <f>IF(BF73="","",IF(ISNUMBER(VLOOKUP(BF73,'Conversion factors'!$B$35:$C$52,2,FALSE)),"y","n"))</f>
        <v>y</v>
      </c>
      <c r="BI73" s="99" t="s">
        <v>1596</v>
      </c>
      <c r="BJ73" s="100"/>
    </row>
    <row r="74" spans="1:62" ht="15.75" customHeight="1" x14ac:dyDescent="0.2">
      <c r="A74" s="18"/>
      <c r="B74" s="19">
        <v>255</v>
      </c>
      <c r="D74" s="36">
        <v>84053</v>
      </c>
      <c r="E74" s="93" t="s">
        <v>1224</v>
      </c>
      <c r="F74" s="93">
        <v>2005</v>
      </c>
      <c r="G74" s="19" t="s">
        <v>863</v>
      </c>
      <c r="H74" s="19"/>
      <c r="I74" s="19" t="s">
        <v>41</v>
      </c>
      <c r="J74" s="19" t="s">
        <v>574</v>
      </c>
      <c r="K74" s="19" t="s">
        <v>161</v>
      </c>
      <c r="L74" s="99" t="s">
        <v>82</v>
      </c>
      <c r="M74" s="19" t="s">
        <v>82</v>
      </c>
      <c r="N74" s="19" t="s">
        <v>66</v>
      </c>
      <c r="O74" s="19" t="s">
        <v>1797</v>
      </c>
      <c r="P74" s="19" t="s">
        <v>162</v>
      </c>
      <c r="Q74" s="19"/>
      <c r="R74" s="19" t="s">
        <v>81</v>
      </c>
      <c r="S74" s="19" t="s">
        <v>483</v>
      </c>
      <c r="T74" s="19" t="s">
        <v>54</v>
      </c>
      <c r="U74" s="19" t="s">
        <v>54</v>
      </c>
      <c r="V74" s="93" t="s">
        <v>78</v>
      </c>
      <c r="W74" s="93" t="s">
        <v>231</v>
      </c>
      <c r="X74" s="19" t="s">
        <v>46</v>
      </c>
      <c r="Y74" s="29"/>
      <c r="Z74" s="93"/>
      <c r="AA74" s="93"/>
      <c r="AB74" s="93" t="s">
        <v>866</v>
      </c>
      <c r="AC74" s="19" t="s">
        <v>214</v>
      </c>
      <c r="AD74" s="93"/>
      <c r="AE74" s="19">
        <v>154</v>
      </c>
      <c r="AF74" s="19">
        <v>154</v>
      </c>
      <c r="AG74" s="19" t="s">
        <v>270</v>
      </c>
      <c r="AH74" s="19"/>
      <c r="AI74" s="19"/>
      <c r="AJ74" s="101">
        <v>7.5</v>
      </c>
      <c r="AK74" s="19" t="s">
        <v>544</v>
      </c>
      <c r="AL74" s="19"/>
      <c r="AM74" s="19"/>
      <c r="AN74" s="19" t="s">
        <v>622</v>
      </c>
      <c r="AO74" s="19" t="s">
        <v>270</v>
      </c>
      <c r="AP74" s="157">
        <v>1.9</v>
      </c>
      <c r="AQ74" s="19" t="s">
        <v>83</v>
      </c>
      <c r="AR74" s="19" t="s">
        <v>865</v>
      </c>
      <c r="AS74" s="19"/>
      <c r="AT74" s="65" t="str">
        <f t="shared" si="10"/>
        <v>Y</v>
      </c>
      <c r="AU74" s="65" t="str">
        <f t="shared" si="11"/>
        <v>Y</v>
      </c>
      <c r="AV74" s="65" t="str">
        <f t="shared" si="9"/>
        <v>Y</v>
      </c>
      <c r="AW74" s="99" t="s">
        <v>1596</v>
      </c>
      <c r="AX74" s="99"/>
      <c r="AY74" s="93"/>
      <c r="AZ74" s="96" t="str">
        <f t="shared" si="13"/>
        <v>NOEC</v>
      </c>
      <c r="BA74" s="96">
        <f>IF(AZ74="n","n",VLOOKUP(AZ74,'Conversion factors'!$C$4:$D$24,2,FALSE))</f>
        <v>1</v>
      </c>
      <c r="BB74" s="96">
        <f t="shared" si="14"/>
        <v>379</v>
      </c>
      <c r="BC74" s="97"/>
      <c r="BD74" s="96" t="str">
        <f t="shared" si="12"/>
        <v>Chronic</v>
      </c>
      <c r="BE74" s="96" t="str">
        <f t="shared" si="15"/>
        <v>y</v>
      </c>
      <c r="BF74" s="98" t="str">
        <f t="shared" si="16"/>
        <v>NOEC</v>
      </c>
      <c r="BG74" s="96" t="str">
        <f>IF(BF74="","",IF(ISNUMBER(VLOOKUP(BF74,'Conversion factors'!$B$35:$C$52,2,FALSE)),"y","n"))</f>
        <v>y</v>
      </c>
      <c r="BI74" s="99" t="s">
        <v>1596</v>
      </c>
      <c r="BJ74" s="100"/>
    </row>
    <row r="75" spans="1:62" ht="15.75" customHeight="1" x14ac:dyDescent="0.2">
      <c r="A75" s="18"/>
      <c r="B75" s="19">
        <v>255</v>
      </c>
      <c r="D75" s="36">
        <v>84053</v>
      </c>
      <c r="E75" s="93" t="s">
        <v>1224</v>
      </c>
      <c r="F75" s="93">
        <v>2005</v>
      </c>
      <c r="G75" s="19" t="s">
        <v>863</v>
      </c>
      <c r="H75" s="19"/>
      <c r="I75" s="19" t="s">
        <v>41</v>
      </c>
      <c r="J75" s="19" t="s">
        <v>574</v>
      </c>
      <c r="K75" s="19" t="s">
        <v>161</v>
      </c>
      <c r="L75" s="99" t="s">
        <v>82</v>
      </c>
      <c r="M75" s="19" t="s">
        <v>82</v>
      </c>
      <c r="N75" s="19" t="s">
        <v>66</v>
      </c>
      <c r="O75" s="19" t="s">
        <v>1797</v>
      </c>
      <c r="P75" s="19" t="s">
        <v>162</v>
      </c>
      <c r="Q75" s="19"/>
      <c r="R75" s="19" t="s">
        <v>81</v>
      </c>
      <c r="S75" s="19" t="s">
        <v>402</v>
      </c>
      <c r="T75" s="19" t="s">
        <v>54</v>
      </c>
      <c r="U75" s="19" t="s">
        <v>54</v>
      </c>
      <c r="V75" s="93" t="s">
        <v>78</v>
      </c>
      <c r="W75" s="93" t="s">
        <v>231</v>
      </c>
      <c r="X75" s="19" t="s">
        <v>46</v>
      </c>
      <c r="Y75" s="29"/>
      <c r="Z75" s="93"/>
      <c r="AA75" s="93"/>
      <c r="AB75" s="93" t="s">
        <v>866</v>
      </c>
      <c r="AC75" s="19" t="s">
        <v>214</v>
      </c>
      <c r="AD75" s="93"/>
      <c r="AE75" s="19">
        <v>154</v>
      </c>
      <c r="AF75" s="19">
        <v>154</v>
      </c>
      <c r="AG75" s="19" t="s">
        <v>270</v>
      </c>
      <c r="AH75" s="19"/>
      <c r="AI75" s="19"/>
      <c r="AJ75" s="101">
        <v>7.5</v>
      </c>
      <c r="AK75" s="19" t="s">
        <v>544</v>
      </c>
      <c r="AL75" s="19"/>
      <c r="AM75" s="19"/>
      <c r="AN75" s="19" t="s">
        <v>622</v>
      </c>
      <c r="AO75" s="19" t="s">
        <v>270</v>
      </c>
      <c r="AP75" s="157">
        <v>1.9</v>
      </c>
      <c r="AQ75" s="19" t="s">
        <v>83</v>
      </c>
      <c r="AR75" s="19" t="s">
        <v>865</v>
      </c>
      <c r="AS75" s="19"/>
      <c r="AT75" s="65" t="str">
        <f t="shared" si="10"/>
        <v>Y</v>
      </c>
      <c r="AU75" s="65" t="str">
        <f t="shared" si="11"/>
        <v>Y</v>
      </c>
      <c r="AV75" s="65" t="str">
        <f t="shared" si="9"/>
        <v>Y</v>
      </c>
      <c r="AW75" s="99" t="s">
        <v>1596</v>
      </c>
      <c r="AX75" s="99"/>
      <c r="AY75" s="93"/>
      <c r="AZ75" s="96" t="str">
        <f t="shared" si="13"/>
        <v>NOEC</v>
      </c>
      <c r="BA75" s="96">
        <f>IF(AZ75="n","n",VLOOKUP(AZ75,'Conversion factors'!$C$4:$D$24,2,FALSE))</f>
        <v>1</v>
      </c>
      <c r="BB75" s="96">
        <f t="shared" si="14"/>
        <v>379</v>
      </c>
      <c r="BC75" s="97"/>
      <c r="BD75" s="96" t="str">
        <f t="shared" si="12"/>
        <v>Chronic</v>
      </c>
      <c r="BE75" s="96" t="str">
        <f t="shared" si="15"/>
        <v>y</v>
      </c>
      <c r="BF75" s="98" t="str">
        <f t="shared" si="16"/>
        <v>NOEC</v>
      </c>
      <c r="BG75" s="96" t="str">
        <f>IF(BF75="","",IF(ISNUMBER(VLOOKUP(BF75,'Conversion factors'!$B$35:$C$52,2,FALSE)),"y","n"))</f>
        <v>y</v>
      </c>
      <c r="BI75" s="99" t="s">
        <v>1596</v>
      </c>
      <c r="BJ75" s="100"/>
    </row>
    <row r="76" spans="1:62" ht="15.75" customHeight="1" x14ac:dyDescent="0.2">
      <c r="A76" s="18"/>
      <c r="B76" s="19">
        <v>255</v>
      </c>
      <c r="D76" s="36">
        <v>84053</v>
      </c>
      <c r="E76" s="93" t="s">
        <v>1224</v>
      </c>
      <c r="F76" s="93">
        <v>2005</v>
      </c>
      <c r="G76" s="19" t="s">
        <v>863</v>
      </c>
      <c r="H76" s="19"/>
      <c r="I76" s="19" t="s">
        <v>41</v>
      </c>
      <c r="J76" s="19" t="s">
        <v>574</v>
      </c>
      <c r="K76" s="19" t="s">
        <v>161</v>
      </c>
      <c r="L76" s="19" t="s">
        <v>82</v>
      </c>
      <c r="M76" s="19" t="s">
        <v>82</v>
      </c>
      <c r="N76" s="19" t="s">
        <v>66</v>
      </c>
      <c r="O76" s="19" t="s">
        <v>1797</v>
      </c>
      <c r="P76" s="19" t="s">
        <v>162</v>
      </c>
      <c r="Q76" s="19"/>
      <c r="R76" s="19" t="s">
        <v>237</v>
      </c>
      <c r="S76" s="19" t="s">
        <v>79</v>
      </c>
      <c r="T76" s="19" t="s">
        <v>56</v>
      </c>
      <c r="U76" s="19" t="s">
        <v>44</v>
      </c>
      <c r="V76" s="93" t="s">
        <v>78</v>
      </c>
      <c r="W76" s="93" t="s">
        <v>231</v>
      </c>
      <c r="X76" s="19" t="s">
        <v>46</v>
      </c>
      <c r="Y76" s="29"/>
      <c r="Z76" s="93"/>
      <c r="AA76" s="93"/>
      <c r="AB76" s="93" t="s">
        <v>864</v>
      </c>
      <c r="AC76" s="19" t="s">
        <v>214</v>
      </c>
      <c r="AD76" s="93"/>
      <c r="AE76" s="19">
        <v>154</v>
      </c>
      <c r="AF76" s="19">
        <v>154</v>
      </c>
      <c r="AG76" s="19" t="s">
        <v>270</v>
      </c>
      <c r="AH76" s="19"/>
      <c r="AI76" s="19"/>
      <c r="AJ76" s="19">
        <v>7.5</v>
      </c>
      <c r="AK76" s="19" t="s">
        <v>544</v>
      </c>
      <c r="AL76" s="19"/>
      <c r="AM76" s="19" t="s">
        <v>234</v>
      </c>
      <c r="AN76" s="19" t="s">
        <v>622</v>
      </c>
      <c r="AO76" s="19" t="s">
        <v>270</v>
      </c>
      <c r="AP76" s="157">
        <v>1.9</v>
      </c>
      <c r="AQ76" s="19" t="s">
        <v>83</v>
      </c>
      <c r="AR76" s="19" t="s">
        <v>865</v>
      </c>
      <c r="AS76" s="19"/>
      <c r="AT76" s="65" t="str">
        <f t="shared" si="10"/>
        <v>Y</v>
      </c>
      <c r="AU76" s="65" t="str">
        <f t="shared" si="11"/>
        <v>Y</v>
      </c>
      <c r="AV76" s="65" t="str">
        <f t="shared" si="9"/>
        <v>Y</v>
      </c>
      <c r="AW76" s="99" t="s">
        <v>1596</v>
      </c>
      <c r="AX76" s="99"/>
      <c r="AY76" s="93"/>
      <c r="AZ76" s="96" t="str">
        <f t="shared" si="13"/>
        <v>LC50</v>
      </c>
      <c r="BA76" s="96">
        <f>IF(AZ76="n","n",VLOOKUP(AZ76,'Conversion factors'!$C$4:$D$24,2,FALSE))</f>
        <v>5</v>
      </c>
      <c r="BB76" s="96">
        <f t="shared" si="14"/>
        <v>53.2</v>
      </c>
      <c r="BC76" s="97"/>
      <c r="BD76" s="96" t="str">
        <f t="shared" si="12"/>
        <v>Chronic</v>
      </c>
      <c r="BE76" s="96" t="str">
        <f t="shared" si="15"/>
        <v>y</v>
      </c>
      <c r="BF76" s="98" t="str">
        <f t="shared" si="16"/>
        <v>LC50</v>
      </c>
      <c r="BG76" s="96" t="str">
        <f>IF(BF76="","",IF(ISNUMBER(VLOOKUP(BF76,'Conversion factors'!$B$35:$C$52,2,FALSE)),"y","n"))</f>
        <v>n</v>
      </c>
      <c r="BI76" s="99" t="s">
        <v>1596</v>
      </c>
      <c r="BJ76" s="100"/>
    </row>
    <row r="77" spans="1:62" ht="15.75" customHeight="1" x14ac:dyDescent="0.2">
      <c r="A77" s="18"/>
      <c r="B77" s="19">
        <v>255</v>
      </c>
      <c r="D77" s="36">
        <v>84053</v>
      </c>
      <c r="E77" s="93" t="s">
        <v>1224</v>
      </c>
      <c r="F77" s="93">
        <v>2005</v>
      </c>
      <c r="G77" s="19" t="s">
        <v>863</v>
      </c>
      <c r="H77" s="19"/>
      <c r="I77" s="19" t="s">
        <v>41</v>
      </c>
      <c r="J77" s="19" t="s">
        <v>574</v>
      </c>
      <c r="K77" s="19" t="s">
        <v>161</v>
      </c>
      <c r="L77" s="19" t="s">
        <v>82</v>
      </c>
      <c r="M77" s="19" t="s">
        <v>82</v>
      </c>
      <c r="N77" s="19" t="s">
        <v>66</v>
      </c>
      <c r="O77" s="19" t="s">
        <v>1797</v>
      </c>
      <c r="P77" s="19" t="s">
        <v>162</v>
      </c>
      <c r="Q77" s="19"/>
      <c r="R77" s="19" t="s">
        <v>237</v>
      </c>
      <c r="S77" s="19" t="s">
        <v>79</v>
      </c>
      <c r="T77" s="19" t="s">
        <v>55</v>
      </c>
      <c r="U77" s="19" t="s">
        <v>55</v>
      </c>
      <c r="V77" s="93" t="s">
        <v>78</v>
      </c>
      <c r="W77" s="93" t="s">
        <v>231</v>
      </c>
      <c r="X77" s="19" t="s">
        <v>46</v>
      </c>
      <c r="Y77" s="29"/>
      <c r="Z77" s="93"/>
      <c r="AA77" s="93"/>
      <c r="AB77" s="93" t="s">
        <v>866</v>
      </c>
      <c r="AC77" s="19" t="s">
        <v>214</v>
      </c>
      <c r="AD77" s="93"/>
      <c r="AE77" s="19">
        <v>154</v>
      </c>
      <c r="AF77" s="19">
        <v>154</v>
      </c>
      <c r="AG77" s="19" t="s">
        <v>270</v>
      </c>
      <c r="AH77" s="19"/>
      <c r="AI77" s="19"/>
      <c r="AJ77" s="19">
        <v>7.5</v>
      </c>
      <c r="AK77" s="19" t="s">
        <v>544</v>
      </c>
      <c r="AL77" s="19"/>
      <c r="AM77" s="19" t="s">
        <v>234</v>
      </c>
      <c r="AN77" s="19" t="s">
        <v>622</v>
      </c>
      <c r="AO77" s="19" t="s">
        <v>270</v>
      </c>
      <c r="AP77" s="157">
        <v>1.9</v>
      </c>
      <c r="AQ77" s="19" t="s">
        <v>83</v>
      </c>
      <c r="AR77" s="19" t="s">
        <v>865</v>
      </c>
      <c r="AS77" s="19"/>
      <c r="AT77" s="65" t="str">
        <f t="shared" si="10"/>
        <v>Y</v>
      </c>
      <c r="AU77" s="65" t="str">
        <f t="shared" si="11"/>
        <v>Y</v>
      </c>
      <c r="AV77" s="65" t="str">
        <f t="shared" ref="AV77:AV79" si="29">AU77</f>
        <v>Y</v>
      </c>
      <c r="AW77" s="99" t="s">
        <v>1596</v>
      </c>
      <c r="AX77" s="99"/>
      <c r="AY77" s="93"/>
      <c r="AZ77" s="96" t="str">
        <f t="shared" si="13"/>
        <v>LOEC</v>
      </c>
      <c r="BA77" s="96">
        <f>IF(AZ77="n","n",VLOOKUP(AZ77,'Conversion factors'!$C$4:$D$24,2,FALSE))</f>
        <v>2.5</v>
      </c>
      <c r="BB77" s="96">
        <f t="shared" si="14"/>
        <v>151.6</v>
      </c>
      <c r="BC77" s="97"/>
      <c r="BD77" s="96" t="str">
        <f t="shared" si="12"/>
        <v>Chronic</v>
      </c>
      <c r="BE77" s="96" t="str">
        <f t="shared" si="15"/>
        <v>y</v>
      </c>
      <c r="BF77" s="98" t="str">
        <f t="shared" si="16"/>
        <v>LOEC</v>
      </c>
      <c r="BG77" s="96" t="str">
        <f>IF(BF77="","",IF(ISNUMBER(VLOOKUP(BF77,'Conversion factors'!$B$35:$C$52,2,FALSE)),"y","n"))</f>
        <v>n</v>
      </c>
      <c r="BI77" s="99" t="s">
        <v>1596</v>
      </c>
      <c r="BJ77" s="100"/>
    </row>
    <row r="78" spans="1:62" ht="15.75" customHeight="1" x14ac:dyDescent="0.2">
      <c r="A78" s="18"/>
      <c r="B78" s="19">
        <v>255</v>
      </c>
      <c r="D78" s="36">
        <v>84053</v>
      </c>
      <c r="E78" s="93" t="s">
        <v>1224</v>
      </c>
      <c r="F78" s="93">
        <v>2005</v>
      </c>
      <c r="G78" s="19" t="s">
        <v>863</v>
      </c>
      <c r="H78" s="19"/>
      <c r="I78" s="19" t="s">
        <v>41</v>
      </c>
      <c r="J78" s="19" t="s">
        <v>574</v>
      </c>
      <c r="K78" s="19" t="s">
        <v>161</v>
      </c>
      <c r="L78" s="19" t="s">
        <v>82</v>
      </c>
      <c r="M78" s="19" t="s">
        <v>82</v>
      </c>
      <c r="N78" s="19" t="s">
        <v>66</v>
      </c>
      <c r="O78" s="19" t="s">
        <v>1797</v>
      </c>
      <c r="P78" s="19" t="s">
        <v>162</v>
      </c>
      <c r="Q78" s="19"/>
      <c r="R78" s="19" t="s">
        <v>237</v>
      </c>
      <c r="S78" s="19" t="s">
        <v>79</v>
      </c>
      <c r="T78" s="19" t="s">
        <v>77</v>
      </c>
      <c r="U78" s="19" t="s">
        <v>77</v>
      </c>
      <c r="V78" s="93" t="s">
        <v>78</v>
      </c>
      <c r="W78" s="93" t="s">
        <v>231</v>
      </c>
      <c r="X78" s="19" t="s">
        <v>46</v>
      </c>
      <c r="Y78" s="29"/>
      <c r="Z78" s="93"/>
      <c r="AA78" s="93"/>
      <c r="AB78" s="93" t="s">
        <v>867</v>
      </c>
      <c r="AC78" s="19" t="s">
        <v>214</v>
      </c>
      <c r="AD78" s="93"/>
      <c r="AE78" s="19">
        <v>154</v>
      </c>
      <c r="AF78" s="19">
        <v>154</v>
      </c>
      <c r="AG78" s="19" t="s">
        <v>270</v>
      </c>
      <c r="AH78" s="19"/>
      <c r="AI78" s="19"/>
      <c r="AJ78" s="19">
        <v>7.5</v>
      </c>
      <c r="AK78" s="19" t="s">
        <v>544</v>
      </c>
      <c r="AL78" s="19"/>
      <c r="AM78" s="19" t="s">
        <v>234</v>
      </c>
      <c r="AN78" s="19" t="s">
        <v>622</v>
      </c>
      <c r="AO78" s="19" t="s">
        <v>270</v>
      </c>
      <c r="AP78" s="157">
        <v>1.9</v>
      </c>
      <c r="AQ78" s="19" t="s">
        <v>83</v>
      </c>
      <c r="AR78" s="19" t="s">
        <v>865</v>
      </c>
      <c r="AS78" s="19"/>
      <c r="AT78" s="65" t="str">
        <f t="shared" si="10"/>
        <v>Y</v>
      </c>
      <c r="AU78" s="65" t="str">
        <f t="shared" si="11"/>
        <v>Y</v>
      </c>
      <c r="AV78" s="65" t="str">
        <f t="shared" si="29"/>
        <v>Y</v>
      </c>
      <c r="AW78" s="99" t="s">
        <v>1596</v>
      </c>
      <c r="AX78" s="99"/>
      <c r="AY78" s="93"/>
      <c r="AZ78" s="96" t="str">
        <f t="shared" si="13"/>
        <v>MATC</v>
      </c>
      <c r="BA78" s="96">
        <f>IF(AZ78="n","n",VLOOKUP(AZ78,'Conversion factors'!$C$4:$D$24,2,FALSE))</f>
        <v>2</v>
      </c>
      <c r="BB78" s="96">
        <f t="shared" si="14"/>
        <v>127.5</v>
      </c>
      <c r="BC78" s="97"/>
      <c r="BD78" s="96" t="str">
        <f t="shared" si="12"/>
        <v>Chronic</v>
      </c>
      <c r="BE78" s="96" t="str">
        <f t="shared" si="15"/>
        <v>y</v>
      </c>
      <c r="BF78" s="98" t="str">
        <f t="shared" si="16"/>
        <v>MATC</v>
      </c>
      <c r="BG78" s="96" t="str">
        <f>IF(BF78="","",IF(ISNUMBER(VLOOKUP(BF78,'Conversion factors'!$B$35:$C$52,2,FALSE)),"y","n"))</f>
        <v>n</v>
      </c>
      <c r="BI78" s="99" t="s">
        <v>1596</v>
      </c>
      <c r="BJ78" s="100"/>
    </row>
    <row r="79" spans="1:62" ht="15.75" customHeight="1" x14ac:dyDescent="0.2">
      <c r="A79" s="18"/>
      <c r="B79" s="19">
        <v>255</v>
      </c>
      <c r="D79" s="36">
        <v>84053</v>
      </c>
      <c r="E79" s="93" t="s">
        <v>1224</v>
      </c>
      <c r="F79" s="93">
        <v>2005</v>
      </c>
      <c r="G79" s="19" t="s">
        <v>863</v>
      </c>
      <c r="H79" s="19"/>
      <c r="I79" s="19" t="s">
        <v>41</v>
      </c>
      <c r="J79" s="19" t="s">
        <v>574</v>
      </c>
      <c r="K79" s="19" t="s">
        <v>161</v>
      </c>
      <c r="L79" s="99" t="s">
        <v>82</v>
      </c>
      <c r="M79" s="19" t="s">
        <v>82</v>
      </c>
      <c r="N79" s="19" t="s">
        <v>66</v>
      </c>
      <c r="O79" s="19" t="s">
        <v>1797</v>
      </c>
      <c r="P79" s="19" t="s">
        <v>162</v>
      </c>
      <c r="Q79" s="19"/>
      <c r="R79" s="19" t="s">
        <v>237</v>
      </c>
      <c r="S79" s="19" t="s">
        <v>79</v>
      </c>
      <c r="T79" s="19" t="s">
        <v>54</v>
      </c>
      <c r="U79" s="19" t="s">
        <v>54</v>
      </c>
      <c r="V79" s="93" t="s">
        <v>78</v>
      </c>
      <c r="W79" s="93" t="s">
        <v>231</v>
      </c>
      <c r="X79" s="19" t="s">
        <v>46</v>
      </c>
      <c r="Y79" s="29"/>
      <c r="Z79" s="93"/>
      <c r="AA79" s="93"/>
      <c r="AB79" s="93" t="s">
        <v>868</v>
      </c>
      <c r="AC79" s="19" t="s">
        <v>214</v>
      </c>
      <c r="AD79" s="93"/>
      <c r="AE79" s="19">
        <v>154</v>
      </c>
      <c r="AF79" s="19">
        <v>154</v>
      </c>
      <c r="AG79" s="19" t="s">
        <v>270</v>
      </c>
      <c r="AH79" s="19"/>
      <c r="AI79" s="19"/>
      <c r="AJ79" s="101">
        <v>7.5</v>
      </c>
      <c r="AK79" s="19" t="s">
        <v>544</v>
      </c>
      <c r="AL79" s="19"/>
      <c r="AM79" s="19"/>
      <c r="AN79" s="19" t="s">
        <v>622</v>
      </c>
      <c r="AO79" s="19" t="s">
        <v>270</v>
      </c>
      <c r="AP79" s="157">
        <v>1.9</v>
      </c>
      <c r="AQ79" s="19" t="s">
        <v>83</v>
      </c>
      <c r="AR79" s="19" t="s">
        <v>865</v>
      </c>
      <c r="AS79" s="19"/>
      <c r="AT79" s="65" t="str">
        <f t="shared" si="10"/>
        <v>Y</v>
      </c>
      <c r="AU79" s="65" t="str">
        <f t="shared" si="11"/>
        <v>Y</v>
      </c>
      <c r="AV79" s="65" t="str">
        <f t="shared" si="29"/>
        <v>Y</v>
      </c>
      <c r="AW79" s="99" t="s">
        <v>1596</v>
      </c>
      <c r="AX79" s="99"/>
      <c r="AY79" s="93"/>
      <c r="AZ79" s="96" t="str">
        <f t="shared" si="13"/>
        <v>NOEC</v>
      </c>
      <c r="BA79" s="96">
        <f>IF(AZ79="n","n",VLOOKUP(AZ79,'Conversion factors'!$C$4:$D$24,2,FALSE))</f>
        <v>1</v>
      </c>
      <c r="BB79" s="96">
        <f t="shared" si="14"/>
        <v>172</v>
      </c>
      <c r="BC79" s="97"/>
      <c r="BD79" s="96" t="str">
        <f t="shared" si="12"/>
        <v>Chronic</v>
      </c>
      <c r="BE79" s="96" t="str">
        <f t="shared" si="15"/>
        <v>y</v>
      </c>
      <c r="BF79" s="98" t="str">
        <f t="shared" si="16"/>
        <v>NOEC</v>
      </c>
      <c r="BG79" s="96" t="str">
        <f>IF(BF79="","",IF(ISNUMBER(VLOOKUP(BF79,'Conversion factors'!$B$35:$C$52,2,FALSE)),"y","n"))</f>
        <v>y</v>
      </c>
      <c r="BI79" s="99" t="s">
        <v>1596</v>
      </c>
      <c r="BJ79" s="100"/>
    </row>
    <row r="80" spans="1:62" ht="15.75" customHeight="1" x14ac:dyDescent="0.2">
      <c r="A80" s="18"/>
      <c r="B80" s="19">
        <v>274</v>
      </c>
      <c r="D80" s="36">
        <v>100037</v>
      </c>
      <c r="E80" s="93" t="s">
        <v>1224</v>
      </c>
      <c r="F80" s="93">
        <v>2007</v>
      </c>
      <c r="G80" s="19" t="s">
        <v>960</v>
      </c>
      <c r="H80" s="19"/>
      <c r="I80" s="19" t="s">
        <v>41</v>
      </c>
      <c r="J80" s="19" t="s">
        <v>574</v>
      </c>
      <c r="K80" s="19" t="s">
        <v>161</v>
      </c>
      <c r="L80" s="19" t="s">
        <v>82</v>
      </c>
      <c r="M80" s="19" t="s">
        <v>82</v>
      </c>
      <c r="N80" s="19" t="s">
        <v>66</v>
      </c>
      <c r="O80" s="19" t="s">
        <v>909</v>
      </c>
      <c r="P80" s="19" t="s">
        <v>162</v>
      </c>
      <c r="Q80" s="19"/>
      <c r="R80" s="19" t="s">
        <v>81</v>
      </c>
      <c r="S80" s="19" t="s">
        <v>302</v>
      </c>
      <c r="T80" s="19" t="s">
        <v>44</v>
      </c>
      <c r="U80" s="19" t="s">
        <v>44</v>
      </c>
      <c r="V80" s="93" t="s">
        <v>94</v>
      </c>
      <c r="W80" s="93" t="s">
        <v>231</v>
      </c>
      <c r="X80" s="19" t="s">
        <v>46</v>
      </c>
      <c r="Y80" s="29"/>
      <c r="Z80" s="93"/>
      <c r="AA80" s="93"/>
      <c r="AB80" s="93" t="s">
        <v>961</v>
      </c>
      <c r="AC80" s="19" t="s">
        <v>214</v>
      </c>
      <c r="AD80" s="93"/>
      <c r="AE80" s="19">
        <v>101</v>
      </c>
      <c r="AF80" s="19" t="s">
        <v>963</v>
      </c>
      <c r="AG80" s="19" t="s">
        <v>270</v>
      </c>
      <c r="AH80" s="19"/>
      <c r="AI80" s="19"/>
      <c r="AJ80" s="19">
        <f>MEDIAN(7.89,8.78)</f>
        <v>8.3349999999999991</v>
      </c>
      <c r="AK80" s="19" t="s">
        <v>962</v>
      </c>
      <c r="AL80" s="19"/>
      <c r="AM80" s="19" t="s">
        <v>234</v>
      </c>
      <c r="AN80" s="19" t="s">
        <v>964</v>
      </c>
      <c r="AO80" s="19" t="s">
        <v>270</v>
      </c>
      <c r="AP80" s="94" t="s">
        <v>73</v>
      </c>
      <c r="AQ80" s="19" t="s">
        <v>965</v>
      </c>
      <c r="AR80" s="19" t="s">
        <v>966</v>
      </c>
      <c r="AS80" s="19"/>
      <c r="AT80" s="65" t="str">
        <f t="shared" si="10"/>
        <v>Y</v>
      </c>
      <c r="AU80" s="65" t="str">
        <f t="shared" si="11"/>
        <v>Y</v>
      </c>
      <c r="AV80" s="65" t="s">
        <v>162</v>
      </c>
      <c r="AW80" s="99" t="s">
        <v>1595</v>
      </c>
      <c r="AX80" s="99"/>
      <c r="AY80" s="93"/>
      <c r="AZ80" s="96" t="str">
        <f t="shared" si="13"/>
        <v>n</v>
      </c>
      <c r="BA80" s="96" t="str">
        <f>IF(AZ80="n","n",VLOOKUP(AZ80,'Conversion factors'!$C$4:$D$24,2,FALSE))</f>
        <v>n</v>
      </c>
      <c r="BB80" s="96" t="str">
        <f t="shared" si="14"/>
        <v>n</v>
      </c>
      <c r="BC80" s="97"/>
      <c r="BD80" s="96" t="str">
        <f t="shared" si="12"/>
        <v>n</v>
      </c>
      <c r="BE80" s="96" t="str">
        <f t="shared" si="15"/>
        <v>n</v>
      </c>
      <c r="BF80" s="98" t="str">
        <f t="shared" si="16"/>
        <v/>
      </c>
      <c r="BG80" s="96" t="str">
        <f>IF(BF80="","",IF(ISNUMBER(VLOOKUP(BF80,'Conversion factors'!$B$35:$C$52,2,FALSE)),"y","n"))</f>
        <v/>
      </c>
      <c r="BH80" s="99" t="s">
        <v>1595</v>
      </c>
      <c r="BI80" s="100"/>
      <c r="BJ80" s="100"/>
    </row>
    <row r="81" spans="1:62" ht="15.75" customHeight="1" x14ac:dyDescent="0.2">
      <c r="A81" s="18"/>
      <c r="B81" s="19">
        <v>274</v>
      </c>
      <c r="D81" s="36">
        <v>100037</v>
      </c>
      <c r="E81" s="93" t="s">
        <v>1224</v>
      </c>
      <c r="F81" s="93">
        <v>2007</v>
      </c>
      <c r="G81" s="19" t="s">
        <v>960</v>
      </c>
      <c r="H81" s="19"/>
      <c r="I81" s="19" t="s">
        <v>41</v>
      </c>
      <c r="J81" s="19" t="s">
        <v>574</v>
      </c>
      <c r="K81" s="19" t="s">
        <v>161</v>
      </c>
      <c r="L81" s="99" t="s">
        <v>82</v>
      </c>
      <c r="M81" s="19" t="s">
        <v>82</v>
      </c>
      <c r="N81" s="19" t="s">
        <v>66</v>
      </c>
      <c r="O81" s="19" t="s">
        <v>909</v>
      </c>
      <c r="P81" s="19" t="s">
        <v>162</v>
      </c>
      <c r="Q81" s="19"/>
      <c r="R81" s="19" t="s">
        <v>81</v>
      </c>
      <c r="S81" s="19" t="s">
        <v>451</v>
      </c>
      <c r="T81" s="19" t="s">
        <v>465</v>
      </c>
      <c r="U81" s="19" t="s">
        <v>54</v>
      </c>
      <c r="V81" s="93" t="s">
        <v>94</v>
      </c>
      <c r="W81" s="93" t="s">
        <v>231</v>
      </c>
      <c r="X81" s="19" t="s">
        <v>46</v>
      </c>
      <c r="Y81" s="29"/>
      <c r="Z81" s="93"/>
      <c r="AA81" s="93"/>
      <c r="AB81" s="93" t="s">
        <v>645</v>
      </c>
      <c r="AC81" s="19" t="s">
        <v>214</v>
      </c>
      <c r="AD81" s="93"/>
      <c r="AE81" s="19">
        <v>101</v>
      </c>
      <c r="AF81" s="19" t="s">
        <v>963</v>
      </c>
      <c r="AG81" s="19" t="s">
        <v>270</v>
      </c>
      <c r="AH81" s="19"/>
      <c r="AI81" s="19"/>
      <c r="AJ81" s="19">
        <f>MEDIAN(7.89,8.78)</f>
        <v>8.3349999999999991</v>
      </c>
      <c r="AK81" s="19" t="s">
        <v>962</v>
      </c>
      <c r="AL81" s="19"/>
      <c r="AM81" s="19" t="s">
        <v>234</v>
      </c>
      <c r="AN81" s="19" t="s">
        <v>964</v>
      </c>
      <c r="AO81" s="19" t="s">
        <v>270</v>
      </c>
      <c r="AP81" s="94" t="s">
        <v>73</v>
      </c>
      <c r="AQ81" s="19" t="s">
        <v>965</v>
      </c>
      <c r="AR81" s="19" t="s">
        <v>966</v>
      </c>
      <c r="AS81" s="19"/>
      <c r="AT81" s="65" t="str">
        <f t="shared" si="10"/>
        <v>Y</v>
      </c>
      <c r="AU81" s="65" t="str">
        <f t="shared" si="11"/>
        <v>Y</v>
      </c>
      <c r="AV81" s="65" t="s">
        <v>162</v>
      </c>
      <c r="AW81" s="99" t="s">
        <v>1639</v>
      </c>
      <c r="AX81" s="99" t="s">
        <v>1636</v>
      </c>
      <c r="AY81" s="93"/>
      <c r="AZ81" s="96" t="str">
        <f t="shared" si="13"/>
        <v>n</v>
      </c>
      <c r="BA81" s="96" t="str">
        <f>IF(AZ81="n","n",VLOOKUP(AZ81,'Conversion factors'!$C$4:$D$24,2,FALSE))</f>
        <v>n</v>
      </c>
      <c r="BB81" s="96" t="str">
        <f t="shared" si="14"/>
        <v>n</v>
      </c>
      <c r="BC81" s="97"/>
      <c r="BD81" s="96" t="str">
        <f t="shared" si="12"/>
        <v>n</v>
      </c>
      <c r="BE81" s="96" t="str">
        <f t="shared" si="15"/>
        <v>n</v>
      </c>
      <c r="BF81" s="98" t="str">
        <f t="shared" si="16"/>
        <v/>
      </c>
      <c r="BG81" s="96" t="str">
        <f>IF(BF81="","",IF(ISNUMBER(VLOOKUP(BF81,'Conversion factors'!$B$35:$C$52,2,FALSE)),"y","n"))</f>
        <v/>
      </c>
      <c r="BH81" s="99" t="s">
        <v>1595</v>
      </c>
      <c r="BI81" s="100"/>
      <c r="BJ81" s="100"/>
    </row>
    <row r="82" spans="1:62" ht="15.75" customHeight="1" x14ac:dyDescent="0.2">
      <c r="A82" s="18"/>
      <c r="B82" s="19">
        <v>274</v>
      </c>
      <c r="D82" s="36">
        <v>100037</v>
      </c>
      <c r="E82" s="93" t="s">
        <v>1224</v>
      </c>
      <c r="F82" s="93">
        <v>2007</v>
      </c>
      <c r="G82" s="19" t="s">
        <v>960</v>
      </c>
      <c r="H82" s="19"/>
      <c r="I82" s="19" t="s">
        <v>41</v>
      </c>
      <c r="J82" s="19" t="s">
        <v>574</v>
      </c>
      <c r="K82" s="19" t="s">
        <v>161</v>
      </c>
      <c r="L82" s="19" t="s">
        <v>82</v>
      </c>
      <c r="M82" s="19" t="s">
        <v>82</v>
      </c>
      <c r="N82" s="19" t="s">
        <v>66</v>
      </c>
      <c r="O82" s="19" t="s">
        <v>909</v>
      </c>
      <c r="P82" s="19" t="s">
        <v>162</v>
      </c>
      <c r="Q82" s="19"/>
      <c r="R82" s="19" t="s">
        <v>81</v>
      </c>
      <c r="S82" s="19" t="s">
        <v>302</v>
      </c>
      <c r="T82" s="19" t="s">
        <v>44</v>
      </c>
      <c r="U82" s="19" t="s">
        <v>44</v>
      </c>
      <c r="V82" s="93" t="s">
        <v>252</v>
      </c>
      <c r="W82" s="93" t="s">
        <v>231</v>
      </c>
      <c r="X82" s="19" t="s">
        <v>46</v>
      </c>
      <c r="Y82" s="29"/>
      <c r="Z82" s="93"/>
      <c r="AA82" s="93"/>
      <c r="AB82" s="93" t="s">
        <v>519</v>
      </c>
      <c r="AC82" s="19" t="s">
        <v>214</v>
      </c>
      <c r="AD82" s="93"/>
      <c r="AE82" s="19">
        <v>104</v>
      </c>
      <c r="AF82" s="19" t="s">
        <v>968</v>
      </c>
      <c r="AG82" s="19" t="s">
        <v>270</v>
      </c>
      <c r="AH82" s="19"/>
      <c r="AI82" s="19"/>
      <c r="AJ82" s="19">
        <f>MEDIAN(7.84,8.46)</f>
        <v>8.15</v>
      </c>
      <c r="AK82" s="19" t="s">
        <v>967</v>
      </c>
      <c r="AL82" s="19"/>
      <c r="AM82" s="19" t="s">
        <v>234</v>
      </c>
      <c r="AN82" s="19" t="s">
        <v>969</v>
      </c>
      <c r="AO82" s="19" t="s">
        <v>270</v>
      </c>
      <c r="AP82" s="94" t="s">
        <v>73</v>
      </c>
      <c r="AQ82" s="19" t="s">
        <v>970</v>
      </c>
      <c r="AR82" s="19" t="s">
        <v>971</v>
      </c>
      <c r="AS82" s="19"/>
      <c r="AT82" s="65" t="str">
        <f t="shared" si="10"/>
        <v>Y</v>
      </c>
      <c r="AU82" s="65" t="str">
        <f t="shared" si="11"/>
        <v>Y</v>
      </c>
      <c r="AV82" s="65" t="s">
        <v>162</v>
      </c>
      <c r="AW82" s="99" t="s">
        <v>1595</v>
      </c>
      <c r="AX82" s="99"/>
      <c r="AY82" s="93"/>
      <c r="AZ82" s="96" t="str">
        <f t="shared" si="13"/>
        <v>n</v>
      </c>
      <c r="BA82" s="96" t="str">
        <f>IF(AZ82="n","n",VLOOKUP(AZ82,'Conversion factors'!$C$4:$D$24,2,FALSE))</f>
        <v>n</v>
      </c>
      <c r="BB82" s="96" t="str">
        <f t="shared" si="14"/>
        <v>n</v>
      </c>
      <c r="BC82" s="97"/>
      <c r="BD82" s="96" t="str">
        <f t="shared" si="12"/>
        <v>n</v>
      </c>
      <c r="BE82" s="96" t="str">
        <f t="shared" si="15"/>
        <v>n</v>
      </c>
      <c r="BF82" s="98" t="str">
        <f t="shared" si="16"/>
        <v/>
      </c>
      <c r="BG82" s="96" t="str">
        <f>IF(BF82="","",IF(ISNUMBER(VLOOKUP(BF82,'Conversion factors'!$B$35:$C$52,2,FALSE)),"y","n"))</f>
        <v/>
      </c>
      <c r="BH82" s="99" t="s">
        <v>1595</v>
      </c>
      <c r="BI82" s="100"/>
      <c r="BJ82" s="100"/>
    </row>
    <row r="83" spans="1:62" ht="15.75" customHeight="1" x14ac:dyDescent="0.2">
      <c r="A83" s="18"/>
      <c r="B83" s="19">
        <v>274</v>
      </c>
      <c r="D83" s="36">
        <v>100037</v>
      </c>
      <c r="E83" s="93" t="s">
        <v>1224</v>
      </c>
      <c r="F83" s="93">
        <v>2007</v>
      </c>
      <c r="G83" s="19" t="s">
        <v>960</v>
      </c>
      <c r="H83" s="19"/>
      <c r="I83" s="19" t="s">
        <v>41</v>
      </c>
      <c r="J83" s="19" t="s">
        <v>574</v>
      </c>
      <c r="K83" s="19" t="s">
        <v>161</v>
      </c>
      <c r="L83" s="19" t="s">
        <v>82</v>
      </c>
      <c r="M83" s="19" t="s">
        <v>82</v>
      </c>
      <c r="N83" s="19" t="s">
        <v>66</v>
      </c>
      <c r="O83" s="19" t="s">
        <v>909</v>
      </c>
      <c r="P83" s="19" t="s">
        <v>162</v>
      </c>
      <c r="Q83" s="19"/>
      <c r="R83" s="19" t="s">
        <v>81</v>
      </c>
      <c r="S83" s="19" t="s">
        <v>302</v>
      </c>
      <c r="T83" s="19" t="s">
        <v>55</v>
      </c>
      <c r="U83" s="19" t="s">
        <v>55</v>
      </c>
      <c r="V83" s="93" t="s">
        <v>252</v>
      </c>
      <c r="W83" s="93" t="s">
        <v>231</v>
      </c>
      <c r="X83" s="19" t="s">
        <v>46</v>
      </c>
      <c r="Y83" s="29"/>
      <c r="Z83" s="93"/>
      <c r="AA83" s="93"/>
      <c r="AB83" s="93" t="s">
        <v>289</v>
      </c>
      <c r="AC83" s="19" t="s">
        <v>214</v>
      </c>
      <c r="AD83" s="93"/>
      <c r="AE83" s="19">
        <v>104</v>
      </c>
      <c r="AF83" s="19" t="s">
        <v>968</v>
      </c>
      <c r="AG83" s="19" t="s">
        <v>270</v>
      </c>
      <c r="AH83" s="19"/>
      <c r="AI83" s="19"/>
      <c r="AJ83" s="19">
        <f>MEDIAN(7.84,8.46)</f>
        <v>8.15</v>
      </c>
      <c r="AK83" s="19" t="s">
        <v>967</v>
      </c>
      <c r="AL83" s="19"/>
      <c r="AM83" s="19" t="s">
        <v>234</v>
      </c>
      <c r="AN83" s="19" t="s">
        <v>969</v>
      </c>
      <c r="AO83" s="19" t="s">
        <v>270</v>
      </c>
      <c r="AP83" s="94" t="s">
        <v>73</v>
      </c>
      <c r="AQ83" s="19" t="s">
        <v>970</v>
      </c>
      <c r="AR83" s="19" t="s">
        <v>971</v>
      </c>
      <c r="AS83" s="19"/>
      <c r="AT83" s="65" t="str">
        <f t="shared" si="10"/>
        <v>Y</v>
      </c>
      <c r="AU83" s="65" t="str">
        <f t="shared" si="11"/>
        <v>Y</v>
      </c>
      <c r="AV83" s="65" t="s">
        <v>162</v>
      </c>
      <c r="AW83" s="99" t="s">
        <v>1595</v>
      </c>
      <c r="AX83" s="99"/>
      <c r="AY83" s="93"/>
      <c r="AZ83" s="96" t="str">
        <f t="shared" si="13"/>
        <v>n</v>
      </c>
      <c r="BA83" s="96" t="str">
        <f>IF(AZ83="n","n",VLOOKUP(AZ83,'Conversion factors'!$C$4:$D$24,2,FALSE))</f>
        <v>n</v>
      </c>
      <c r="BB83" s="96" t="str">
        <f t="shared" si="14"/>
        <v>n</v>
      </c>
      <c r="BC83" s="97"/>
      <c r="BD83" s="96" t="str">
        <f t="shared" si="12"/>
        <v>n</v>
      </c>
      <c r="BE83" s="96" t="str">
        <f t="shared" si="15"/>
        <v>n</v>
      </c>
      <c r="BF83" s="98" t="str">
        <f t="shared" si="16"/>
        <v/>
      </c>
      <c r="BG83" s="96" t="str">
        <f>IF(BF83="","",IF(ISNUMBER(VLOOKUP(BF83,'Conversion factors'!$B$35:$C$52,2,FALSE)),"y","n"))</f>
        <v/>
      </c>
      <c r="BH83" s="99" t="s">
        <v>1595</v>
      </c>
      <c r="BI83" s="100"/>
      <c r="BJ83" s="100"/>
    </row>
    <row r="84" spans="1:62" ht="15.75" customHeight="1" x14ac:dyDescent="0.2">
      <c r="A84" s="18"/>
      <c r="B84" s="19">
        <v>274</v>
      </c>
      <c r="D84" s="36">
        <v>100037</v>
      </c>
      <c r="E84" s="93" t="s">
        <v>1224</v>
      </c>
      <c r="F84" s="93">
        <v>2007</v>
      </c>
      <c r="G84" s="19" t="s">
        <v>960</v>
      </c>
      <c r="H84" s="19"/>
      <c r="I84" s="19" t="s">
        <v>41</v>
      </c>
      <c r="J84" s="19" t="s">
        <v>574</v>
      </c>
      <c r="K84" s="19" t="s">
        <v>161</v>
      </c>
      <c r="L84" s="19" t="s">
        <v>82</v>
      </c>
      <c r="M84" s="19" t="s">
        <v>82</v>
      </c>
      <c r="N84" s="19" t="s">
        <v>66</v>
      </c>
      <c r="O84" s="19" t="s">
        <v>909</v>
      </c>
      <c r="P84" s="19" t="s">
        <v>162</v>
      </c>
      <c r="Q84" s="19"/>
      <c r="R84" s="19" t="s">
        <v>81</v>
      </c>
      <c r="S84" s="19" t="s">
        <v>302</v>
      </c>
      <c r="T84" s="19" t="s">
        <v>77</v>
      </c>
      <c r="U84" s="19" t="s">
        <v>77</v>
      </c>
      <c r="V84" s="93" t="s">
        <v>252</v>
      </c>
      <c r="W84" s="93" t="s">
        <v>231</v>
      </c>
      <c r="X84" s="19" t="s">
        <v>46</v>
      </c>
      <c r="Y84" s="29"/>
      <c r="Z84" s="93"/>
      <c r="AA84" s="93"/>
      <c r="AB84" s="93" t="s">
        <v>519</v>
      </c>
      <c r="AC84" s="19" t="s">
        <v>214</v>
      </c>
      <c r="AD84" s="93"/>
      <c r="AE84" s="19">
        <v>104</v>
      </c>
      <c r="AF84" s="19" t="s">
        <v>968</v>
      </c>
      <c r="AG84" s="19" t="s">
        <v>270</v>
      </c>
      <c r="AH84" s="19"/>
      <c r="AI84" s="19"/>
      <c r="AJ84" s="19">
        <f>MEDIAN(7.84,8.46)</f>
        <v>8.15</v>
      </c>
      <c r="AK84" s="19" t="s">
        <v>967</v>
      </c>
      <c r="AL84" s="19"/>
      <c r="AM84" s="19" t="s">
        <v>234</v>
      </c>
      <c r="AN84" s="19" t="s">
        <v>969</v>
      </c>
      <c r="AO84" s="19" t="s">
        <v>270</v>
      </c>
      <c r="AP84" s="94" t="s">
        <v>73</v>
      </c>
      <c r="AQ84" s="19" t="s">
        <v>970</v>
      </c>
      <c r="AR84" s="19" t="s">
        <v>971</v>
      </c>
      <c r="AS84" s="19"/>
      <c r="AT84" s="65" t="str">
        <f t="shared" si="10"/>
        <v>Y</v>
      </c>
      <c r="AU84" s="65" t="str">
        <f t="shared" si="11"/>
        <v>Y</v>
      </c>
      <c r="AV84" s="65" t="s">
        <v>162</v>
      </c>
      <c r="AW84" s="99" t="s">
        <v>1595</v>
      </c>
      <c r="AX84" s="99"/>
      <c r="AY84" s="93"/>
      <c r="AZ84" s="96" t="str">
        <f t="shared" si="13"/>
        <v>n</v>
      </c>
      <c r="BA84" s="96" t="str">
        <f>IF(AZ84="n","n",VLOOKUP(AZ84,'Conversion factors'!$C$4:$D$24,2,FALSE))</f>
        <v>n</v>
      </c>
      <c r="BB84" s="96" t="str">
        <f t="shared" si="14"/>
        <v>n</v>
      </c>
      <c r="BC84" s="97"/>
      <c r="BD84" s="96" t="str">
        <f t="shared" si="12"/>
        <v>n</v>
      </c>
      <c r="BE84" s="96" t="str">
        <f t="shared" si="15"/>
        <v>n</v>
      </c>
      <c r="BF84" s="98" t="str">
        <f t="shared" si="16"/>
        <v/>
      </c>
      <c r="BG84" s="96" t="str">
        <f>IF(BF84="","",IF(ISNUMBER(VLOOKUP(BF84,'Conversion factors'!$B$35:$C$52,2,FALSE)),"y","n"))</f>
        <v/>
      </c>
      <c r="BH84" s="99" t="s">
        <v>1595</v>
      </c>
      <c r="BI84" s="100"/>
      <c r="BJ84" s="100"/>
    </row>
    <row r="85" spans="1:62" ht="15.75" customHeight="1" x14ac:dyDescent="0.2">
      <c r="A85" s="18"/>
      <c r="B85" s="19">
        <v>274</v>
      </c>
      <c r="D85" s="36">
        <v>100037</v>
      </c>
      <c r="E85" s="93" t="s">
        <v>1224</v>
      </c>
      <c r="F85" s="93">
        <v>2007</v>
      </c>
      <c r="G85" s="19" t="s">
        <v>960</v>
      </c>
      <c r="H85" s="19"/>
      <c r="I85" s="19" t="s">
        <v>41</v>
      </c>
      <c r="J85" s="19" t="s">
        <v>574</v>
      </c>
      <c r="K85" s="19" t="s">
        <v>161</v>
      </c>
      <c r="L85" s="99" t="s">
        <v>82</v>
      </c>
      <c r="M85" s="19" t="s">
        <v>82</v>
      </c>
      <c r="N85" s="19" t="s">
        <v>66</v>
      </c>
      <c r="O85" s="19" t="s">
        <v>909</v>
      </c>
      <c r="P85" s="19" t="s">
        <v>162</v>
      </c>
      <c r="Q85" s="19"/>
      <c r="R85" s="19" t="s">
        <v>81</v>
      </c>
      <c r="S85" s="19" t="s">
        <v>302</v>
      </c>
      <c r="T85" s="19" t="s">
        <v>54</v>
      </c>
      <c r="U85" s="19" t="s">
        <v>54</v>
      </c>
      <c r="V85" s="93" t="s">
        <v>252</v>
      </c>
      <c r="W85" s="93" t="s">
        <v>231</v>
      </c>
      <c r="X85" s="19" t="s">
        <v>46</v>
      </c>
      <c r="Y85" s="29"/>
      <c r="Z85" s="93"/>
      <c r="AA85" s="93"/>
      <c r="AB85" s="93" t="s">
        <v>973</v>
      </c>
      <c r="AC85" s="19" t="s">
        <v>214</v>
      </c>
      <c r="AD85" s="93"/>
      <c r="AE85" s="19">
        <v>104</v>
      </c>
      <c r="AF85" s="19" t="s">
        <v>968</v>
      </c>
      <c r="AG85" s="19" t="s">
        <v>270</v>
      </c>
      <c r="AH85" s="19"/>
      <c r="AI85" s="19"/>
      <c r="AJ85" s="19">
        <f>MEDIAN(7.84,8.46)</f>
        <v>8.15</v>
      </c>
      <c r="AK85" s="19" t="s">
        <v>967</v>
      </c>
      <c r="AL85" s="19"/>
      <c r="AM85" s="19" t="s">
        <v>234</v>
      </c>
      <c r="AN85" s="19" t="s">
        <v>969</v>
      </c>
      <c r="AO85" s="19" t="s">
        <v>270</v>
      </c>
      <c r="AP85" s="94" t="s">
        <v>73</v>
      </c>
      <c r="AQ85" s="19" t="s">
        <v>970</v>
      </c>
      <c r="AR85" s="19" t="s">
        <v>971</v>
      </c>
      <c r="AS85" s="19"/>
      <c r="AT85" s="65" t="str">
        <f t="shared" si="10"/>
        <v>Y</v>
      </c>
      <c r="AU85" s="65" t="str">
        <f t="shared" si="11"/>
        <v>Y</v>
      </c>
      <c r="AV85" s="65" t="s">
        <v>162</v>
      </c>
      <c r="AW85" s="99" t="s">
        <v>1639</v>
      </c>
      <c r="AX85" s="99" t="s">
        <v>1636</v>
      </c>
      <c r="AY85" s="93"/>
      <c r="AZ85" s="96" t="str">
        <f t="shared" si="13"/>
        <v>n</v>
      </c>
      <c r="BA85" s="96" t="str">
        <f>IF(AZ85="n","n",VLOOKUP(AZ85,'Conversion factors'!$C$4:$D$24,2,FALSE))</f>
        <v>n</v>
      </c>
      <c r="BB85" s="96" t="str">
        <f t="shared" si="14"/>
        <v>n</v>
      </c>
      <c r="BC85" s="97"/>
      <c r="BD85" s="96" t="str">
        <f t="shared" si="12"/>
        <v>n</v>
      </c>
      <c r="BE85" s="96" t="str">
        <f t="shared" si="15"/>
        <v>n</v>
      </c>
      <c r="BF85" s="98" t="str">
        <f t="shared" si="16"/>
        <v/>
      </c>
      <c r="BG85" s="96" t="str">
        <f>IF(BF85="","",IF(ISNUMBER(VLOOKUP(BF85,'Conversion factors'!$B$35:$C$52,2,FALSE)),"y","n"))</f>
        <v/>
      </c>
      <c r="BH85" s="99" t="s">
        <v>1595</v>
      </c>
      <c r="BI85" s="100"/>
      <c r="BJ85" s="100"/>
    </row>
    <row r="86" spans="1:62" ht="15.75" customHeight="1" x14ac:dyDescent="0.2">
      <c r="A86" s="18"/>
      <c r="B86" s="19">
        <v>274</v>
      </c>
      <c r="D86" s="36">
        <v>100037</v>
      </c>
      <c r="E86" s="93" t="s">
        <v>1224</v>
      </c>
      <c r="F86" s="93">
        <v>2007</v>
      </c>
      <c r="G86" s="19" t="s">
        <v>960</v>
      </c>
      <c r="H86" s="19"/>
      <c r="I86" s="19" t="s">
        <v>41</v>
      </c>
      <c r="J86" s="19" t="s">
        <v>574</v>
      </c>
      <c r="K86" s="19" t="s">
        <v>161</v>
      </c>
      <c r="L86" s="99" t="s">
        <v>82</v>
      </c>
      <c r="M86" s="19" t="s">
        <v>82</v>
      </c>
      <c r="N86" s="19" t="s">
        <v>66</v>
      </c>
      <c r="O86" s="19" t="s">
        <v>909</v>
      </c>
      <c r="P86" s="19" t="s">
        <v>162</v>
      </c>
      <c r="Q86" s="19"/>
      <c r="R86" s="19" t="s">
        <v>81</v>
      </c>
      <c r="S86" s="19" t="s">
        <v>451</v>
      </c>
      <c r="T86" s="19" t="s">
        <v>465</v>
      </c>
      <c r="U86" s="19" t="s">
        <v>54</v>
      </c>
      <c r="V86" s="93" t="s">
        <v>252</v>
      </c>
      <c r="W86" s="93" t="s">
        <v>231</v>
      </c>
      <c r="X86" s="19" t="s">
        <v>46</v>
      </c>
      <c r="Y86" s="29"/>
      <c r="Z86" s="93"/>
      <c r="AA86" s="93"/>
      <c r="AB86" s="93" t="s">
        <v>973</v>
      </c>
      <c r="AC86" s="19" t="s">
        <v>214</v>
      </c>
      <c r="AD86" s="93"/>
      <c r="AE86" s="19">
        <v>104</v>
      </c>
      <c r="AF86" s="19" t="s">
        <v>968</v>
      </c>
      <c r="AG86" s="19" t="s">
        <v>270</v>
      </c>
      <c r="AH86" s="19"/>
      <c r="AI86" s="19"/>
      <c r="AJ86" s="19">
        <f>MEDIAN(7.84,8.46)</f>
        <v>8.15</v>
      </c>
      <c r="AK86" s="19" t="s">
        <v>967</v>
      </c>
      <c r="AL86" s="19"/>
      <c r="AM86" s="19" t="s">
        <v>234</v>
      </c>
      <c r="AN86" s="19" t="s">
        <v>969</v>
      </c>
      <c r="AO86" s="19" t="s">
        <v>270</v>
      </c>
      <c r="AP86" s="94" t="s">
        <v>73</v>
      </c>
      <c r="AQ86" s="19" t="s">
        <v>970</v>
      </c>
      <c r="AR86" s="19" t="s">
        <v>971</v>
      </c>
      <c r="AS86" s="19"/>
      <c r="AT86" s="65" t="str">
        <f t="shared" si="10"/>
        <v>Y</v>
      </c>
      <c r="AU86" s="65" t="str">
        <f t="shared" si="11"/>
        <v>Y</v>
      </c>
      <c r="AV86" s="65" t="s">
        <v>162</v>
      </c>
      <c r="AW86" s="99" t="s">
        <v>1639</v>
      </c>
      <c r="AX86" s="99" t="s">
        <v>1636</v>
      </c>
      <c r="AY86" s="93"/>
      <c r="AZ86" s="96" t="str">
        <f t="shared" si="13"/>
        <v>n</v>
      </c>
      <c r="BA86" s="96" t="str">
        <f>IF(AZ86="n","n",VLOOKUP(AZ86,'Conversion factors'!$C$4:$D$24,2,FALSE))</f>
        <v>n</v>
      </c>
      <c r="BB86" s="96" t="str">
        <f t="shared" si="14"/>
        <v>n</v>
      </c>
      <c r="BC86" s="97"/>
      <c r="BD86" s="96" t="str">
        <f t="shared" si="12"/>
        <v>n</v>
      </c>
      <c r="BE86" s="96" t="str">
        <f t="shared" si="15"/>
        <v>n</v>
      </c>
      <c r="BF86" s="98" t="str">
        <f t="shared" si="16"/>
        <v/>
      </c>
      <c r="BG86" s="96" t="str">
        <f>IF(BF86="","",IF(ISNUMBER(VLOOKUP(BF86,'Conversion factors'!$B$35:$C$52,2,FALSE)),"y","n"))</f>
        <v/>
      </c>
      <c r="BH86" s="99" t="s">
        <v>1595</v>
      </c>
      <c r="BI86" s="100"/>
      <c r="BJ86" s="100"/>
    </row>
    <row r="87" spans="1:62" ht="15.75" customHeight="1" x14ac:dyDescent="0.2">
      <c r="A87" s="18"/>
      <c r="B87" s="19">
        <v>274</v>
      </c>
      <c r="D87" s="36">
        <v>100037</v>
      </c>
      <c r="E87" s="93" t="s">
        <v>1224</v>
      </c>
      <c r="F87" s="93">
        <v>2007</v>
      </c>
      <c r="G87" s="19" t="s">
        <v>960</v>
      </c>
      <c r="H87" s="19"/>
      <c r="I87" s="19" t="s">
        <v>41</v>
      </c>
      <c r="J87" s="19" t="s">
        <v>574</v>
      </c>
      <c r="K87" s="19" t="s">
        <v>161</v>
      </c>
      <c r="L87" s="19" t="s">
        <v>82</v>
      </c>
      <c r="M87" s="19" t="s">
        <v>82</v>
      </c>
      <c r="N87" s="19" t="s">
        <v>66</v>
      </c>
      <c r="O87" s="19" t="s">
        <v>909</v>
      </c>
      <c r="P87" s="19" t="s">
        <v>162</v>
      </c>
      <c r="Q87" s="19"/>
      <c r="R87" s="19" t="s">
        <v>237</v>
      </c>
      <c r="S87" s="19" t="s">
        <v>79</v>
      </c>
      <c r="T87" s="19" t="s">
        <v>56</v>
      </c>
      <c r="U87" s="19" t="s">
        <v>44</v>
      </c>
      <c r="V87" s="93" t="s">
        <v>253</v>
      </c>
      <c r="W87" s="93" t="s">
        <v>231</v>
      </c>
      <c r="X87" s="19" t="s">
        <v>46</v>
      </c>
      <c r="Y87" s="29"/>
      <c r="Z87" s="93"/>
      <c r="AA87" s="93"/>
      <c r="AB87" s="93" t="s">
        <v>621</v>
      </c>
      <c r="AC87" s="19" t="s">
        <v>214</v>
      </c>
      <c r="AD87" s="93"/>
      <c r="AE87" s="19">
        <v>101</v>
      </c>
      <c r="AF87" s="19" t="s">
        <v>963</v>
      </c>
      <c r="AG87" s="19" t="s">
        <v>270</v>
      </c>
      <c r="AH87" s="19"/>
      <c r="AI87" s="19"/>
      <c r="AJ87" s="19">
        <f>MEDIAN(7.89,8.78)</f>
        <v>8.3349999999999991</v>
      </c>
      <c r="AK87" s="19" t="s">
        <v>962</v>
      </c>
      <c r="AL87" s="19"/>
      <c r="AM87" s="19" t="s">
        <v>234</v>
      </c>
      <c r="AN87" s="19" t="s">
        <v>964</v>
      </c>
      <c r="AO87" s="19" t="s">
        <v>270</v>
      </c>
      <c r="AP87" s="94" t="s">
        <v>73</v>
      </c>
      <c r="AQ87" s="19" t="s">
        <v>965</v>
      </c>
      <c r="AR87" s="19" t="s">
        <v>966</v>
      </c>
      <c r="AS87" s="19"/>
      <c r="AT87" s="65" t="str">
        <f t="shared" si="10"/>
        <v>Y</v>
      </c>
      <c r="AU87" s="65" t="str">
        <f t="shared" si="11"/>
        <v>Y</v>
      </c>
      <c r="AV87" s="65" t="s">
        <v>162</v>
      </c>
      <c r="AW87" s="99" t="s">
        <v>1595</v>
      </c>
      <c r="AX87" s="99"/>
      <c r="AY87" s="93"/>
      <c r="AZ87" s="96" t="str">
        <f t="shared" si="13"/>
        <v>n</v>
      </c>
      <c r="BA87" s="96" t="str">
        <f>IF(AZ87="n","n",VLOOKUP(AZ87,'Conversion factors'!$C$4:$D$24,2,FALSE))</f>
        <v>n</v>
      </c>
      <c r="BB87" s="96" t="str">
        <f t="shared" si="14"/>
        <v>n</v>
      </c>
      <c r="BC87" s="97"/>
      <c r="BD87" s="96" t="str">
        <f t="shared" si="12"/>
        <v>n</v>
      </c>
      <c r="BE87" s="96" t="str">
        <f t="shared" si="15"/>
        <v>n</v>
      </c>
      <c r="BF87" s="98" t="str">
        <f t="shared" si="16"/>
        <v/>
      </c>
      <c r="BG87" s="96" t="str">
        <f>IF(BF87="","",IF(ISNUMBER(VLOOKUP(BF87,'Conversion factors'!$B$35:$C$52,2,FALSE)),"y","n"))</f>
        <v/>
      </c>
      <c r="BH87" s="99" t="s">
        <v>1595</v>
      </c>
      <c r="BI87" s="100"/>
      <c r="BJ87" s="100"/>
    </row>
    <row r="88" spans="1:62" ht="15.75" customHeight="1" x14ac:dyDescent="0.2">
      <c r="A88" s="18"/>
      <c r="B88" s="19">
        <v>274</v>
      </c>
      <c r="D88" s="36">
        <v>100037</v>
      </c>
      <c r="E88" s="93" t="s">
        <v>1224</v>
      </c>
      <c r="F88" s="93">
        <v>2007</v>
      </c>
      <c r="G88" s="19" t="s">
        <v>960</v>
      </c>
      <c r="H88" s="19"/>
      <c r="I88" s="19" t="s">
        <v>41</v>
      </c>
      <c r="J88" s="19" t="s">
        <v>574</v>
      </c>
      <c r="K88" s="19" t="s">
        <v>161</v>
      </c>
      <c r="L88" s="19" t="s">
        <v>82</v>
      </c>
      <c r="M88" s="19" t="s">
        <v>82</v>
      </c>
      <c r="N88" s="19" t="s">
        <v>66</v>
      </c>
      <c r="O88" s="19" t="s">
        <v>909</v>
      </c>
      <c r="P88" s="19" t="s">
        <v>162</v>
      </c>
      <c r="Q88" s="19"/>
      <c r="R88" s="19" t="s">
        <v>237</v>
      </c>
      <c r="S88" s="19" t="s">
        <v>414</v>
      </c>
      <c r="T88" s="19" t="s">
        <v>55</v>
      </c>
      <c r="U88" s="19" t="s">
        <v>55</v>
      </c>
      <c r="V88" s="93" t="s">
        <v>253</v>
      </c>
      <c r="W88" s="93" t="s">
        <v>231</v>
      </c>
      <c r="X88" s="19" t="s">
        <v>46</v>
      </c>
      <c r="Y88" s="29"/>
      <c r="Z88" s="93"/>
      <c r="AA88" s="93"/>
      <c r="AB88" s="93" t="s">
        <v>645</v>
      </c>
      <c r="AC88" s="19" t="s">
        <v>214</v>
      </c>
      <c r="AD88" s="93"/>
      <c r="AE88" s="19">
        <v>101</v>
      </c>
      <c r="AF88" s="19" t="s">
        <v>963</v>
      </c>
      <c r="AG88" s="19" t="s">
        <v>270</v>
      </c>
      <c r="AH88" s="19"/>
      <c r="AI88" s="19"/>
      <c r="AJ88" s="19">
        <f>MEDIAN(7.89,8.78)</f>
        <v>8.3349999999999991</v>
      </c>
      <c r="AK88" s="19" t="s">
        <v>962</v>
      </c>
      <c r="AL88" s="19"/>
      <c r="AM88" s="19" t="s">
        <v>234</v>
      </c>
      <c r="AN88" s="19" t="s">
        <v>964</v>
      </c>
      <c r="AO88" s="19" t="s">
        <v>270</v>
      </c>
      <c r="AP88" s="94" t="s">
        <v>73</v>
      </c>
      <c r="AQ88" s="19" t="s">
        <v>965</v>
      </c>
      <c r="AR88" s="19" t="s">
        <v>966</v>
      </c>
      <c r="AS88" s="19"/>
      <c r="AT88" s="65" t="str">
        <f t="shared" si="10"/>
        <v>Y</v>
      </c>
      <c r="AU88" s="65" t="str">
        <f t="shared" si="11"/>
        <v>Y</v>
      </c>
      <c r="AV88" s="65" t="s">
        <v>162</v>
      </c>
      <c r="AW88" s="99" t="s">
        <v>1595</v>
      </c>
      <c r="AX88" s="99"/>
      <c r="AY88" s="93"/>
      <c r="AZ88" s="96" t="str">
        <f t="shared" si="13"/>
        <v>n</v>
      </c>
      <c r="BA88" s="96" t="str">
        <f>IF(AZ88="n","n",VLOOKUP(AZ88,'Conversion factors'!$C$4:$D$24,2,FALSE))</f>
        <v>n</v>
      </c>
      <c r="BB88" s="96" t="str">
        <f t="shared" si="14"/>
        <v>n</v>
      </c>
      <c r="BC88" s="97"/>
      <c r="BD88" s="96" t="str">
        <f t="shared" si="12"/>
        <v>n</v>
      </c>
      <c r="BE88" s="96" t="str">
        <f t="shared" si="15"/>
        <v>n</v>
      </c>
      <c r="BF88" s="98" t="str">
        <f t="shared" si="16"/>
        <v/>
      </c>
      <c r="BG88" s="96" t="str">
        <f>IF(BF88="","",IF(ISNUMBER(VLOOKUP(BF88,'Conversion factors'!$B$35:$C$52,2,FALSE)),"y","n"))</f>
        <v/>
      </c>
      <c r="BH88" s="99" t="s">
        <v>1595</v>
      </c>
      <c r="BI88" s="100"/>
      <c r="BJ88" s="100"/>
    </row>
    <row r="89" spans="1:62" ht="15.75" customHeight="1" x14ac:dyDescent="0.2">
      <c r="A89" s="18"/>
      <c r="B89" s="19">
        <v>274</v>
      </c>
      <c r="D89" s="36">
        <v>100037</v>
      </c>
      <c r="E89" s="93" t="s">
        <v>1224</v>
      </c>
      <c r="F89" s="93">
        <v>2007</v>
      </c>
      <c r="G89" s="19" t="s">
        <v>960</v>
      </c>
      <c r="H89" s="19"/>
      <c r="I89" s="19" t="s">
        <v>41</v>
      </c>
      <c r="J89" s="19" t="s">
        <v>574</v>
      </c>
      <c r="K89" s="19" t="s">
        <v>161</v>
      </c>
      <c r="L89" s="19" t="s">
        <v>82</v>
      </c>
      <c r="M89" s="19" t="s">
        <v>82</v>
      </c>
      <c r="N89" s="19" t="s">
        <v>66</v>
      </c>
      <c r="O89" s="19" t="s">
        <v>909</v>
      </c>
      <c r="P89" s="19" t="s">
        <v>162</v>
      </c>
      <c r="Q89" s="19"/>
      <c r="R89" s="19" t="s">
        <v>237</v>
      </c>
      <c r="S89" s="19" t="s">
        <v>414</v>
      </c>
      <c r="T89" s="19" t="s">
        <v>77</v>
      </c>
      <c r="U89" s="19" t="s">
        <v>77</v>
      </c>
      <c r="V89" s="93" t="s">
        <v>253</v>
      </c>
      <c r="W89" s="93" t="s">
        <v>231</v>
      </c>
      <c r="X89" s="19" t="s">
        <v>46</v>
      </c>
      <c r="Y89" s="29"/>
      <c r="Z89" s="93"/>
      <c r="AA89" s="93"/>
      <c r="AB89" s="93" t="s">
        <v>851</v>
      </c>
      <c r="AC89" s="19" t="s">
        <v>214</v>
      </c>
      <c r="AD89" s="93"/>
      <c r="AE89" s="19">
        <v>101</v>
      </c>
      <c r="AF89" s="19" t="s">
        <v>963</v>
      </c>
      <c r="AG89" s="19" t="s">
        <v>270</v>
      </c>
      <c r="AH89" s="19"/>
      <c r="AI89" s="19"/>
      <c r="AJ89" s="19">
        <f>MEDIAN(7.89,8.78)</f>
        <v>8.3349999999999991</v>
      </c>
      <c r="AK89" s="19" t="s">
        <v>962</v>
      </c>
      <c r="AL89" s="19"/>
      <c r="AM89" s="19" t="s">
        <v>234</v>
      </c>
      <c r="AN89" s="19" t="s">
        <v>964</v>
      </c>
      <c r="AO89" s="19" t="s">
        <v>270</v>
      </c>
      <c r="AP89" s="94" t="s">
        <v>73</v>
      </c>
      <c r="AQ89" s="19" t="s">
        <v>965</v>
      </c>
      <c r="AR89" s="19" t="s">
        <v>966</v>
      </c>
      <c r="AS89" s="19"/>
      <c r="AT89" s="65" t="str">
        <f t="shared" si="10"/>
        <v>Y</v>
      </c>
      <c r="AU89" s="65" t="str">
        <f t="shared" si="11"/>
        <v>Y</v>
      </c>
      <c r="AV89" s="65" t="s">
        <v>162</v>
      </c>
      <c r="AW89" s="99" t="s">
        <v>1595</v>
      </c>
      <c r="AX89" s="99"/>
      <c r="AY89" s="93"/>
      <c r="AZ89" s="96" t="str">
        <f t="shared" si="13"/>
        <v>n</v>
      </c>
      <c r="BA89" s="96" t="str">
        <f>IF(AZ89="n","n",VLOOKUP(AZ89,'Conversion factors'!$C$4:$D$24,2,FALSE))</f>
        <v>n</v>
      </c>
      <c r="BB89" s="96" t="str">
        <f t="shared" si="14"/>
        <v>n</v>
      </c>
      <c r="BC89" s="97"/>
      <c r="BD89" s="96" t="str">
        <f t="shared" si="12"/>
        <v>n</v>
      </c>
      <c r="BE89" s="96" t="str">
        <f t="shared" si="15"/>
        <v>n</v>
      </c>
      <c r="BF89" s="98" t="str">
        <f t="shared" si="16"/>
        <v/>
      </c>
      <c r="BG89" s="96" t="str">
        <f>IF(BF89="","",IF(ISNUMBER(VLOOKUP(BF89,'Conversion factors'!$B$35:$C$52,2,FALSE)),"y","n"))</f>
        <v/>
      </c>
      <c r="BH89" s="99" t="s">
        <v>1595</v>
      </c>
      <c r="BI89" s="100"/>
      <c r="BJ89" s="100"/>
    </row>
    <row r="90" spans="1:62" ht="15.75" customHeight="1" x14ac:dyDescent="0.2">
      <c r="A90" s="18"/>
      <c r="B90" s="19">
        <v>274</v>
      </c>
      <c r="D90" s="36">
        <v>100037</v>
      </c>
      <c r="E90" s="93" t="s">
        <v>1224</v>
      </c>
      <c r="F90" s="93">
        <v>2007</v>
      </c>
      <c r="G90" s="19" t="s">
        <v>960</v>
      </c>
      <c r="H90" s="19"/>
      <c r="I90" s="19" t="s">
        <v>41</v>
      </c>
      <c r="J90" s="19" t="s">
        <v>574</v>
      </c>
      <c r="K90" s="19" t="s">
        <v>161</v>
      </c>
      <c r="L90" s="99" t="s">
        <v>82</v>
      </c>
      <c r="M90" s="19" t="s">
        <v>82</v>
      </c>
      <c r="N90" s="19" t="s">
        <v>66</v>
      </c>
      <c r="O90" s="19" t="s">
        <v>909</v>
      </c>
      <c r="P90" s="19" t="s">
        <v>162</v>
      </c>
      <c r="Q90" s="19"/>
      <c r="R90" s="19" t="s">
        <v>237</v>
      </c>
      <c r="S90" s="19" t="s">
        <v>414</v>
      </c>
      <c r="T90" s="19" t="s">
        <v>54</v>
      </c>
      <c r="U90" s="19" t="s">
        <v>54</v>
      </c>
      <c r="V90" s="93" t="s">
        <v>253</v>
      </c>
      <c r="W90" s="93" t="s">
        <v>231</v>
      </c>
      <c r="X90" s="19" t="s">
        <v>46</v>
      </c>
      <c r="Y90" s="29"/>
      <c r="Z90" s="93"/>
      <c r="AA90" s="93"/>
      <c r="AB90" s="93" t="s">
        <v>289</v>
      </c>
      <c r="AC90" s="19" t="s">
        <v>214</v>
      </c>
      <c r="AD90" s="93"/>
      <c r="AE90" s="19">
        <v>101</v>
      </c>
      <c r="AF90" s="19" t="s">
        <v>963</v>
      </c>
      <c r="AG90" s="19" t="s">
        <v>270</v>
      </c>
      <c r="AH90" s="19"/>
      <c r="AI90" s="19"/>
      <c r="AJ90" s="19">
        <f>MEDIAN(7.89,8.78)</f>
        <v>8.3349999999999991</v>
      </c>
      <c r="AK90" s="19" t="s">
        <v>962</v>
      </c>
      <c r="AL90" s="19"/>
      <c r="AM90" s="19" t="s">
        <v>234</v>
      </c>
      <c r="AN90" s="19" t="s">
        <v>964</v>
      </c>
      <c r="AO90" s="19" t="s">
        <v>270</v>
      </c>
      <c r="AP90" s="94" t="s">
        <v>73</v>
      </c>
      <c r="AQ90" s="19" t="s">
        <v>965</v>
      </c>
      <c r="AR90" s="19" t="s">
        <v>966</v>
      </c>
      <c r="AS90" s="19"/>
      <c r="AT90" s="65" t="str">
        <f t="shared" si="10"/>
        <v>Y</v>
      </c>
      <c r="AU90" s="65" t="str">
        <f t="shared" si="11"/>
        <v>Y</v>
      </c>
      <c r="AV90" s="65" t="s">
        <v>162</v>
      </c>
      <c r="AW90" s="99" t="s">
        <v>1639</v>
      </c>
      <c r="AX90" s="99" t="s">
        <v>1636</v>
      </c>
      <c r="AY90" s="93"/>
      <c r="AZ90" s="96" t="str">
        <f t="shared" si="13"/>
        <v>n</v>
      </c>
      <c r="BA90" s="96" t="str">
        <f>IF(AZ90="n","n",VLOOKUP(AZ90,'Conversion factors'!$C$4:$D$24,2,FALSE))</f>
        <v>n</v>
      </c>
      <c r="BB90" s="96" t="str">
        <f t="shared" si="14"/>
        <v>n</v>
      </c>
      <c r="BC90" s="97"/>
      <c r="BD90" s="96" t="str">
        <f t="shared" si="12"/>
        <v>n</v>
      </c>
      <c r="BE90" s="96" t="str">
        <f t="shared" si="15"/>
        <v>n</v>
      </c>
      <c r="BF90" s="98" t="str">
        <f t="shared" si="16"/>
        <v/>
      </c>
      <c r="BG90" s="96" t="str">
        <f>IF(BF90="","",IF(ISNUMBER(VLOOKUP(BF90,'Conversion factors'!$B$35:$C$52,2,FALSE)),"y","n"))</f>
        <v/>
      </c>
      <c r="BH90" s="99" t="s">
        <v>1595</v>
      </c>
      <c r="BI90" s="100"/>
      <c r="BJ90" s="100"/>
    </row>
    <row r="91" spans="1:62" ht="15.75" customHeight="1" x14ac:dyDescent="0.2">
      <c r="A91" s="18"/>
      <c r="B91" s="19">
        <v>274</v>
      </c>
      <c r="D91" s="36">
        <v>100037</v>
      </c>
      <c r="E91" s="93" t="s">
        <v>1224</v>
      </c>
      <c r="F91" s="93">
        <v>2007</v>
      </c>
      <c r="G91" s="19" t="s">
        <v>960</v>
      </c>
      <c r="H91" s="19"/>
      <c r="I91" s="19" t="s">
        <v>41</v>
      </c>
      <c r="J91" s="19" t="s">
        <v>574</v>
      </c>
      <c r="K91" s="19" t="s">
        <v>161</v>
      </c>
      <c r="L91" s="19" t="s">
        <v>82</v>
      </c>
      <c r="M91" s="19" t="s">
        <v>82</v>
      </c>
      <c r="N91" s="19" t="s">
        <v>66</v>
      </c>
      <c r="O91" s="19" t="s">
        <v>909</v>
      </c>
      <c r="P91" s="19" t="s">
        <v>162</v>
      </c>
      <c r="Q91" s="19"/>
      <c r="R91" s="19" t="s">
        <v>237</v>
      </c>
      <c r="S91" s="19" t="s">
        <v>79</v>
      </c>
      <c r="T91" s="19" t="s">
        <v>56</v>
      </c>
      <c r="U91" s="19" t="s">
        <v>44</v>
      </c>
      <c r="V91" s="93" t="s">
        <v>94</v>
      </c>
      <c r="W91" s="93" t="s">
        <v>231</v>
      </c>
      <c r="X91" s="19" t="s">
        <v>46</v>
      </c>
      <c r="Y91" s="29"/>
      <c r="Z91" s="93"/>
      <c r="AA91" s="93"/>
      <c r="AB91" s="93" t="s">
        <v>972</v>
      </c>
      <c r="AC91" s="19" t="s">
        <v>214</v>
      </c>
      <c r="AD91" s="93"/>
      <c r="AE91" s="19">
        <v>101</v>
      </c>
      <c r="AF91" s="19" t="s">
        <v>963</v>
      </c>
      <c r="AG91" s="19" t="s">
        <v>270</v>
      </c>
      <c r="AH91" s="19"/>
      <c r="AI91" s="19"/>
      <c r="AJ91" s="19">
        <f>MEDIAN(7.89,8.78)</f>
        <v>8.3349999999999991</v>
      </c>
      <c r="AK91" s="19" t="s">
        <v>962</v>
      </c>
      <c r="AL91" s="19"/>
      <c r="AM91" s="19" t="s">
        <v>234</v>
      </c>
      <c r="AN91" s="19" t="s">
        <v>964</v>
      </c>
      <c r="AO91" s="19" t="s">
        <v>270</v>
      </c>
      <c r="AP91" s="94" t="s">
        <v>73</v>
      </c>
      <c r="AQ91" s="19" t="s">
        <v>965</v>
      </c>
      <c r="AR91" s="19" t="s">
        <v>966</v>
      </c>
      <c r="AS91" s="19"/>
      <c r="AT91" s="65" t="str">
        <f t="shared" si="10"/>
        <v>Y</v>
      </c>
      <c r="AU91" s="65" t="str">
        <f t="shared" si="11"/>
        <v>Y</v>
      </c>
      <c r="AV91" s="65" t="s">
        <v>162</v>
      </c>
      <c r="AW91" s="99" t="s">
        <v>1595</v>
      </c>
      <c r="AX91" s="99"/>
      <c r="AY91" s="93"/>
      <c r="AZ91" s="96" t="str">
        <f t="shared" si="13"/>
        <v>n</v>
      </c>
      <c r="BA91" s="96" t="str">
        <f>IF(AZ91="n","n",VLOOKUP(AZ91,'Conversion factors'!$C$4:$D$24,2,FALSE))</f>
        <v>n</v>
      </c>
      <c r="BB91" s="96" t="str">
        <f t="shared" si="14"/>
        <v>n</v>
      </c>
      <c r="BC91" s="97"/>
      <c r="BD91" s="96" t="str">
        <f t="shared" si="12"/>
        <v>n</v>
      </c>
      <c r="BE91" s="96" t="str">
        <f t="shared" si="15"/>
        <v>n</v>
      </c>
      <c r="BF91" s="98" t="str">
        <f t="shared" si="16"/>
        <v/>
      </c>
      <c r="BG91" s="96" t="str">
        <f>IF(BF91="","",IF(ISNUMBER(VLOOKUP(BF91,'Conversion factors'!$B$35:$C$52,2,FALSE)),"y","n"))</f>
        <v/>
      </c>
      <c r="BH91" s="99" t="s">
        <v>1595</v>
      </c>
      <c r="BI91" s="100"/>
      <c r="BJ91" s="100"/>
    </row>
    <row r="92" spans="1:62" ht="15.75" customHeight="1" x14ac:dyDescent="0.2">
      <c r="A92" s="18"/>
      <c r="B92" s="19">
        <v>274</v>
      </c>
      <c r="D92" s="36">
        <v>100037</v>
      </c>
      <c r="E92" s="93" t="s">
        <v>1224</v>
      </c>
      <c r="F92" s="93">
        <v>2007</v>
      </c>
      <c r="G92" s="19" t="s">
        <v>960</v>
      </c>
      <c r="H92" s="19"/>
      <c r="I92" s="19" t="s">
        <v>41</v>
      </c>
      <c r="J92" s="19" t="s">
        <v>574</v>
      </c>
      <c r="K92" s="19" t="s">
        <v>161</v>
      </c>
      <c r="L92" s="19" t="s">
        <v>82</v>
      </c>
      <c r="M92" s="19" t="s">
        <v>82</v>
      </c>
      <c r="N92" s="19" t="s">
        <v>66</v>
      </c>
      <c r="O92" s="19" t="s">
        <v>909</v>
      </c>
      <c r="P92" s="19" t="s">
        <v>162</v>
      </c>
      <c r="Q92" s="19"/>
      <c r="R92" s="19" t="s">
        <v>237</v>
      </c>
      <c r="S92" s="19" t="s">
        <v>79</v>
      </c>
      <c r="T92" s="19" t="s">
        <v>56</v>
      </c>
      <c r="U92" s="19" t="s">
        <v>44</v>
      </c>
      <c r="V92" s="93" t="s">
        <v>252</v>
      </c>
      <c r="W92" s="93" t="s">
        <v>231</v>
      </c>
      <c r="X92" s="19" t="s">
        <v>46</v>
      </c>
      <c r="Y92" s="29"/>
      <c r="Z92" s="93"/>
      <c r="AA92" s="93"/>
      <c r="AB92" s="93" t="s">
        <v>519</v>
      </c>
      <c r="AC92" s="19" t="s">
        <v>214</v>
      </c>
      <c r="AD92" s="93"/>
      <c r="AE92" s="19">
        <v>104</v>
      </c>
      <c r="AF92" s="19" t="s">
        <v>968</v>
      </c>
      <c r="AG92" s="19" t="s">
        <v>270</v>
      </c>
      <c r="AH92" s="19"/>
      <c r="AI92" s="19"/>
      <c r="AJ92" s="19">
        <f>MEDIAN(7.84,8.46)</f>
        <v>8.15</v>
      </c>
      <c r="AK92" s="19" t="s">
        <v>967</v>
      </c>
      <c r="AL92" s="19"/>
      <c r="AM92" s="19" t="s">
        <v>234</v>
      </c>
      <c r="AN92" s="19" t="s">
        <v>969</v>
      </c>
      <c r="AO92" s="19" t="s">
        <v>270</v>
      </c>
      <c r="AP92" s="94" t="s">
        <v>73</v>
      </c>
      <c r="AQ92" s="19" t="s">
        <v>970</v>
      </c>
      <c r="AR92" s="19" t="s">
        <v>971</v>
      </c>
      <c r="AS92" s="19"/>
      <c r="AT92" s="65" t="str">
        <f t="shared" si="10"/>
        <v>Y</v>
      </c>
      <c r="AU92" s="65" t="str">
        <f t="shared" si="11"/>
        <v>Y</v>
      </c>
      <c r="AV92" s="65" t="s">
        <v>162</v>
      </c>
      <c r="AW92" s="99" t="s">
        <v>1595</v>
      </c>
      <c r="AX92" s="99"/>
      <c r="AY92" s="93"/>
      <c r="AZ92" s="96" t="str">
        <f t="shared" si="13"/>
        <v>n</v>
      </c>
      <c r="BA92" s="96" t="str">
        <f>IF(AZ92="n","n",VLOOKUP(AZ92,'Conversion factors'!$C$4:$D$24,2,FALSE))</f>
        <v>n</v>
      </c>
      <c r="BB92" s="96" t="str">
        <f t="shared" si="14"/>
        <v>n</v>
      </c>
      <c r="BC92" s="97"/>
      <c r="BD92" s="96" t="str">
        <f t="shared" si="12"/>
        <v>n</v>
      </c>
      <c r="BE92" s="96" t="str">
        <f t="shared" si="15"/>
        <v>n</v>
      </c>
      <c r="BF92" s="98" t="str">
        <f t="shared" si="16"/>
        <v/>
      </c>
      <c r="BG92" s="96" t="str">
        <f>IF(BF92="","",IF(ISNUMBER(VLOOKUP(BF92,'Conversion factors'!$B$35:$C$52,2,FALSE)),"y","n"))</f>
        <v/>
      </c>
      <c r="BH92" s="99" t="s">
        <v>1595</v>
      </c>
      <c r="BI92" s="100"/>
      <c r="BJ92" s="100"/>
    </row>
    <row r="93" spans="1:62" ht="15.75" customHeight="1" x14ac:dyDescent="0.2">
      <c r="A93" s="18"/>
      <c r="B93" s="19">
        <v>274</v>
      </c>
      <c r="D93" s="36">
        <v>100037</v>
      </c>
      <c r="E93" s="93" t="s">
        <v>1224</v>
      </c>
      <c r="F93" s="93">
        <v>2007</v>
      </c>
      <c r="G93" s="19" t="s">
        <v>960</v>
      </c>
      <c r="H93" s="19"/>
      <c r="I93" s="19" t="s">
        <v>41</v>
      </c>
      <c r="J93" s="19" t="s">
        <v>574</v>
      </c>
      <c r="K93" s="19" t="s">
        <v>161</v>
      </c>
      <c r="L93" s="19" t="s">
        <v>82</v>
      </c>
      <c r="M93" s="19" t="s">
        <v>82</v>
      </c>
      <c r="N93" s="19" t="s">
        <v>66</v>
      </c>
      <c r="O93" s="19" t="s">
        <v>909</v>
      </c>
      <c r="P93" s="19" t="s">
        <v>162</v>
      </c>
      <c r="Q93" s="19"/>
      <c r="R93" s="19" t="s">
        <v>237</v>
      </c>
      <c r="S93" s="19" t="s">
        <v>414</v>
      </c>
      <c r="T93" s="19" t="s">
        <v>55</v>
      </c>
      <c r="U93" s="19" t="s">
        <v>55</v>
      </c>
      <c r="V93" s="93" t="s">
        <v>252</v>
      </c>
      <c r="W93" s="93" t="s">
        <v>231</v>
      </c>
      <c r="X93" s="19" t="s">
        <v>46</v>
      </c>
      <c r="Y93" s="29"/>
      <c r="Z93" s="93"/>
      <c r="AA93" s="93"/>
      <c r="AB93" s="93" t="s">
        <v>289</v>
      </c>
      <c r="AC93" s="19" t="s">
        <v>214</v>
      </c>
      <c r="AD93" s="93"/>
      <c r="AE93" s="19">
        <v>104</v>
      </c>
      <c r="AF93" s="19" t="s">
        <v>968</v>
      </c>
      <c r="AG93" s="19" t="s">
        <v>270</v>
      </c>
      <c r="AH93" s="19"/>
      <c r="AI93" s="19"/>
      <c r="AJ93" s="19">
        <f>MEDIAN(7.84,8.46)</f>
        <v>8.15</v>
      </c>
      <c r="AK93" s="19" t="s">
        <v>967</v>
      </c>
      <c r="AL93" s="19"/>
      <c r="AM93" s="19" t="s">
        <v>234</v>
      </c>
      <c r="AN93" s="19" t="s">
        <v>969</v>
      </c>
      <c r="AO93" s="19" t="s">
        <v>270</v>
      </c>
      <c r="AP93" s="94" t="s">
        <v>73</v>
      </c>
      <c r="AQ93" s="19" t="s">
        <v>970</v>
      </c>
      <c r="AR93" s="19" t="s">
        <v>971</v>
      </c>
      <c r="AS93" s="19"/>
      <c r="AT93" s="65" t="str">
        <f t="shared" si="10"/>
        <v>Y</v>
      </c>
      <c r="AU93" s="65" t="str">
        <f t="shared" si="11"/>
        <v>Y</v>
      </c>
      <c r="AV93" s="65" t="s">
        <v>162</v>
      </c>
      <c r="AW93" s="99" t="s">
        <v>1595</v>
      </c>
      <c r="AX93" s="99"/>
      <c r="AY93" s="93"/>
      <c r="AZ93" s="96" t="str">
        <f t="shared" si="13"/>
        <v>n</v>
      </c>
      <c r="BA93" s="96" t="str">
        <f>IF(AZ93="n","n",VLOOKUP(AZ93,'Conversion factors'!$C$4:$D$24,2,FALSE))</f>
        <v>n</v>
      </c>
      <c r="BB93" s="96" t="str">
        <f t="shared" si="14"/>
        <v>n</v>
      </c>
      <c r="BC93" s="97"/>
      <c r="BD93" s="96" t="str">
        <f t="shared" si="12"/>
        <v>n</v>
      </c>
      <c r="BE93" s="96" t="str">
        <f t="shared" si="15"/>
        <v>n</v>
      </c>
      <c r="BF93" s="98" t="str">
        <f t="shared" si="16"/>
        <v/>
      </c>
      <c r="BG93" s="96" t="str">
        <f>IF(BF93="","",IF(ISNUMBER(VLOOKUP(BF93,'Conversion factors'!$B$35:$C$52,2,FALSE)),"y","n"))</f>
        <v/>
      </c>
      <c r="BH93" s="99" t="s">
        <v>1595</v>
      </c>
      <c r="BI93" s="100"/>
      <c r="BJ93" s="100"/>
    </row>
    <row r="94" spans="1:62" ht="15.75" customHeight="1" x14ac:dyDescent="0.2">
      <c r="A94" s="18"/>
      <c r="B94" s="19">
        <v>274</v>
      </c>
      <c r="D94" s="36">
        <v>100037</v>
      </c>
      <c r="E94" s="93" t="s">
        <v>1224</v>
      </c>
      <c r="F94" s="93">
        <v>2007</v>
      </c>
      <c r="G94" s="19" t="s">
        <v>960</v>
      </c>
      <c r="H94" s="19"/>
      <c r="I94" s="19" t="s">
        <v>41</v>
      </c>
      <c r="J94" s="19" t="s">
        <v>574</v>
      </c>
      <c r="K94" s="19" t="s">
        <v>161</v>
      </c>
      <c r="L94" s="19" t="s">
        <v>82</v>
      </c>
      <c r="M94" s="19" t="s">
        <v>82</v>
      </c>
      <c r="N94" s="19" t="s">
        <v>66</v>
      </c>
      <c r="O94" s="19" t="s">
        <v>909</v>
      </c>
      <c r="P94" s="19" t="s">
        <v>162</v>
      </c>
      <c r="Q94" s="19"/>
      <c r="R94" s="19" t="s">
        <v>237</v>
      </c>
      <c r="S94" s="19" t="s">
        <v>414</v>
      </c>
      <c r="T94" s="19" t="s">
        <v>77</v>
      </c>
      <c r="U94" s="19" t="s">
        <v>77</v>
      </c>
      <c r="V94" s="93" t="s">
        <v>252</v>
      </c>
      <c r="W94" s="93" t="s">
        <v>231</v>
      </c>
      <c r="X94" s="19" t="s">
        <v>46</v>
      </c>
      <c r="Y94" s="29"/>
      <c r="Z94" s="93"/>
      <c r="AA94" s="93"/>
      <c r="AB94" s="93" t="s">
        <v>519</v>
      </c>
      <c r="AC94" s="19" t="s">
        <v>214</v>
      </c>
      <c r="AD94" s="93"/>
      <c r="AE94" s="19">
        <v>104</v>
      </c>
      <c r="AF94" s="19" t="s">
        <v>968</v>
      </c>
      <c r="AG94" s="19" t="s">
        <v>270</v>
      </c>
      <c r="AH94" s="19"/>
      <c r="AI94" s="19"/>
      <c r="AJ94" s="19">
        <f>MEDIAN(7.84,8.46)</f>
        <v>8.15</v>
      </c>
      <c r="AK94" s="19" t="s">
        <v>967</v>
      </c>
      <c r="AL94" s="19"/>
      <c r="AM94" s="19" t="s">
        <v>234</v>
      </c>
      <c r="AN94" s="19" t="s">
        <v>969</v>
      </c>
      <c r="AO94" s="19" t="s">
        <v>270</v>
      </c>
      <c r="AP94" s="94" t="s">
        <v>73</v>
      </c>
      <c r="AQ94" s="19" t="s">
        <v>970</v>
      </c>
      <c r="AR94" s="19" t="s">
        <v>971</v>
      </c>
      <c r="AS94" s="19"/>
      <c r="AT94" s="65" t="str">
        <f t="shared" si="10"/>
        <v>Y</v>
      </c>
      <c r="AU94" s="65" t="str">
        <f t="shared" si="11"/>
        <v>Y</v>
      </c>
      <c r="AV94" s="65" t="s">
        <v>162</v>
      </c>
      <c r="AW94" s="99" t="s">
        <v>1595</v>
      </c>
      <c r="AX94" s="99"/>
      <c r="AY94" s="93"/>
      <c r="AZ94" s="96" t="str">
        <f t="shared" si="13"/>
        <v>n</v>
      </c>
      <c r="BA94" s="96" t="str">
        <f>IF(AZ94="n","n",VLOOKUP(AZ94,'Conversion factors'!$C$4:$D$24,2,FALSE))</f>
        <v>n</v>
      </c>
      <c r="BB94" s="96" t="str">
        <f t="shared" si="14"/>
        <v>n</v>
      </c>
      <c r="BC94" s="97"/>
      <c r="BD94" s="96" t="str">
        <f t="shared" si="12"/>
        <v>n</v>
      </c>
      <c r="BE94" s="96" t="str">
        <f t="shared" si="15"/>
        <v>n</v>
      </c>
      <c r="BF94" s="98" t="str">
        <f t="shared" si="16"/>
        <v/>
      </c>
      <c r="BG94" s="96" t="str">
        <f>IF(BF94="","",IF(ISNUMBER(VLOOKUP(BF94,'Conversion factors'!$B$35:$C$52,2,FALSE)),"y","n"))</f>
        <v/>
      </c>
      <c r="BH94" s="99" t="s">
        <v>1595</v>
      </c>
      <c r="BI94" s="100"/>
      <c r="BJ94" s="100"/>
    </row>
    <row r="95" spans="1:62" ht="15.75" customHeight="1" x14ac:dyDescent="0.2">
      <c r="A95" s="18"/>
      <c r="B95" s="19">
        <v>274</v>
      </c>
      <c r="D95" s="36">
        <v>100037</v>
      </c>
      <c r="E95" s="93" t="s">
        <v>1224</v>
      </c>
      <c r="F95" s="93">
        <v>2007</v>
      </c>
      <c r="G95" s="19" t="s">
        <v>960</v>
      </c>
      <c r="H95" s="19"/>
      <c r="I95" s="19" t="s">
        <v>41</v>
      </c>
      <c r="J95" s="19" t="s">
        <v>574</v>
      </c>
      <c r="K95" s="19" t="s">
        <v>161</v>
      </c>
      <c r="L95" s="99" t="s">
        <v>82</v>
      </c>
      <c r="M95" s="19" t="s">
        <v>82</v>
      </c>
      <c r="N95" s="19" t="s">
        <v>66</v>
      </c>
      <c r="O95" s="19" t="s">
        <v>909</v>
      </c>
      <c r="P95" s="19" t="s">
        <v>162</v>
      </c>
      <c r="Q95" s="19"/>
      <c r="R95" s="19" t="s">
        <v>237</v>
      </c>
      <c r="S95" s="19" t="s">
        <v>414</v>
      </c>
      <c r="T95" s="19" t="s">
        <v>54</v>
      </c>
      <c r="U95" s="19" t="s">
        <v>54</v>
      </c>
      <c r="V95" s="93" t="s">
        <v>252</v>
      </c>
      <c r="W95" s="93" t="s">
        <v>231</v>
      </c>
      <c r="X95" s="19" t="s">
        <v>46</v>
      </c>
      <c r="Y95" s="29"/>
      <c r="Z95" s="93"/>
      <c r="AA95" s="93"/>
      <c r="AB95" s="93" t="s">
        <v>973</v>
      </c>
      <c r="AC95" s="19" t="s">
        <v>214</v>
      </c>
      <c r="AD95" s="93"/>
      <c r="AE95" s="19">
        <v>104</v>
      </c>
      <c r="AF95" s="19" t="s">
        <v>968</v>
      </c>
      <c r="AG95" s="19" t="s">
        <v>270</v>
      </c>
      <c r="AH95" s="19"/>
      <c r="AI95" s="19"/>
      <c r="AJ95" s="19">
        <f>MEDIAN(7.84,8.46)</f>
        <v>8.15</v>
      </c>
      <c r="AK95" s="19" t="s">
        <v>967</v>
      </c>
      <c r="AL95" s="19"/>
      <c r="AM95" s="19" t="s">
        <v>234</v>
      </c>
      <c r="AN95" s="19" t="s">
        <v>969</v>
      </c>
      <c r="AO95" s="19" t="s">
        <v>270</v>
      </c>
      <c r="AP95" s="94" t="s">
        <v>73</v>
      </c>
      <c r="AQ95" s="19" t="s">
        <v>970</v>
      </c>
      <c r="AR95" s="19" t="s">
        <v>971</v>
      </c>
      <c r="AS95" s="19"/>
      <c r="AT95" s="65" t="str">
        <f t="shared" si="10"/>
        <v>Y</v>
      </c>
      <c r="AU95" s="65" t="str">
        <f t="shared" si="11"/>
        <v>Y</v>
      </c>
      <c r="AV95" s="65" t="s">
        <v>162</v>
      </c>
      <c r="AW95" s="99" t="s">
        <v>1639</v>
      </c>
      <c r="AX95" s="99" t="s">
        <v>1636</v>
      </c>
      <c r="AY95" s="93"/>
      <c r="AZ95" s="96" t="str">
        <f t="shared" si="13"/>
        <v>n</v>
      </c>
      <c r="BA95" s="96" t="str">
        <f>IF(AZ95="n","n",VLOOKUP(AZ95,'Conversion factors'!$C$4:$D$24,2,FALSE))</f>
        <v>n</v>
      </c>
      <c r="BB95" s="96" t="str">
        <f t="shared" si="14"/>
        <v>n</v>
      </c>
      <c r="BC95" s="97"/>
      <c r="BD95" s="96" t="str">
        <f t="shared" si="12"/>
        <v>n</v>
      </c>
      <c r="BE95" s="96" t="str">
        <f t="shared" si="15"/>
        <v>n</v>
      </c>
      <c r="BF95" s="98" t="str">
        <f t="shared" si="16"/>
        <v/>
      </c>
      <c r="BG95" s="96" t="str">
        <f>IF(BF95="","",IF(ISNUMBER(VLOOKUP(BF95,'Conversion factors'!$B$35:$C$52,2,FALSE)),"y","n"))</f>
        <v/>
      </c>
      <c r="BH95" s="99" t="s">
        <v>1595</v>
      </c>
      <c r="BI95" s="100"/>
      <c r="BJ95" s="100"/>
    </row>
    <row r="96" spans="1:62" ht="15.75" customHeight="1" x14ac:dyDescent="0.2">
      <c r="A96" s="18"/>
      <c r="B96" s="19">
        <v>274</v>
      </c>
      <c r="D96" s="36">
        <v>100037</v>
      </c>
      <c r="E96" s="93" t="s">
        <v>1224</v>
      </c>
      <c r="F96" s="93">
        <v>2007</v>
      </c>
      <c r="G96" s="19" t="s">
        <v>960</v>
      </c>
      <c r="H96" s="19"/>
      <c r="I96" s="19" t="s">
        <v>41</v>
      </c>
      <c r="J96" s="19" t="s">
        <v>574</v>
      </c>
      <c r="K96" s="19" t="s">
        <v>161</v>
      </c>
      <c r="L96" s="99" t="s">
        <v>82</v>
      </c>
      <c r="M96" s="19" t="s">
        <v>82</v>
      </c>
      <c r="N96" s="19" t="s">
        <v>66</v>
      </c>
      <c r="O96" s="19" t="s">
        <v>909</v>
      </c>
      <c r="P96" s="19" t="s">
        <v>162</v>
      </c>
      <c r="Q96" s="19"/>
      <c r="R96" s="19" t="s">
        <v>237</v>
      </c>
      <c r="S96" s="19" t="s">
        <v>414</v>
      </c>
      <c r="T96" s="19" t="s">
        <v>927</v>
      </c>
      <c r="U96" s="19" t="s">
        <v>927</v>
      </c>
      <c r="V96" s="93" t="s">
        <v>252</v>
      </c>
      <c r="W96" s="93" t="s">
        <v>231</v>
      </c>
      <c r="X96" s="19" t="s">
        <v>46</v>
      </c>
      <c r="Y96" s="29"/>
      <c r="Z96" s="93"/>
      <c r="AA96" s="93"/>
      <c r="AB96" s="93">
        <v>59.6</v>
      </c>
      <c r="AC96" s="19" t="s">
        <v>214</v>
      </c>
      <c r="AD96" s="93"/>
      <c r="AE96" s="19">
        <v>104</v>
      </c>
      <c r="AF96" s="19" t="s">
        <v>968</v>
      </c>
      <c r="AG96" s="19" t="s">
        <v>270</v>
      </c>
      <c r="AH96" s="19"/>
      <c r="AI96" s="19"/>
      <c r="AJ96" s="19">
        <f>MEDIAN(7.84,8.46)</f>
        <v>8.15</v>
      </c>
      <c r="AK96" s="19" t="s">
        <v>967</v>
      </c>
      <c r="AL96" s="19"/>
      <c r="AM96" s="19" t="s">
        <v>234</v>
      </c>
      <c r="AN96" s="19" t="s">
        <v>969</v>
      </c>
      <c r="AO96" s="19" t="s">
        <v>270</v>
      </c>
      <c r="AP96" s="94" t="s">
        <v>73</v>
      </c>
      <c r="AQ96" s="19" t="s">
        <v>970</v>
      </c>
      <c r="AR96" s="19" t="s">
        <v>971</v>
      </c>
      <c r="AS96" s="19"/>
      <c r="AT96" s="65" t="str">
        <f t="shared" si="10"/>
        <v>Y</v>
      </c>
      <c r="AU96" s="65" t="str">
        <f t="shared" ref="AU96" si="30">IF(AT96="N","N",IF(AJ96&lt;6,"N",IF(AJ96&gt;8.5,"N","Y")))</f>
        <v>Y</v>
      </c>
      <c r="AV96" s="65" t="s">
        <v>162</v>
      </c>
      <c r="AW96" s="99" t="s">
        <v>1639</v>
      </c>
      <c r="AX96" s="99" t="s">
        <v>1636</v>
      </c>
      <c r="AY96" s="93"/>
      <c r="AZ96" s="96" t="str">
        <f t="shared" ref="AZ96" si="31">IF(AV96="N","n",T96)</f>
        <v>n</v>
      </c>
      <c r="BA96" s="96" t="str">
        <f>IF(AZ96="n","n",VLOOKUP(AZ96,'Conversion factors'!$C$4:$D$24,2,FALSE))</f>
        <v>n</v>
      </c>
      <c r="BB96" s="96" t="str">
        <f t="shared" ref="BB96:BB97" si="32">IF(BA96="n","n",AB96/BA96)</f>
        <v>n</v>
      </c>
      <c r="BC96" s="97"/>
      <c r="BD96" s="96" t="str">
        <f t="shared" si="12"/>
        <v>n</v>
      </c>
      <c r="BE96" s="96" t="str">
        <f t="shared" ref="BE96" si="33">IF(BD96="chronic","y","n")</f>
        <v>n</v>
      </c>
      <c r="BF96" s="98" t="str">
        <f t="shared" si="16"/>
        <v/>
      </c>
      <c r="BG96" s="96" t="str">
        <f>IF(BF96="","",IF(ISNUMBER(VLOOKUP(BF96,'Conversion factors'!$B$35:$C$52,2,FALSE)),"y","n"))</f>
        <v/>
      </c>
      <c r="BH96" s="99" t="s">
        <v>1595</v>
      </c>
      <c r="BI96" s="100"/>
      <c r="BJ96" s="100"/>
    </row>
    <row r="97" spans="1:62" ht="15.75" customHeight="1" x14ac:dyDescent="0.2">
      <c r="A97" s="18"/>
      <c r="B97" s="20">
        <v>339</v>
      </c>
      <c r="C97" s="19"/>
      <c r="D97" s="19"/>
      <c r="E97" s="19" t="s">
        <v>1359</v>
      </c>
      <c r="F97" s="93">
        <v>2002</v>
      </c>
      <c r="G97" s="19" t="s">
        <v>1343</v>
      </c>
      <c r="H97" s="19" t="s">
        <v>162</v>
      </c>
      <c r="I97" s="19" t="s">
        <v>41</v>
      </c>
      <c r="J97" s="19" t="s">
        <v>574</v>
      </c>
      <c r="K97" s="19" t="s">
        <v>161</v>
      </c>
      <c r="L97" s="99" t="s">
        <v>82</v>
      </c>
      <c r="M97" s="19" t="s">
        <v>82</v>
      </c>
      <c r="N97" s="19" t="s">
        <v>66</v>
      </c>
      <c r="O97" s="19" t="s">
        <v>575</v>
      </c>
      <c r="P97" s="19" t="s">
        <v>162</v>
      </c>
      <c r="Q97" s="19"/>
      <c r="R97" s="19" t="s">
        <v>237</v>
      </c>
      <c r="S97" s="19" t="s">
        <v>79</v>
      </c>
      <c r="T97" s="19" t="s">
        <v>54</v>
      </c>
      <c r="U97" s="19" t="s">
        <v>54</v>
      </c>
      <c r="V97" s="19">
        <v>30</v>
      </c>
      <c r="W97" s="19" t="s">
        <v>45</v>
      </c>
      <c r="X97" s="19" t="s">
        <v>46</v>
      </c>
      <c r="Y97" s="29"/>
      <c r="Z97" s="19"/>
      <c r="AA97" s="19"/>
      <c r="AB97" s="19">
        <v>212</v>
      </c>
      <c r="AC97" s="19" t="s">
        <v>214</v>
      </c>
      <c r="AD97" s="19"/>
      <c r="AE97" s="19">
        <v>156</v>
      </c>
      <c r="AF97" s="19">
        <v>156</v>
      </c>
      <c r="AG97" s="19" t="s">
        <v>270</v>
      </c>
      <c r="AH97" s="19"/>
      <c r="AI97" s="19"/>
      <c r="AJ97" s="101">
        <v>7.42</v>
      </c>
      <c r="AK97" s="19" t="s">
        <v>1344</v>
      </c>
      <c r="AL97" s="19">
        <v>276</v>
      </c>
      <c r="AM97" s="19"/>
      <c r="AN97" s="19">
        <v>113</v>
      </c>
      <c r="AO97" s="19"/>
      <c r="AP97" s="94"/>
      <c r="AQ97" s="19" t="s">
        <v>1345</v>
      </c>
      <c r="AR97" s="19" t="s">
        <v>1346</v>
      </c>
      <c r="AS97" s="19"/>
      <c r="AT97" s="65" t="str">
        <f t="shared" si="10"/>
        <v>Y</v>
      </c>
      <c r="AU97" s="65" t="str">
        <f t="shared" si="11"/>
        <v>Y</v>
      </c>
      <c r="AV97" s="65" t="s">
        <v>162</v>
      </c>
      <c r="AW97" s="99" t="s">
        <v>1595</v>
      </c>
      <c r="AX97" s="99"/>
      <c r="AY97" s="19"/>
      <c r="AZ97" s="96" t="str">
        <f t="shared" si="13"/>
        <v>n</v>
      </c>
      <c r="BA97" s="96" t="str">
        <f>IF(AZ97="n","n",VLOOKUP(AZ97,'Conversion factors'!$C$4:$D$24,2,FALSE))</f>
        <v>n</v>
      </c>
      <c r="BB97" s="96" t="str">
        <f t="shared" si="32"/>
        <v>n</v>
      </c>
      <c r="BC97" s="97"/>
      <c r="BD97" s="96" t="str">
        <f t="shared" si="12"/>
        <v>n</v>
      </c>
      <c r="BE97" s="96" t="str">
        <f t="shared" si="15"/>
        <v>n</v>
      </c>
      <c r="BF97" s="98" t="str">
        <f t="shared" si="16"/>
        <v/>
      </c>
      <c r="BG97" s="96" t="str">
        <f>IF(BF97="","",IF(ISNUMBER(VLOOKUP(BF97,'Conversion factors'!$B$35:$C$52,2,FALSE)),"y","n"))</f>
        <v/>
      </c>
      <c r="BH97" s="99" t="s">
        <v>1597</v>
      </c>
      <c r="BI97" s="103"/>
      <c r="BJ97" s="103"/>
    </row>
    <row r="98" spans="1:62" ht="15.75" customHeight="1" x14ac:dyDescent="0.2">
      <c r="A98" s="18"/>
      <c r="B98" s="20">
        <v>339</v>
      </c>
      <c r="C98" s="19"/>
      <c r="D98" s="19"/>
      <c r="E98" s="19" t="s">
        <v>1359</v>
      </c>
      <c r="F98" s="93">
        <v>2002</v>
      </c>
      <c r="G98" s="19" t="s">
        <v>1343</v>
      </c>
      <c r="H98" s="19" t="s">
        <v>162</v>
      </c>
      <c r="I98" s="19" t="s">
        <v>41</v>
      </c>
      <c r="J98" s="19" t="s">
        <v>574</v>
      </c>
      <c r="K98" s="19" t="s">
        <v>161</v>
      </c>
      <c r="L98" s="19" t="s">
        <v>82</v>
      </c>
      <c r="M98" s="19" t="s">
        <v>82</v>
      </c>
      <c r="N98" s="19" t="s">
        <v>66</v>
      </c>
      <c r="O98" s="19" t="s">
        <v>575</v>
      </c>
      <c r="P98" s="19" t="s">
        <v>162</v>
      </c>
      <c r="Q98" s="19"/>
      <c r="R98" s="19" t="s">
        <v>81</v>
      </c>
      <c r="S98" s="19" t="s">
        <v>1347</v>
      </c>
      <c r="T98" s="19" t="s">
        <v>355</v>
      </c>
      <c r="U98" s="19" t="s">
        <v>355</v>
      </c>
      <c r="V98" s="19">
        <v>30</v>
      </c>
      <c r="W98" s="19" t="s">
        <v>45</v>
      </c>
      <c r="X98" s="19" t="s">
        <v>46</v>
      </c>
      <c r="Y98" s="29"/>
      <c r="Z98" s="19"/>
      <c r="AA98" s="19"/>
      <c r="AB98" s="19">
        <v>267</v>
      </c>
      <c r="AC98" s="19" t="s">
        <v>214</v>
      </c>
      <c r="AD98" s="19"/>
      <c r="AE98" s="19">
        <v>156</v>
      </c>
      <c r="AF98" s="19">
        <v>156</v>
      </c>
      <c r="AG98" s="19" t="s">
        <v>270</v>
      </c>
      <c r="AH98" s="19"/>
      <c r="AI98" s="19"/>
      <c r="AJ98" s="101">
        <v>7.42</v>
      </c>
      <c r="AK98" s="19" t="s">
        <v>1344</v>
      </c>
      <c r="AL98" s="19">
        <v>276</v>
      </c>
      <c r="AM98" s="19"/>
      <c r="AN98" s="19">
        <v>113</v>
      </c>
      <c r="AO98" s="19"/>
      <c r="AP98" s="94"/>
      <c r="AQ98" s="19" t="s">
        <v>1345</v>
      </c>
      <c r="AR98" s="19" t="s">
        <v>1346</v>
      </c>
      <c r="AS98" s="19"/>
      <c r="AT98" s="65" t="str">
        <f t="shared" si="10"/>
        <v>Y</v>
      </c>
      <c r="AU98" s="65" t="str">
        <f t="shared" si="11"/>
        <v>Y</v>
      </c>
      <c r="AV98" s="65" t="s">
        <v>162</v>
      </c>
      <c r="AW98" s="99" t="s">
        <v>1595</v>
      </c>
      <c r="AX98" s="19"/>
      <c r="AY98" s="19"/>
      <c r="AZ98" s="96" t="str">
        <f t="shared" si="13"/>
        <v>n</v>
      </c>
      <c r="BA98" s="96" t="str">
        <f>IF(AZ98="n","n",VLOOKUP(AZ98,'Conversion factors'!$C$4:$D$24,2,FALSE))</f>
        <v>n</v>
      </c>
      <c r="BB98" s="96" t="str">
        <f t="shared" si="14"/>
        <v>n</v>
      </c>
      <c r="BC98" s="97"/>
      <c r="BD98" s="96" t="str">
        <f t="shared" si="12"/>
        <v>n</v>
      </c>
      <c r="BE98" s="96" t="str">
        <f t="shared" si="15"/>
        <v>n</v>
      </c>
      <c r="BF98" s="98" t="str">
        <f t="shared" si="16"/>
        <v/>
      </c>
      <c r="BG98" s="96" t="str">
        <f>IF(BF98="","",IF(ISNUMBER(VLOOKUP(BF98,'Conversion factors'!$B$35:$C$52,2,FALSE)),"y","n"))</f>
        <v/>
      </c>
      <c r="BH98" s="99" t="s">
        <v>1597</v>
      </c>
      <c r="BI98" s="103"/>
      <c r="BJ98" s="103"/>
    </row>
    <row r="99" spans="1:62" ht="15.75" customHeight="1" x14ac:dyDescent="0.2">
      <c r="A99" s="18"/>
      <c r="B99" s="19">
        <v>126</v>
      </c>
      <c r="D99" s="36">
        <v>12254</v>
      </c>
      <c r="E99" s="93" t="s">
        <v>1235</v>
      </c>
      <c r="F99" s="93">
        <v>1987</v>
      </c>
      <c r="G99" s="19" t="s">
        <v>1228</v>
      </c>
      <c r="H99" s="19"/>
      <c r="I99" s="19" t="s">
        <v>41</v>
      </c>
      <c r="J99" s="19" t="s">
        <v>226</v>
      </c>
      <c r="K99" s="19" t="s">
        <v>161</v>
      </c>
      <c r="L99" s="19" t="s">
        <v>82</v>
      </c>
      <c r="M99" s="19" t="s">
        <v>82</v>
      </c>
      <c r="N99" s="19" t="s">
        <v>66</v>
      </c>
      <c r="O99" s="19" t="s">
        <v>1237</v>
      </c>
      <c r="P99" s="19" t="s">
        <v>162</v>
      </c>
      <c r="Q99" s="19"/>
      <c r="R99" s="19" t="s">
        <v>156</v>
      </c>
      <c r="S99" s="19" t="s">
        <v>156</v>
      </c>
      <c r="T99" s="19" t="s">
        <v>54</v>
      </c>
      <c r="U99" s="19" t="s">
        <v>54</v>
      </c>
      <c r="V99" s="93" t="s">
        <v>1329</v>
      </c>
      <c r="W99" s="93" t="s">
        <v>45</v>
      </c>
      <c r="X99" s="19" t="s">
        <v>46</v>
      </c>
      <c r="Y99" s="29"/>
      <c r="Z99" s="93"/>
      <c r="AA99" s="93"/>
      <c r="AB99" s="93">
        <v>6139</v>
      </c>
      <c r="AC99" s="19" t="s">
        <v>155</v>
      </c>
      <c r="AD99" s="93"/>
      <c r="AE99" s="19">
        <v>100</v>
      </c>
      <c r="AF99" s="19">
        <v>100</v>
      </c>
      <c r="AG99" s="19"/>
      <c r="AH99" s="19"/>
      <c r="AI99" s="19"/>
      <c r="AJ99" s="19">
        <f>MEDIAN(7.1,8)</f>
        <v>7.55</v>
      </c>
      <c r="AK99" s="19" t="s">
        <v>1241</v>
      </c>
      <c r="AL99" s="19"/>
      <c r="AM99" s="19"/>
      <c r="AN99" s="19"/>
      <c r="AO99" s="19"/>
      <c r="AP99" s="94"/>
      <c r="AQ99" s="19" t="s">
        <v>425</v>
      </c>
      <c r="AR99" s="19" t="s">
        <v>1242</v>
      </c>
      <c r="AS99" s="19"/>
      <c r="AT99" s="65" t="str">
        <f t="shared" si="10"/>
        <v>N</v>
      </c>
      <c r="AU99" s="65" t="str">
        <f t="shared" si="11"/>
        <v>N</v>
      </c>
      <c r="AV99" s="65" t="str">
        <f>AU99</f>
        <v>N</v>
      </c>
      <c r="AW99" s="104"/>
      <c r="AX99" s="104"/>
      <c r="AY99" s="93"/>
      <c r="AZ99" s="96" t="str">
        <f t="shared" si="13"/>
        <v>n</v>
      </c>
      <c r="BA99" s="96" t="str">
        <f>IF(AZ99="n","n",VLOOKUP(AZ99,'Conversion factors'!$C$4:$D$24,2,FALSE))</f>
        <v>n</v>
      </c>
      <c r="BB99" s="96" t="str">
        <f t="shared" si="14"/>
        <v>n</v>
      </c>
      <c r="BC99" s="97"/>
      <c r="BD99" s="96" t="str">
        <f t="shared" si="12"/>
        <v>n</v>
      </c>
      <c r="BE99" s="96" t="str">
        <f t="shared" si="15"/>
        <v>n</v>
      </c>
      <c r="BF99" s="98" t="str">
        <f t="shared" si="16"/>
        <v/>
      </c>
      <c r="BG99" s="96" t="str">
        <f>IF(BF99="","",IF(ISNUMBER(VLOOKUP(BF99,'Conversion factors'!$B$35:$C$52,2,FALSE)),"y","n"))</f>
        <v/>
      </c>
      <c r="BH99" s="99"/>
      <c r="BI99" s="100"/>
      <c r="BJ99" s="100"/>
    </row>
    <row r="100" spans="1:62" ht="15.75" customHeight="1" x14ac:dyDescent="0.2">
      <c r="A100" s="18"/>
      <c r="B100" s="19">
        <v>126</v>
      </c>
      <c r="D100" s="36">
        <v>12254</v>
      </c>
      <c r="E100" s="93" t="s">
        <v>1235</v>
      </c>
      <c r="F100" s="93">
        <v>1987</v>
      </c>
      <c r="G100" s="19" t="s">
        <v>1228</v>
      </c>
      <c r="H100" s="19"/>
      <c r="I100" s="19" t="s">
        <v>41</v>
      </c>
      <c r="J100" s="19" t="s">
        <v>226</v>
      </c>
      <c r="K100" s="19" t="s">
        <v>161</v>
      </c>
      <c r="L100" s="19" t="s">
        <v>82</v>
      </c>
      <c r="M100" s="19" t="s">
        <v>82</v>
      </c>
      <c r="N100" s="19" t="s">
        <v>66</v>
      </c>
      <c r="O100" s="19" t="s">
        <v>1237</v>
      </c>
      <c r="P100" s="19" t="s">
        <v>162</v>
      </c>
      <c r="Q100" s="19"/>
      <c r="R100" s="19" t="s">
        <v>163</v>
      </c>
      <c r="S100" s="19" t="s">
        <v>1244</v>
      </c>
      <c r="T100" s="19" t="s">
        <v>54</v>
      </c>
      <c r="U100" s="19" t="s">
        <v>54</v>
      </c>
      <c r="V100" s="93" t="s">
        <v>1329</v>
      </c>
      <c r="W100" s="93" t="s">
        <v>45</v>
      </c>
      <c r="X100" s="19" t="s">
        <v>46</v>
      </c>
      <c r="Y100" s="29"/>
      <c r="Z100" s="93"/>
      <c r="AA100" s="93"/>
      <c r="AB100" s="93">
        <v>1273</v>
      </c>
      <c r="AC100" s="19" t="s">
        <v>155</v>
      </c>
      <c r="AD100" s="93"/>
      <c r="AE100" s="19">
        <v>100</v>
      </c>
      <c r="AF100" s="19">
        <v>100</v>
      </c>
      <c r="AG100" s="19"/>
      <c r="AH100" s="19"/>
      <c r="AI100" s="19"/>
      <c r="AJ100" s="19">
        <f>MEDIAN(7.1,8)</f>
        <v>7.55</v>
      </c>
      <c r="AK100" s="19" t="s">
        <v>1241</v>
      </c>
      <c r="AL100" s="19"/>
      <c r="AM100" s="19"/>
      <c r="AN100" s="19"/>
      <c r="AO100" s="19"/>
      <c r="AP100" s="94"/>
      <c r="AQ100" s="19" t="s">
        <v>425</v>
      </c>
      <c r="AR100" s="19" t="s">
        <v>1242</v>
      </c>
      <c r="AS100" s="19"/>
      <c r="AT100" s="65" t="str">
        <f t="shared" si="10"/>
        <v>N</v>
      </c>
      <c r="AU100" s="65" t="str">
        <f t="shared" si="11"/>
        <v>N</v>
      </c>
      <c r="AV100" s="65" t="str">
        <f>AU100</f>
        <v>N</v>
      </c>
      <c r="AW100" s="99"/>
      <c r="AX100" s="99"/>
      <c r="AY100" s="93"/>
      <c r="AZ100" s="96" t="str">
        <f t="shared" si="13"/>
        <v>n</v>
      </c>
      <c r="BA100" s="96" t="str">
        <f>IF(AZ100="n","n",VLOOKUP(AZ100,'Conversion factors'!$C$4:$D$24,2,FALSE))</f>
        <v>n</v>
      </c>
      <c r="BB100" s="96" t="str">
        <f t="shared" si="14"/>
        <v>n</v>
      </c>
      <c r="BC100" s="97"/>
      <c r="BD100" s="96" t="str">
        <f t="shared" si="12"/>
        <v>n</v>
      </c>
      <c r="BE100" s="96" t="str">
        <f t="shared" si="15"/>
        <v>n</v>
      </c>
      <c r="BF100" s="98" t="str">
        <f t="shared" si="16"/>
        <v/>
      </c>
      <c r="BG100" s="96" t="str">
        <f>IF(BF100="","",IF(ISNUMBER(VLOOKUP(BF100,'Conversion factors'!$B$35:$C$52,2,FALSE)),"y","n"))</f>
        <v/>
      </c>
      <c r="BH100" s="99"/>
      <c r="BI100" s="100"/>
      <c r="BJ100" s="100"/>
    </row>
    <row r="101" spans="1:62" ht="15.75" customHeight="1" x14ac:dyDescent="0.2">
      <c r="A101" s="18"/>
      <c r="B101" s="19">
        <v>169</v>
      </c>
      <c r="D101" s="36">
        <v>2852</v>
      </c>
      <c r="E101" s="93" t="s">
        <v>1224</v>
      </c>
      <c r="F101" s="93">
        <v>1990</v>
      </c>
      <c r="G101" s="19" t="s">
        <v>225</v>
      </c>
      <c r="H101" s="19"/>
      <c r="I101" s="19" t="s">
        <v>41</v>
      </c>
      <c r="J101" s="19" t="s">
        <v>226</v>
      </c>
      <c r="K101" s="19" t="s">
        <v>161</v>
      </c>
      <c r="L101" s="19" t="s">
        <v>82</v>
      </c>
      <c r="M101" s="19" t="s">
        <v>82</v>
      </c>
      <c r="N101" s="19" t="s">
        <v>66</v>
      </c>
      <c r="O101" s="19" t="s">
        <v>227</v>
      </c>
      <c r="P101" s="19" t="s">
        <v>162</v>
      </c>
      <c r="Q101" s="19"/>
      <c r="R101" s="19" t="s">
        <v>228</v>
      </c>
      <c r="S101" s="19" t="s">
        <v>229</v>
      </c>
      <c r="T101" s="19" t="s">
        <v>44</v>
      </c>
      <c r="U101" s="19" t="s">
        <v>44</v>
      </c>
      <c r="V101" s="93" t="s">
        <v>85</v>
      </c>
      <c r="W101" s="93" t="s">
        <v>231</v>
      </c>
      <c r="X101" s="19" t="s">
        <v>46</v>
      </c>
      <c r="Y101" s="29"/>
      <c r="Z101" s="93"/>
      <c r="AA101" s="93"/>
      <c r="AB101" s="93" t="s">
        <v>232</v>
      </c>
      <c r="AC101" s="19" t="s">
        <v>1322</v>
      </c>
      <c r="AD101" s="93"/>
      <c r="AE101" s="19"/>
      <c r="AF101" s="19"/>
      <c r="AG101" s="19" t="s">
        <v>235</v>
      </c>
      <c r="AH101" s="19"/>
      <c r="AI101" s="19"/>
      <c r="AJ101" s="19">
        <f>MEDIAN(8.4)</f>
        <v>8.4</v>
      </c>
      <c r="AK101" s="19" t="s">
        <v>233</v>
      </c>
      <c r="AL101" s="19"/>
      <c r="AM101" s="19" t="s">
        <v>234</v>
      </c>
      <c r="AN101" s="19" t="s">
        <v>234</v>
      </c>
      <c r="AO101" s="19" t="s">
        <v>235</v>
      </c>
      <c r="AP101" s="94"/>
      <c r="AQ101" s="19" t="s">
        <v>102</v>
      </c>
      <c r="AR101" s="19" t="s">
        <v>236</v>
      </c>
      <c r="AS101" s="19"/>
      <c r="AT101" s="65" t="str">
        <f t="shared" si="10"/>
        <v>N</v>
      </c>
      <c r="AU101" s="65" t="str">
        <f t="shared" si="11"/>
        <v>N</v>
      </c>
      <c r="AV101" s="65" t="s">
        <v>162</v>
      </c>
      <c r="AW101" s="99" t="s">
        <v>1405</v>
      </c>
      <c r="AX101" s="99"/>
      <c r="AY101" s="93"/>
      <c r="AZ101" s="96" t="str">
        <f t="shared" si="13"/>
        <v>n</v>
      </c>
      <c r="BA101" s="96" t="str">
        <f>IF(AZ101="n","n",VLOOKUP(AZ101,'Conversion factors'!$C$4:$D$24,2,FALSE))</f>
        <v>n</v>
      </c>
      <c r="BB101" s="96" t="str">
        <f t="shared" si="14"/>
        <v>n</v>
      </c>
      <c r="BC101" s="97"/>
      <c r="BD101" s="96" t="str">
        <f t="shared" si="12"/>
        <v>n</v>
      </c>
      <c r="BE101" s="96" t="str">
        <f t="shared" si="15"/>
        <v>n</v>
      </c>
      <c r="BF101" s="98" t="str">
        <f t="shared" si="16"/>
        <v/>
      </c>
      <c r="BG101" s="96" t="str">
        <f>IF(BF101="","",IF(ISNUMBER(VLOOKUP(BF101,'Conversion factors'!$B$35:$C$52,2,FALSE)),"y","n"))</f>
        <v/>
      </c>
      <c r="BH101" s="99"/>
      <c r="BI101" s="100"/>
      <c r="BJ101" s="100"/>
    </row>
    <row r="102" spans="1:62" ht="15.75" customHeight="1" x14ac:dyDescent="0.2">
      <c r="A102" s="18"/>
      <c r="B102" s="19">
        <v>169</v>
      </c>
      <c r="D102" s="36">
        <v>2852</v>
      </c>
      <c r="E102" s="93" t="s">
        <v>1224</v>
      </c>
      <c r="F102" s="93">
        <v>1990</v>
      </c>
      <c r="G102" s="19" t="s">
        <v>225</v>
      </c>
      <c r="H102" s="19"/>
      <c r="I102" s="19" t="s">
        <v>41</v>
      </c>
      <c r="J102" s="19" t="s">
        <v>226</v>
      </c>
      <c r="K102" s="19" t="s">
        <v>161</v>
      </c>
      <c r="L102" s="19" t="s">
        <v>82</v>
      </c>
      <c r="M102" s="19" t="s">
        <v>82</v>
      </c>
      <c r="N102" s="19" t="s">
        <v>66</v>
      </c>
      <c r="O102" s="19" t="s">
        <v>227</v>
      </c>
      <c r="P102" s="19" t="s">
        <v>162</v>
      </c>
      <c r="Q102" s="19"/>
      <c r="R102" s="19" t="s">
        <v>237</v>
      </c>
      <c r="S102" s="19" t="s">
        <v>79</v>
      </c>
      <c r="T102" s="19" t="s">
        <v>56</v>
      </c>
      <c r="U102" s="19" t="s">
        <v>44</v>
      </c>
      <c r="V102" s="93" t="s">
        <v>85</v>
      </c>
      <c r="W102" s="93" t="s">
        <v>231</v>
      </c>
      <c r="X102" s="19" t="s">
        <v>46</v>
      </c>
      <c r="Y102" s="29"/>
      <c r="Z102" s="93"/>
      <c r="AA102" s="93"/>
      <c r="AB102" s="93" t="s">
        <v>238</v>
      </c>
      <c r="AC102" s="19" t="s">
        <v>1322</v>
      </c>
      <c r="AD102" s="93"/>
      <c r="AE102" s="19"/>
      <c r="AF102" s="19"/>
      <c r="AG102" s="19" t="s">
        <v>235</v>
      </c>
      <c r="AH102" s="19"/>
      <c r="AI102" s="19"/>
      <c r="AJ102" s="19">
        <v>8.4</v>
      </c>
      <c r="AK102" s="19" t="s">
        <v>233</v>
      </c>
      <c r="AL102" s="19"/>
      <c r="AM102" s="19" t="s">
        <v>234</v>
      </c>
      <c r="AN102" s="19" t="s">
        <v>234</v>
      </c>
      <c r="AO102" s="19" t="s">
        <v>235</v>
      </c>
      <c r="AP102" s="94"/>
      <c r="AQ102" s="19" t="s">
        <v>102</v>
      </c>
      <c r="AR102" s="19" t="s">
        <v>236</v>
      </c>
      <c r="AS102" s="19"/>
      <c r="AT102" s="65" t="str">
        <f t="shared" si="10"/>
        <v>N</v>
      </c>
      <c r="AU102" s="65" t="str">
        <f t="shared" si="11"/>
        <v>N</v>
      </c>
      <c r="AV102" s="65" t="s">
        <v>162</v>
      </c>
      <c r="AW102" s="99" t="s">
        <v>1405</v>
      </c>
      <c r="AX102" s="99"/>
      <c r="AY102" s="93"/>
      <c r="AZ102" s="96" t="str">
        <f t="shared" si="13"/>
        <v>n</v>
      </c>
      <c r="BA102" s="96" t="str">
        <f>IF(AZ102="n","n",VLOOKUP(AZ102,'Conversion factors'!$C$4:$D$24,2,FALSE))</f>
        <v>n</v>
      </c>
      <c r="BB102" s="96" t="str">
        <f t="shared" si="14"/>
        <v>n</v>
      </c>
      <c r="BC102" s="97"/>
      <c r="BD102" s="96" t="str">
        <f t="shared" si="12"/>
        <v>n</v>
      </c>
      <c r="BE102" s="96" t="str">
        <f t="shared" si="15"/>
        <v>n</v>
      </c>
      <c r="BF102" s="98" t="str">
        <f t="shared" si="16"/>
        <v/>
      </c>
      <c r="BG102" s="96" t="str">
        <f>IF(BF102="","",IF(ISNUMBER(VLOOKUP(BF102,'Conversion factors'!$B$35:$C$52,2,FALSE)),"y","n"))</f>
        <v/>
      </c>
      <c r="BH102" s="99"/>
      <c r="BI102" s="100"/>
      <c r="BJ102" s="100"/>
    </row>
    <row r="103" spans="1:62" ht="15.75" customHeight="1" x14ac:dyDescent="0.2">
      <c r="A103" s="18"/>
      <c r="B103" s="19">
        <v>169</v>
      </c>
      <c r="D103" s="36">
        <v>2852</v>
      </c>
      <c r="E103" s="93" t="s">
        <v>1224</v>
      </c>
      <c r="F103" s="93">
        <v>1990</v>
      </c>
      <c r="G103" s="19" t="s">
        <v>225</v>
      </c>
      <c r="H103" s="19"/>
      <c r="I103" s="19" t="s">
        <v>41</v>
      </c>
      <c r="J103" s="19" t="s">
        <v>226</v>
      </c>
      <c r="K103" s="19" t="s">
        <v>161</v>
      </c>
      <c r="L103" s="19" t="s">
        <v>82</v>
      </c>
      <c r="M103" s="19" t="s">
        <v>82</v>
      </c>
      <c r="N103" s="19" t="s">
        <v>66</v>
      </c>
      <c r="O103" s="19" t="s">
        <v>227</v>
      </c>
      <c r="P103" s="19" t="s">
        <v>162</v>
      </c>
      <c r="Q103" s="19"/>
      <c r="R103" s="19" t="s">
        <v>237</v>
      </c>
      <c r="S103" s="19" t="s">
        <v>79</v>
      </c>
      <c r="T103" s="19" t="s">
        <v>55</v>
      </c>
      <c r="U103" s="19" t="s">
        <v>55</v>
      </c>
      <c r="V103" s="93" t="s">
        <v>85</v>
      </c>
      <c r="W103" s="93" t="s">
        <v>231</v>
      </c>
      <c r="X103" s="19" t="s">
        <v>46</v>
      </c>
      <c r="Y103" s="29"/>
      <c r="Z103" s="93"/>
      <c r="AA103" s="93"/>
      <c r="AB103" s="93" t="s">
        <v>239</v>
      </c>
      <c r="AC103" s="19" t="s">
        <v>1322</v>
      </c>
      <c r="AD103" s="93"/>
      <c r="AE103" s="19"/>
      <c r="AF103" s="19"/>
      <c r="AG103" s="19" t="s">
        <v>235</v>
      </c>
      <c r="AH103" s="19"/>
      <c r="AI103" s="19"/>
      <c r="AJ103" s="19">
        <v>8.4</v>
      </c>
      <c r="AK103" s="19" t="s">
        <v>233</v>
      </c>
      <c r="AL103" s="19"/>
      <c r="AM103" s="19" t="s">
        <v>234</v>
      </c>
      <c r="AN103" s="19" t="s">
        <v>234</v>
      </c>
      <c r="AO103" s="19" t="s">
        <v>235</v>
      </c>
      <c r="AP103" s="94"/>
      <c r="AQ103" s="19" t="s">
        <v>102</v>
      </c>
      <c r="AR103" s="19" t="s">
        <v>236</v>
      </c>
      <c r="AS103" s="19"/>
      <c r="AT103" s="65" t="str">
        <f t="shared" si="10"/>
        <v>N</v>
      </c>
      <c r="AU103" s="65" t="str">
        <f t="shared" si="11"/>
        <v>N</v>
      </c>
      <c r="AV103" s="65" t="s">
        <v>162</v>
      </c>
      <c r="AW103" s="99" t="s">
        <v>1405</v>
      </c>
      <c r="AX103" s="99"/>
      <c r="AY103" s="93"/>
      <c r="AZ103" s="96" t="str">
        <f t="shared" si="13"/>
        <v>n</v>
      </c>
      <c r="BA103" s="96" t="str">
        <f>IF(AZ103="n","n",VLOOKUP(AZ103,'Conversion factors'!$C$4:$D$24,2,FALSE))</f>
        <v>n</v>
      </c>
      <c r="BB103" s="96" t="str">
        <f t="shared" si="14"/>
        <v>n</v>
      </c>
      <c r="BC103" s="97"/>
      <c r="BD103" s="96" t="str">
        <f t="shared" si="12"/>
        <v>n</v>
      </c>
      <c r="BE103" s="96" t="str">
        <f t="shared" si="15"/>
        <v>n</v>
      </c>
      <c r="BF103" s="98" t="str">
        <f t="shared" si="16"/>
        <v/>
      </c>
      <c r="BG103" s="96" t="str">
        <f>IF(BF103="","",IF(ISNUMBER(VLOOKUP(BF103,'Conversion factors'!$B$35:$C$52,2,FALSE)),"y","n"))</f>
        <v/>
      </c>
      <c r="BH103" s="99"/>
      <c r="BI103" s="100"/>
      <c r="BJ103" s="100"/>
    </row>
    <row r="104" spans="1:62" ht="15.75" customHeight="1" x14ac:dyDescent="0.2">
      <c r="A104" s="18"/>
      <c r="B104" s="19">
        <v>230</v>
      </c>
      <c r="D104" s="36">
        <v>68928</v>
      </c>
      <c r="E104" s="93" t="s">
        <v>1224</v>
      </c>
      <c r="F104" s="93">
        <v>2001</v>
      </c>
      <c r="G104" s="19" t="s">
        <v>581</v>
      </c>
      <c r="H104" s="19"/>
      <c r="I104" s="19" t="s">
        <v>41</v>
      </c>
      <c r="J104" s="19" t="s">
        <v>226</v>
      </c>
      <c r="K104" s="19" t="s">
        <v>161</v>
      </c>
      <c r="L104" s="19" t="s">
        <v>82</v>
      </c>
      <c r="M104" s="19" t="s">
        <v>82</v>
      </c>
      <c r="N104" s="19" t="s">
        <v>66</v>
      </c>
      <c r="O104" s="19" t="s">
        <v>582</v>
      </c>
      <c r="P104" s="19" t="s">
        <v>162</v>
      </c>
      <c r="Q104" s="19"/>
      <c r="R104" s="19" t="s">
        <v>228</v>
      </c>
      <c r="S104" s="19" t="s">
        <v>268</v>
      </c>
      <c r="T104" s="19" t="s">
        <v>55</v>
      </c>
      <c r="U104" s="19" t="s">
        <v>55</v>
      </c>
      <c r="V104" s="93" t="s">
        <v>1209</v>
      </c>
      <c r="W104" s="93" t="s">
        <v>231</v>
      </c>
      <c r="X104" s="19" t="s">
        <v>46</v>
      </c>
      <c r="Y104" s="29"/>
      <c r="Z104" s="93"/>
      <c r="AA104" s="93"/>
      <c r="AB104" s="93" t="s">
        <v>588</v>
      </c>
      <c r="AC104" s="19" t="s">
        <v>1322</v>
      </c>
      <c r="AD104" s="93"/>
      <c r="AE104" s="19">
        <v>200</v>
      </c>
      <c r="AF104" s="19">
        <v>200</v>
      </c>
      <c r="AG104" s="19" t="s">
        <v>270</v>
      </c>
      <c r="AH104" s="19"/>
      <c r="AI104" s="19"/>
      <c r="AJ104" s="19">
        <v>7.2</v>
      </c>
      <c r="AK104" s="19" t="s">
        <v>584</v>
      </c>
      <c r="AL104" s="19"/>
      <c r="AM104" s="19" t="s">
        <v>234</v>
      </c>
      <c r="AN104" s="19" t="s">
        <v>234</v>
      </c>
      <c r="AO104" s="19" t="s">
        <v>235</v>
      </c>
      <c r="AP104" s="94"/>
      <c r="AQ104" s="19" t="s">
        <v>102</v>
      </c>
      <c r="AR104" s="19" t="s">
        <v>586</v>
      </c>
      <c r="AS104" s="19"/>
      <c r="AT104" s="65" t="str">
        <f t="shared" si="10"/>
        <v>N</v>
      </c>
      <c r="AU104" s="65" t="str">
        <f t="shared" si="11"/>
        <v>N</v>
      </c>
      <c r="AV104" s="65" t="str">
        <f t="shared" ref="AV104:AV166" si="34">AU104</f>
        <v>N</v>
      </c>
      <c r="AW104" s="99"/>
      <c r="AX104" s="99"/>
      <c r="AY104" s="93"/>
      <c r="AZ104" s="96" t="str">
        <f t="shared" si="13"/>
        <v>n</v>
      </c>
      <c r="BA104" s="96" t="str">
        <f>IF(AZ104="n","n",VLOOKUP(AZ104,'Conversion factors'!$C$4:$D$24,2,FALSE))</f>
        <v>n</v>
      </c>
      <c r="BB104" s="96" t="str">
        <f t="shared" si="14"/>
        <v>n</v>
      </c>
      <c r="BC104" s="97"/>
      <c r="BD104" s="96" t="str">
        <f t="shared" si="12"/>
        <v>n</v>
      </c>
      <c r="BE104" s="96" t="str">
        <f t="shared" si="15"/>
        <v>n</v>
      </c>
      <c r="BF104" s="98" t="str">
        <f t="shared" si="16"/>
        <v/>
      </c>
      <c r="BG104" s="96" t="str">
        <f>IF(BF104="","",IF(ISNUMBER(VLOOKUP(BF104,'Conversion factors'!$B$35:$C$52,2,FALSE)),"y","n"))</f>
        <v/>
      </c>
      <c r="BH104" s="99"/>
      <c r="BI104" s="100"/>
      <c r="BJ104" s="100"/>
    </row>
    <row r="105" spans="1:62" ht="15.75" customHeight="1" x14ac:dyDescent="0.2">
      <c r="A105" s="18"/>
      <c r="B105" s="19">
        <v>230</v>
      </c>
      <c r="D105" s="36">
        <v>68928</v>
      </c>
      <c r="E105" s="93" t="s">
        <v>1224</v>
      </c>
      <c r="F105" s="93">
        <v>2001</v>
      </c>
      <c r="G105" s="19" t="s">
        <v>581</v>
      </c>
      <c r="H105" s="19"/>
      <c r="I105" s="19" t="s">
        <v>41</v>
      </c>
      <c r="J105" s="19" t="s">
        <v>226</v>
      </c>
      <c r="K105" s="19" t="s">
        <v>161</v>
      </c>
      <c r="L105" s="19" t="s">
        <v>82</v>
      </c>
      <c r="M105" s="19" t="s">
        <v>82</v>
      </c>
      <c r="N105" s="19" t="s">
        <v>66</v>
      </c>
      <c r="O105" s="19" t="s">
        <v>582</v>
      </c>
      <c r="P105" s="19" t="s">
        <v>162</v>
      </c>
      <c r="Q105" s="19"/>
      <c r="R105" s="19" t="s">
        <v>228</v>
      </c>
      <c r="S105" s="19" t="s">
        <v>268</v>
      </c>
      <c r="T105" s="19" t="s">
        <v>54</v>
      </c>
      <c r="U105" s="19" t="s">
        <v>54</v>
      </c>
      <c r="V105" s="93" t="s">
        <v>1209</v>
      </c>
      <c r="W105" s="93" t="s">
        <v>231</v>
      </c>
      <c r="X105" s="19" t="s">
        <v>46</v>
      </c>
      <c r="Y105" s="29"/>
      <c r="Z105" s="93"/>
      <c r="AA105" s="93"/>
      <c r="AB105" s="93" t="s">
        <v>590</v>
      </c>
      <c r="AC105" s="19" t="s">
        <v>1322</v>
      </c>
      <c r="AD105" s="93"/>
      <c r="AE105" s="19">
        <v>200</v>
      </c>
      <c r="AF105" s="19">
        <v>200</v>
      </c>
      <c r="AG105" s="19" t="s">
        <v>270</v>
      </c>
      <c r="AH105" s="19"/>
      <c r="AI105" s="19"/>
      <c r="AJ105" s="19">
        <v>7.2</v>
      </c>
      <c r="AK105" s="19" t="s">
        <v>584</v>
      </c>
      <c r="AL105" s="19"/>
      <c r="AM105" s="19" t="s">
        <v>234</v>
      </c>
      <c r="AN105" s="19" t="s">
        <v>234</v>
      </c>
      <c r="AO105" s="19" t="s">
        <v>235</v>
      </c>
      <c r="AP105" s="94"/>
      <c r="AQ105" s="19" t="s">
        <v>102</v>
      </c>
      <c r="AR105" s="19" t="s">
        <v>586</v>
      </c>
      <c r="AS105" s="19"/>
      <c r="AT105" s="65" t="str">
        <f t="shared" si="10"/>
        <v>N</v>
      </c>
      <c r="AU105" s="65" t="str">
        <f t="shared" si="11"/>
        <v>N</v>
      </c>
      <c r="AV105" s="65" t="str">
        <f t="shared" si="34"/>
        <v>N</v>
      </c>
      <c r="AW105" s="99"/>
      <c r="AX105" s="99"/>
      <c r="AY105" s="93"/>
      <c r="AZ105" s="96" t="str">
        <f t="shared" si="13"/>
        <v>n</v>
      </c>
      <c r="BA105" s="96" t="str">
        <f>IF(AZ105="n","n",VLOOKUP(AZ105,'Conversion factors'!$C$4:$D$24,2,FALSE))</f>
        <v>n</v>
      </c>
      <c r="BB105" s="96" t="str">
        <f t="shared" si="14"/>
        <v>n</v>
      </c>
      <c r="BC105" s="97"/>
      <c r="BD105" s="96" t="str">
        <f t="shared" si="12"/>
        <v>n</v>
      </c>
      <c r="BE105" s="96" t="str">
        <f t="shared" si="15"/>
        <v>n</v>
      </c>
      <c r="BF105" s="98" t="str">
        <f t="shared" si="16"/>
        <v/>
      </c>
      <c r="BG105" s="96" t="str">
        <f>IF(BF105="","",IF(ISNUMBER(VLOOKUP(BF105,'Conversion factors'!$B$35:$C$52,2,FALSE)),"y","n"))</f>
        <v/>
      </c>
      <c r="BH105" s="99"/>
      <c r="BI105" s="100"/>
      <c r="BJ105" s="100"/>
    </row>
    <row r="106" spans="1:62" ht="15.75" customHeight="1" x14ac:dyDescent="0.2">
      <c r="A106" s="18"/>
      <c r="B106" s="19">
        <v>230</v>
      </c>
      <c r="D106" s="36">
        <v>68928</v>
      </c>
      <c r="E106" s="93" t="s">
        <v>1224</v>
      </c>
      <c r="F106" s="93">
        <v>2001</v>
      </c>
      <c r="G106" s="19" t="s">
        <v>581</v>
      </c>
      <c r="H106" s="19"/>
      <c r="I106" s="19" t="s">
        <v>41</v>
      </c>
      <c r="J106" s="19" t="s">
        <v>226</v>
      </c>
      <c r="K106" s="19" t="s">
        <v>161</v>
      </c>
      <c r="L106" s="19" t="s">
        <v>82</v>
      </c>
      <c r="M106" s="19" t="s">
        <v>82</v>
      </c>
      <c r="N106" s="19" t="s">
        <v>66</v>
      </c>
      <c r="O106" s="19" t="s">
        <v>582</v>
      </c>
      <c r="P106" s="19" t="s">
        <v>162</v>
      </c>
      <c r="Q106" s="19"/>
      <c r="R106" s="19" t="s">
        <v>81</v>
      </c>
      <c r="S106" s="19" t="s">
        <v>402</v>
      </c>
      <c r="T106" s="19" t="s">
        <v>55</v>
      </c>
      <c r="U106" s="19" t="s">
        <v>55</v>
      </c>
      <c r="V106" s="93" t="s">
        <v>1209</v>
      </c>
      <c r="W106" s="93" t="s">
        <v>231</v>
      </c>
      <c r="X106" s="19" t="s">
        <v>46</v>
      </c>
      <c r="Y106" s="29"/>
      <c r="Z106" s="93"/>
      <c r="AA106" s="93"/>
      <c r="AB106" s="93" t="s">
        <v>590</v>
      </c>
      <c r="AC106" s="19" t="s">
        <v>1322</v>
      </c>
      <c r="AD106" s="93"/>
      <c r="AE106" s="19">
        <v>200</v>
      </c>
      <c r="AF106" s="19">
        <v>200</v>
      </c>
      <c r="AG106" s="19" t="s">
        <v>270</v>
      </c>
      <c r="AH106" s="19"/>
      <c r="AI106" s="19"/>
      <c r="AJ106" s="19">
        <v>7.2</v>
      </c>
      <c r="AK106" s="19" t="s">
        <v>584</v>
      </c>
      <c r="AL106" s="19"/>
      <c r="AM106" s="19" t="s">
        <v>234</v>
      </c>
      <c r="AN106" s="19" t="s">
        <v>234</v>
      </c>
      <c r="AO106" s="19" t="s">
        <v>235</v>
      </c>
      <c r="AP106" s="94"/>
      <c r="AQ106" s="19" t="s">
        <v>102</v>
      </c>
      <c r="AR106" s="19" t="s">
        <v>586</v>
      </c>
      <c r="AS106" s="19"/>
      <c r="AT106" s="65" t="str">
        <f t="shared" si="10"/>
        <v>N</v>
      </c>
      <c r="AU106" s="65" t="str">
        <f t="shared" si="11"/>
        <v>N</v>
      </c>
      <c r="AV106" s="65" t="str">
        <f t="shared" si="34"/>
        <v>N</v>
      </c>
      <c r="AW106" s="99"/>
      <c r="AX106" s="99"/>
      <c r="AY106" s="93"/>
      <c r="AZ106" s="96" t="str">
        <f t="shared" si="13"/>
        <v>n</v>
      </c>
      <c r="BA106" s="96" t="str">
        <f>IF(AZ106="n","n",VLOOKUP(AZ106,'Conversion factors'!$C$4:$D$24,2,FALSE))</f>
        <v>n</v>
      </c>
      <c r="BB106" s="96" t="str">
        <f t="shared" si="14"/>
        <v>n</v>
      </c>
      <c r="BC106" s="97"/>
      <c r="BD106" s="96" t="str">
        <f t="shared" si="12"/>
        <v>n</v>
      </c>
      <c r="BE106" s="96" t="str">
        <f t="shared" si="15"/>
        <v>n</v>
      </c>
      <c r="BF106" s="98" t="str">
        <f t="shared" si="16"/>
        <v/>
      </c>
      <c r="BG106" s="96" t="str">
        <f>IF(BF106="","",IF(ISNUMBER(VLOOKUP(BF106,'Conversion factors'!$B$35:$C$52,2,FALSE)),"y","n"))</f>
        <v/>
      </c>
      <c r="BH106" s="99"/>
      <c r="BI106" s="100"/>
      <c r="BJ106" s="100"/>
    </row>
    <row r="107" spans="1:62" ht="15.75" customHeight="1" x14ac:dyDescent="0.2">
      <c r="A107" s="18"/>
      <c r="B107" s="19">
        <v>230</v>
      </c>
      <c r="D107" s="36">
        <v>68928</v>
      </c>
      <c r="E107" s="93" t="s">
        <v>1224</v>
      </c>
      <c r="F107" s="93">
        <v>2001</v>
      </c>
      <c r="G107" s="19" t="s">
        <v>581</v>
      </c>
      <c r="H107" s="19"/>
      <c r="I107" s="19" t="s">
        <v>41</v>
      </c>
      <c r="J107" s="19" t="s">
        <v>226</v>
      </c>
      <c r="K107" s="19" t="s">
        <v>161</v>
      </c>
      <c r="L107" s="19" t="s">
        <v>82</v>
      </c>
      <c r="M107" s="19" t="s">
        <v>82</v>
      </c>
      <c r="N107" s="19" t="s">
        <v>66</v>
      </c>
      <c r="O107" s="19" t="s">
        <v>582</v>
      </c>
      <c r="P107" s="19" t="s">
        <v>162</v>
      </c>
      <c r="Q107" s="19"/>
      <c r="R107" s="19" t="s">
        <v>237</v>
      </c>
      <c r="S107" s="19" t="s">
        <v>79</v>
      </c>
      <c r="T107" s="19" t="s">
        <v>56</v>
      </c>
      <c r="U107" s="19" t="s">
        <v>44</v>
      </c>
      <c r="V107" s="93" t="s">
        <v>1209</v>
      </c>
      <c r="W107" s="93" t="s">
        <v>231</v>
      </c>
      <c r="X107" s="19" t="s">
        <v>46</v>
      </c>
      <c r="Y107" s="29"/>
      <c r="Z107" s="93"/>
      <c r="AA107" s="93"/>
      <c r="AB107" s="93" t="s">
        <v>583</v>
      </c>
      <c r="AC107" s="19" t="s">
        <v>1322</v>
      </c>
      <c r="AD107" s="93"/>
      <c r="AE107" s="19">
        <v>200</v>
      </c>
      <c r="AF107" s="19">
        <v>200</v>
      </c>
      <c r="AG107" s="19" t="s">
        <v>270</v>
      </c>
      <c r="AH107" s="19"/>
      <c r="AI107" s="19"/>
      <c r="AJ107" s="19">
        <v>7.2</v>
      </c>
      <c r="AK107" s="19" t="s">
        <v>584</v>
      </c>
      <c r="AL107" s="19"/>
      <c r="AM107" s="19" t="s">
        <v>234</v>
      </c>
      <c r="AN107" s="19" t="s">
        <v>234</v>
      </c>
      <c r="AO107" s="19" t="s">
        <v>235</v>
      </c>
      <c r="AP107" s="94"/>
      <c r="AQ107" s="19" t="s">
        <v>102</v>
      </c>
      <c r="AR107" s="19" t="s">
        <v>586</v>
      </c>
      <c r="AS107" s="19"/>
      <c r="AT107" s="65" t="str">
        <f t="shared" si="10"/>
        <v>N</v>
      </c>
      <c r="AU107" s="65" t="str">
        <f t="shared" si="11"/>
        <v>N</v>
      </c>
      <c r="AV107" s="65" t="str">
        <f t="shared" si="34"/>
        <v>N</v>
      </c>
      <c r="AW107" s="99"/>
      <c r="AX107" s="99"/>
      <c r="AY107" s="93"/>
      <c r="AZ107" s="96" t="str">
        <f t="shared" si="13"/>
        <v>n</v>
      </c>
      <c r="BA107" s="96" t="str">
        <f>IF(AZ107="n","n",VLOOKUP(AZ107,'Conversion factors'!$C$4:$D$24,2,FALSE))</f>
        <v>n</v>
      </c>
      <c r="BB107" s="96" t="str">
        <f t="shared" si="14"/>
        <v>n</v>
      </c>
      <c r="BC107" s="97"/>
      <c r="BD107" s="96" t="str">
        <f t="shared" si="12"/>
        <v>n</v>
      </c>
      <c r="BE107" s="96" t="str">
        <f t="shared" si="15"/>
        <v>n</v>
      </c>
      <c r="BF107" s="98" t="str">
        <f t="shared" si="16"/>
        <v/>
      </c>
      <c r="BG107" s="96" t="str">
        <f>IF(BF107="","",IF(ISNUMBER(VLOOKUP(BF107,'Conversion factors'!$B$35:$C$52,2,FALSE)),"y","n"))</f>
        <v/>
      </c>
      <c r="BH107" s="99"/>
      <c r="BI107" s="100"/>
      <c r="BJ107" s="100"/>
    </row>
    <row r="108" spans="1:62" ht="15.75" customHeight="1" x14ac:dyDescent="0.2">
      <c r="A108" s="18"/>
      <c r="B108" s="19">
        <v>230</v>
      </c>
      <c r="D108" s="36">
        <v>68928</v>
      </c>
      <c r="E108" s="93" t="s">
        <v>1224</v>
      </c>
      <c r="F108" s="93">
        <v>2001</v>
      </c>
      <c r="G108" s="19" t="s">
        <v>581</v>
      </c>
      <c r="H108" s="19"/>
      <c r="I108" s="19" t="s">
        <v>41</v>
      </c>
      <c r="J108" s="19" t="s">
        <v>226</v>
      </c>
      <c r="K108" s="19" t="s">
        <v>161</v>
      </c>
      <c r="L108" s="19" t="s">
        <v>82</v>
      </c>
      <c r="M108" s="19" t="s">
        <v>82</v>
      </c>
      <c r="N108" s="19" t="s">
        <v>66</v>
      </c>
      <c r="O108" s="19" t="s">
        <v>582</v>
      </c>
      <c r="P108" s="19" t="s">
        <v>162</v>
      </c>
      <c r="Q108" s="19"/>
      <c r="R108" s="19" t="s">
        <v>237</v>
      </c>
      <c r="S108" s="19" t="s">
        <v>414</v>
      </c>
      <c r="T108" s="19" t="s">
        <v>55</v>
      </c>
      <c r="U108" s="19" t="s">
        <v>55</v>
      </c>
      <c r="V108" s="93" t="s">
        <v>1209</v>
      </c>
      <c r="W108" s="93" t="s">
        <v>231</v>
      </c>
      <c r="X108" s="19" t="s">
        <v>46</v>
      </c>
      <c r="Y108" s="29"/>
      <c r="Z108" s="93"/>
      <c r="AA108" s="93"/>
      <c r="AB108" s="93" t="s">
        <v>587</v>
      </c>
      <c r="AC108" s="19" t="s">
        <v>1322</v>
      </c>
      <c r="AD108" s="93"/>
      <c r="AE108" s="19">
        <v>200</v>
      </c>
      <c r="AF108" s="19">
        <v>200</v>
      </c>
      <c r="AG108" s="19" t="s">
        <v>270</v>
      </c>
      <c r="AH108" s="19"/>
      <c r="AI108" s="19"/>
      <c r="AJ108" s="19">
        <v>7.2</v>
      </c>
      <c r="AK108" s="19" t="s">
        <v>584</v>
      </c>
      <c r="AL108" s="19"/>
      <c r="AM108" s="19" t="s">
        <v>234</v>
      </c>
      <c r="AN108" s="19" t="s">
        <v>234</v>
      </c>
      <c r="AO108" s="19" t="s">
        <v>235</v>
      </c>
      <c r="AP108" s="94"/>
      <c r="AQ108" s="19" t="s">
        <v>102</v>
      </c>
      <c r="AR108" s="19" t="s">
        <v>586</v>
      </c>
      <c r="AS108" s="19"/>
      <c r="AT108" s="65" t="str">
        <f t="shared" si="10"/>
        <v>N</v>
      </c>
      <c r="AU108" s="65" t="str">
        <f t="shared" si="11"/>
        <v>N</v>
      </c>
      <c r="AV108" s="65" t="str">
        <f t="shared" si="34"/>
        <v>N</v>
      </c>
      <c r="AW108" s="99"/>
      <c r="AX108" s="99"/>
      <c r="AY108" s="93"/>
      <c r="AZ108" s="96" t="str">
        <f t="shared" si="13"/>
        <v>n</v>
      </c>
      <c r="BA108" s="96" t="str">
        <f>IF(AZ108="n","n",VLOOKUP(AZ108,'Conversion factors'!$C$4:$D$24,2,FALSE))</f>
        <v>n</v>
      </c>
      <c r="BB108" s="96" t="str">
        <f t="shared" si="14"/>
        <v>n</v>
      </c>
      <c r="BC108" s="97"/>
      <c r="BD108" s="96" t="str">
        <f t="shared" si="12"/>
        <v>n</v>
      </c>
      <c r="BE108" s="96" t="str">
        <f t="shared" si="15"/>
        <v>n</v>
      </c>
      <c r="BF108" s="98" t="str">
        <f t="shared" si="16"/>
        <v/>
      </c>
      <c r="BG108" s="96" t="str">
        <f>IF(BF108="","",IF(ISNUMBER(VLOOKUP(BF108,'Conversion factors'!$B$35:$C$52,2,FALSE)),"y","n"))</f>
        <v/>
      </c>
      <c r="BH108" s="99"/>
      <c r="BI108" s="100"/>
      <c r="BJ108" s="100"/>
    </row>
    <row r="109" spans="1:62" ht="15.75" customHeight="1" x14ac:dyDescent="0.2">
      <c r="A109" s="18"/>
      <c r="B109" s="19">
        <v>230</v>
      </c>
      <c r="D109" s="36">
        <v>68928</v>
      </c>
      <c r="E109" s="93" t="s">
        <v>1224</v>
      </c>
      <c r="F109" s="93">
        <v>2001</v>
      </c>
      <c r="G109" s="19" t="s">
        <v>581</v>
      </c>
      <c r="H109" s="19"/>
      <c r="I109" s="19" t="s">
        <v>41</v>
      </c>
      <c r="J109" s="19" t="s">
        <v>226</v>
      </c>
      <c r="K109" s="19" t="s">
        <v>161</v>
      </c>
      <c r="L109" s="19" t="s">
        <v>82</v>
      </c>
      <c r="M109" s="19" t="s">
        <v>82</v>
      </c>
      <c r="N109" s="19" t="s">
        <v>66</v>
      </c>
      <c r="O109" s="19" t="s">
        <v>582</v>
      </c>
      <c r="P109" s="19" t="s">
        <v>162</v>
      </c>
      <c r="Q109" s="19"/>
      <c r="R109" s="19" t="s">
        <v>237</v>
      </c>
      <c r="S109" s="19" t="s">
        <v>414</v>
      </c>
      <c r="T109" s="19" t="s">
        <v>55</v>
      </c>
      <c r="U109" s="19" t="s">
        <v>55</v>
      </c>
      <c r="V109" s="93" t="s">
        <v>1209</v>
      </c>
      <c r="W109" s="93" t="s">
        <v>231</v>
      </c>
      <c r="X109" s="19" t="s">
        <v>46</v>
      </c>
      <c r="Y109" s="29"/>
      <c r="Z109" s="93"/>
      <c r="AA109" s="93"/>
      <c r="AB109" s="93" t="s">
        <v>588</v>
      </c>
      <c r="AC109" s="19" t="s">
        <v>1322</v>
      </c>
      <c r="AD109" s="93"/>
      <c r="AE109" s="19">
        <v>200</v>
      </c>
      <c r="AF109" s="19">
        <v>200</v>
      </c>
      <c r="AG109" s="19" t="s">
        <v>270</v>
      </c>
      <c r="AH109" s="19"/>
      <c r="AI109" s="19"/>
      <c r="AJ109" s="19">
        <v>7.2</v>
      </c>
      <c r="AK109" s="19" t="s">
        <v>584</v>
      </c>
      <c r="AL109" s="19"/>
      <c r="AM109" s="19" t="s">
        <v>234</v>
      </c>
      <c r="AN109" s="19" t="s">
        <v>234</v>
      </c>
      <c r="AO109" s="19" t="s">
        <v>235</v>
      </c>
      <c r="AP109" s="94"/>
      <c r="AQ109" s="19" t="s">
        <v>102</v>
      </c>
      <c r="AR109" s="19" t="s">
        <v>586</v>
      </c>
      <c r="AS109" s="19"/>
      <c r="AT109" s="65" t="str">
        <f t="shared" si="10"/>
        <v>N</v>
      </c>
      <c r="AU109" s="65" t="str">
        <f t="shared" si="11"/>
        <v>N</v>
      </c>
      <c r="AV109" s="65" t="str">
        <f t="shared" si="34"/>
        <v>N</v>
      </c>
      <c r="AW109" s="99"/>
      <c r="AX109" s="99"/>
      <c r="AY109" s="93"/>
      <c r="AZ109" s="96" t="str">
        <f t="shared" si="13"/>
        <v>n</v>
      </c>
      <c r="BA109" s="96" t="str">
        <f>IF(AZ109="n","n",VLOOKUP(AZ109,'Conversion factors'!$C$4:$D$24,2,FALSE))</f>
        <v>n</v>
      </c>
      <c r="BB109" s="96" t="str">
        <f t="shared" si="14"/>
        <v>n</v>
      </c>
      <c r="BC109" s="97"/>
      <c r="BD109" s="96" t="str">
        <f t="shared" si="12"/>
        <v>n</v>
      </c>
      <c r="BE109" s="96" t="str">
        <f t="shared" si="15"/>
        <v>n</v>
      </c>
      <c r="BF109" s="98" t="str">
        <f t="shared" si="16"/>
        <v/>
      </c>
      <c r="BG109" s="96" t="str">
        <f>IF(BF109="","",IF(ISNUMBER(VLOOKUP(BF109,'Conversion factors'!$B$35:$C$52,2,FALSE)),"y","n"))</f>
        <v/>
      </c>
      <c r="BH109" s="99"/>
      <c r="BI109" s="100"/>
      <c r="BJ109" s="100"/>
    </row>
    <row r="110" spans="1:62" ht="15.75" customHeight="1" x14ac:dyDescent="0.2">
      <c r="A110" s="18"/>
      <c r="B110" s="19">
        <v>230</v>
      </c>
      <c r="D110" s="36">
        <v>68928</v>
      </c>
      <c r="E110" s="93" t="s">
        <v>1224</v>
      </c>
      <c r="F110" s="93">
        <v>2001</v>
      </c>
      <c r="G110" s="19" t="s">
        <v>581</v>
      </c>
      <c r="H110" s="19"/>
      <c r="I110" s="19" t="s">
        <v>41</v>
      </c>
      <c r="J110" s="19" t="s">
        <v>226</v>
      </c>
      <c r="K110" s="19" t="s">
        <v>161</v>
      </c>
      <c r="L110" s="19" t="s">
        <v>82</v>
      </c>
      <c r="M110" s="19" t="s">
        <v>82</v>
      </c>
      <c r="N110" s="19" t="s">
        <v>66</v>
      </c>
      <c r="O110" s="19" t="s">
        <v>582</v>
      </c>
      <c r="P110" s="19" t="s">
        <v>162</v>
      </c>
      <c r="Q110" s="19"/>
      <c r="R110" s="19" t="s">
        <v>237</v>
      </c>
      <c r="S110" s="19" t="s">
        <v>589</v>
      </c>
      <c r="T110" s="19" t="s">
        <v>55</v>
      </c>
      <c r="U110" s="19" t="s">
        <v>55</v>
      </c>
      <c r="V110" s="93" t="s">
        <v>1209</v>
      </c>
      <c r="W110" s="93" t="s">
        <v>231</v>
      </c>
      <c r="X110" s="19" t="s">
        <v>46</v>
      </c>
      <c r="Y110" s="29"/>
      <c r="Z110" s="93"/>
      <c r="AA110" s="93"/>
      <c r="AB110" s="93" t="s">
        <v>588</v>
      </c>
      <c r="AC110" s="19" t="s">
        <v>1322</v>
      </c>
      <c r="AD110" s="93"/>
      <c r="AE110" s="19">
        <v>200</v>
      </c>
      <c r="AF110" s="19">
        <v>200</v>
      </c>
      <c r="AG110" s="19" t="s">
        <v>270</v>
      </c>
      <c r="AH110" s="19"/>
      <c r="AI110" s="19"/>
      <c r="AJ110" s="19">
        <v>7.2</v>
      </c>
      <c r="AK110" s="19" t="s">
        <v>584</v>
      </c>
      <c r="AL110" s="19"/>
      <c r="AM110" s="19" t="s">
        <v>234</v>
      </c>
      <c r="AN110" s="19" t="s">
        <v>234</v>
      </c>
      <c r="AO110" s="19" t="s">
        <v>235</v>
      </c>
      <c r="AP110" s="94"/>
      <c r="AQ110" s="19" t="s">
        <v>102</v>
      </c>
      <c r="AR110" s="19" t="s">
        <v>586</v>
      </c>
      <c r="AS110" s="19"/>
      <c r="AT110" s="65" t="str">
        <f t="shared" si="10"/>
        <v>N</v>
      </c>
      <c r="AU110" s="65" t="str">
        <f t="shared" si="11"/>
        <v>N</v>
      </c>
      <c r="AV110" s="65" t="str">
        <f t="shared" si="34"/>
        <v>N</v>
      </c>
      <c r="AW110" s="99"/>
      <c r="AX110" s="99"/>
      <c r="AY110" s="93"/>
      <c r="AZ110" s="96" t="str">
        <f t="shared" si="13"/>
        <v>n</v>
      </c>
      <c r="BA110" s="96" t="str">
        <f>IF(AZ110="n","n",VLOOKUP(AZ110,'Conversion factors'!$C$4:$D$24,2,FALSE))</f>
        <v>n</v>
      </c>
      <c r="BB110" s="96" t="str">
        <f t="shared" si="14"/>
        <v>n</v>
      </c>
      <c r="BC110" s="97"/>
      <c r="BD110" s="96" t="str">
        <f t="shared" si="12"/>
        <v>n</v>
      </c>
      <c r="BE110" s="96" t="str">
        <f t="shared" si="15"/>
        <v>n</v>
      </c>
      <c r="BF110" s="98" t="str">
        <f t="shared" si="16"/>
        <v/>
      </c>
      <c r="BG110" s="96" t="str">
        <f>IF(BF110="","",IF(ISNUMBER(VLOOKUP(BF110,'Conversion factors'!$B$35:$C$52,2,FALSE)),"y","n"))</f>
        <v/>
      </c>
      <c r="BH110" s="99"/>
      <c r="BI110" s="100"/>
      <c r="BJ110" s="100"/>
    </row>
    <row r="111" spans="1:62" ht="15.75" customHeight="1" x14ac:dyDescent="0.2">
      <c r="A111" s="18"/>
      <c r="B111" s="19">
        <v>230</v>
      </c>
      <c r="D111" s="36">
        <v>68928</v>
      </c>
      <c r="E111" s="93" t="s">
        <v>1224</v>
      </c>
      <c r="F111" s="93">
        <v>2001</v>
      </c>
      <c r="G111" s="19" t="s">
        <v>581</v>
      </c>
      <c r="H111" s="19"/>
      <c r="I111" s="19" t="s">
        <v>41</v>
      </c>
      <c r="J111" s="19" t="s">
        <v>226</v>
      </c>
      <c r="K111" s="19" t="s">
        <v>161</v>
      </c>
      <c r="L111" s="19" t="s">
        <v>82</v>
      </c>
      <c r="M111" s="19" t="s">
        <v>82</v>
      </c>
      <c r="N111" s="19" t="s">
        <v>66</v>
      </c>
      <c r="O111" s="19" t="s">
        <v>582</v>
      </c>
      <c r="P111" s="19" t="s">
        <v>162</v>
      </c>
      <c r="Q111" s="19"/>
      <c r="R111" s="19" t="s">
        <v>237</v>
      </c>
      <c r="S111" s="19" t="s">
        <v>589</v>
      </c>
      <c r="T111" s="19" t="s">
        <v>54</v>
      </c>
      <c r="U111" s="19" t="s">
        <v>54</v>
      </c>
      <c r="V111" s="93" t="s">
        <v>1209</v>
      </c>
      <c r="W111" s="93" t="s">
        <v>231</v>
      </c>
      <c r="X111" s="19" t="s">
        <v>46</v>
      </c>
      <c r="Y111" s="29"/>
      <c r="Z111" s="93"/>
      <c r="AA111" s="93"/>
      <c r="AB111" s="93" t="s">
        <v>590</v>
      </c>
      <c r="AC111" s="19" t="s">
        <v>1322</v>
      </c>
      <c r="AD111" s="93"/>
      <c r="AE111" s="19">
        <v>200</v>
      </c>
      <c r="AF111" s="19">
        <v>200</v>
      </c>
      <c r="AG111" s="19" t="s">
        <v>270</v>
      </c>
      <c r="AH111" s="19"/>
      <c r="AI111" s="19"/>
      <c r="AJ111" s="19">
        <v>7.2</v>
      </c>
      <c r="AK111" s="19" t="s">
        <v>584</v>
      </c>
      <c r="AL111" s="19"/>
      <c r="AM111" s="19" t="s">
        <v>234</v>
      </c>
      <c r="AN111" s="19" t="s">
        <v>234</v>
      </c>
      <c r="AO111" s="19" t="s">
        <v>235</v>
      </c>
      <c r="AP111" s="94"/>
      <c r="AQ111" s="19" t="s">
        <v>102</v>
      </c>
      <c r="AR111" s="19" t="s">
        <v>586</v>
      </c>
      <c r="AS111" s="19"/>
      <c r="AT111" s="65" t="str">
        <f t="shared" si="10"/>
        <v>N</v>
      </c>
      <c r="AU111" s="65" t="str">
        <f t="shared" si="11"/>
        <v>N</v>
      </c>
      <c r="AV111" s="65" t="str">
        <f t="shared" si="34"/>
        <v>N</v>
      </c>
      <c r="AW111" s="99"/>
      <c r="AX111" s="99"/>
      <c r="AY111" s="93"/>
      <c r="AZ111" s="96" t="str">
        <f t="shared" si="13"/>
        <v>n</v>
      </c>
      <c r="BA111" s="96" t="str">
        <f>IF(AZ111="n","n",VLOOKUP(AZ111,'Conversion factors'!$C$4:$D$24,2,FALSE))</f>
        <v>n</v>
      </c>
      <c r="BB111" s="96" t="str">
        <f t="shared" si="14"/>
        <v>n</v>
      </c>
      <c r="BC111" s="97"/>
      <c r="BD111" s="96" t="str">
        <f t="shared" si="12"/>
        <v>n</v>
      </c>
      <c r="BE111" s="96" t="str">
        <f t="shared" si="15"/>
        <v>n</v>
      </c>
      <c r="BF111" s="98" t="str">
        <f t="shared" si="16"/>
        <v/>
      </c>
      <c r="BG111" s="96" t="str">
        <f>IF(BF111="","",IF(ISNUMBER(VLOOKUP(BF111,'Conversion factors'!$B$35:$C$52,2,FALSE)),"y","n"))</f>
        <v/>
      </c>
      <c r="BH111" s="99"/>
      <c r="BI111" s="100"/>
      <c r="BJ111" s="100"/>
    </row>
    <row r="112" spans="1:62" ht="15.75" customHeight="1" x14ac:dyDescent="0.2">
      <c r="A112" s="18"/>
      <c r="B112" s="19">
        <v>230</v>
      </c>
      <c r="D112" s="36">
        <v>68928</v>
      </c>
      <c r="E112" s="93" t="s">
        <v>1224</v>
      </c>
      <c r="F112" s="93">
        <v>2001</v>
      </c>
      <c r="G112" s="19" t="s">
        <v>581</v>
      </c>
      <c r="H112" s="19"/>
      <c r="I112" s="19" t="s">
        <v>41</v>
      </c>
      <c r="J112" s="19" t="s">
        <v>226</v>
      </c>
      <c r="K112" s="19" t="s">
        <v>161</v>
      </c>
      <c r="L112" s="19" t="s">
        <v>82</v>
      </c>
      <c r="M112" s="19" t="s">
        <v>82</v>
      </c>
      <c r="N112" s="19" t="s">
        <v>66</v>
      </c>
      <c r="O112" s="19" t="s">
        <v>582</v>
      </c>
      <c r="P112" s="19" t="s">
        <v>162</v>
      </c>
      <c r="Q112" s="19"/>
      <c r="R112" s="19" t="s">
        <v>237</v>
      </c>
      <c r="S112" s="19" t="s">
        <v>414</v>
      </c>
      <c r="T112" s="19" t="s">
        <v>54</v>
      </c>
      <c r="U112" s="19" t="s">
        <v>54</v>
      </c>
      <c r="V112" s="93" t="s">
        <v>1209</v>
      </c>
      <c r="W112" s="93" t="s">
        <v>231</v>
      </c>
      <c r="X112" s="19" t="s">
        <v>46</v>
      </c>
      <c r="Y112" s="29"/>
      <c r="Z112" s="93"/>
      <c r="AA112" s="93"/>
      <c r="AB112" s="93" t="s">
        <v>590</v>
      </c>
      <c r="AC112" s="19" t="s">
        <v>1322</v>
      </c>
      <c r="AD112" s="93"/>
      <c r="AE112" s="19">
        <v>200</v>
      </c>
      <c r="AF112" s="19">
        <v>200</v>
      </c>
      <c r="AG112" s="19" t="s">
        <v>270</v>
      </c>
      <c r="AH112" s="19"/>
      <c r="AI112" s="19"/>
      <c r="AJ112" s="19">
        <v>7.2</v>
      </c>
      <c r="AK112" s="19" t="s">
        <v>584</v>
      </c>
      <c r="AL112" s="19"/>
      <c r="AM112" s="19" t="s">
        <v>234</v>
      </c>
      <c r="AN112" s="19" t="s">
        <v>234</v>
      </c>
      <c r="AO112" s="19" t="s">
        <v>235</v>
      </c>
      <c r="AP112" s="94"/>
      <c r="AQ112" s="19" t="s">
        <v>102</v>
      </c>
      <c r="AR112" s="19" t="s">
        <v>586</v>
      </c>
      <c r="AS112" s="19"/>
      <c r="AT112" s="65" t="str">
        <f t="shared" si="10"/>
        <v>N</v>
      </c>
      <c r="AU112" s="65" t="str">
        <f t="shared" si="11"/>
        <v>N</v>
      </c>
      <c r="AV112" s="65" t="str">
        <f t="shared" si="34"/>
        <v>N</v>
      </c>
      <c r="AW112" s="99"/>
      <c r="AX112" s="99"/>
      <c r="AY112" s="93"/>
      <c r="AZ112" s="96" t="str">
        <f t="shared" si="13"/>
        <v>n</v>
      </c>
      <c r="BA112" s="96" t="str">
        <f>IF(AZ112="n","n",VLOOKUP(AZ112,'Conversion factors'!$C$4:$D$24,2,FALSE))</f>
        <v>n</v>
      </c>
      <c r="BB112" s="96" t="str">
        <f t="shared" si="14"/>
        <v>n</v>
      </c>
      <c r="BC112" s="97"/>
      <c r="BD112" s="96" t="str">
        <f t="shared" si="12"/>
        <v>n</v>
      </c>
      <c r="BE112" s="96" t="str">
        <f t="shared" si="15"/>
        <v>n</v>
      </c>
      <c r="BF112" s="98" t="str">
        <f t="shared" si="16"/>
        <v/>
      </c>
      <c r="BG112" s="96" t="str">
        <f>IF(BF112="","",IF(ISNUMBER(VLOOKUP(BF112,'Conversion factors'!$B$35:$C$52,2,FALSE)),"y","n"))</f>
        <v/>
      </c>
      <c r="BH112" s="99"/>
      <c r="BI112" s="100"/>
      <c r="BJ112" s="100"/>
    </row>
    <row r="113" spans="1:62" ht="15.75" customHeight="1" x14ac:dyDescent="0.2">
      <c r="A113" s="18"/>
      <c r="B113" s="19">
        <v>122</v>
      </c>
      <c r="C113" s="20">
        <v>205359</v>
      </c>
      <c r="D113" s="36">
        <v>5359</v>
      </c>
      <c r="E113" s="93" t="s">
        <v>1324</v>
      </c>
      <c r="F113" s="93">
        <v>1980</v>
      </c>
      <c r="G113" s="19"/>
      <c r="H113" s="19"/>
      <c r="I113" s="19" t="s">
        <v>41</v>
      </c>
      <c r="J113" s="19" t="s">
        <v>122</v>
      </c>
      <c r="K113" s="19" t="s">
        <v>161</v>
      </c>
      <c r="L113" s="19" t="s">
        <v>82</v>
      </c>
      <c r="M113" s="19" t="s">
        <v>82</v>
      </c>
      <c r="N113" s="19" t="s">
        <v>66</v>
      </c>
      <c r="O113" s="19" t="s">
        <v>172</v>
      </c>
      <c r="P113" s="19" t="s">
        <v>162</v>
      </c>
      <c r="Q113" s="19"/>
      <c r="R113" s="19" t="s">
        <v>156</v>
      </c>
      <c r="S113" s="19" t="s">
        <v>156</v>
      </c>
      <c r="T113" s="19" t="s">
        <v>56</v>
      </c>
      <c r="U113" s="19" t="s">
        <v>44</v>
      </c>
      <c r="V113" s="93">
        <v>14</v>
      </c>
      <c r="W113" s="93" t="s">
        <v>45</v>
      </c>
      <c r="X113" s="19" t="s">
        <v>46</v>
      </c>
      <c r="Y113" s="29"/>
      <c r="Z113" s="93"/>
      <c r="AA113" s="93"/>
      <c r="AB113" s="93">
        <v>8200</v>
      </c>
      <c r="AC113" s="19" t="s">
        <v>214</v>
      </c>
      <c r="AD113" s="93"/>
      <c r="AE113" s="19">
        <f>(GEOMEAN(370,378,397,402))*1</f>
        <v>386.52493956773282</v>
      </c>
      <c r="AF113" s="19">
        <f>(GEOMEAN(370,378,397,402))*1</f>
        <v>386.52493956773282</v>
      </c>
      <c r="AG113" s="19"/>
      <c r="AH113" s="19"/>
      <c r="AI113" s="19"/>
      <c r="AJ113" s="19">
        <v>8.07</v>
      </c>
      <c r="AK113" s="19" t="s">
        <v>206</v>
      </c>
      <c r="AL113" s="19"/>
      <c r="AM113" s="19" t="s">
        <v>48</v>
      </c>
      <c r="AN113" s="19">
        <f>GEOMEAN(318,327,335,331,324)</f>
        <v>326.94788834371229</v>
      </c>
      <c r="AO113" s="19"/>
      <c r="AP113" s="94"/>
      <c r="AQ113" s="19">
        <f>GEOMEAN(20.2,20.2,19.9,20.1,20)</f>
        <v>20.079660871929086</v>
      </c>
      <c r="AR113" s="19" t="s">
        <v>209</v>
      </c>
      <c r="AS113" s="19"/>
      <c r="AT113" s="65" t="str">
        <f t="shared" si="10"/>
        <v>Y</v>
      </c>
      <c r="AU113" s="65" t="str">
        <f t="shared" si="11"/>
        <v>Y</v>
      </c>
      <c r="AV113" s="65" t="str">
        <f t="shared" si="34"/>
        <v>Y</v>
      </c>
      <c r="AW113" s="99"/>
      <c r="AX113" s="99"/>
      <c r="AY113" s="93"/>
      <c r="AZ113" s="96" t="str">
        <f t="shared" si="13"/>
        <v>LC50</v>
      </c>
      <c r="BA113" s="96">
        <f>IF(AZ113="n","n",VLOOKUP(AZ113,'Conversion factors'!$C$4:$D$24,2,FALSE))</f>
        <v>5</v>
      </c>
      <c r="BB113" s="96">
        <f t="shared" si="14"/>
        <v>1640</v>
      </c>
      <c r="BC113" s="97"/>
      <c r="BD113" s="96" t="str">
        <f t="shared" si="12"/>
        <v>Chronic</v>
      </c>
      <c r="BE113" s="96" t="str">
        <f t="shared" si="15"/>
        <v>y</v>
      </c>
      <c r="BF113" s="98" t="str">
        <f t="shared" si="16"/>
        <v>LC50</v>
      </c>
      <c r="BG113" s="96" t="str">
        <f>IF(BF113="","",IF(ISNUMBER(VLOOKUP(BF113,'Conversion factors'!$B$35:$C$52,2,FALSE)),"y","n"))</f>
        <v>n</v>
      </c>
      <c r="BH113" s="99"/>
      <c r="BI113" s="100"/>
      <c r="BJ113" s="100"/>
    </row>
    <row r="114" spans="1:62" ht="15.75" customHeight="1" x14ac:dyDescent="0.2">
      <c r="A114" s="18"/>
      <c r="B114" s="19">
        <v>119</v>
      </c>
      <c r="C114" s="20">
        <v>202440</v>
      </c>
      <c r="D114" s="36">
        <v>2440</v>
      </c>
      <c r="E114" s="93" t="s">
        <v>1324</v>
      </c>
      <c r="F114" s="93">
        <v>1968</v>
      </c>
      <c r="G114" s="19" t="s">
        <v>1610</v>
      </c>
      <c r="H114" s="19"/>
      <c r="I114" s="19" t="s">
        <v>41</v>
      </c>
      <c r="J114" s="19" t="s">
        <v>104</v>
      </c>
      <c r="K114" s="19" t="s">
        <v>161</v>
      </c>
      <c r="L114" s="19" t="s">
        <v>82</v>
      </c>
      <c r="M114" s="19" t="s">
        <v>82</v>
      </c>
      <c r="N114" s="19" t="s">
        <v>66</v>
      </c>
      <c r="O114" s="19" t="s">
        <v>187</v>
      </c>
      <c r="P114" s="19" t="s">
        <v>162</v>
      </c>
      <c r="Q114" s="19"/>
      <c r="R114" s="19" t="s">
        <v>156</v>
      </c>
      <c r="S114" s="19" t="s">
        <v>156</v>
      </c>
      <c r="T114" s="19" t="s">
        <v>56</v>
      </c>
      <c r="U114" s="19" t="s">
        <v>44</v>
      </c>
      <c r="V114" s="93">
        <v>20</v>
      </c>
      <c r="W114" s="93" t="s">
        <v>45</v>
      </c>
      <c r="X114" s="19" t="s">
        <v>46</v>
      </c>
      <c r="Y114" s="29"/>
      <c r="Z114" s="93"/>
      <c r="AA114" s="93"/>
      <c r="AB114" s="93">
        <v>7200</v>
      </c>
      <c r="AC114" s="19" t="s">
        <v>214</v>
      </c>
      <c r="AD114" s="93"/>
      <c r="AE114" s="19">
        <f>(340+404)/2</f>
        <v>372</v>
      </c>
      <c r="AF114" s="19" t="s">
        <v>106</v>
      </c>
      <c r="AG114" s="19"/>
      <c r="AH114" s="19"/>
      <c r="AI114" s="19"/>
      <c r="AJ114" s="19">
        <v>7.85</v>
      </c>
      <c r="AK114" s="19" t="s">
        <v>105</v>
      </c>
      <c r="AL114" s="19"/>
      <c r="AM114" s="19" t="s">
        <v>48</v>
      </c>
      <c r="AN114" s="19" t="s">
        <v>198</v>
      </c>
      <c r="AO114" s="19"/>
      <c r="AP114" s="94"/>
      <c r="AQ114" s="19" t="s">
        <v>102</v>
      </c>
      <c r="AR114" s="19">
        <v>1.8</v>
      </c>
      <c r="AS114" s="19"/>
      <c r="AT114" s="65" t="str">
        <f t="shared" si="10"/>
        <v>N</v>
      </c>
      <c r="AU114" s="65" t="str">
        <f t="shared" si="11"/>
        <v>N</v>
      </c>
      <c r="AV114" s="65" t="str">
        <f t="shared" si="34"/>
        <v>N</v>
      </c>
      <c r="AW114" s="99" t="s">
        <v>1465</v>
      </c>
      <c r="AX114" s="99"/>
      <c r="AY114" s="93"/>
      <c r="AZ114" s="96" t="str">
        <f t="shared" si="13"/>
        <v>n</v>
      </c>
      <c r="BA114" s="96" t="str">
        <f>IF(AZ114="n","n",VLOOKUP(AZ114,'Conversion factors'!$C$4:$D$24,2,FALSE))</f>
        <v>n</v>
      </c>
      <c r="BB114" s="96" t="str">
        <f t="shared" si="14"/>
        <v>n</v>
      </c>
      <c r="BC114" s="97"/>
      <c r="BD114" s="96" t="str">
        <f t="shared" si="12"/>
        <v>n</v>
      </c>
      <c r="BE114" s="96" t="str">
        <f t="shared" si="15"/>
        <v>n</v>
      </c>
      <c r="BF114" s="98" t="str">
        <f t="shared" si="16"/>
        <v/>
      </c>
      <c r="BG114" s="96" t="str">
        <f>IF(BF114="","",IF(ISNUMBER(VLOOKUP(BF114,'Conversion factors'!$B$35:$C$52,2,FALSE)),"y","n"))</f>
        <v/>
      </c>
      <c r="BH114" s="99"/>
      <c r="BI114" s="100"/>
      <c r="BJ114" s="100"/>
    </row>
    <row r="115" spans="1:62" ht="15.75" customHeight="1" x14ac:dyDescent="0.2">
      <c r="A115" s="18"/>
      <c r="B115" s="19">
        <v>119</v>
      </c>
      <c r="C115" s="20">
        <v>202440</v>
      </c>
      <c r="D115" s="36">
        <v>2440</v>
      </c>
      <c r="E115" s="93" t="s">
        <v>1324</v>
      </c>
      <c r="F115" s="93">
        <v>1968</v>
      </c>
      <c r="G115" s="19" t="s">
        <v>1610</v>
      </c>
      <c r="H115" s="19"/>
      <c r="I115" s="19" t="s">
        <v>41</v>
      </c>
      <c r="J115" s="19" t="s">
        <v>104</v>
      </c>
      <c r="K115" s="19" t="s">
        <v>161</v>
      </c>
      <c r="L115" s="19" t="s">
        <v>82</v>
      </c>
      <c r="M115" s="19" t="s">
        <v>82</v>
      </c>
      <c r="N115" s="19" t="s">
        <v>66</v>
      </c>
      <c r="O115" s="19" t="s">
        <v>187</v>
      </c>
      <c r="P115" s="19" t="s">
        <v>162</v>
      </c>
      <c r="Q115" s="19"/>
      <c r="R115" s="19" t="s">
        <v>156</v>
      </c>
      <c r="S115" s="19" t="s">
        <v>156</v>
      </c>
      <c r="T115" s="19" t="s">
        <v>56</v>
      </c>
      <c r="U115" s="19" t="s">
        <v>44</v>
      </c>
      <c r="V115" s="93">
        <v>20</v>
      </c>
      <c r="W115" s="93" t="s">
        <v>45</v>
      </c>
      <c r="X115" s="19" t="s">
        <v>46</v>
      </c>
      <c r="Y115" s="29"/>
      <c r="Z115" s="93"/>
      <c r="AA115" s="93"/>
      <c r="AB115" s="93">
        <v>7500</v>
      </c>
      <c r="AC115" s="19" t="s">
        <v>214</v>
      </c>
      <c r="AD115" s="93"/>
      <c r="AE115" s="19">
        <f>(340+404)/2</f>
        <v>372</v>
      </c>
      <c r="AF115" s="19" t="s">
        <v>106</v>
      </c>
      <c r="AG115" s="19"/>
      <c r="AH115" s="19"/>
      <c r="AI115" s="19"/>
      <c r="AJ115" s="19">
        <v>7.85</v>
      </c>
      <c r="AK115" s="19" t="s">
        <v>105</v>
      </c>
      <c r="AL115" s="19"/>
      <c r="AM115" s="19" t="s">
        <v>48</v>
      </c>
      <c r="AN115" s="19" t="s">
        <v>198</v>
      </c>
      <c r="AO115" s="19"/>
      <c r="AP115" s="94"/>
      <c r="AQ115" s="19" t="s">
        <v>102</v>
      </c>
      <c r="AR115" s="19">
        <v>1.8</v>
      </c>
      <c r="AS115" s="19"/>
      <c r="AT115" s="65" t="str">
        <f t="shared" si="10"/>
        <v>N</v>
      </c>
      <c r="AU115" s="65" t="str">
        <f t="shared" si="11"/>
        <v>N</v>
      </c>
      <c r="AV115" s="65" t="str">
        <f t="shared" si="34"/>
        <v>N</v>
      </c>
      <c r="AW115" s="99" t="s">
        <v>1465</v>
      </c>
      <c r="AX115" s="99"/>
      <c r="AY115" s="93"/>
      <c r="AZ115" s="96" t="str">
        <f t="shared" si="13"/>
        <v>n</v>
      </c>
      <c r="BA115" s="96" t="str">
        <f>IF(AZ115="n","n",VLOOKUP(AZ115,'Conversion factors'!$C$4:$D$24,2,FALSE))</f>
        <v>n</v>
      </c>
      <c r="BB115" s="96" t="str">
        <f t="shared" si="14"/>
        <v>n</v>
      </c>
      <c r="BC115" s="97"/>
      <c r="BD115" s="96" t="str">
        <f t="shared" si="12"/>
        <v>n</v>
      </c>
      <c r="BE115" s="96" t="str">
        <f t="shared" si="15"/>
        <v>n</v>
      </c>
      <c r="BF115" s="98" t="str">
        <f t="shared" si="16"/>
        <v/>
      </c>
      <c r="BG115" s="96" t="str">
        <f>IF(BF115="","",IF(ISNUMBER(VLOOKUP(BF115,'Conversion factors'!$B$35:$C$52,2,FALSE)),"y","n"))</f>
        <v/>
      </c>
      <c r="BH115" s="99"/>
      <c r="BI115" s="100"/>
      <c r="BJ115" s="100"/>
    </row>
    <row r="116" spans="1:62" ht="15.75" customHeight="1" x14ac:dyDescent="0.2">
      <c r="A116" s="18"/>
      <c r="B116" s="19">
        <v>119</v>
      </c>
      <c r="C116" s="20">
        <v>202440</v>
      </c>
      <c r="D116" s="36">
        <v>2440</v>
      </c>
      <c r="E116" s="93" t="s">
        <v>1324</v>
      </c>
      <c r="F116" s="93">
        <v>1968</v>
      </c>
      <c r="G116" s="19" t="s">
        <v>1610</v>
      </c>
      <c r="H116" s="19"/>
      <c r="I116" s="19" t="s">
        <v>41</v>
      </c>
      <c r="J116" s="19" t="s">
        <v>104</v>
      </c>
      <c r="K116" s="19" t="s">
        <v>161</v>
      </c>
      <c r="L116" s="19" t="s">
        <v>82</v>
      </c>
      <c r="M116" s="19" t="s">
        <v>82</v>
      </c>
      <c r="N116" s="19" t="s">
        <v>66</v>
      </c>
      <c r="O116" s="19" t="s">
        <v>187</v>
      </c>
      <c r="P116" s="19" t="s">
        <v>162</v>
      </c>
      <c r="Q116" s="19"/>
      <c r="R116" s="19" t="s">
        <v>156</v>
      </c>
      <c r="S116" s="19" t="s">
        <v>156</v>
      </c>
      <c r="T116" s="19" t="s">
        <v>56</v>
      </c>
      <c r="U116" s="19" t="s">
        <v>44</v>
      </c>
      <c r="V116" s="93">
        <v>20</v>
      </c>
      <c r="W116" s="93" t="s">
        <v>45</v>
      </c>
      <c r="X116" s="19" t="s">
        <v>46</v>
      </c>
      <c r="Y116" s="29"/>
      <c r="Z116" s="93"/>
      <c r="AA116" s="93"/>
      <c r="AB116" s="93">
        <v>10500</v>
      </c>
      <c r="AC116" s="19" t="s">
        <v>214</v>
      </c>
      <c r="AD116" s="93"/>
      <c r="AE116" s="19">
        <f>(340+404)/2</f>
        <v>372</v>
      </c>
      <c r="AF116" s="19" t="s">
        <v>106</v>
      </c>
      <c r="AG116" s="19"/>
      <c r="AH116" s="19"/>
      <c r="AI116" s="19"/>
      <c r="AJ116" s="19">
        <v>7.85</v>
      </c>
      <c r="AK116" s="19" t="s">
        <v>105</v>
      </c>
      <c r="AL116" s="19"/>
      <c r="AM116" s="19" t="s">
        <v>48</v>
      </c>
      <c r="AN116" s="19" t="s">
        <v>198</v>
      </c>
      <c r="AO116" s="19"/>
      <c r="AP116" s="94"/>
      <c r="AQ116" s="19" t="s">
        <v>102</v>
      </c>
      <c r="AR116" s="19">
        <v>3.2</v>
      </c>
      <c r="AS116" s="19"/>
      <c r="AT116" s="65" t="str">
        <f t="shared" si="10"/>
        <v>N</v>
      </c>
      <c r="AU116" s="65" t="str">
        <f t="shared" si="11"/>
        <v>N</v>
      </c>
      <c r="AV116" s="65" t="str">
        <f t="shared" si="34"/>
        <v>N</v>
      </c>
      <c r="AW116" s="99" t="s">
        <v>1465</v>
      </c>
      <c r="AX116" s="99"/>
      <c r="AY116" s="93"/>
      <c r="AZ116" s="96" t="str">
        <f t="shared" si="13"/>
        <v>n</v>
      </c>
      <c r="BA116" s="96" t="str">
        <f>IF(AZ116="n","n",VLOOKUP(AZ116,'Conversion factors'!$C$4:$D$24,2,FALSE))</f>
        <v>n</v>
      </c>
      <c r="BB116" s="96" t="str">
        <f t="shared" si="14"/>
        <v>n</v>
      </c>
      <c r="BC116" s="97"/>
      <c r="BD116" s="96" t="str">
        <f t="shared" si="12"/>
        <v>n</v>
      </c>
      <c r="BE116" s="96" t="str">
        <f t="shared" si="15"/>
        <v>n</v>
      </c>
      <c r="BF116" s="98" t="str">
        <f t="shared" si="16"/>
        <v/>
      </c>
      <c r="BG116" s="96" t="str">
        <f>IF(BF116="","",IF(ISNUMBER(VLOOKUP(BF116,'Conversion factors'!$B$35:$C$52,2,FALSE)),"y","n"))</f>
        <v/>
      </c>
      <c r="BH116" s="99"/>
      <c r="BI116" s="100"/>
      <c r="BJ116" s="100"/>
    </row>
    <row r="117" spans="1:62" ht="15.75" customHeight="1" x14ac:dyDescent="0.2">
      <c r="A117" s="18"/>
      <c r="B117" s="19">
        <v>119</v>
      </c>
      <c r="C117" s="20">
        <v>202440</v>
      </c>
      <c r="D117" s="36">
        <v>2440</v>
      </c>
      <c r="E117" s="93" t="s">
        <v>1324</v>
      </c>
      <c r="F117" s="93">
        <v>1968</v>
      </c>
      <c r="G117" s="19" t="s">
        <v>1610</v>
      </c>
      <c r="H117" s="19"/>
      <c r="I117" s="19" t="s">
        <v>41</v>
      </c>
      <c r="J117" s="19" t="s">
        <v>104</v>
      </c>
      <c r="K117" s="19" t="s">
        <v>161</v>
      </c>
      <c r="L117" s="19" t="s">
        <v>82</v>
      </c>
      <c r="M117" s="19" t="s">
        <v>82</v>
      </c>
      <c r="N117" s="19" t="s">
        <v>66</v>
      </c>
      <c r="O117" s="19" t="s">
        <v>187</v>
      </c>
      <c r="P117" s="19" t="s">
        <v>162</v>
      </c>
      <c r="Q117" s="19"/>
      <c r="R117" s="19" t="s">
        <v>156</v>
      </c>
      <c r="S117" s="19" t="s">
        <v>156</v>
      </c>
      <c r="T117" s="19" t="s">
        <v>56</v>
      </c>
      <c r="U117" s="19" t="s">
        <v>44</v>
      </c>
      <c r="V117" s="93">
        <v>20</v>
      </c>
      <c r="W117" s="93" t="s">
        <v>45</v>
      </c>
      <c r="X117" s="19" t="s">
        <v>46</v>
      </c>
      <c r="Y117" s="29"/>
      <c r="Z117" s="93"/>
      <c r="AA117" s="93"/>
      <c r="AB117" s="93">
        <v>10700</v>
      </c>
      <c r="AC117" s="19" t="s">
        <v>214</v>
      </c>
      <c r="AD117" s="93"/>
      <c r="AE117" s="19">
        <f>(340+404)/2</f>
        <v>372</v>
      </c>
      <c r="AF117" s="19" t="s">
        <v>106</v>
      </c>
      <c r="AG117" s="19"/>
      <c r="AH117" s="19"/>
      <c r="AI117" s="19"/>
      <c r="AJ117" s="19">
        <v>7.85</v>
      </c>
      <c r="AK117" s="19" t="s">
        <v>105</v>
      </c>
      <c r="AL117" s="19"/>
      <c r="AM117" s="19" t="s">
        <v>48</v>
      </c>
      <c r="AN117" s="19" t="s">
        <v>198</v>
      </c>
      <c r="AO117" s="19"/>
      <c r="AP117" s="94"/>
      <c r="AQ117" s="19" t="s">
        <v>102</v>
      </c>
      <c r="AR117" s="19">
        <v>5.6</v>
      </c>
      <c r="AS117" s="19"/>
      <c r="AT117" s="65" t="str">
        <f t="shared" si="10"/>
        <v>N</v>
      </c>
      <c r="AU117" s="65" t="str">
        <f t="shared" si="11"/>
        <v>N</v>
      </c>
      <c r="AV117" s="65" t="str">
        <f t="shared" si="34"/>
        <v>N</v>
      </c>
      <c r="AW117" s="99" t="s">
        <v>1465</v>
      </c>
      <c r="AX117" s="99"/>
      <c r="AY117" s="93"/>
      <c r="AZ117" s="96" t="str">
        <f t="shared" si="13"/>
        <v>n</v>
      </c>
      <c r="BA117" s="96" t="str">
        <f>IF(AZ117="n","n",VLOOKUP(AZ117,'Conversion factors'!$C$4:$D$24,2,FALSE))</f>
        <v>n</v>
      </c>
      <c r="BB117" s="96" t="str">
        <f t="shared" si="14"/>
        <v>n</v>
      </c>
      <c r="BC117" s="97"/>
      <c r="BD117" s="96" t="str">
        <f t="shared" si="12"/>
        <v>n</v>
      </c>
      <c r="BE117" s="96" t="str">
        <f t="shared" si="15"/>
        <v>n</v>
      </c>
      <c r="BF117" s="98" t="str">
        <f t="shared" si="16"/>
        <v/>
      </c>
      <c r="BG117" s="96" t="str">
        <f>IF(BF117="","",IF(ISNUMBER(VLOOKUP(BF117,'Conversion factors'!$B$35:$C$52,2,FALSE)),"y","n"))</f>
        <v/>
      </c>
      <c r="BH117" s="99"/>
      <c r="BI117" s="100"/>
      <c r="BJ117" s="100"/>
    </row>
    <row r="118" spans="1:62" ht="15.75" customHeight="1" x14ac:dyDescent="0.2">
      <c r="A118" s="18"/>
      <c r="B118" s="19">
        <v>119</v>
      </c>
      <c r="C118" s="20">
        <v>202440</v>
      </c>
      <c r="D118" s="36">
        <v>2440</v>
      </c>
      <c r="E118" s="93" t="s">
        <v>1324</v>
      </c>
      <c r="F118" s="93">
        <v>1968</v>
      </c>
      <c r="G118" s="19" t="s">
        <v>1610</v>
      </c>
      <c r="H118" s="19"/>
      <c r="I118" s="19" t="s">
        <v>41</v>
      </c>
      <c r="J118" s="19" t="s">
        <v>104</v>
      </c>
      <c r="K118" s="19" t="s">
        <v>161</v>
      </c>
      <c r="L118" s="19" t="s">
        <v>82</v>
      </c>
      <c r="M118" s="19" t="s">
        <v>82</v>
      </c>
      <c r="N118" s="19" t="s">
        <v>66</v>
      </c>
      <c r="O118" s="19" t="s">
        <v>187</v>
      </c>
      <c r="P118" s="19" t="s">
        <v>162</v>
      </c>
      <c r="Q118" s="19"/>
      <c r="R118" s="19" t="s">
        <v>156</v>
      </c>
      <c r="S118" s="19" t="s">
        <v>156</v>
      </c>
      <c r="T118" s="19" t="s">
        <v>56</v>
      </c>
      <c r="U118" s="19" t="s">
        <v>44</v>
      </c>
      <c r="V118" s="93">
        <v>20</v>
      </c>
      <c r="W118" s="93" t="s">
        <v>45</v>
      </c>
      <c r="X118" s="19" t="s">
        <v>46</v>
      </c>
      <c r="Y118" s="29"/>
      <c r="Z118" s="93"/>
      <c r="AA118" s="93"/>
      <c r="AB118" s="93">
        <v>12000</v>
      </c>
      <c r="AC118" s="19" t="s">
        <v>214</v>
      </c>
      <c r="AD118" s="93"/>
      <c r="AE118" s="19">
        <f>(340+404)/2</f>
        <v>372</v>
      </c>
      <c r="AF118" s="19" t="s">
        <v>106</v>
      </c>
      <c r="AG118" s="19"/>
      <c r="AH118" s="19"/>
      <c r="AI118" s="19"/>
      <c r="AJ118" s="19">
        <v>7.85</v>
      </c>
      <c r="AK118" s="19" t="s">
        <v>105</v>
      </c>
      <c r="AL118" s="19"/>
      <c r="AM118" s="19" t="s">
        <v>48</v>
      </c>
      <c r="AN118" s="19" t="s">
        <v>198</v>
      </c>
      <c r="AO118" s="19"/>
      <c r="AP118" s="94"/>
      <c r="AQ118" s="19" t="s">
        <v>102</v>
      </c>
      <c r="AR118" s="19">
        <v>5.6</v>
      </c>
      <c r="AS118" s="19"/>
      <c r="AT118" s="65" t="str">
        <f t="shared" si="10"/>
        <v>N</v>
      </c>
      <c r="AU118" s="65" t="str">
        <f t="shared" si="11"/>
        <v>N</v>
      </c>
      <c r="AV118" s="65" t="str">
        <f t="shared" si="34"/>
        <v>N</v>
      </c>
      <c r="AW118" s="99" t="s">
        <v>1465</v>
      </c>
      <c r="AX118" s="99"/>
      <c r="AY118" s="93"/>
      <c r="AZ118" s="96" t="str">
        <f t="shared" si="13"/>
        <v>n</v>
      </c>
      <c r="BA118" s="96" t="str">
        <f>IF(AZ118="n","n",VLOOKUP(AZ118,'Conversion factors'!$C$4:$D$24,2,FALSE))</f>
        <v>n</v>
      </c>
      <c r="BB118" s="96" t="str">
        <f t="shared" si="14"/>
        <v>n</v>
      </c>
      <c r="BC118" s="97"/>
      <c r="BD118" s="96" t="str">
        <f t="shared" si="12"/>
        <v>n</v>
      </c>
      <c r="BE118" s="96" t="str">
        <f t="shared" si="15"/>
        <v>n</v>
      </c>
      <c r="BF118" s="98" t="str">
        <f t="shared" si="16"/>
        <v/>
      </c>
      <c r="BG118" s="96" t="str">
        <f>IF(BF118="","",IF(ISNUMBER(VLOOKUP(BF118,'Conversion factors'!$B$35:$C$52,2,FALSE)),"y","n"))</f>
        <v/>
      </c>
      <c r="BH118" s="99"/>
      <c r="BI118" s="100"/>
      <c r="BJ118" s="100"/>
    </row>
    <row r="119" spans="1:62" ht="15.75" customHeight="1" x14ac:dyDescent="0.2">
      <c r="A119" s="18"/>
      <c r="B119" s="19">
        <v>122</v>
      </c>
      <c r="C119" s="20">
        <v>205359</v>
      </c>
      <c r="D119" s="36">
        <v>5359</v>
      </c>
      <c r="E119" s="93" t="s">
        <v>1324</v>
      </c>
      <c r="F119" s="93">
        <v>1980</v>
      </c>
      <c r="G119" s="19"/>
      <c r="H119" s="19"/>
      <c r="I119" s="19" t="s">
        <v>41</v>
      </c>
      <c r="J119" s="19" t="s">
        <v>104</v>
      </c>
      <c r="K119" s="19" t="s">
        <v>161</v>
      </c>
      <c r="L119" s="19" t="s">
        <v>82</v>
      </c>
      <c r="M119" s="19" t="s">
        <v>82</v>
      </c>
      <c r="N119" s="19" t="s">
        <v>66</v>
      </c>
      <c r="O119" s="19" t="s">
        <v>172</v>
      </c>
      <c r="P119" s="19" t="s">
        <v>162</v>
      </c>
      <c r="Q119" s="19"/>
      <c r="R119" s="19" t="s">
        <v>156</v>
      </c>
      <c r="S119" s="19" t="s">
        <v>156</v>
      </c>
      <c r="T119" s="19" t="s">
        <v>56</v>
      </c>
      <c r="U119" s="19" t="s">
        <v>44</v>
      </c>
      <c r="V119" s="93">
        <v>14</v>
      </c>
      <c r="W119" s="93" t="s">
        <v>45</v>
      </c>
      <c r="X119" s="19" t="s">
        <v>46</v>
      </c>
      <c r="Y119" s="29"/>
      <c r="Z119" s="93"/>
      <c r="AA119" s="93"/>
      <c r="AB119" s="93">
        <v>11000</v>
      </c>
      <c r="AC119" s="19" t="s">
        <v>214</v>
      </c>
      <c r="AD119" s="93"/>
      <c r="AE119" s="19">
        <f>(GEOMEAN(253,247,366,396))*1</f>
        <v>308.49521802711831</v>
      </c>
      <c r="AF119" s="19">
        <f>(GEOMEAN(253,247,366,396))*1</f>
        <v>308.49521802711831</v>
      </c>
      <c r="AG119" s="19"/>
      <c r="AH119" s="19"/>
      <c r="AI119" s="19"/>
      <c r="AJ119" s="19">
        <v>7.8900000000000006</v>
      </c>
      <c r="AK119" s="19" t="s">
        <v>205</v>
      </c>
      <c r="AL119" s="19"/>
      <c r="AM119" s="19" t="s">
        <v>48</v>
      </c>
      <c r="AN119" s="19">
        <f>GEOMEAN(210,216,297,311)</f>
        <v>254.41778722165023</v>
      </c>
      <c r="AO119" s="19"/>
      <c r="AP119" s="94"/>
      <c r="AQ119" s="19">
        <f>GEOMEAN(20,20,20.1,20.1)</f>
        <v>20.049937655763422</v>
      </c>
      <c r="AR119" s="19" t="s">
        <v>208</v>
      </c>
      <c r="AS119" s="19"/>
      <c r="AT119" s="65" t="str">
        <f t="shared" si="10"/>
        <v>Y</v>
      </c>
      <c r="AU119" s="65" t="str">
        <f t="shared" si="11"/>
        <v>Y</v>
      </c>
      <c r="AV119" s="65" t="str">
        <f t="shared" si="34"/>
        <v>Y</v>
      </c>
      <c r="AW119" s="99"/>
      <c r="AX119" s="99"/>
      <c r="AY119" s="93"/>
      <c r="AZ119" s="96" t="str">
        <f t="shared" si="13"/>
        <v>LC50</v>
      </c>
      <c r="BA119" s="96">
        <f>IF(AZ119="n","n",VLOOKUP(AZ119,'Conversion factors'!$C$4:$D$24,2,FALSE))</f>
        <v>5</v>
      </c>
      <c r="BB119" s="96">
        <f t="shared" si="14"/>
        <v>2200</v>
      </c>
      <c r="BC119" s="97"/>
      <c r="BD119" s="96" t="str">
        <f t="shared" si="12"/>
        <v>Chronic</v>
      </c>
      <c r="BE119" s="96" t="str">
        <f t="shared" si="15"/>
        <v>y</v>
      </c>
      <c r="BF119" s="98" t="str">
        <f t="shared" si="16"/>
        <v>LC50</v>
      </c>
      <c r="BG119" s="96" t="str">
        <f>IF(BF119="","",IF(ISNUMBER(VLOOKUP(BF119,'Conversion factors'!$B$35:$C$52,2,FALSE)),"y","n"))</f>
        <v>n</v>
      </c>
      <c r="BH119" s="99"/>
      <c r="BI119" s="100"/>
      <c r="BJ119" s="100"/>
    </row>
    <row r="120" spans="1:62" ht="15.75" customHeight="1" x14ac:dyDescent="0.2">
      <c r="A120" s="18"/>
      <c r="B120" s="19">
        <v>122</v>
      </c>
      <c r="C120" s="20">
        <v>205359</v>
      </c>
      <c r="D120" s="36">
        <v>5359</v>
      </c>
      <c r="E120" s="93" t="s">
        <v>1324</v>
      </c>
      <c r="F120" s="93">
        <v>1980</v>
      </c>
      <c r="G120" s="19"/>
      <c r="H120" s="19"/>
      <c r="I120" s="19" t="s">
        <v>41</v>
      </c>
      <c r="J120" s="19" t="s">
        <v>132</v>
      </c>
      <c r="K120" s="19" t="s">
        <v>161</v>
      </c>
      <c r="L120" s="19" t="s">
        <v>82</v>
      </c>
      <c r="M120" s="19" t="s">
        <v>82</v>
      </c>
      <c r="N120" s="19" t="s">
        <v>66</v>
      </c>
      <c r="O120" s="19" t="s">
        <v>172</v>
      </c>
      <c r="P120" s="19" t="s">
        <v>162</v>
      </c>
      <c r="Q120" s="19"/>
      <c r="R120" s="19" t="s">
        <v>156</v>
      </c>
      <c r="S120" s="19" t="s">
        <v>156</v>
      </c>
      <c r="T120" s="19" t="s">
        <v>56</v>
      </c>
      <c r="U120" s="19" t="s">
        <v>44</v>
      </c>
      <c r="V120" s="93">
        <v>14</v>
      </c>
      <c r="W120" s="93" t="s">
        <v>45</v>
      </c>
      <c r="X120" s="19" t="s">
        <v>46</v>
      </c>
      <c r="Y120" s="29"/>
      <c r="Z120" s="93"/>
      <c r="AA120" s="93"/>
      <c r="AB120" s="93">
        <v>8000</v>
      </c>
      <c r="AC120" s="19" t="s">
        <v>214</v>
      </c>
      <c r="AD120" s="93"/>
      <c r="AE120" s="19">
        <f>(GEOMEAN(244,238,308,316,322))*1</f>
        <v>283.14708233949079</v>
      </c>
      <c r="AF120" s="19">
        <f>(GEOMEAN(244,238,308,316,322))*1</f>
        <v>283.14708233949079</v>
      </c>
      <c r="AG120" s="19"/>
      <c r="AH120" s="19"/>
      <c r="AI120" s="19"/>
      <c r="AJ120" s="19">
        <v>8.0850000000000009</v>
      </c>
      <c r="AK120" s="19" t="s">
        <v>204</v>
      </c>
      <c r="AL120" s="19"/>
      <c r="AM120" s="19" t="s">
        <v>48</v>
      </c>
      <c r="AN120" s="19">
        <f>GEOMEAN(199,217,264,285,275)</f>
        <v>245.59462524926573</v>
      </c>
      <c r="AO120" s="19"/>
      <c r="AP120" s="94"/>
      <c r="AQ120" s="19">
        <f>GEOMEAN(20,20,19.7,20.3,20.2)</f>
        <v>20.038939079315451</v>
      </c>
      <c r="AR120" s="19" t="s">
        <v>207</v>
      </c>
      <c r="AS120" s="19"/>
      <c r="AT120" s="65" t="str">
        <f t="shared" si="10"/>
        <v>Y</v>
      </c>
      <c r="AU120" s="65" t="str">
        <f t="shared" si="11"/>
        <v>Y</v>
      </c>
      <c r="AV120" s="65" t="str">
        <f t="shared" si="34"/>
        <v>Y</v>
      </c>
      <c r="AW120" s="104" t="s">
        <v>210</v>
      </c>
      <c r="AX120" s="104"/>
      <c r="AY120" s="93"/>
      <c r="AZ120" s="96" t="str">
        <f t="shared" si="13"/>
        <v>LC50</v>
      </c>
      <c r="BA120" s="96">
        <f>IF(AZ120="n","n",VLOOKUP(AZ120,'Conversion factors'!$C$4:$D$24,2,FALSE))</f>
        <v>5</v>
      </c>
      <c r="BB120" s="96">
        <f t="shared" si="14"/>
        <v>1600</v>
      </c>
      <c r="BC120" s="97"/>
      <c r="BD120" s="96" t="str">
        <f t="shared" si="12"/>
        <v>Chronic</v>
      </c>
      <c r="BE120" s="96" t="str">
        <f t="shared" si="15"/>
        <v>y</v>
      </c>
      <c r="BF120" s="98" t="str">
        <f t="shared" si="16"/>
        <v>LC50</v>
      </c>
      <c r="BG120" s="96" t="str">
        <f>IF(BF120="","",IF(ISNUMBER(VLOOKUP(BF120,'Conversion factors'!$B$35:$C$52,2,FALSE)),"y","n"))</f>
        <v>n</v>
      </c>
      <c r="BH120" s="99"/>
      <c r="BI120" s="100"/>
      <c r="BJ120" s="100"/>
    </row>
    <row r="121" spans="1:62" ht="15.75" customHeight="1" x14ac:dyDescent="0.2">
      <c r="A121" s="18"/>
      <c r="B121" s="19">
        <v>106</v>
      </c>
      <c r="C121" s="20">
        <v>206199</v>
      </c>
      <c r="D121" s="36">
        <v>6199</v>
      </c>
      <c r="E121" s="93" t="s">
        <v>1324</v>
      </c>
      <c r="F121" s="93">
        <v>1978</v>
      </c>
      <c r="G121" s="19"/>
      <c r="H121" s="19" t="s">
        <v>170</v>
      </c>
      <c r="I121" s="19" t="s">
        <v>41</v>
      </c>
      <c r="J121" s="19" t="s">
        <v>132</v>
      </c>
      <c r="K121" s="19" t="s">
        <v>161</v>
      </c>
      <c r="L121" s="19" t="s">
        <v>82</v>
      </c>
      <c r="M121" s="19" t="s">
        <v>82</v>
      </c>
      <c r="N121" s="19" t="s">
        <v>66</v>
      </c>
      <c r="O121" s="19" t="s">
        <v>154</v>
      </c>
      <c r="P121" s="19" t="s">
        <v>162</v>
      </c>
      <c r="Q121" s="19"/>
      <c r="R121" s="19" t="s">
        <v>158</v>
      </c>
      <c r="S121" s="19" t="s">
        <v>157</v>
      </c>
      <c r="T121" s="19" t="s">
        <v>56</v>
      </c>
      <c r="U121" s="19" t="s">
        <v>44</v>
      </c>
      <c r="V121" s="93">
        <v>8</v>
      </c>
      <c r="W121" s="93" t="s">
        <v>45</v>
      </c>
      <c r="X121" s="19" t="s">
        <v>46</v>
      </c>
      <c r="Y121" s="29"/>
      <c r="Z121" s="93"/>
      <c r="AA121" s="93"/>
      <c r="AB121" s="93">
        <v>5160</v>
      </c>
      <c r="AC121" s="19" t="s">
        <v>214</v>
      </c>
      <c r="AD121" s="93"/>
      <c r="AE121" s="19">
        <v>99</v>
      </c>
      <c r="AF121" s="19" t="s">
        <v>128</v>
      </c>
      <c r="AG121" s="19"/>
      <c r="AH121" s="19"/>
      <c r="AI121" s="19"/>
      <c r="AJ121" s="19">
        <f>MEDIAN(7.2,7.8)</f>
        <v>7.5</v>
      </c>
      <c r="AK121" s="19" t="s">
        <v>127</v>
      </c>
      <c r="AL121" s="19"/>
      <c r="AM121" s="19" t="s">
        <v>48</v>
      </c>
      <c r="AN121" s="19"/>
      <c r="AO121" s="19"/>
      <c r="AP121" s="94"/>
      <c r="AQ121" s="19" t="s">
        <v>131</v>
      </c>
      <c r="AR121" s="19" t="s">
        <v>200</v>
      </c>
      <c r="AS121" s="19"/>
      <c r="AT121" s="65" t="str">
        <f t="shared" si="10"/>
        <v>N</v>
      </c>
      <c r="AU121" s="65" t="str">
        <f t="shared" si="11"/>
        <v>N</v>
      </c>
      <c r="AV121" s="65" t="str">
        <f t="shared" si="34"/>
        <v>N</v>
      </c>
      <c r="AW121" s="99" t="s">
        <v>1465</v>
      </c>
      <c r="AX121" s="99"/>
      <c r="AY121" s="93"/>
      <c r="AZ121" s="96" t="str">
        <f t="shared" si="13"/>
        <v>n</v>
      </c>
      <c r="BA121" s="96" t="str">
        <f>IF(AZ121="n","n",VLOOKUP(AZ121,'Conversion factors'!$C$4:$D$24,2,FALSE))</f>
        <v>n</v>
      </c>
      <c r="BB121" s="96" t="str">
        <f t="shared" si="14"/>
        <v>n</v>
      </c>
      <c r="BC121" s="97"/>
      <c r="BD121" s="96" t="str">
        <f t="shared" si="12"/>
        <v>n</v>
      </c>
      <c r="BE121" s="96" t="str">
        <f t="shared" si="15"/>
        <v>n</v>
      </c>
      <c r="BF121" s="98" t="str">
        <f t="shared" si="16"/>
        <v/>
      </c>
      <c r="BG121" s="96" t="str">
        <f>IF(BF121="","",IF(ISNUMBER(VLOOKUP(BF121,'Conversion factors'!$B$35:$C$52,2,FALSE)),"y","n"))</f>
        <v/>
      </c>
      <c r="BH121" s="99"/>
      <c r="BI121" s="100"/>
      <c r="BJ121" s="100"/>
    </row>
    <row r="122" spans="1:62" ht="15.75" customHeight="1" x14ac:dyDescent="0.2">
      <c r="A122" s="18"/>
      <c r="B122" s="19">
        <v>106</v>
      </c>
      <c r="C122" s="20">
        <v>206199</v>
      </c>
      <c r="D122" s="36">
        <v>6199</v>
      </c>
      <c r="E122" s="93" t="s">
        <v>1324</v>
      </c>
      <c r="F122" s="93">
        <v>1978</v>
      </c>
      <c r="G122" s="19"/>
      <c r="H122" s="19" t="s">
        <v>170</v>
      </c>
      <c r="I122" s="19" t="s">
        <v>41</v>
      </c>
      <c r="J122" s="19" t="s">
        <v>132</v>
      </c>
      <c r="K122" s="19" t="s">
        <v>161</v>
      </c>
      <c r="L122" s="19" t="s">
        <v>82</v>
      </c>
      <c r="M122" s="19" t="s">
        <v>82</v>
      </c>
      <c r="N122" s="19" t="s">
        <v>66</v>
      </c>
      <c r="O122" s="19" t="s">
        <v>154</v>
      </c>
      <c r="P122" s="19" t="s">
        <v>162</v>
      </c>
      <c r="Q122" s="19"/>
      <c r="R122" s="19" t="s">
        <v>158</v>
      </c>
      <c r="S122" s="19" t="s">
        <v>157</v>
      </c>
      <c r="T122" s="19" t="s">
        <v>169</v>
      </c>
      <c r="U122" s="19" t="s">
        <v>169</v>
      </c>
      <c r="V122" s="93">
        <v>8</v>
      </c>
      <c r="W122" s="93" t="s">
        <v>45</v>
      </c>
      <c r="X122" s="19" t="s">
        <v>46</v>
      </c>
      <c r="Y122" s="29"/>
      <c r="Z122" s="93"/>
      <c r="AA122" s="93"/>
      <c r="AB122" s="93">
        <v>966</v>
      </c>
      <c r="AC122" s="19" t="s">
        <v>214</v>
      </c>
      <c r="AD122" s="93"/>
      <c r="AE122" s="19">
        <v>99</v>
      </c>
      <c r="AF122" s="19" t="s">
        <v>128</v>
      </c>
      <c r="AG122" s="19"/>
      <c r="AH122" s="19"/>
      <c r="AI122" s="19"/>
      <c r="AJ122" s="19">
        <f>MEDIAN(7.2,7.8)</f>
        <v>7.5</v>
      </c>
      <c r="AK122" s="19" t="s">
        <v>127</v>
      </c>
      <c r="AL122" s="19"/>
      <c r="AM122" s="19" t="s">
        <v>48</v>
      </c>
      <c r="AN122" s="19"/>
      <c r="AO122" s="19"/>
      <c r="AP122" s="94"/>
      <c r="AQ122" s="19" t="s">
        <v>131</v>
      </c>
      <c r="AR122" s="19" t="s">
        <v>200</v>
      </c>
      <c r="AS122" s="19"/>
      <c r="AT122" s="65" t="str">
        <f t="shared" si="10"/>
        <v>N</v>
      </c>
      <c r="AU122" s="65" t="str">
        <f t="shared" si="11"/>
        <v>N</v>
      </c>
      <c r="AV122" s="65" t="str">
        <f t="shared" si="34"/>
        <v>N</v>
      </c>
      <c r="AW122" s="99" t="s">
        <v>1465</v>
      </c>
      <c r="AX122" s="99"/>
      <c r="AY122" s="93"/>
      <c r="AZ122" s="96" t="str">
        <f t="shared" si="13"/>
        <v>n</v>
      </c>
      <c r="BA122" s="96" t="str">
        <f>IF(AZ122="n","n",VLOOKUP(AZ122,'Conversion factors'!$C$4:$D$24,2,FALSE))</f>
        <v>n</v>
      </c>
      <c r="BB122" s="96" t="str">
        <f t="shared" si="14"/>
        <v>n</v>
      </c>
      <c r="BC122" s="97"/>
      <c r="BD122" s="96" t="str">
        <f t="shared" si="12"/>
        <v>n</v>
      </c>
      <c r="BE122" s="96" t="str">
        <f t="shared" si="15"/>
        <v>n</v>
      </c>
      <c r="BF122" s="98" t="str">
        <f t="shared" si="16"/>
        <v/>
      </c>
      <c r="BG122" s="96" t="str">
        <f>IF(BF122="","",IF(ISNUMBER(VLOOKUP(BF122,'Conversion factors'!$B$35:$C$52,2,FALSE)),"y","n"))</f>
        <v/>
      </c>
      <c r="BH122" s="99"/>
      <c r="BI122" s="100"/>
      <c r="BJ122" s="100"/>
    </row>
    <row r="123" spans="1:62" ht="15.75" customHeight="1" x14ac:dyDescent="0.2">
      <c r="A123" s="18"/>
      <c r="B123" s="19">
        <v>311</v>
      </c>
      <c r="D123" s="36">
        <v>116817</v>
      </c>
      <c r="E123" s="93" t="s">
        <v>1224</v>
      </c>
      <c r="F123" s="93">
        <v>1998</v>
      </c>
      <c r="G123" s="19" t="s">
        <v>1075</v>
      </c>
      <c r="H123" s="19"/>
      <c r="I123" s="19" t="s">
        <v>41</v>
      </c>
      <c r="J123" s="19" t="s">
        <v>1080</v>
      </c>
      <c r="K123" s="19" t="s">
        <v>161</v>
      </c>
      <c r="L123" s="19" t="s">
        <v>82</v>
      </c>
      <c r="M123" s="19" t="s">
        <v>82</v>
      </c>
      <c r="N123" s="19" t="s">
        <v>66</v>
      </c>
      <c r="O123" s="19" t="s">
        <v>227</v>
      </c>
      <c r="P123" s="19" t="s">
        <v>51</v>
      </c>
      <c r="Q123" s="19"/>
      <c r="R123" s="19" t="s">
        <v>76</v>
      </c>
      <c r="S123" s="19" t="s">
        <v>1078</v>
      </c>
      <c r="T123" s="19" t="s">
        <v>44</v>
      </c>
      <c r="U123" s="19" t="s">
        <v>44</v>
      </c>
      <c r="V123" s="93" t="s">
        <v>85</v>
      </c>
      <c r="W123" s="93" t="s">
        <v>231</v>
      </c>
      <c r="X123" s="19" t="s">
        <v>46</v>
      </c>
      <c r="Y123" s="29"/>
      <c r="Z123" s="93"/>
      <c r="AA123" s="93"/>
      <c r="AB123" s="93" t="s">
        <v>598</v>
      </c>
      <c r="AC123" s="19" t="s">
        <v>214</v>
      </c>
      <c r="AD123" s="93"/>
      <c r="AE123" s="19">
        <v>20</v>
      </c>
      <c r="AF123" s="19">
        <v>20</v>
      </c>
      <c r="AG123" s="19" t="s">
        <v>270</v>
      </c>
      <c r="AH123" s="19"/>
      <c r="AI123" s="19"/>
      <c r="AJ123" s="19" t="s">
        <v>234</v>
      </c>
      <c r="AK123" s="19" t="s">
        <v>234</v>
      </c>
      <c r="AL123" s="19"/>
      <c r="AM123" s="19" t="s">
        <v>234</v>
      </c>
      <c r="AN123" s="19" t="s">
        <v>234</v>
      </c>
      <c r="AO123" s="19" t="s">
        <v>235</v>
      </c>
      <c r="AP123" s="94"/>
      <c r="AQ123" s="19" t="s">
        <v>101</v>
      </c>
      <c r="AR123" s="19" t="s">
        <v>1079</v>
      </c>
      <c r="AS123" s="19"/>
      <c r="AT123" s="65" t="str">
        <f t="shared" si="10"/>
        <v>Y</v>
      </c>
      <c r="AU123" s="65" t="str">
        <f t="shared" si="11"/>
        <v>N</v>
      </c>
      <c r="AV123" s="65" t="str">
        <f t="shared" si="34"/>
        <v>N</v>
      </c>
      <c r="AW123" s="99"/>
      <c r="AX123" s="99"/>
      <c r="AY123" s="93"/>
      <c r="AZ123" s="96" t="str">
        <f t="shared" si="13"/>
        <v>n</v>
      </c>
      <c r="BA123" s="96" t="str">
        <f>IF(AZ123="n","n",VLOOKUP(AZ123,'Conversion factors'!$C$4:$D$24,2,FALSE))</f>
        <v>n</v>
      </c>
      <c r="BB123" s="96" t="str">
        <f t="shared" si="14"/>
        <v>n</v>
      </c>
      <c r="BC123" s="97"/>
      <c r="BD123" s="96" t="str">
        <f t="shared" si="12"/>
        <v>n</v>
      </c>
      <c r="BE123" s="96" t="str">
        <f t="shared" si="15"/>
        <v>n</v>
      </c>
      <c r="BF123" s="98" t="str">
        <f t="shared" si="16"/>
        <v/>
      </c>
      <c r="BG123" s="96" t="str">
        <f>IF(BF123="","",IF(ISNUMBER(VLOOKUP(BF123,'Conversion factors'!$B$35:$C$52,2,FALSE)),"y","n"))</f>
        <v/>
      </c>
      <c r="BH123" s="99"/>
      <c r="BI123" s="100"/>
      <c r="BJ123" s="100"/>
    </row>
    <row r="124" spans="1:62" ht="15.75" customHeight="1" x14ac:dyDescent="0.2">
      <c r="A124" s="18"/>
      <c r="B124" s="19"/>
      <c r="D124" s="36"/>
      <c r="E124" s="93" t="s">
        <v>1588</v>
      </c>
      <c r="F124" s="93">
        <v>2004</v>
      </c>
      <c r="G124" s="19" t="s">
        <v>1408</v>
      </c>
      <c r="H124" s="19"/>
      <c r="I124" s="19" t="s">
        <v>1409</v>
      </c>
      <c r="J124" s="19" t="s">
        <v>1080</v>
      </c>
      <c r="K124" s="19" t="s">
        <v>161</v>
      </c>
      <c r="L124" s="99" t="s">
        <v>82</v>
      </c>
      <c r="M124" s="19" t="s">
        <v>82</v>
      </c>
      <c r="N124" s="19" t="s">
        <v>66</v>
      </c>
      <c r="O124" s="19" t="s">
        <v>172</v>
      </c>
      <c r="P124" s="19" t="s">
        <v>51</v>
      </c>
      <c r="Q124" s="19"/>
      <c r="R124" s="19" t="s">
        <v>237</v>
      </c>
      <c r="S124" s="19" t="s">
        <v>79</v>
      </c>
      <c r="T124" s="19" t="s">
        <v>927</v>
      </c>
      <c r="U124" s="19" t="s">
        <v>927</v>
      </c>
      <c r="V124" s="93">
        <v>30</v>
      </c>
      <c r="W124" s="93" t="s">
        <v>45</v>
      </c>
      <c r="X124" s="19" t="s">
        <v>46</v>
      </c>
      <c r="Y124" s="29"/>
      <c r="Z124" s="93"/>
      <c r="AA124" s="93"/>
      <c r="AB124" s="93">
        <v>129</v>
      </c>
      <c r="AC124" s="19" t="s">
        <v>214</v>
      </c>
      <c r="AD124" s="93"/>
      <c r="AE124" s="24">
        <v>31.1</v>
      </c>
      <c r="AF124" s="19">
        <v>31.1</v>
      </c>
      <c r="AG124" s="19"/>
      <c r="AH124" s="19"/>
      <c r="AI124" s="19"/>
      <c r="AJ124" s="101">
        <v>7.24</v>
      </c>
      <c r="AK124" s="19">
        <v>7.24</v>
      </c>
      <c r="AL124" s="19">
        <v>59.5</v>
      </c>
      <c r="AM124" s="19"/>
      <c r="AN124" s="19">
        <v>23.5</v>
      </c>
      <c r="AO124" s="19"/>
      <c r="AP124" s="94"/>
      <c r="AQ124" s="19">
        <v>12.1</v>
      </c>
      <c r="AR124" s="19">
        <v>7.46</v>
      </c>
      <c r="AS124" s="19"/>
      <c r="AT124" s="65" t="str">
        <f t="shared" si="10"/>
        <v>Y</v>
      </c>
      <c r="AU124" s="65" t="str">
        <f t="shared" si="11"/>
        <v>Y</v>
      </c>
      <c r="AV124" s="65" t="str">
        <f t="shared" si="34"/>
        <v>Y</v>
      </c>
      <c r="AW124" s="99"/>
      <c r="AX124" s="99"/>
      <c r="AY124" s="93"/>
      <c r="AZ124" s="96" t="str">
        <f t="shared" si="13"/>
        <v>EC20</v>
      </c>
      <c r="BA124" s="96">
        <f>IF(AZ124="n","n",VLOOKUP(AZ124,'Conversion factors'!$C$4:$D$24,2,FALSE))</f>
        <v>1</v>
      </c>
      <c r="BB124" s="96">
        <f t="shared" si="14"/>
        <v>129</v>
      </c>
      <c r="BC124" s="97"/>
      <c r="BD124" s="96" t="str">
        <f t="shared" si="12"/>
        <v>Chronic</v>
      </c>
      <c r="BE124" s="96" t="str">
        <f t="shared" si="15"/>
        <v>y</v>
      </c>
      <c r="BF124" s="98" t="str">
        <f t="shared" si="16"/>
        <v>EC20</v>
      </c>
      <c r="BG124" s="96" t="str">
        <f>IF(BF124="","",IF(ISNUMBER(VLOOKUP(BF124,'Conversion factors'!$B$35:$C$52,2,FALSE)),"y","n"))</f>
        <v>y</v>
      </c>
      <c r="BH124" s="99"/>
      <c r="BI124" s="100"/>
      <c r="BJ124" s="100"/>
    </row>
    <row r="125" spans="1:62" ht="15.75" customHeight="1" x14ac:dyDescent="0.2">
      <c r="A125" s="18"/>
      <c r="B125" s="19"/>
      <c r="D125" s="36"/>
      <c r="E125" s="93" t="s">
        <v>1359</v>
      </c>
      <c r="F125" s="93">
        <v>2004</v>
      </c>
      <c r="G125" s="19" t="s">
        <v>1408</v>
      </c>
      <c r="H125" s="19"/>
      <c r="I125" s="19" t="s">
        <v>1409</v>
      </c>
      <c r="J125" s="19" t="s">
        <v>1080</v>
      </c>
      <c r="K125" s="19" t="s">
        <v>161</v>
      </c>
      <c r="L125" s="99" t="s">
        <v>82</v>
      </c>
      <c r="M125" s="19" t="s">
        <v>82</v>
      </c>
      <c r="N125" s="19" t="s">
        <v>66</v>
      </c>
      <c r="O125" s="19" t="s">
        <v>172</v>
      </c>
      <c r="P125" s="19" t="s">
        <v>51</v>
      </c>
      <c r="Q125" s="19"/>
      <c r="R125" s="19" t="s">
        <v>237</v>
      </c>
      <c r="S125" s="19" t="s">
        <v>79</v>
      </c>
      <c r="T125" s="19" t="s">
        <v>54</v>
      </c>
      <c r="U125" s="19" t="s">
        <v>54</v>
      </c>
      <c r="V125" s="93">
        <v>30</v>
      </c>
      <c r="W125" s="93" t="s">
        <v>45</v>
      </c>
      <c r="X125" s="19" t="s">
        <v>46</v>
      </c>
      <c r="Y125" s="29"/>
      <c r="Z125" s="93"/>
      <c r="AA125" s="93"/>
      <c r="AB125" s="93">
        <v>95</v>
      </c>
      <c r="AC125" s="19" t="s">
        <v>214</v>
      </c>
      <c r="AD125" s="93"/>
      <c r="AE125" s="24">
        <v>31.1</v>
      </c>
      <c r="AF125" s="19">
        <v>31.1</v>
      </c>
      <c r="AG125" s="19"/>
      <c r="AH125" s="19"/>
      <c r="AI125" s="19"/>
      <c r="AJ125" s="101">
        <v>7.24</v>
      </c>
      <c r="AK125" s="19">
        <v>7.24</v>
      </c>
      <c r="AL125" s="19">
        <v>59.5</v>
      </c>
      <c r="AM125" s="19"/>
      <c r="AN125" s="19">
        <v>23.5</v>
      </c>
      <c r="AO125" s="19"/>
      <c r="AP125" s="94"/>
      <c r="AQ125" s="19">
        <v>12.1</v>
      </c>
      <c r="AR125" s="19">
        <v>7.46</v>
      </c>
      <c r="AS125" s="19"/>
      <c r="AT125" s="65" t="str">
        <f t="shared" si="10"/>
        <v>Y</v>
      </c>
      <c r="AU125" s="65" t="str">
        <f t="shared" ref="AU125:AU126" si="35">IF(AT125="N","N",IF(AJ125&lt;6,"N",IF(AJ125&gt;8.5,"N","Y")))</f>
        <v>Y</v>
      </c>
      <c r="AV125" s="65" t="str">
        <f t="shared" ref="AV125:AV126" si="36">AU125</f>
        <v>Y</v>
      </c>
      <c r="AW125" s="99"/>
      <c r="AX125" s="99"/>
      <c r="AY125" s="93"/>
      <c r="AZ125" s="96" t="str">
        <f t="shared" ref="AZ125:AZ126" si="37">IF(AV125="N","n",T125)</f>
        <v>NOEC</v>
      </c>
      <c r="BA125" s="96">
        <f>IF(AZ125="n","n",VLOOKUP(AZ125,'Conversion factors'!$C$4:$D$24,2,FALSE))</f>
        <v>1</v>
      </c>
      <c r="BB125" s="96">
        <f t="shared" ref="BB125:BB126" si="38">IF(BA125="n","n",AB125/BA125)</f>
        <v>95</v>
      </c>
      <c r="BC125" s="97"/>
      <c r="BD125" s="96" t="str">
        <f t="shared" si="12"/>
        <v>Chronic</v>
      </c>
      <c r="BE125" s="96" t="str">
        <f t="shared" ref="BE125:BE126" si="39">IF(BD125="chronic","y","n")</f>
        <v>y</v>
      </c>
      <c r="BF125" s="98" t="str">
        <f t="shared" si="16"/>
        <v>NOEC</v>
      </c>
      <c r="BG125" s="96" t="str">
        <f>IF(BF125="","",IF(ISNUMBER(VLOOKUP(BF125,'Conversion factors'!$B$35:$C$52,2,FALSE)),"y","n"))</f>
        <v>y</v>
      </c>
      <c r="BH125" s="99"/>
      <c r="BI125" s="100"/>
      <c r="BJ125" s="100"/>
    </row>
    <row r="126" spans="1:62" ht="15.75" customHeight="1" x14ac:dyDescent="0.2">
      <c r="A126" s="18"/>
      <c r="B126" s="19"/>
      <c r="D126" s="36"/>
      <c r="E126" s="93" t="s">
        <v>1588</v>
      </c>
      <c r="F126" s="93">
        <v>2004</v>
      </c>
      <c r="G126" s="19" t="s">
        <v>1408</v>
      </c>
      <c r="H126" s="19"/>
      <c r="I126" s="19" t="s">
        <v>1410</v>
      </c>
      <c r="J126" s="19" t="s">
        <v>1080</v>
      </c>
      <c r="K126" s="19" t="s">
        <v>161</v>
      </c>
      <c r="L126" s="99" t="s">
        <v>82</v>
      </c>
      <c r="M126" s="19" t="s">
        <v>82</v>
      </c>
      <c r="N126" s="19" t="s">
        <v>66</v>
      </c>
      <c r="O126" s="19" t="s">
        <v>172</v>
      </c>
      <c r="P126" s="19" t="s">
        <v>51</v>
      </c>
      <c r="Q126" s="19"/>
      <c r="R126" s="19" t="s">
        <v>237</v>
      </c>
      <c r="S126" s="19" t="s">
        <v>79</v>
      </c>
      <c r="T126" s="19" t="s">
        <v>927</v>
      </c>
      <c r="U126" s="19" t="s">
        <v>927</v>
      </c>
      <c r="V126" s="93">
        <v>30</v>
      </c>
      <c r="W126" s="93" t="s">
        <v>45</v>
      </c>
      <c r="X126" s="19" t="s">
        <v>46</v>
      </c>
      <c r="Y126" s="29"/>
      <c r="Z126" s="93"/>
      <c r="AA126" s="93"/>
      <c r="AB126" s="93">
        <v>1515</v>
      </c>
      <c r="AC126" s="19" t="s">
        <v>214</v>
      </c>
      <c r="AD126" s="93"/>
      <c r="AE126" s="24">
        <v>149.4</v>
      </c>
      <c r="AF126" s="19">
        <v>149.4</v>
      </c>
      <c r="AG126" s="19"/>
      <c r="AH126" s="19"/>
      <c r="AI126" s="19"/>
      <c r="AJ126" s="101">
        <v>7.53</v>
      </c>
      <c r="AK126" s="19">
        <v>7.53</v>
      </c>
      <c r="AL126" s="19">
        <v>262</v>
      </c>
      <c r="AM126" s="19"/>
      <c r="AN126" s="19">
        <v>104.5</v>
      </c>
      <c r="AO126" s="19"/>
      <c r="AP126" s="94"/>
      <c r="AQ126" s="19">
        <v>12</v>
      </c>
      <c r="AR126" s="19">
        <v>7.54</v>
      </c>
      <c r="AS126" s="19"/>
      <c r="AT126" s="65" t="str">
        <f t="shared" si="10"/>
        <v>Y</v>
      </c>
      <c r="AU126" s="65" t="str">
        <f t="shared" si="35"/>
        <v>Y</v>
      </c>
      <c r="AV126" s="65" t="str">
        <f t="shared" si="36"/>
        <v>Y</v>
      </c>
      <c r="AW126" s="99"/>
      <c r="AX126" s="99"/>
      <c r="AY126" s="93"/>
      <c r="AZ126" s="96" t="str">
        <f t="shared" si="37"/>
        <v>EC20</v>
      </c>
      <c r="BA126" s="96">
        <f>IF(AZ126="n","n",VLOOKUP(AZ126,'Conversion factors'!$C$4:$D$24,2,FALSE))</f>
        <v>1</v>
      </c>
      <c r="BB126" s="96">
        <f t="shared" si="38"/>
        <v>1515</v>
      </c>
      <c r="BC126" s="97"/>
      <c r="BD126" s="96" t="str">
        <f t="shared" si="12"/>
        <v>Chronic</v>
      </c>
      <c r="BE126" s="96" t="str">
        <f t="shared" si="39"/>
        <v>y</v>
      </c>
      <c r="BF126" s="98" t="str">
        <f t="shared" si="16"/>
        <v>EC20</v>
      </c>
      <c r="BG126" s="96" t="str">
        <f>IF(BF126="","",IF(ISNUMBER(VLOOKUP(BF126,'Conversion factors'!$B$35:$C$52,2,FALSE)),"y","n"))</f>
        <v>y</v>
      </c>
      <c r="BH126" s="99"/>
      <c r="BI126" s="100"/>
      <c r="BJ126" s="100"/>
    </row>
    <row r="127" spans="1:62" ht="15.75" customHeight="1" x14ac:dyDescent="0.2">
      <c r="A127" s="18"/>
      <c r="B127" s="19"/>
      <c r="D127" s="36"/>
      <c r="E127" s="93" t="s">
        <v>1359</v>
      </c>
      <c r="F127" s="93">
        <v>2004</v>
      </c>
      <c r="G127" s="19" t="s">
        <v>1408</v>
      </c>
      <c r="H127" s="19"/>
      <c r="I127" s="19" t="s">
        <v>1410</v>
      </c>
      <c r="J127" s="19" t="s">
        <v>1080</v>
      </c>
      <c r="K127" s="19" t="s">
        <v>161</v>
      </c>
      <c r="L127" s="99" t="s">
        <v>82</v>
      </c>
      <c r="M127" s="19" t="s">
        <v>82</v>
      </c>
      <c r="N127" s="19" t="s">
        <v>66</v>
      </c>
      <c r="O127" s="19" t="s">
        <v>172</v>
      </c>
      <c r="P127" s="19" t="s">
        <v>51</v>
      </c>
      <c r="Q127" s="19"/>
      <c r="R127" s="19" t="s">
        <v>237</v>
      </c>
      <c r="S127" s="19" t="s">
        <v>79</v>
      </c>
      <c r="T127" s="19" t="s">
        <v>54</v>
      </c>
      <c r="U127" s="19" t="s">
        <v>54</v>
      </c>
      <c r="V127" s="93">
        <v>30</v>
      </c>
      <c r="W127" s="93" t="s">
        <v>45</v>
      </c>
      <c r="X127" s="19" t="s">
        <v>46</v>
      </c>
      <c r="Y127" s="29"/>
      <c r="Z127" s="93"/>
      <c r="AA127" s="93"/>
      <c r="AB127" s="93">
        <v>912</v>
      </c>
      <c r="AC127" s="19" t="s">
        <v>214</v>
      </c>
      <c r="AD127" s="93"/>
      <c r="AE127" s="24">
        <v>149.4</v>
      </c>
      <c r="AF127" s="19">
        <v>149.4</v>
      </c>
      <c r="AG127" s="19"/>
      <c r="AH127" s="19"/>
      <c r="AI127" s="19"/>
      <c r="AJ127" s="101">
        <v>7.53</v>
      </c>
      <c r="AK127" s="19">
        <v>7.53</v>
      </c>
      <c r="AL127" s="19">
        <v>262</v>
      </c>
      <c r="AM127" s="19"/>
      <c r="AN127" s="19">
        <v>104.5</v>
      </c>
      <c r="AO127" s="19"/>
      <c r="AP127" s="94"/>
      <c r="AQ127" s="19">
        <v>12</v>
      </c>
      <c r="AR127" s="19">
        <v>7.54</v>
      </c>
      <c r="AS127" s="19"/>
      <c r="AT127" s="65" t="str">
        <f t="shared" si="10"/>
        <v>Y</v>
      </c>
      <c r="AU127" s="65" t="str">
        <f t="shared" si="11"/>
        <v>Y</v>
      </c>
      <c r="AV127" s="65" t="str">
        <f t="shared" si="34"/>
        <v>Y</v>
      </c>
      <c r="AW127" s="99"/>
      <c r="AX127" s="99"/>
      <c r="AY127" s="93"/>
      <c r="AZ127" s="96" t="str">
        <f t="shared" si="13"/>
        <v>NOEC</v>
      </c>
      <c r="BA127" s="96">
        <f>IF(AZ127="n","n",VLOOKUP(AZ127,'Conversion factors'!$C$4:$D$24,2,FALSE))</f>
        <v>1</v>
      </c>
      <c r="BB127" s="96">
        <f t="shared" si="14"/>
        <v>912</v>
      </c>
      <c r="BC127" s="97"/>
      <c r="BD127" s="96" t="str">
        <f t="shared" si="12"/>
        <v>Chronic</v>
      </c>
      <c r="BE127" s="96" t="str">
        <f t="shared" si="15"/>
        <v>y</v>
      </c>
      <c r="BF127" s="98" t="str">
        <f t="shared" si="16"/>
        <v>NOEC</v>
      </c>
      <c r="BG127" s="96" t="str">
        <f>IF(BF127="","",IF(ISNUMBER(VLOOKUP(BF127,'Conversion factors'!$B$35:$C$52,2,FALSE)),"y","n"))</f>
        <v>y</v>
      </c>
      <c r="BH127" s="99"/>
      <c r="BI127" s="100"/>
      <c r="BJ127" s="100"/>
    </row>
    <row r="128" spans="1:62" ht="15.75" customHeight="1" x14ac:dyDescent="0.2">
      <c r="A128" s="18"/>
      <c r="B128" s="19"/>
      <c r="D128" s="36"/>
      <c r="E128" s="93" t="s">
        <v>1359</v>
      </c>
      <c r="F128" s="93">
        <v>2004</v>
      </c>
      <c r="G128" s="19" t="s">
        <v>1408</v>
      </c>
      <c r="H128" s="19"/>
      <c r="I128" s="19" t="s">
        <v>1409</v>
      </c>
      <c r="J128" s="19" t="s">
        <v>89</v>
      </c>
      <c r="K128" s="19" t="s">
        <v>161</v>
      </c>
      <c r="L128" s="99" t="s">
        <v>82</v>
      </c>
      <c r="M128" s="19" t="s">
        <v>82</v>
      </c>
      <c r="N128" s="19" t="s">
        <v>66</v>
      </c>
      <c r="O128" s="19" t="s">
        <v>203</v>
      </c>
      <c r="P128" s="19" t="s">
        <v>51</v>
      </c>
      <c r="Q128" s="19"/>
      <c r="R128" s="19" t="s">
        <v>1309</v>
      </c>
      <c r="S128" s="19" t="s">
        <v>79</v>
      </c>
      <c r="T128" s="19" t="s">
        <v>54</v>
      </c>
      <c r="U128" s="19" t="s">
        <v>54</v>
      </c>
      <c r="V128" s="93">
        <v>63</v>
      </c>
      <c r="W128" s="93" t="s">
        <v>45</v>
      </c>
      <c r="X128" s="19" t="s">
        <v>46</v>
      </c>
      <c r="Y128" s="29"/>
      <c r="Z128" s="93"/>
      <c r="AA128" s="93"/>
      <c r="AB128" s="93">
        <v>112</v>
      </c>
      <c r="AC128" s="19" t="s">
        <v>214</v>
      </c>
      <c r="AD128" s="93"/>
      <c r="AE128" s="24">
        <v>33.299999999999997</v>
      </c>
      <c r="AF128" s="19">
        <v>33.299999999999997</v>
      </c>
      <c r="AG128" s="19"/>
      <c r="AH128" s="19"/>
      <c r="AI128" s="19"/>
      <c r="AJ128" s="101">
        <v>7.5</v>
      </c>
      <c r="AK128" s="19">
        <v>7.5</v>
      </c>
      <c r="AL128" s="19">
        <v>60.9</v>
      </c>
      <c r="AM128" s="19"/>
      <c r="AN128" s="19">
        <v>23.2</v>
      </c>
      <c r="AO128" s="19"/>
      <c r="AP128" s="94"/>
      <c r="AQ128" s="19">
        <v>11.8</v>
      </c>
      <c r="AR128" s="19">
        <v>8.3000000000000007</v>
      </c>
      <c r="AS128" s="19"/>
      <c r="AT128" s="65" t="str">
        <f t="shared" si="10"/>
        <v>Y</v>
      </c>
      <c r="AU128" s="65" t="str">
        <f t="shared" si="11"/>
        <v>Y</v>
      </c>
      <c r="AV128" s="65" t="str">
        <f t="shared" si="34"/>
        <v>Y</v>
      </c>
      <c r="AW128" s="99"/>
      <c r="AX128" s="99"/>
      <c r="AY128" s="93"/>
      <c r="AZ128" s="96" t="str">
        <f t="shared" si="13"/>
        <v>NOEC</v>
      </c>
      <c r="BA128" s="96">
        <f>IF(AZ128="n","n",VLOOKUP(AZ128,'Conversion factors'!$C$4:$D$24,2,FALSE))</f>
        <v>1</v>
      </c>
      <c r="BB128" s="96">
        <f t="shared" si="14"/>
        <v>112</v>
      </c>
      <c r="BC128" s="97"/>
      <c r="BD128" s="96" t="str">
        <f t="shared" si="12"/>
        <v>Chronic</v>
      </c>
      <c r="BE128" s="96" t="str">
        <f t="shared" si="15"/>
        <v>y</v>
      </c>
      <c r="BF128" s="98" t="str">
        <f t="shared" si="16"/>
        <v>NOEC</v>
      </c>
      <c r="BG128" s="96" t="str">
        <f>IF(BF128="","",IF(ISNUMBER(VLOOKUP(BF128,'Conversion factors'!$B$35:$C$52,2,FALSE)),"y","n"))</f>
        <v>y</v>
      </c>
      <c r="BH128" s="99"/>
      <c r="BI128" s="100"/>
      <c r="BJ128" s="100"/>
    </row>
    <row r="129" spans="1:62" ht="15.75" customHeight="1" x14ac:dyDescent="0.2">
      <c r="A129" s="18"/>
      <c r="B129" s="19"/>
      <c r="D129" s="36"/>
      <c r="E129" s="93" t="s">
        <v>1359</v>
      </c>
      <c r="F129" s="93">
        <v>2004</v>
      </c>
      <c r="G129" s="19" t="s">
        <v>1408</v>
      </c>
      <c r="H129" s="19"/>
      <c r="I129" s="19" t="s">
        <v>1410</v>
      </c>
      <c r="J129" s="19" t="s">
        <v>89</v>
      </c>
      <c r="K129" s="19" t="s">
        <v>161</v>
      </c>
      <c r="L129" s="99" t="s">
        <v>82</v>
      </c>
      <c r="M129" s="19" t="s">
        <v>82</v>
      </c>
      <c r="N129" s="19" t="s">
        <v>66</v>
      </c>
      <c r="O129" s="19" t="s">
        <v>203</v>
      </c>
      <c r="P129" s="19" t="s">
        <v>51</v>
      </c>
      <c r="Q129" s="19"/>
      <c r="R129" s="19" t="s">
        <v>1309</v>
      </c>
      <c r="S129" s="19" t="s">
        <v>79</v>
      </c>
      <c r="T129" s="19" t="s">
        <v>54</v>
      </c>
      <c r="U129" s="19" t="s">
        <v>54</v>
      </c>
      <c r="V129" s="93">
        <v>63</v>
      </c>
      <c r="W129" s="93" t="s">
        <v>45</v>
      </c>
      <c r="X129" s="19" t="s">
        <v>46</v>
      </c>
      <c r="Y129" s="29"/>
      <c r="Z129" s="93"/>
      <c r="AA129" s="93"/>
      <c r="AB129" s="93">
        <v>831</v>
      </c>
      <c r="AC129" s="19" t="s">
        <v>214</v>
      </c>
      <c r="AD129" s="93"/>
      <c r="AE129" s="24">
        <v>150.9</v>
      </c>
      <c r="AF129" s="19">
        <v>150.9</v>
      </c>
      <c r="AG129" s="19"/>
      <c r="AH129" s="19"/>
      <c r="AI129" s="19"/>
      <c r="AJ129" s="101">
        <v>7.59</v>
      </c>
      <c r="AK129" s="19">
        <v>7.59</v>
      </c>
      <c r="AL129" s="19">
        <v>274</v>
      </c>
      <c r="AM129" s="19"/>
      <c r="AN129" s="19">
        <v>104.6</v>
      </c>
      <c r="AO129" s="19"/>
      <c r="AP129" s="94"/>
      <c r="AQ129" s="19">
        <v>11.8</v>
      </c>
      <c r="AR129" s="19">
        <v>8.5</v>
      </c>
      <c r="AS129" s="19"/>
      <c r="AT129" s="65" t="str">
        <f t="shared" si="10"/>
        <v>Y</v>
      </c>
      <c r="AU129" s="65" t="str">
        <f t="shared" si="11"/>
        <v>Y</v>
      </c>
      <c r="AV129" s="65" t="str">
        <f>AU129</f>
        <v>Y</v>
      </c>
      <c r="AW129" s="99"/>
      <c r="AX129" s="99"/>
      <c r="AY129" s="93"/>
      <c r="AZ129" s="96" t="str">
        <f t="shared" si="13"/>
        <v>NOEC</v>
      </c>
      <c r="BA129" s="96">
        <f>IF(AZ129="n","n",VLOOKUP(AZ129,'Conversion factors'!$C$4:$D$24,2,FALSE))</f>
        <v>1</v>
      </c>
      <c r="BB129" s="96">
        <f t="shared" si="14"/>
        <v>831</v>
      </c>
      <c r="BC129" s="97"/>
      <c r="BD129" s="96" t="str">
        <f t="shared" si="12"/>
        <v>Chronic</v>
      </c>
      <c r="BE129" s="96" t="str">
        <f t="shared" si="15"/>
        <v>y</v>
      </c>
      <c r="BF129" s="98" t="str">
        <f t="shared" si="16"/>
        <v>NOEC</v>
      </c>
      <c r="BG129" s="96" t="str">
        <f>IF(BF129="","",IF(ISNUMBER(VLOOKUP(BF129,'Conversion factors'!$B$35:$C$52,2,FALSE)),"y","n"))</f>
        <v>y</v>
      </c>
      <c r="BH129" s="99"/>
      <c r="BI129" s="100"/>
      <c r="BJ129" s="100"/>
    </row>
    <row r="130" spans="1:62" ht="15.75" customHeight="1" x14ac:dyDescent="0.2">
      <c r="A130" s="18"/>
      <c r="B130" s="19"/>
      <c r="D130" s="36"/>
      <c r="E130" s="93" t="s">
        <v>1359</v>
      </c>
      <c r="F130" s="93">
        <v>2004</v>
      </c>
      <c r="G130" s="19" t="s">
        <v>1408</v>
      </c>
      <c r="H130" s="19"/>
      <c r="I130" s="19" t="s">
        <v>1410</v>
      </c>
      <c r="J130" s="19" t="s">
        <v>89</v>
      </c>
      <c r="K130" s="19" t="s">
        <v>161</v>
      </c>
      <c r="L130" s="99" t="s">
        <v>82</v>
      </c>
      <c r="M130" s="19" t="s">
        <v>82</v>
      </c>
      <c r="N130" s="19" t="s">
        <v>66</v>
      </c>
      <c r="O130" s="19" t="s">
        <v>203</v>
      </c>
      <c r="P130" s="19" t="s">
        <v>51</v>
      </c>
      <c r="Q130" s="19"/>
      <c r="R130" s="19" t="s">
        <v>81</v>
      </c>
      <c r="S130" s="19" t="s">
        <v>1353</v>
      </c>
      <c r="T130" s="19" t="s">
        <v>54</v>
      </c>
      <c r="U130" s="19" t="s">
        <v>54</v>
      </c>
      <c r="V130" s="93">
        <v>63</v>
      </c>
      <c r="W130" s="93" t="s">
        <v>45</v>
      </c>
      <c r="X130" s="19" t="s">
        <v>46</v>
      </c>
      <c r="Y130" s="29"/>
      <c r="Z130" s="93"/>
      <c r="AA130" s="93"/>
      <c r="AB130" s="93">
        <v>831</v>
      </c>
      <c r="AC130" s="19" t="s">
        <v>214</v>
      </c>
      <c r="AD130" s="93"/>
      <c r="AE130" s="19">
        <v>150.9</v>
      </c>
      <c r="AF130" s="19">
        <v>150.9</v>
      </c>
      <c r="AG130" s="19"/>
      <c r="AH130" s="19"/>
      <c r="AI130" s="19"/>
      <c r="AJ130" s="101">
        <v>7.59</v>
      </c>
      <c r="AK130" s="19">
        <v>7.59</v>
      </c>
      <c r="AL130" s="19">
        <v>274</v>
      </c>
      <c r="AM130" s="19"/>
      <c r="AN130" s="19">
        <v>104.6</v>
      </c>
      <c r="AO130" s="19"/>
      <c r="AP130" s="94"/>
      <c r="AQ130" s="19">
        <v>11.8</v>
      </c>
      <c r="AR130" s="19">
        <v>8.5</v>
      </c>
      <c r="AS130" s="19"/>
      <c r="AT130" s="65" t="str">
        <f t="shared" si="10"/>
        <v>Y</v>
      </c>
      <c r="AU130" s="65" t="str">
        <f t="shared" si="11"/>
        <v>Y</v>
      </c>
      <c r="AV130" s="65" t="str">
        <f t="shared" si="34"/>
        <v>Y</v>
      </c>
      <c r="AW130" s="99"/>
      <c r="AX130" s="99"/>
      <c r="AY130" s="93"/>
      <c r="AZ130" s="96" t="str">
        <f t="shared" si="13"/>
        <v>NOEC</v>
      </c>
      <c r="BA130" s="96">
        <f>IF(AZ130="n","n",VLOOKUP(AZ130,'Conversion factors'!$C$4:$D$24,2,FALSE))</f>
        <v>1</v>
      </c>
      <c r="BB130" s="96">
        <f t="shared" si="14"/>
        <v>831</v>
      </c>
      <c r="BC130" s="97"/>
      <c r="BD130" s="96" t="str">
        <f t="shared" si="12"/>
        <v>Chronic</v>
      </c>
      <c r="BE130" s="96" t="str">
        <f t="shared" si="15"/>
        <v>y</v>
      </c>
      <c r="BF130" s="98" t="str">
        <f t="shared" si="16"/>
        <v>NOEC</v>
      </c>
      <c r="BG130" s="96" t="str">
        <f>IF(BF130="","",IF(ISNUMBER(VLOOKUP(BF130,'Conversion factors'!$B$35:$C$52,2,FALSE)),"y","n"))</f>
        <v>y</v>
      </c>
      <c r="BH130" s="99"/>
      <c r="BI130" s="100"/>
      <c r="BJ130" s="100"/>
    </row>
    <row r="131" spans="1:62" ht="15.75" customHeight="1" x14ac:dyDescent="0.2">
      <c r="A131" s="18"/>
      <c r="B131" s="19"/>
      <c r="D131" s="36"/>
      <c r="E131" s="93" t="s">
        <v>1359</v>
      </c>
      <c r="F131" s="93">
        <v>2004</v>
      </c>
      <c r="G131" s="19" t="s">
        <v>1408</v>
      </c>
      <c r="H131" s="19"/>
      <c r="I131" s="19" t="s">
        <v>1409</v>
      </c>
      <c r="J131" s="19" t="s">
        <v>89</v>
      </c>
      <c r="K131" s="19" t="s">
        <v>161</v>
      </c>
      <c r="L131" s="99" t="s">
        <v>82</v>
      </c>
      <c r="M131" s="19" t="s">
        <v>82</v>
      </c>
      <c r="N131" s="19" t="s">
        <v>66</v>
      </c>
      <c r="O131" s="19" t="s">
        <v>172</v>
      </c>
      <c r="P131" s="19" t="s">
        <v>51</v>
      </c>
      <c r="Q131" s="19"/>
      <c r="R131" s="19" t="s">
        <v>237</v>
      </c>
      <c r="S131" s="19" t="s">
        <v>79</v>
      </c>
      <c r="T131" s="19" t="s">
        <v>54</v>
      </c>
      <c r="U131" s="19" t="s">
        <v>54</v>
      </c>
      <c r="V131" s="93">
        <v>30</v>
      </c>
      <c r="W131" s="93" t="s">
        <v>45</v>
      </c>
      <c r="X131" s="19" t="s">
        <v>46</v>
      </c>
      <c r="Y131" s="29"/>
      <c r="Z131" s="93"/>
      <c r="AA131" s="93"/>
      <c r="AB131" s="93">
        <v>52</v>
      </c>
      <c r="AC131" s="19" t="s">
        <v>214</v>
      </c>
      <c r="AD131" s="93"/>
      <c r="AE131" s="19">
        <v>33.200000000000003</v>
      </c>
      <c r="AF131" s="19">
        <v>33.200000000000003</v>
      </c>
      <c r="AG131" s="19"/>
      <c r="AH131" s="19"/>
      <c r="AI131" s="19"/>
      <c r="AJ131" s="19">
        <v>7.35</v>
      </c>
      <c r="AK131" s="19">
        <v>7.35</v>
      </c>
      <c r="AL131" s="19">
        <v>65.5</v>
      </c>
      <c r="AM131" s="19"/>
      <c r="AN131" s="19">
        <v>19.5</v>
      </c>
      <c r="AO131" s="19"/>
      <c r="AP131" s="94"/>
      <c r="AQ131" s="19">
        <v>12.2</v>
      </c>
      <c r="AR131" s="19">
        <v>7.47</v>
      </c>
      <c r="AS131" s="19"/>
      <c r="AT131" s="65" t="str">
        <f t="shared" si="10"/>
        <v>Y</v>
      </c>
      <c r="AU131" s="65" t="str">
        <f t="shared" si="11"/>
        <v>Y</v>
      </c>
      <c r="AV131" s="65" t="str">
        <f t="shared" si="34"/>
        <v>Y</v>
      </c>
      <c r="AW131" s="99"/>
      <c r="AX131" s="99"/>
      <c r="AY131" s="93"/>
      <c r="AZ131" s="96" t="str">
        <f t="shared" si="13"/>
        <v>NOEC</v>
      </c>
      <c r="BA131" s="96">
        <f>IF(AZ131="n","n",VLOOKUP(AZ131,'Conversion factors'!$C$4:$D$24,2,FALSE))</f>
        <v>1</v>
      </c>
      <c r="BB131" s="96">
        <f t="shared" si="14"/>
        <v>52</v>
      </c>
      <c r="BC131" s="97"/>
      <c r="BD131" s="96" t="str">
        <f t="shared" si="12"/>
        <v>Chronic</v>
      </c>
      <c r="BE131" s="96" t="str">
        <f t="shared" si="15"/>
        <v>y</v>
      </c>
      <c r="BF131" s="98" t="str">
        <f t="shared" si="16"/>
        <v>NOEC</v>
      </c>
      <c r="BG131" s="96" t="str">
        <f>IF(BF131="","",IF(ISNUMBER(VLOOKUP(BF131,'Conversion factors'!$B$35:$C$52,2,FALSE)),"y","n"))</f>
        <v>y</v>
      </c>
      <c r="BH131" s="99" t="s">
        <v>1517</v>
      </c>
      <c r="BI131" s="100"/>
      <c r="BJ131" s="100"/>
    </row>
    <row r="132" spans="1:62" ht="15.75" customHeight="1" x14ac:dyDescent="0.2">
      <c r="A132" s="18"/>
      <c r="B132" s="19"/>
      <c r="D132" s="36"/>
      <c r="E132" s="93" t="s">
        <v>1359</v>
      </c>
      <c r="F132" s="93">
        <v>2004</v>
      </c>
      <c r="G132" s="19" t="s">
        <v>1408</v>
      </c>
      <c r="H132" s="19"/>
      <c r="I132" s="19" t="s">
        <v>1410</v>
      </c>
      <c r="J132" s="19" t="s">
        <v>89</v>
      </c>
      <c r="K132" s="19" t="s">
        <v>161</v>
      </c>
      <c r="L132" s="99" t="s">
        <v>82</v>
      </c>
      <c r="M132" s="19" t="s">
        <v>82</v>
      </c>
      <c r="N132" s="19" t="s">
        <v>66</v>
      </c>
      <c r="O132" s="19" t="s">
        <v>172</v>
      </c>
      <c r="P132" s="19" t="s">
        <v>51</v>
      </c>
      <c r="Q132" s="19"/>
      <c r="R132" s="19" t="s">
        <v>237</v>
      </c>
      <c r="S132" s="19" t="s">
        <v>79</v>
      </c>
      <c r="T132" s="19" t="s">
        <v>54</v>
      </c>
      <c r="U132" s="19" t="s">
        <v>54</v>
      </c>
      <c r="V132" s="93">
        <v>30</v>
      </c>
      <c r="W132" s="93" t="s">
        <v>45</v>
      </c>
      <c r="X132" s="19" t="s">
        <v>46</v>
      </c>
      <c r="Y132" s="29"/>
      <c r="Z132" s="93"/>
      <c r="AA132" s="93"/>
      <c r="AB132" s="93">
        <v>240</v>
      </c>
      <c r="AC132" s="19" t="s">
        <v>214</v>
      </c>
      <c r="AD132" s="93"/>
      <c r="AE132" s="19">
        <v>145.4</v>
      </c>
      <c r="AF132" s="19">
        <v>145.4</v>
      </c>
      <c r="AG132" s="19"/>
      <c r="AH132" s="19"/>
      <c r="AI132" s="19"/>
      <c r="AJ132" s="19">
        <v>7.54</v>
      </c>
      <c r="AK132" s="19">
        <v>7.54</v>
      </c>
      <c r="AL132" s="19">
        <v>265</v>
      </c>
      <c r="AM132" s="19"/>
      <c r="AN132" s="19">
        <v>95.8</v>
      </c>
      <c r="AO132" s="19"/>
      <c r="AP132" s="94"/>
      <c r="AQ132" s="19">
        <v>12.1</v>
      </c>
      <c r="AR132" s="19">
        <v>8.2200000000000006</v>
      </c>
      <c r="AS132" s="19"/>
      <c r="AT132" s="65" t="str">
        <f t="shared" ref="AT132:AT195" si="40">IF(F132&lt;1980,"N",IF(AC132="M","Y",IF(AC132="SM","Y","N")))</f>
        <v>Y</v>
      </c>
      <c r="AU132" s="65" t="str">
        <f t="shared" si="11"/>
        <v>Y</v>
      </c>
      <c r="AV132" s="65" t="str">
        <f t="shared" si="34"/>
        <v>Y</v>
      </c>
      <c r="AW132" s="99"/>
      <c r="AX132" s="99"/>
      <c r="AY132" s="93"/>
      <c r="AZ132" s="96" t="str">
        <f t="shared" si="13"/>
        <v>NOEC</v>
      </c>
      <c r="BA132" s="96">
        <f>IF(AZ132="n","n",VLOOKUP(AZ132,'Conversion factors'!$C$4:$D$24,2,FALSE))</f>
        <v>1</v>
      </c>
      <c r="BB132" s="96">
        <f t="shared" si="14"/>
        <v>240</v>
      </c>
      <c r="BC132" s="97"/>
      <c r="BD132" s="96" t="str">
        <f t="shared" ref="BD132:BD195" si="41">IF(AV132="N","n",X132)</f>
        <v>Chronic</v>
      </c>
      <c r="BE132" s="96" t="str">
        <f t="shared" si="15"/>
        <v>y</v>
      </c>
      <c r="BF132" s="98" t="str">
        <f t="shared" si="16"/>
        <v>NOEC</v>
      </c>
      <c r="BG132" s="96" t="str">
        <f>IF(BF132="","",IF(ISNUMBER(VLOOKUP(BF132,'Conversion factors'!$B$35:$C$52,2,FALSE)),"y","n"))</f>
        <v>y</v>
      </c>
      <c r="BH132" s="99" t="s">
        <v>1517</v>
      </c>
      <c r="BI132" s="100"/>
      <c r="BJ132" s="100"/>
    </row>
    <row r="133" spans="1:62" ht="15.75" customHeight="1" x14ac:dyDescent="0.2">
      <c r="A133" s="18"/>
      <c r="B133" s="19">
        <v>109</v>
      </c>
      <c r="C133" s="20">
        <v>202027</v>
      </c>
      <c r="D133" s="36">
        <v>2027</v>
      </c>
      <c r="E133" s="93" t="s">
        <v>1324</v>
      </c>
      <c r="F133" s="93">
        <v>1978</v>
      </c>
      <c r="G133" s="19" t="s">
        <v>1611</v>
      </c>
      <c r="H133" s="19" t="s">
        <v>51</v>
      </c>
      <c r="I133" s="19" t="s">
        <v>41</v>
      </c>
      <c r="J133" s="19" t="s">
        <v>89</v>
      </c>
      <c r="K133" s="19" t="s">
        <v>161</v>
      </c>
      <c r="L133" s="19" t="s">
        <v>82</v>
      </c>
      <c r="M133" s="19" t="s">
        <v>82</v>
      </c>
      <c r="N133" s="19" t="s">
        <v>66</v>
      </c>
      <c r="O133" s="19" t="s">
        <v>171</v>
      </c>
      <c r="P133" s="19" t="s">
        <v>51</v>
      </c>
      <c r="Q133" s="19"/>
      <c r="R133" s="19" t="s">
        <v>156</v>
      </c>
      <c r="S133" s="19" t="s">
        <v>156</v>
      </c>
      <c r="T133" s="19" t="s">
        <v>56</v>
      </c>
      <c r="U133" s="19" t="s">
        <v>44</v>
      </c>
      <c r="V133" s="93">
        <v>8.33</v>
      </c>
      <c r="W133" s="93" t="s">
        <v>45</v>
      </c>
      <c r="X133" s="19" t="s">
        <v>46</v>
      </c>
      <c r="Y133" s="29"/>
      <c r="Z133" s="93"/>
      <c r="AA133" s="93"/>
      <c r="AB133" s="93">
        <v>555</v>
      </c>
      <c r="AC133" s="19" t="s">
        <v>214</v>
      </c>
      <c r="AD133" s="93"/>
      <c r="AE133" s="19">
        <v>23</v>
      </c>
      <c r="AF133" s="19">
        <v>23</v>
      </c>
      <c r="AG133" s="19"/>
      <c r="AH133" s="19"/>
      <c r="AI133" s="19"/>
      <c r="AJ133" s="19">
        <v>7.1</v>
      </c>
      <c r="AK133" s="19" t="s">
        <v>90</v>
      </c>
      <c r="AL133" s="19"/>
      <c r="AM133" s="19" t="s">
        <v>48</v>
      </c>
      <c r="AN133" s="19">
        <v>22</v>
      </c>
      <c r="AO133" s="19"/>
      <c r="AP133" s="94"/>
      <c r="AQ133" s="19" t="s">
        <v>92</v>
      </c>
      <c r="AR133" s="19" t="s">
        <v>200</v>
      </c>
      <c r="AS133" s="19"/>
      <c r="AT133" s="65" t="str">
        <f t="shared" si="40"/>
        <v>N</v>
      </c>
      <c r="AU133" s="65" t="str">
        <f t="shared" si="11"/>
        <v>N</v>
      </c>
      <c r="AV133" s="65" t="str">
        <f t="shared" si="34"/>
        <v>N</v>
      </c>
      <c r="AW133" s="99" t="s">
        <v>1465</v>
      </c>
      <c r="AX133" s="99"/>
      <c r="AY133" s="93"/>
      <c r="AZ133" s="96" t="str">
        <f t="shared" si="13"/>
        <v>n</v>
      </c>
      <c r="BA133" s="96" t="str">
        <f>IF(AZ133="n","n",VLOOKUP(AZ133,'Conversion factors'!$C$4:$D$24,2,FALSE))</f>
        <v>n</v>
      </c>
      <c r="BB133" s="96" t="str">
        <f t="shared" si="14"/>
        <v>n</v>
      </c>
      <c r="BC133" s="97"/>
      <c r="BD133" s="96" t="str">
        <f t="shared" si="41"/>
        <v>n</v>
      </c>
      <c r="BE133" s="96" t="str">
        <f t="shared" si="15"/>
        <v>n</v>
      </c>
      <c r="BF133" s="98" t="str">
        <f t="shared" ref="BF133:BF196" si="42">IF(BE133="n","",AZ133)</f>
        <v/>
      </c>
      <c r="BG133" s="96" t="str">
        <f>IF(BF133="","",IF(ISNUMBER(VLOOKUP(BF133,'Conversion factors'!$B$35:$C$52,2,FALSE)),"y","n"))</f>
        <v/>
      </c>
      <c r="BH133" s="99"/>
      <c r="BI133" s="100"/>
      <c r="BJ133" s="100"/>
    </row>
    <row r="134" spans="1:62" ht="15.75" customHeight="1" x14ac:dyDescent="0.2">
      <c r="A134" s="18"/>
      <c r="B134" s="19">
        <v>109</v>
      </c>
      <c r="C134" s="20">
        <v>202027</v>
      </c>
      <c r="D134" s="36">
        <v>2027</v>
      </c>
      <c r="E134" s="93" t="s">
        <v>1324</v>
      </c>
      <c r="F134" s="93">
        <v>1978</v>
      </c>
      <c r="G134" s="19" t="s">
        <v>1611</v>
      </c>
      <c r="H134" s="19" t="s">
        <v>51</v>
      </c>
      <c r="I134" s="19" t="s">
        <v>41</v>
      </c>
      <c r="J134" s="19" t="s">
        <v>89</v>
      </c>
      <c r="K134" s="19" t="s">
        <v>161</v>
      </c>
      <c r="L134" s="19" t="s">
        <v>82</v>
      </c>
      <c r="M134" s="19" t="s">
        <v>82</v>
      </c>
      <c r="N134" s="19" t="s">
        <v>66</v>
      </c>
      <c r="O134" s="19" t="s">
        <v>171</v>
      </c>
      <c r="P134" s="19" t="s">
        <v>51</v>
      </c>
      <c r="Q134" s="19"/>
      <c r="R134" s="19" t="s">
        <v>156</v>
      </c>
      <c r="S134" s="19" t="s">
        <v>156</v>
      </c>
      <c r="T134" s="19" t="s">
        <v>174</v>
      </c>
      <c r="U134" s="19" t="s">
        <v>49</v>
      </c>
      <c r="V134" s="93">
        <v>8.33</v>
      </c>
      <c r="W134" s="93" t="s">
        <v>45</v>
      </c>
      <c r="X134" s="19" t="s">
        <v>46</v>
      </c>
      <c r="Y134" s="29"/>
      <c r="Z134" s="93"/>
      <c r="AA134" s="93"/>
      <c r="AB134" s="93">
        <v>256</v>
      </c>
      <c r="AC134" s="19" t="s">
        <v>214</v>
      </c>
      <c r="AD134" s="93"/>
      <c r="AE134" s="19">
        <v>23</v>
      </c>
      <c r="AF134" s="19">
        <v>23</v>
      </c>
      <c r="AG134" s="19"/>
      <c r="AH134" s="19"/>
      <c r="AI134" s="19"/>
      <c r="AJ134" s="19">
        <v>7.1</v>
      </c>
      <c r="AK134" s="19" t="s">
        <v>90</v>
      </c>
      <c r="AL134" s="19"/>
      <c r="AM134" s="19" t="s">
        <v>48</v>
      </c>
      <c r="AN134" s="19">
        <v>22</v>
      </c>
      <c r="AO134" s="19"/>
      <c r="AP134" s="94"/>
      <c r="AQ134" s="19" t="s">
        <v>92</v>
      </c>
      <c r="AR134" s="19" t="s">
        <v>200</v>
      </c>
      <c r="AS134" s="19"/>
      <c r="AT134" s="65" t="str">
        <f t="shared" si="40"/>
        <v>N</v>
      </c>
      <c r="AU134" s="65" t="str">
        <f t="shared" si="11"/>
        <v>N</v>
      </c>
      <c r="AV134" s="65" t="str">
        <f t="shared" si="34"/>
        <v>N</v>
      </c>
      <c r="AW134" s="99" t="s">
        <v>1465</v>
      </c>
      <c r="AX134" s="99"/>
      <c r="AY134" s="93"/>
      <c r="AZ134" s="96" t="str">
        <f t="shared" si="13"/>
        <v>n</v>
      </c>
      <c r="BA134" s="96" t="str">
        <f>IF(AZ134="n","n",VLOOKUP(AZ134,'Conversion factors'!$C$4:$D$24,2,FALSE))</f>
        <v>n</v>
      </c>
      <c r="BB134" s="96" t="str">
        <f t="shared" si="14"/>
        <v>n</v>
      </c>
      <c r="BC134" s="97"/>
      <c r="BD134" s="96" t="str">
        <f t="shared" si="41"/>
        <v>n</v>
      </c>
      <c r="BE134" s="96" t="str">
        <f t="shared" si="15"/>
        <v>n</v>
      </c>
      <c r="BF134" s="98" t="str">
        <f t="shared" si="42"/>
        <v/>
      </c>
      <c r="BG134" s="96" t="str">
        <f>IF(BF134="","",IF(ISNUMBER(VLOOKUP(BF134,'Conversion factors'!$B$35:$C$52,2,FALSE)),"y","n"))</f>
        <v/>
      </c>
      <c r="BH134" s="99"/>
      <c r="BI134" s="100"/>
      <c r="BJ134" s="100"/>
    </row>
    <row r="135" spans="1:62" ht="15.75" customHeight="1" x14ac:dyDescent="0.2">
      <c r="A135" s="18"/>
      <c r="B135" s="19">
        <v>109</v>
      </c>
      <c r="C135" s="20">
        <v>202027</v>
      </c>
      <c r="D135" s="36">
        <v>2027</v>
      </c>
      <c r="E135" s="93" t="s">
        <v>1324</v>
      </c>
      <c r="F135" s="93">
        <v>1978</v>
      </c>
      <c r="G135" s="19" t="s">
        <v>1611</v>
      </c>
      <c r="H135" s="19" t="s">
        <v>51</v>
      </c>
      <c r="I135" s="19" t="s">
        <v>41</v>
      </c>
      <c r="J135" s="19" t="s">
        <v>89</v>
      </c>
      <c r="K135" s="19" t="s">
        <v>161</v>
      </c>
      <c r="L135" s="19" t="s">
        <v>82</v>
      </c>
      <c r="M135" s="19" t="s">
        <v>82</v>
      </c>
      <c r="N135" s="19" t="s">
        <v>66</v>
      </c>
      <c r="O135" s="19" t="s">
        <v>172</v>
      </c>
      <c r="P135" s="19" t="s">
        <v>51</v>
      </c>
      <c r="Q135" s="19"/>
      <c r="R135" s="19" t="s">
        <v>156</v>
      </c>
      <c r="S135" s="19" t="s">
        <v>156</v>
      </c>
      <c r="T135" s="19" t="s">
        <v>56</v>
      </c>
      <c r="U135" s="19" t="s">
        <v>44</v>
      </c>
      <c r="V135" s="93">
        <v>8.33</v>
      </c>
      <c r="W135" s="93" t="s">
        <v>45</v>
      </c>
      <c r="X135" s="19" t="s">
        <v>46</v>
      </c>
      <c r="Y135" s="29"/>
      <c r="Z135" s="93"/>
      <c r="AA135" s="93"/>
      <c r="AB135" s="93">
        <v>93</v>
      </c>
      <c r="AC135" s="19" t="s">
        <v>214</v>
      </c>
      <c r="AD135" s="93"/>
      <c r="AE135" s="19">
        <v>23</v>
      </c>
      <c r="AF135" s="19">
        <v>23</v>
      </c>
      <c r="AG135" s="19"/>
      <c r="AH135" s="19"/>
      <c r="AI135" s="19"/>
      <c r="AJ135" s="19">
        <v>7.1</v>
      </c>
      <c r="AK135" s="19" t="s">
        <v>90</v>
      </c>
      <c r="AL135" s="19"/>
      <c r="AM135" s="19" t="s">
        <v>48</v>
      </c>
      <c r="AN135" s="19">
        <v>22</v>
      </c>
      <c r="AO135" s="19"/>
      <c r="AP135" s="94"/>
      <c r="AQ135" s="19" t="s">
        <v>92</v>
      </c>
      <c r="AR135" s="19" t="s">
        <v>200</v>
      </c>
      <c r="AS135" s="19"/>
      <c r="AT135" s="65" t="str">
        <f t="shared" si="40"/>
        <v>N</v>
      </c>
      <c r="AU135" s="65" t="str">
        <f t="shared" si="11"/>
        <v>N</v>
      </c>
      <c r="AV135" s="65" t="str">
        <f t="shared" si="34"/>
        <v>N</v>
      </c>
      <c r="AW135" s="99" t="s">
        <v>1465</v>
      </c>
      <c r="AX135" s="99"/>
      <c r="AY135" s="93"/>
      <c r="AZ135" s="96" t="str">
        <f t="shared" si="13"/>
        <v>n</v>
      </c>
      <c r="BA135" s="96" t="str">
        <f>IF(AZ135="n","n",VLOOKUP(AZ135,'Conversion factors'!$C$4:$D$24,2,FALSE))</f>
        <v>n</v>
      </c>
      <c r="BB135" s="96" t="str">
        <f t="shared" si="14"/>
        <v>n</v>
      </c>
      <c r="BC135" s="97"/>
      <c r="BD135" s="96" t="str">
        <f t="shared" si="41"/>
        <v>n</v>
      </c>
      <c r="BE135" s="96" t="str">
        <f t="shared" si="15"/>
        <v>n</v>
      </c>
      <c r="BF135" s="98" t="str">
        <f t="shared" si="42"/>
        <v/>
      </c>
      <c r="BG135" s="96" t="str">
        <f>IF(BF135="","",IF(ISNUMBER(VLOOKUP(BF135,'Conversion factors'!$B$35:$C$52,2,FALSE)),"y","n"))</f>
        <v/>
      </c>
      <c r="BH135" s="99"/>
      <c r="BI135" s="100"/>
      <c r="BJ135" s="100"/>
    </row>
    <row r="136" spans="1:62" ht="15.75" customHeight="1" x14ac:dyDescent="0.2">
      <c r="A136" s="18"/>
      <c r="B136" s="19">
        <v>109</v>
      </c>
      <c r="C136" s="20">
        <v>202027</v>
      </c>
      <c r="D136" s="36">
        <v>2027</v>
      </c>
      <c r="E136" s="93" t="s">
        <v>1324</v>
      </c>
      <c r="F136" s="93">
        <v>1978</v>
      </c>
      <c r="G136" s="19" t="s">
        <v>1611</v>
      </c>
      <c r="H136" s="19" t="s">
        <v>51</v>
      </c>
      <c r="I136" s="19" t="s">
        <v>41</v>
      </c>
      <c r="J136" s="19" t="s">
        <v>89</v>
      </c>
      <c r="K136" s="19" t="s">
        <v>161</v>
      </c>
      <c r="L136" s="19" t="s">
        <v>82</v>
      </c>
      <c r="M136" s="19" t="s">
        <v>82</v>
      </c>
      <c r="N136" s="19" t="s">
        <v>66</v>
      </c>
      <c r="O136" s="19" t="s">
        <v>172</v>
      </c>
      <c r="P136" s="19" t="s">
        <v>51</v>
      </c>
      <c r="Q136" s="19"/>
      <c r="R136" s="19" t="s">
        <v>156</v>
      </c>
      <c r="S136" s="19" t="s">
        <v>156</v>
      </c>
      <c r="T136" s="19" t="s">
        <v>174</v>
      </c>
      <c r="U136" s="19" t="s">
        <v>49</v>
      </c>
      <c r="V136" s="93">
        <v>8.33</v>
      </c>
      <c r="W136" s="93" t="s">
        <v>45</v>
      </c>
      <c r="X136" s="19" t="s">
        <v>46</v>
      </c>
      <c r="Y136" s="29"/>
      <c r="Z136" s="93"/>
      <c r="AA136" s="93"/>
      <c r="AB136" s="93">
        <v>54</v>
      </c>
      <c r="AC136" s="19" t="s">
        <v>214</v>
      </c>
      <c r="AD136" s="93"/>
      <c r="AE136" s="19">
        <v>23</v>
      </c>
      <c r="AF136" s="19">
        <v>23</v>
      </c>
      <c r="AG136" s="19"/>
      <c r="AH136" s="19"/>
      <c r="AI136" s="19"/>
      <c r="AJ136" s="19">
        <v>7.1</v>
      </c>
      <c r="AK136" s="19" t="s">
        <v>90</v>
      </c>
      <c r="AL136" s="19"/>
      <c r="AM136" s="19" t="s">
        <v>48</v>
      </c>
      <c r="AN136" s="19">
        <v>22</v>
      </c>
      <c r="AO136" s="19"/>
      <c r="AP136" s="94"/>
      <c r="AQ136" s="19" t="s">
        <v>92</v>
      </c>
      <c r="AR136" s="19" t="s">
        <v>200</v>
      </c>
      <c r="AS136" s="19"/>
      <c r="AT136" s="65" t="str">
        <f t="shared" si="40"/>
        <v>N</v>
      </c>
      <c r="AU136" s="65" t="str">
        <f t="shared" si="11"/>
        <v>N</v>
      </c>
      <c r="AV136" s="65" t="str">
        <f t="shared" si="34"/>
        <v>N</v>
      </c>
      <c r="AW136" s="99" t="s">
        <v>1465</v>
      </c>
      <c r="AX136" s="99"/>
      <c r="AY136" s="93"/>
      <c r="AZ136" s="96" t="str">
        <f t="shared" si="13"/>
        <v>n</v>
      </c>
      <c r="BA136" s="96" t="str">
        <f>IF(AZ136="n","n",VLOOKUP(AZ136,'Conversion factors'!$C$4:$D$24,2,FALSE))</f>
        <v>n</v>
      </c>
      <c r="BB136" s="96" t="str">
        <f t="shared" si="14"/>
        <v>n</v>
      </c>
      <c r="BC136" s="97"/>
      <c r="BD136" s="96" t="str">
        <f t="shared" si="41"/>
        <v>n</v>
      </c>
      <c r="BE136" s="96" t="str">
        <f t="shared" si="15"/>
        <v>n</v>
      </c>
      <c r="BF136" s="98" t="str">
        <f t="shared" si="42"/>
        <v/>
      </c>
      <c r="BG136" s="96" t="str">
        <f>IF(BF136="","",IF(ISNUMBER(VLOOKUP(BF136,'Conversion factors'!$B$35:$C$52,2,FALSE)),"y","n"))</f>
        <v/>
      </c>
      <c r="BH136" s="99"/>
      <c r="BI136" s="100"/>
      <c r="BJ136" s="100"/>
    </row>
    <row r="137" spans="1:62" ht="15.75" customHeight="1" x14ac:dyDescent="0.2">
      <c r="A137" s="18"/>
      <c r="B137" s="19">
        <v>110</v>
      </c>
      <c r="C137" s="20">
        <v>202725</v>
      </c>
      <c r="D137" s="36">
        <v>2725</v>
      </c>
      <c r="E137" s="93" t="s">
        <v>1324</v>
      </c>
      <c r="F137" s="93">
        <v>1986</v>
      </c>
      <c r="G137" s="19"/>
      <c r="H137" s="19" t="s">
        <v>51</v>
      </c>
      <c r="I137" s="19" t="s">
        <v>41</v>
      </c>
      <c r="J137" s="19" t="s">
        <v>89</v>
      </c>
      <c r="K137" s="19" t="s">
        <v>161</v>
      </c>
      <c r="L137" s="19" t="s">
        <v>82</v>
      </c>
      <c r="M137" s="19" t="s">
        <v>82</v>
      </c>
      <c r="N137" s="19" t="s">
        <v>66</v>
      </c>
      <c r="O137" s="19" t="s">
        <v>172</v>
      </c>
      <c r="P137" s="19" t="s">
        <v>51</v>
      </c>
      <c r="Q137" s="19"/>
      <c r="R137" s="19" t="s">
        <v>156</v>
      </c>
      <c r="S137" s="19" t="s">
        <v>156</v>
      </c>
      <c r="T137" s="19" t="s">
        <v>56</v>
      </c>
      <c r="U137" s="19" t="s">
        <v>44</v>
      </c>
      <c r="V137" s="93">
        <f>168/24</f>
        <v>7</v>
      </c>
      <c r="W137" s="93" t="s">
        <v>45</v>
      </c>
      <c r="X137" s="19" t="s">
        <v>46</v>
      </c>
      <c r="Y137" s="29"/>
      <c r="Z137" s="93"/>
      <c r="AA137" s="93"/>
      <c r="AB137" s="93">
        <v>66</v>
      </c>
      <c r="AC137" s="19" t="s">
        <v>1322</v>
      </c>
      <c r="AD137" s="93"/>
      <c r="AE137" s="19">
        <v>9.5</v>
      </c>
      <c r="AF137" s="19" t="s">
        <v>107</v>
      </c>
      <c r="AG137" s="19"/>
      <c r="AH137" s="19"/>
      <c r="AI137" s="19"/>
      <c r="AJ137" s="19">
        <v>7</v>
      </c>
      <c r="AK137" s="19">
        <v>7</v>
      </c>
      <c r="AL137" s="19"/>
      <c r="AM137" s="19" t="s">
        <v>48</v>
      </c>
      <c r="AN137" s="19">
        <v>11</v>
      </c>
      <c r="AO137" s="19"/>
      <c r="AP137" s="94"/>
      <c r="AQ137" s="19" t="s">
        <v>108</v>
      </c>
      <c r="AR137" s="19" t="s">
        <v>200</v>
      </c>
      <c r="AS137" s="19"/>
      <c r="AT137" s="65" t="str">
        <f t="shared" si="40"/>
        <v>N</v>
      </c>
      <c r="AU137" s="65" t="str">
        <f t="shared" si="11"/>
        <v>N</v>
      </c>
      <c r="AV137" s="65" t="str">
        <f t="shared" si="34"/>
        <v>N</v>
      </c>
      <c r="AW137" s="99"/>
      <c r="AX137" s="99"/>
      <c r="AY137" s="93"/>
      <c r="AZ137" s="96" t="str">
        <f t="shared" si="13"/>
        <v>n</v>
      </c>
      <c r="BA137" s="96" t="str">
        <f>IF(AZ137="n","n",VLOOKUP(AZ137,'Conversion factors'!$C$4:$D$24,2,FALSE))</f>
        <v>n</v>
      </c>
      <c r="BB137" s="96" t="str">
        <f t="shared" si="14"/>
        <v>n</v>
      </c>
      <c r="BC137" s="97"/>
      <c r="BD137" s="96" t="str">
        <f t="shared" si="41"/>
        <v>n</v>
      </c>
      <c r="BE137" s="96" t="str">
        <f t="shared" si="15"/>
        <v>n</v>
      </c>
      <c r="BF137" s="98" t="str">
        <f t="shared" si="42"/>
        <v/>
      </c>
      <c r="BG137" s="96" t="str">
        <f>IF(BF137="","",IF(ISNUMBER(VLOOKUP(BF137,'Conversion factors'!$B$35:$C$52,2,FALSE)),"y","n"))</f>
        <v/>
      </c>
      <c r="BH137" s="99"/>
      <c r="BI137" s="100"/>
      <c r="BJ137" s="100"/>
    </row>
    <row r="138" spans="1:62" ht="15.75" customHeight="1" x14ac:dyDescent="0.2">
      <c r="A138" s="18"/>
      <c r="B138" s="19">
        <v>169</v>
      </c>
      <c r="D138" s="36">
        <v>2852</v>
      </c>
      <c r="E138" s="93" t="s">
        <v>1224</v>
      </c>
      <c r="F138" s="93">
        <v>1990</v>
      </c>
      <c r="G138" s="19" t="s">
        <v>225</v>
      </c>
      <c r="H138" s="19"/>
      <c r="I138" s="19" t="s">
        <v>41</v>
      </c>
      <c r="J138" s="19" t="s">
        <v>89</v>
      </c>
      <c r="K138" s="19" t="s">
        <v>161</v>
      </c>
      <c r="L138" s="19" t="s">
        <v>82</v>
      </c>
      <c r="M138" s="19" t="s">
        <v>82</v>
      </c>
      <c r="N138" s="19" t="s">
        <v>66</v>
      </c>
      <c r="O138" s="19" t="s">
        <v>227</v>
      </c>
      <c r="P138" s="19" t="s">
        <v>51</v>
      </c>
      <c r="Q138" s="19"/>
      <c r="R138" s="19" t="s">
        <v>228</v>
      </c>
      <c r="S138" s="19" t="s">
        <v>229</v>
      </c>
      <c r="T138" s="19" t="s">
        <v>44</v>
      </c>
      <c r="U138" s="19" t="s">
        <v>44</v>
      </c>
      <c r="V138" s="93" t="s">
        <v>1019</v>
      </c>
      <c r="W138" s="93" t="s">
        <v>231</v>
      </c>
      <c r="X138" s="19" t="s">
        <v>46</v>
      </c>
      <c r="Y138" s="29"/>
      <c r="Z138" s="93"/>
      <c r="AA138" s="93"/>
      <c r="AB138" s="93" t="s">
        <v>240</v>
      </c>
      <c r="AC138" s="19" t="s">
        <v>1322</v>
      </c>
      <c r="AD138" s="93"/>
      <c r="AE138" s="19"/>
      <c r="AF138" s="19"/>
      <c r="AG138" s="19" t="s">
        <v>235</v>
      </c>
      <c r="AH138" s="19"/>
      <c r="AI138" s="19"/>
      <c r="AJ138" s="19" t="s">
        <v>234</v>
      </c>
      <c r="AK138" s="19" t="s">
        <v>234</v>
      </c>
      <c r="AL138" s="19"/>
      <c r="AM138" s="19" t="s">
        <v>234</v>
      </c>
      <c r="AN138" s="19" t="s">
        <v>234</v>
      </c>
      <c r="AO138" s="19" t="s">
        <v>235</v>
      </c>
      <c r="AP138" s="94"/>
      <c r="AQ138" s="19" t="s">
        <v>126</v>
      </c>
      <c r="AR138" s="19"/>
      <c r="AS138" s="19"/>
      <c r="AT138" s="65" t="str">
        <f t="shared" si="40"/>
        <v>N</v>
      </c>
      <c r="AU138" s="65" t="str">
        <f t="shared" ref="AU138:AU203" si="43">IF(AT138="N","N",IF(AJ138&lt;6,"N",IF(AJ138&gt;8.5,"N","Y")))</f>
        <v>N</v>
      </c>
      <c r="AV138" s="65" t="str">
        <f t="shared" si="34"/>
        <v>N</v>
      </c>
      <c r="AW138" s="99"/>
      <c r="AX138" s="99"/>
      <c r="AY138" s="93"/>
      <c r="AZ138" s="96" t="str">
        <f t="shared" si="13"/>
        <v>n</v>
      </c>
      <c r="BA138" s="96" t="str">
        <f>IF(AZ138="n","n",VLOOKUP(AZ138,'Conversion factors'!$C$4:$D$24,2,FALSE))</f>
        <v>n</v>
      </c>
      <c r="BB138" s="96" t="str">
        <f t="shared" si="14"/>
        <v>n</v>
      </c>
      <c r="BC138" s="97"/>
      <c r="BD138" s="96" t="str">
        <f t="shared" si="41"/>
        <v>n</v>
      </c>
      <c r="BE138" s="96" t="str">
        <f t="shared" si="15"/>
        <v>n</v>
      </c>
      <c r="BF138" s="98" t="str">
        <f t="shared" si="42"/>
        <v/>
      </c>
      <c r="BG138" s="96" t="str">
        <f>IF(BF138="","",IF(ISNUMBER(VLOOKUP(BF138,'Conversion factors'!$B$35:$C$52,2,FALSE)),"y","n"))</f>
        <v/>
      </c>
      <c r="BH138" s="99"/>
      <c r="BI138" s="100"/>
      <c r="BJ138" s="100"/>
    </row>
    <row r="139" spans="1:62" ht="15.75" customHeight="1" x14ac:dyDescent="0.2">
      <c r="A139" s="18"/>
      <c r="B139" s="19">
        <v>169</v>
      </c>
      <c r="D139" s="36">
        <v>2852</v>
      </c>
      <c r="E139" s="93" t="s">
        <v>1224</v>
      </c>
      <c r="F139" s="93">
        <v>1990</v>
      </c>
      <c r="G139" s="19" t="s">
        <v>225</v>
      </c>
      <c r="H139" s="19"/>
      <c r="I139" s="19" t="s">
        <v>41</v>
      </c>
      <c r="J139" s="19" t="s">
        <v>89</v>
      </c>
      <c r="K139" s="19" t="s">
        <v>161</v>
      </c>
      <c r="L139" s="19" t="s">
        <v>82</v>
      </c>
      <c r="M139" s="19" t="s">
        <v>82</v>
      </c>
      <c r="N139" s="19" t="s">
        <v>66</v>
      </c>
      <c r="O139" s="19" t="s">
        <v>227</v>
      </c>
      <c r="P139" s="19" t="s">
        <v>51</v>
      </c>
      <c r="Q139" s="19"/>
      <c r="R139" s="19" t="s">
        <v>81</v>
      </c>
      <c r="S139" s="19" t="s">
        <v>243</v>
      </c>
      <c r="T139" s="19" t="s">
        <v>55</v>
      </c>
      <c r="U139" s="19" t="s">
        <v>55</v>
      </c>
      <c r="V139" s="93" t="s">
        <v>1019</v>
      </c>
      <c r="W139" s="93" t="s">
        <v>231</v>
      </c>
      <c r="X139" s="19" t="s">
        <v>46</v>
      </c>
      <c r="Y139" s="29"/>
      <c r="Z139" s="93"/>
      <c r="AA139" s="93"/>
      <c r="AB139" s="93" t="s">
        <v>242</v>
      </c>
      <c r="AC139" s="19" t="s">
        <v>1322</v>
      </c>
      <c r="AD139" s="93"/>
      <c r="AE139" s="19"/>
      <c r="AF139" s="19"/>
      <c r="AG139" s="19" t="s">
        <v>235</v>
      </c>
      <c r="AH139" s="19"/>
      <c r="AI139" s="19"/>
      <c r="AJ139" s="19" t="s">
        <v>234</v>
      </c>
      <c r="AK139" s="19" t="s">
        <v>234</v>
      </c>
      <c r="AL139" s="19"/>
      <c r="AM139" s="19" t="s">
        <v>234</v>
      </c>
      <c r="AN139" s="19" t="s">
        <v>234</v>
      </c>
      <c r="AO139" s="19" t="s">
        <v>235</v>
      </c>
      <c r="AP139" s="94"/>
      <c r="AQ139" s="19" t="s">
        <v>126</v>
      </c>
      <c r="AR139" s="19"/>
      <c r="AS139" s="19"/>
      <c r="AT139" s="65" t="str">
        <f t="shared" si="40"/>
        <v>N</v>
      </c>
      <c r="AU139" s="65" t="str">
        <f t="shared" si="43"/>
        <v>N</v>
      </c>
      <c r="AV139" s="65" t="str">
        <f t="shared" si="34"/>
        <v>N</v>
      </c>
      <c r="AW139" s="99"/>
      <c r="AX139" s="99"/>
      <c r="AY139" s="93"/>
      <c r="AZ139" s="96" t="str">
        <f t="shared" ref="AZ139:AZ204" si="44">IF(AV139="N","n",T139)</f>
        <v>n</v>
      </c>
      <c r="BA139" s="96" t="str">
        <f>IF(AZ139="n","n",VLOOKUP(AZ139,'Conversion factors'!$C$4:$D$24,2,FALSE))</f>
        <v>n</v>
      </c>
      <c r="BB139" s="96" t="str">
        <f t="shared" ref="BB139:BB204" si="45">IF(BA139="n","n",AB139/BA139)</f>
        <v>n</v>
      </c>
      <c r="BC139" s="97"/>
      <c r="BD139" s="96" t="str">
        <f t="shared" si="41"/>
        <v>n</v>
      </c>
      <c r="BE139" s="96" t="str">
        <f t="shared" ref="BE139:BE204" si="46">IF(BD139="chronic","y","n")</f>
        <v>n</v>
      </c>
      <c r="BF139" s="98" t="str">
        <f t="shared" si="42"/>
        <v/>
      </c>
      <c r="BG139" s="96" t="str">
        <f>IF(BF139="","",IF(ISNUMBER(VLOOKUP(BF139,'Conversion factors'!$B$35:$C$52,2,FALSE)),"y","n"))</f>
        <v/>
      </c>
      <c r="BH139" s="99"/>
      <c r="BI139" s="100"/>
      <c r="BJ139" s="100"/>
    </row>
    <row r="140" spans="1:62" ht="15.75" customHeight="1" x14ac:dyDescent="0.2">
      <c r="A140" s="18"/>
      <c r="B140" s="19">
        <v>169</v>
      </c>
      <c r="D140" s="36">
        <v>2852</v>
      </c>
      <c r="E140" s="93" t="s">
        <v>1224</v>
      </c>
      <c r="F140" s="93">
        <v>1990</v>
      </c>
      <c r="G140" s="19" t="s">
        <v>225</v>
      </c>
      <c r="H140" s="19"/>
      <c r="I140" s="19" t="s">
        <v>41</v>
      </c>
      <c r="J140" s="19" t="s">
        <v>89</v>
      </c>
      <c r="K140" s="19" t="s">
        <v>161</v>
      </c>
      <c r="L140" s="19" t="s">
        <v>82</v>
      </c>
      <c r="M140" s="19" t="s">
        <v>82</v>
      </c>
      <c r="N140" s="19" t="s">
        <v>66</v>
      </c>
      <c r="O140" s="19" t="s">
        <v>227</v>
      </c>
      <c r="P140" s="19" t="s">
        <v>51</v>
      </c>
      <c r="Q140" s="19"/>
      <c r="R140" s="19" t="s">
        <v>237</v>
      </c>
      <c r="S140" s="19" t="s">
        <v>79</v>
      </c>
      <c r="T140" s="19" t="s">
        <v>56</v>
      </c>
      <c r="U140" s="19" t="s">
        <v>44</v>
      </c>
      <c r="V140" s="93" t="s">
        <v>1019</v>
      </c>
      <c r="W140" s="93" t="s">
        <v>231</v>
      </c>
      <c r="X140" s="19" t="s">
        <v>46</v>
      </c>
      <c r="Y140" s="29"/>
      <c r="Z140" s="93"/>
      <c r="AA140" s="93"/>
      <c r="AB140" s="93" t="s">
        <v>240</v>
      </c>
      <c r="AC140" s="19" t="s">
        <v>1322</v>
      </c>
      <c r="AD140" s="93"/>
      <c r="AE140" s="19"/>
      <c r="AF140" s="19"/>
      <c r="AG140" s="19" t="s">
        <v>235</v>
      </c>
      <c r="AH140" s="19"/>
      <c r="AI140" s="19"/>
      <c r="AJ140" s="19" t="s">
        <v>234</v>
      </c>
      <c r="AK140" s="19" t="s">
        <v>234</v>
      </c>
      <c r="AL140" s="19"/>
      <c r="AM140" s="19" t="s">
        <v>234</v>
      </c>
      <c r="AN140" s="19" t="s">
        <v>234</v>
      </c>
      <c r="AO140" s="19" t="s">
        <v>235</v>
      </c>
      <c r="AP140" s="94"/>
      <c r="AQ140" s="19" t="s">
        <v>126</v>
      </c>
      <c r="AR140" s="19"/>
      <c r="AS140" s="19"/>
      <c r="AT140" s="65" t="str">
        <f t="shared" si="40"/>
        <v>N</v>
      </c>
      <c r="AU140" s="65" t="str">
        <f t="shared" si="43"/>
        <v>N</v>
      </c>
      <c r="AV140" s="65" t="str">
        <f t="shared" si="34"/>
        <v>N</v>
      </c>
      <c r="AW140" s="99"/>
      <c r="AX140" s="99"/>
      <c r="AY140" s="93"/>
      <c r="AZ140" s="96" t="str">
        <f t="shared" si="44"/>
        <v>n</v>
      </c>
      <c r="BA140" s="96" t="str">
        <f>IF(AZ140="n","n",VLOOKUP(AZ140,'Conversion factors'!$C$4:$D$24,2,FALSE))</f>
        <v>n</v>
      </c>
      <c r="BB140" s="96" t="str">
        <f t="shared" si="45"/>
        <v>n</v>
      </c>
      <c r="BC140" s="97"/>
      <c r="BD140" s="96" t="str">
        <f t="shared" si="41"/>
        <v>n</v>
      </c>
      <c r="BE140" s="96" t="str">
        <f t="shared" si="46"/>
        <v>n</v>
      </c>
      <c r="BF140" s="98" t="str">
        <f t="shared" si="42"/>
        <v/>
      </c>
      <c r="BG140" s="96" t="str">
        <f>IF(BF140="","",IF(ISNUMBER(VLOOKUP(BF140,'Conversion factors'!$B$35:$C$52,2,FALSE)),"y","n"))</f>
        <v/>
      </c>
      <c r="BH140" s="99"/>
      <c r="BI140" s="100"/>
      <c r="BJ140" s="100"/>
    </row>
    <row r="141" spans="1:62" ht="15.75" customHeight="1" x14ac:dyDescent="0.2">
      <c r="A141" s="18"/>
      <c r="B141" s="19">
        <v>169</v>
      </c>
      <c r="D141" s="36">
        <v>2852</v>
      </c>
      <c r="E141" s="93" t="s">
        <v>1224</v>
      </c>
      <c r="F141" s="93">
        <v>1990</v>
      </c>
      <c r="G141" s="19" t="s">
        <v>225</v>
      </c>
      <c r="H141" s="19"/>
      <c r="I141" s="19" t="s">
        <v>41</v>
      </c>
      <c r="J141" s="19" t="s">
        <v>89</v>
      </c>
      <c r="K141" s="19" t="s">
        <v>161</v>
      </c>
      <c r="L141" s="19" t="s">
        <v>82</v>
      </c>
      <c r="M141" s="19" t="s">
        <v>82</v>
      </c>
      <c r="N141" s="19" t="s">
        <v>66</v>
      </c>
      <c r="O141" s="19" t="s">
        <v>227</v>
      </c>
      <c r="P141" s="19" t="s">
        <v>51</v>
      </c>
      <c r="Q141" s="19"/>
      <c r="R141" s="19" t="s">
        <v>237</v>
      </c>
      <c r="S141" s="19" t="s">
        <v>79</v>
      </c>
      <c r="T141" s="19" t="s">
        <v>55</v>
      </c>
      <c r="U141" s="19" t="s">
        <v>55</v>
      </c>
      <c r="V141" s="93" t="s">
        <v>1019</v>
      </c>
      <c r="W141" s="93" t="s">
        <v>231</v>
      </c>
      <c r="X141" s="19" t="s">
        <v>46</v>
      </c>
      <c r="Y141" s="29"/>
      <c r="Z141" s="93"/>
      <c r="AA141" s="93"/>
      <c r="AB141" s="93" t="s">
        <v>242</v>
      </c>
      <c r="AC141" s="19" t="s">
        <v>1322</v>
      </c>
      <c r="AD141" s="93"/>
      <c r="AE141" s="19"/>
      <c r="AF141" s="19"/>
      <c r="AG141" s="19" t="s">
        <v>235</v>
      </c>
      <c r="AH141" s="19"/>
      <c r="AI141" s="19"/>
      <c r="AJ141" s="19" t="s">
        <v>234</v>
      </c>
      <c r="AK141" s="19" t="s">
        <v>234</v>
      </c>
      <c r="AL141" s="19"/>
      <c r="AM141" s="19" t="s">
        <v>234</v>
      </c>
      <c r="AN141" s="19" t="s">
        <v>234</v>
      </c>
      <c r="AO141" s="19" t="s">
        <v>235</v>
      </c>
      <c r="AP141" s="94"/>
      <c r="AQ141" s="19" t="s">
        <v>126</v>
      </c>
      <c r="AR141" s="19"/>
      <c r="AS141" s="19"/>
      <c r="AT141" s="65" t="str">
        <f t="shared" si="40"/>
        <v>N</v>
      </c>
      <c r="AU141" s="65" t="str">
        <f t="shared" si="43"/>
        <v>N</v>
      </c>
      <c r="AV141" s="65" t="str">
        <f t="shared" si="34"/>
        <v>N</v>
      </c>
      <c r="AW141" s="99"/>
      <c r="AX141" s="99"/>
      <c r="AY141" s="93"/>
      <c r="AZ141" s="96" t="str">
        <f t="shared" si="44"/>
        <v>n</v>
      </c>
      <c r="BA141" s="96" t="str">
        <f>IF(AZ141="n","n",VLOOKUP(AZ141,'Conversion factors'!$C$4:$D$24,2,FALSE))</f>
        <v>n</v>
      </c>
      <c r="BB141" s="96" t="str">
        <f t="shared" si="45"/>
        <v>n</v>
      </c>
      <c r="BC141" s="97"/>
      <c r="BD141" s="96" t="str">
        <f t="shared" si="41"/>
        <v>n</v>
      </c>
      <c r="BE141" s="96" t="str">
        <f t="shared" si="46"/>
        <v>n</v>
      </c>
      <c r="BF141" s="98" t="str">
        <f t="shared" si="42"/>
        <v/>
      </c>
      <c r="BG141" s="96" t="str">
        <f>IF(BF141="","",IF(ISNUMBER(VLOOKUP(BF141,'Conversion factors'!$B$35:$C$52,2,FALSE)),"y","n"))</f>
        <v/>
      </c>
      <c r="BH141" s="99"/>
      <c r="BI141" s="100"/>
      <c r="BJ141" s="100"/>
    </row>
    <row r="142" spans="1:62" ht="15.75" customHeight="1" x14ac:dyDescent="0.2">
      <c r="A142" s="18"/>
      <c r="B142" s="19">
        <v>105</v>
      </c>
      <c r="C142" s="20">
        <v>205305</v>
      </c>
      <c r="D142" s="36">
        <v>5305</v>
      </c>
      <c r="E142" s="93" t="s">
        <v>1324</v>
      </c>
      <c r="F142" s="93">
        <v>1978</v>
      </c>
      <c r="G142" s="19"/>
      <c r="H142" s="19" t="s">
        <v>51</v>
      </c>
      <c r="I142" s="19" t="s">
        <v>41</v>
      </c>
      <c r="J142" s="19" t="s">
        <v>89</v>
      </c>
      <c r="K142" s="19" t="s">
        <v>161</v>
      </c>
      <c r="L142" s="19" t="s">
        <v>82</v>
      </c>
      <c r="M142" s="19" t="s">
        <v>82</v>
      </c>
      <c r="N142" s="19" t="s">
        <v>66</v>
      </c>
      <c r="O142" s="19" t="s">
        <v>154</v>
      </c>
      <c r="P142" s="19" t="s">
        <v>51</v>
      </c>
      <c r="Q142" s="19"/>
      <c r="R142" s="19" t="s">
        <v>158</v>
      </c>
      <c r="S142" s="19" t="s">
        <v>157</v>
      </c>
      <c r="T142" s="19" t="s">
        <v>56</v>
      </c>
      <c r="U142" s="19" t="s">
        <v>44</v>
      </c>
      <c r="V142" s="93">
        <v>28</v>
      </c>
      <c r="W142" s="93" t="s">
        <v>45</v>
      </c>
      <c r="X142" s="19" t="s">
        <v>46</v>
      </c>
      <c r="Y142" s="29"/>
      <c r="Z142" s="93"/>
      <c r="AA142" s="93"/>
      <c r="AB142" s="93">
        <v>1060</v>
      </c>
      <c r="AC142" s="19" t="s">
        <v>214</v>
      </c>
      <c r="AD142" s="93"/>
      <c r="AE142" s="19">
        <v>104</v>
      </c>
      <c r="AF142" s="19">
        <v>104</v>
      </c>
      <c r="AG142" s="19"/>
      <c r="AH142" s="19"/>
      <c r="AI142" s="19"/>
      <c r="AJ142" s="19">
        <v>7.4</v>
      </c>
      <c r="AK142" s="19" t="s">
        <v>117</v>
      </c>
      <c r="AL142" s="19"/>
      <c r="AM142" s="19" t="s">
        <v>48</v>
      </c>
      <c r="AN142" s="19"/>
      <c r="AO142" s="19"/>
      <c r="AP142" s="94"/>
      <c r="AQ142" s="19" t="s">
        <v>119</v>
      </c>
      <c r="AR142" s="19" t="s">
        <v>200</v>
      </c>
      <c r="AS142" s="19"/>
      <c r="AT142" s="65" t="str">
        <f t="shared" si="40"/>
        <v>N</v>
      </c>
      <c r="AU142" s="65" t="str">
        <f t="shared" si="43"/>
        <v>N</v>
      </c>
      <c r="AV142" s="65" t="str">
        <f t="shared" si="34"/>
        <v>N</v>
      </c>
      <c r="AW142" s="99" t="s">
        <v>1465</v>
      </c>
      <c r="AX142" s="99"/>
      <c r="AY142" s="93"/>
      <c r="AZ142" s="96" t="str">
        <f t="shared" si="44"/>
        <v>n</v>
      </c>
      <c r="BA142" s="96" t="str">
        <f>IF(AZ142="n","n",VLOOKUP(AZ142,'Conversion factors'!$C$4:$D$24,2,FALSE))</f>
        <v>n</v>
      </c>
      <c r="BB142" s="96" t="str">
        <f t="shared" si="45"/>
        <v>n</v>
      </c>
      <c r="BC142" s="97"/>
      <c r="BD142" s="96" t="str">
        <f t="shared" si="41"/>
        <v>n</v>
      </c>
      <c r="BE142" s="96" t="str">
        <f t="shared" si="46"/>
        <v>n</v>
      </c>
      <c r="BF142" s="98" t="str">
        <f t="shared" si="42"/>
        <v/>
      </c>
      <c r="BG142" s="96" t="str">
        <f>IF(BF142="","",IF(ISNUMBER(VLOOKUP(BF142,'Conversion factors'!$B$35:$C$52,2,FALSE)),"y","n"))</f>
        <v/>
      </c>
      <c r="BH142" s="99"/>
      <c r="BI142" s="100"/>
      <c r="BJ142" s="100"/>
    </row>
    <row r="143" spans="1:62" ht="15.75" customHeight="1" x14ac:dyDescent="0.2">
      <c r="A143" s="18"/>
      <c r="B143" s="19">
        <v>105</v>
      </c>
      <c r="C143" s="20">
        <v>205305</v>
      </c>
      <c r="D143" s="36">
        <v>5305</v>
      </c>
      <c r="E143" s="93" t="s">
        <v>1324</v>
      </c>
      <c r="F143" s="93">
        <v>1978</v>
      </c>
      <c r="G143" s="19"/>
      <c r="H143" s="19" t="s">
        <v>51</v>
      </c>
      <c r="I143" s="19" t="s">
        <v>41</v>
      </c>
      <c r="J143" s="19" t="s">
        <v>89</v>
      </c>
      <c r="K143" s="19" t="s">
        <v>161</v>
      </c>
      <c r="L143" s="19" t="s">
        <v>82</v>
      </c>
      <c r="M143" s="19" t="s">
        <v>82</v>
      </c>
      <c r="N143" s="19" t="s">
        <v>66</v>
      </c>
      <c r="O143" s="19" t="s">
        <v>154</v>
      </c>
      <c r="P143" s="19" t="s">
        <v>51</v>
      </c>
      <c r="Q143" s="19"/>
      <c r="R143" s="19" t="s">
        <v>158</v>
      </c>
      <c r="S143" s="19" t="s">
        <v>157</v>
      </c>
      <c r="T143" s="19" t="s">
        <v>56</v>
      </c>
      <c r="U143" s="19" t="s">
        <v>44</v>
      </c>
      <c r="V143" s="93">
        <v>28</v>
      </c>
      <c r="W143" s="93" t="s">
        <v>45</v>
      </c>
      <c r="X143" s="19" t="s">
        <v>46</v>
      </c>
      <c r="Y143" s="29"/>
      <c r="Z143" s="93"/>
      <c r="AA143" s="93"/>
      <c r="AB143" s="93">
        <v>20</v>
      </c>
      <c r="AC143" s="19" t="s">
        <v>214</v>
      </c>
      <c r="AD143" s="93"/>
      <c r="AE143" s="19">
        <v>104</v>
      </c>
      <c r="AF143" s="19">
        <v>104</v>
      </c>
      <c r="AG143" s="19"/>
      <c r="AH143" s="19"/>
      <c r="AI143" s="19"/>
      <c r="AJ143" s="19">
        <v>7.4</v>
      </c>
      <c r="AK143" s="19" t="s">
        <v>117</v>
      </c>
      <c r="AL143" s="19"/>
      <c r="AM143" s="19" t="s">
        <v>48</v>
      </c>
      <c r="AN143" s="19"/>
      <c r="AO143" s="19"/>
      <c r="AP143" s="94"/>
      <c r="AQ143" s="19" t="s">
        <v>119</v>
      </c>
      <c r="AR143" s="19" t="s">
        <v>200</v>
      </c>
      <c r="AS143" s="19"/>
      <c r="AT143" s="65" t="str">
        <f t="shared" si="40"/>
        <v>N</v>
      </c>
      <c r="AU143" s="65" t="str">
        <f t="shared" si="43"/>
        <v>N</v>
      </c>
      <c r="AV143" s="65" t="str">
        <f t="shared" si="34"/>
        <v>N</v>
      </c>
      <c r="AW143" s="99" t="s">
        <v>1465</v>
      </c>
      <c r="AX143" s="99"/>
      <c r="AY143" s="93"/>
      <c r="AZ143" s="96" t="str">
        <f t="shared" si="44"/>
        <v>n</v>
      </c>
      <c r="BA143" s="96" t="str">
        <f>IF(AZ143="n","n",VLOOKUP(AZ143,'Conversion factors'!$C$4:$D$24,2,FALSE))</f>
        <v>n</v>
      </c>
      <c r="BB143" s="96" t="str">
        <f t="shared" si="45"/>
        <v>n</v>
      </c>
      <c r="BC143" s="97"/>
      <c r="BD143" s="96" t="str">
        <f t="shared" si="41"/>
        <v>n</v>
      </c>
      <c r="BE143" s="96" t="str">
        <f t="shared" si="46"/>
        <v>n</v>
      </c>
      <c r="BF143" s="98" t="str">
        <f t="shared" si="42"/>
        <v/>
      </c>
      <c r="BG143" s="96" t="str">
        <f>IF(BF143="","",IF(ISNUMBER(VLOOKUP(BF143,'Conversion factors'!$B$35:$C$52,2,FALSE)),"y","n"))</f>
        <v/>
      </c>
      <c r="BH143" s="99"/>
      <c r="BI143" s="100"/>
      <c r="BJ143" s="100"/>
    </row>
    <row r="144" spans="1:62" ht="15.75" customHeight="1" x14ac:dyDescent="0.2">
      <c r="A144" s="18"/>
      <c r="B144" s="19">
        <v>106</v>
      </c>
      <c r="C144" s="20">
        <v>206199</v>
      </c>
      <c r="D144" s="36">
        <v>6199</v>
      </c>
      <c r="E144" s="93" t="s">
        <v>1324</v>
      </c>
      <c r="F144" s="93">
        <v>1978</v>
      </c>
      <c r="G144" s="19"/>
      <c r="H144" s="19" t="s">
        <v>51</v>
      </c>
      <c r="I144" s="19" t="s">
        <v>41</v>
      </c>
      <c r="J144" s="19" t="s">
        <v>89</v>
      </c>
      <c r="K144" s="19" t="s">
        <v>161</v>
      </c>
      <c r="L144" s="19" t="s">
        <v>82</v>
      </c>
      <c r="M144" s="19" t="s">
        <v>82</v>
      </c>
      <c r="N144" s="19" t="s">
        <v>66</v>
      </c>
      <c r="O144" s="19" t="s">
        <v>154</v>
      </c>
      <c r="P144" s="19" t="s">
        <v>51</v>
      </c>
      <c r="Q144" s="19"/>
      <c r="R144" s="19" t="s">
        <v>158</v>
      </c>
      <c r="S144" s="19" t="s">
        <v>157</v>
      </c>
      <c r="T144" s="19" t="s">
        <v>56</v>
      </c>
      <c r="U144" s="19" t="s">
        <v>44</v>
      </c>
      <c r="V144" s="93">
        <v>28</v>
      </c>
      <c r="W144" s="93" t="s">
        <v>45</v>
      </c>
      <c r="X144" s="19" t="s">
        <v>46</v>
      </c>
      <c r="Y144" s="29"/>
      <c r="Z144" s="93"/>
      <c r="AA144" s="93"/>
      <c r="AB144" s="93">
        <v>1060</v>
      </c>
      <c r="AC144" s="19" t="s">
        <v>214</v>
      </c>
      <c r="AD144" s="93"/>
      <c r="AE144" s="19">
        <v>99</v>
      </c>
      <c r="AF144" s="19" t="s">
        <v>128</v>
      </c>
      <c r="AG144" s="19"/>
      <c r="AH144" s="19"/>
      <c r="AI144" s="19"/>
      <c r="AJ144" s="19">
        <f>MEDIAN(7.2,7.8)</f>
        <v>7.5</v>
      </c>
      <c r="AK144" s="19" t="s">
        <v>127</v>
      </c>
      <c r="AL144" s="19"/>
      <c r="AM144" s="19" t="s">
        <v>48</v>
      </c>
      <c r="AN144" s="19"/>
      <c r="AO144" s="19"/>
      <c r="AP144" s="94"/>
      <c r="AQ144" s="19" t="s">
        <v>129</v>
      </c>
      <c r="AR144" s="19" t="s">
        <v>200</v>
      </c>
      <c r="AS144" s="19"/>
      <c r="AT144" s="65" t="str">
        <f t="shared" si="40"/>
        <v>N</v>
      </c>
      <c r="AU144" s="65" t="str">
        <f t="shared" si="43"/>
        <v>N</v>
      </c>
      <c r="AV144" s="65" t="str">
        <f t="shared" si="34"/>
        <v>N</v>
      </c>
      <c r="AW144" s="99" t="s">
        <v>1465</v>
      </c>
      <c r="AX144" s="99"/>
      <c r="AY144" s="93"/>
      <c r="AZ144" s="96" t="str">
        <f t="shared" si="44"/>
        <v>n</v>
      </c>
      <c r="BA144" s="96" t="str">
        <f>IF(AZ144="n","n",VLOOKUP(AZ144,'Conversion factors'!$C$4:$D$24,2,FALSE))</f>
        <v>n</v>
      </c>
      <c r="BB144" s="96" t="str">
        <f t="shared" si="45"/>
        <v>n</v>
      </c>
      <c r="BC144" s="97"/>
      <c r="BD144" s="96" t="str">
        <f t="shared" si="41"/>
        <v>n</v>
      </c>
      <c r="BE144" s="96" t="str">
        <f t="shared" si="46"/>
        <v>n</v>
      </c>
      <c r="BF144" s="98" t="str">
        <f t="shared" si="42"/>
        <v/>
      </c>
      <c r="BG144" s="96" t="str">
        <f>IF(BF144="","",IF(ISNUMBER(VLOOKUP(BF144,'Conversion factors'!$B$35:$C$52,2,FALSE)),"y","n"))</f>
        <v/>
      </c>
      <c r="BH144" s="99"/>
      <c r="BI144" s="100"/>
      <c r="BJ144" s="100"/>
    </row>
    <row r="145" spans="1:62" ht="15.75" customHeight="1" x14ac:dyDescent="0.2">
      <c r="A145" s="18"/>
      <c r="B145" s="19">
        <v>106</v>
      </c>
      <c r="C145" s="20">
        <v>206199</v>
      </c>
      <c r="D145" s="36">
        <v>6199</v>
      </c>
      <c r="E145" s="93" t="s">
        <v>1324</v>
      </c>
      <c r="F145" s="93">
        <v>1978</v>
      </c>
      <c r="G145" s="19"/>
      <c r="H145" s="19" t="s">
        <v>51</v>
      </c>
      <c r="I145" s="19" t="s">
        <v>41</v>
      </c>
      <c r="J145" s="19" t="s">
        <v>89</v>
      </c>
      <c r="K145" s="19" t="s">
        <v>161</v>
      </c>
      <c r="L145" s="19" t="s">
        <v>82</v>
      </c>
      <c r="M145" s="19" t="s">
        <v>82</v>
      </c>
      <c r="N145" s="19" t="s">
        <v>66</v>
      </c>
      <c r="O145" s="19" t="s">
        <v>154</v>
      </c>
      <c r="P145" s="19" t="s">
        <v>51</v>
      </c>
      <c r="Q145" s="19"/>
      <c r="R145" s="19" t="s">
        <v>158</v>
      </c>
      <c r="S145" s="19" t="s">
        <v>157</v>
      </c>
      <c r="T145" s="19" t="s">
        <v>169</v>
      </c>
      <c r="U145" s="19" t="s">
        <v>169</v>
      </c>
      <c r="V145" s="93">
        <v>28</v>
      </c>
      <c r="W145" s="93" t="s">
        <v>45</v>
      </c>
      <c r="X145" s="19" t="s">
        <v>46</v>
      </c>
      <c r="Y145" s="29"/>
      <c r="Z145" s="93"/>
      <c r="AA145" s="93"/>
      <c r="AB145" s="93">
        <v>20</v>
      </c>
      <c r="AC145" s="19" t="s">
        <v>214</v>
      </c>
      <c r="AD145" s="93"/>
      <c r="AE145" s="19">
        <v>99</v>
      </c>
      <c r="AF145" s="19" t="s">
        <v>128</v>
      </c>
      <c r="AG145" s="19"/>
      <c r="AH145" s="19"/>
      <c r="AI145" s="19"/>
      <c r="AJ145" s="19">
        <f>MEDIAN(7.2,7.8)</f>
        <v>7.5</v>
      </c>
      <c r="AK145" s="19" t="s">
        <v>127</v>
      </c>
      <c r="AL145" s="19"/>
      <c r="AM145" s="19" t="s">
        <v>48</v>
      </c>
      <c r="AN145" s="19"/>
      <c r="AO145" s="19"/>
      <c r="AP145" s="94"/>
      <c r="AQ145" s="19" t="s">
        <v>129</v>
      </c>
      <c r="AR145" s="19" t="s">
        <v>200</v>
      </c>
      <c r="AS145" s="19"/>
      <c r="AT145" s="65" t="str">
        <f t="shared" si="40"/>
        <v>N</v>
      </c>
      <c r="AU145" s="65" t="str">
        <f t="shared" si="43"/>
        <v>N</v>
      </c>
      <c r="AV145" s="65" t="str">
        <f t="shared" si="34"/>
        <v>N</v>
      </c>
      <c r="AW145" s="99" t="s">
        <v>1465</v>
      </c>
      <c r="AX145" s="99"/>
      <c r="AY145" s="93"/>
      <c r="AZ145" s="96" t="str">
        <f t="shared" si="44"/>
        <v>n</v>
      </c>
      <c r="BA145" s="96" t="str">
        <f>IF(AZ145="n","n",VLOOKUP(AZ145,'Conversion factors'!$C$4:$D$24,2,FALSE))</f>
        <v>n</v>
      </c>
      <c r="BB145" s="96" t="str">
        <f t="shared" si="45"/>
        <v>n</v>
      </c>
      <c r="BC145" s="97"/>
      <c r="BD145" s="96" t="str">
        <f t="shared" si="41"/>
        <v>n</v>
      </c>
      <c r="BE145" s="96" t="str">
        <f t="shared" si="46"/>
        <v>n</v>
      </c>
      <c r="BF145" s="98" t="str">
        <f t="shared" si="42"/>
        <v/>
      </c>
      <c r="BG145" s="96" t="str">
        <f>IF(BF145="","",IF(ISNUMBER(VLOOKUP(BF145,'Conversion factors'!$B$35:$C$52,2,FALSE)),"y","n"))</f>
        <v/>
      </c>
      <c r="BH145" s="99"/>
      <c r="BI145" s="100"/>
      <c r="BJ145" s="100"/>
    </row>
    <row r="146" spans="1:62" ht="15.75" customHeight="1" x14ac:dyDescent="0.2">
      <c r="A146" s="46"/>
      <c r="B146" s="19">
        <v>194</v>
      </c>
      <c r="D146" s="36">
        <v>20727</v>
      </c>
      <c r="E146" s="93" t="s">
        <v>1224</v>
      </c>
      <c r="F146" s="93">
        <v>1999</v>
      </c>
      <c r="G146" s="19" t="s">
        <v>382</v>
      </c>
      <c r="H146" s="19"/>
      <c r="I146" s="19" t="s">
        <v>41</v>
      </c>
      <c r="J146" s="19" t="s">
        <v>89</v>
      </c>
      <c r="K146" s="19" t="s">
        <v>161</v>
      </c>
      <c r="L146" s="99" t="s">
        <v>82</v>
      </c>
      <c r="M146" s="19" t="s">
        <v>82</v>
      </c>
      <c r="N146" s="19" t="s">
        <v>66</v>
      </c>
      <c r="O146" s="19" t="s">
        <v>387</v>
      </c>
      <c r="P146" s="19" t="s">
        <v>51</v>
      </c>
      <c r="Q146" s="19"/>
      <c r="R146" s="19" t="s">
        <v>237</v>
      </c>
      <c r="S146" s="19" t="s">
        <v>79</v>
      </c>
      <c r="T146" s="19" t="s">
        <v>56</v>
      </c>
      <c r="U146" s="19" t="s">
        <v>44</v>
      </c>
      <c r="V146" s="19">
        <v>22</v>
      </c>
      <c r="W146" s="93" t="s">
        <v>45</v>
      </c>
      <c r="X146" s="19" t="s">
        <v>46</v>
      </c>
      <c r="Y146" s="50"/>
      <c r="Z146" s="47"/>
      <c r="AA146" s="51"/>
      <c r="AB146" s="24">
        <v>4743.416490252569</v>
      </c>
      <c r="AC146" s="19" t="s">
        <v>214</v>
      </c>
      <c r="AD146" s="19">
        <v>280</v>
      </c>
      <c r="AE146" s="19">
        <v>280</v>
      </c>
      <c r="AF146" s="19">
        <v>280</v>
      </c>
      <c r="AG146" s="19" t="s">
        <v>270</v>
      </c>
      <c r="AH146" s="19"/>
      <c r="AI146" s="19"/>
      <c r="AJ146" s="19">
        <f t="shared" ref="AJ146:AJ163" si="47">MEDIAN(7.2,8.3)</f>
        <v>7.75</v>
      </c>
      <c r="AK146" s="19" t="s">
        <v>383</v>
      </c>
      <c r="AL146" s="19"/>
      <c r="AM146" s="19" t="s">
        <v>234</v>
      </c>
      <c r="AN146" s="19" t="s">
        <v>385</v>
      </c>
      <c r="AO146" s="19" t="s">
        <v>270</v>
      </c>
      <c r="AP146" s="94"/>
      <c r="AQ146" s="19" t="s">
        <v>90</v>
      </c>
      <c r="AR146" s="19" t="s">
        <v>386</v>
      </c>
      <c r="AS146" s="19"/>
      <c r="AT146" s="65" t="str">
        <f t="shared" si="40"/>
        <v>Y</v>
      </c>
      <c r="AU146" s="65" t="str">
        <f t="shared" si="43"/>
        <v>Y</v>
      </c>
      <c r="AV146" s="65" t="str">
        <f t="shared" si="34"/>
        <v>Y</v>
      </c>
      <c r="AW146" s="99"/>
      <c r="AX146" s="99"/>
      <c r="AY146" s="93"/>
      <c r="AZ146" s="96" t="str">
        <f t="shared" si="44"/>
        <v>LC50</v>
      </c>
      <c r="BA146" s="96">
        <f>IF(AZ146="n","n",VLOOKUP(AZ146,'Conversion factors'!$C$4:$D$24,2,FALSE))</f>
        <v>5</v>
      </c>
      <c r="BB146" s="96">
        <f t="shared" si="45"/>
        <v>948.68329805051383</v>
      </c>
      <c r="BC146" s="97"/>
      <c r="BD146" s="96" t="str">
        <f t="shared" si="41"/>
        <v>Chronic</v>
      </c>
      <c r="BE146" s="96" t="str">
        <f t="shared" si="46"/>
        <v>y</v>
      </c>
      <c r="BF146" s="98" t="str">
        <f t="shared" si="42"/>
        <v>LC50</v>
      </c>
      <c r="BG146" s="96" t="str">
        <f>IF(BF146="","",IF(ISNUMBER(VLOOKUP(BF146,'Conversion factors'!$B$35:$C$52,2,FALSE)),"y","n"))</f>
        <v>n</v>
      </c>
      <c r="BH146" s="99" t="s">
        <v>1505</v>
      </c>
      <c r="BI146" s="100"/>
      <c r="BJ146" s="100"/>
    </row>
    <row r="147" spans="1:62" ht="15.75" customHeight="1" x14ac:dyDescent="0.2">
      <c r="A147" s="46"/>
      <c r="B147" s="19">
        <v>194</v>
      </c>
      <c r="D147" s="36">
        <v>20727</v>
      </c>
      <c r="E147" s="93" t="s">
        <v>1224</v>
      </c>
      <c r="F147" s="93">
        <v>1999</v>
      </c>
      <c r="G147" s="19" t="s">
        <v>382</v>
      </c>
      <c r="H147" s="19"/>
      <c r="I147" s="19" t="s">
        <v>41</v>
      </c>
      <c r="J147" s="19" t="s">
        <v>89</v>
      </c>
      <c r="K147" s="19" t="s">
        <v>161</v>
      </c>
      <c r="L147" s="99" t="s">
        <v>82</v>
      </c>
      <c r="M147" s="19" t="s">
        <v>82</v>
      </c>
      <c r="N147" s="19" t="s">
        <v>66</v>
      </c>
      <c r="O147" s="19" t="s">
        <v>387</v>
      </c>
      <c r="P147" s="19" t="s">
        <v>51</v>
      </c>
      <c r="Q147" s="47"/>
      <c r="R147" s="19" t="s">
        <v>237</v>
      </c>
      <c r="S147" s="19" t="s">
        <v>79</v>
      </c>
      <c r="T147" s="19" t="s">
        <v>56</v>
      </c>
      <c r="U147" s="19" t="s">
        <v>44</v>
      </c>
      <c r="V147" s="19">
        <v>23</v>
      </c>
      <c r="W147" s="93" t="s">
        <v>45</v>
      </c>
      <c r="X147" s="19" t="s">
        <v>46</v>
      </c>
      <c r="Y147" s="50"/>
      <c r="Z147" s="47"/>
      <c r="AA147" s="51"/>
      <c r="AB147" s="24">
        <v>3939.1634039200603</v>
      </c>
      <c r="AC147" s="19" t="s">
        <v>214</v>
      </c>
      <c r="AD147" s="19">
        <v>280</v>
      </c>
      <c r="AE147" s="19">
        <v>280</v>
      </c>
      <c r="AF147" s="19">
        <v>280</v>
      </c>
      <c r="AG147" s="19" t="s">
        <v>270</v>
      </c>
      <c r="AH147" s="19"/>
      <c r="AI147" s="19"/>
      <c r="AJ147" s="19">
        <f t="shared" si="47"/>
        <v>7.75</v>
      </c>
      <c r="AK147" s="19" t="s">
        <v>383</v>
      </c>
      <c r="AL147" s="19"/>
      <c r="AM147" s="19" t="s">
        <v>234</v>
      </c>
      <c r="AN147" s="19" t="s">
        <v>385</v>
      </c>
      <c r="AO147" s="19" t="s">
        <v>270</v>
      </c>
      <c r="AP147" s="94"/>
      <c r="AQ147" s="19" t="s">
        <v>90</v>
      </c>
      <c r="AR147" s="19" t="s">
        <v>386</v>
      </c>
      <c r="AS147" s="19"/>
      <c r="AT147" s="65" t="str">
        <f t="shared" si="40"/>
        <v>Y</v>
      </c>
      <c r="AU147" s="65" t="str">
        <f t="shared" si="43"/>
        <v>Y</v>
      </c>
      <c r="AV147" s="65" t="str">
        <f t="shared" si="34"/>
        <v>Y</v>
      </c>
      <c r="AW147" s="99"/>
      <c r="AX147" s="99"/>
      <c r="AY147" s="93"/>
      <c r="AZ147" s="96" t="str">
        <f t="shared" si="44"/>
        <v>LC50</v>
      </c>
      <c r="BA147" s="96">
        <f>IF(AZ147="n","n",VLOOKUP(AZ147,'Conversion factors'!$C$4:$D$24,2,FALSE))</f>
        <v>5</v>
      </c>
      <c r="BB147" s="96">
        <f t="shared" si="45"/>
        <v>787.83268078401204</v>
      </c>
      <c r="BC147" s="97"/>
      <c r="BD147" s="96" t="str">
        <f t="shared" si="41"/>
        <v>Chronic</v>
      </c>
      <c r="BE147" s="96" t="str">
        <f t="shared" si="46"/>
        <v>y</v>
      </c>
      <c r="BF147" s="98" t="str">
        <f t="shared" si="42"/>
        <v>LC50</v>
      </c>
      <c r="BG147" s="96" t="str">
        <f>IF(BF147="","",IF(ISNUMBER(VLOOKUP(BF147,'Conversion factors'!$B$35:$C$52,2,FALSE)),"y","n"))</f>
        <v>n</v>
      </c>
      <c r="BH147" s="99" t="s">
        <v>1505</v>
      </c>
      <c r="BI147" s="100"/>
      <c r="BJ147" s="100"/>
    </row>
    <row r="148" spans="1:62" ht="15.75" customHeight="1" x14ac:dyDescent="0.2">
      <c r="A148" s="46"/>
      <c r="B148" s="19">
        <v>194</v>
      </c>
      <c r="D148" s="36">
        <v>20727</v>
      </c>
      <c r="E148" s="93" t="s">
        <v>1224</v>
      </c>
      <c r="F148" s="93">
        <v>1999</v>
      </c>
      <c r="G148" s="19" t="s">
        <v>382</v>
      </c>
      <c r="H148" s="19"/>
      <c r="I148" s="19" t="s">
        <v>41</v>
      </c>
      <c r="J148" s="19" t="s">
        <v>89</v>
      </c>
      <c r="K148" s="19" t="s">
        <v>161</v>
      </c>
      <c r="L148" s="99" t="s">
        <v>82</v>
      </c>
      <c r="M148" s="19" t="s">
        <v>82</v>
      </c>
      <c r="N148" s="19" t="s">
        <v>66</v>
      </c>
      <c r="O148" s="19" t="s">
        <v>387</v>
      </c>
      <c r="P148" s="19" t="s">
        <v>51</v>
      </c>
      <c r="Q148" s="47"/>
      <c r="R148" s="19" t="s">
        <v>237</v>
      </c>
      <c r="S148" s="19" t="s">
        <v>79</v>
      </c>
      <c r="T148" s="19" t="s">
        <v>56</v>
      </c>
      <c r="U148" s="19" t="s">
        <v>44</v>
      </c>
      <c r="V148" s="19">
        <v>24</v>
      </c>
      <c r="W148" s="93" t="s">
        <v>45</v>
      </c>
      <c r="X148" s="19" t="s">
        <v>46</v>
      </c>
      <c r="Y148" s="50"/>
      <c r="Z148" s="47"/>
      <c r="AA148" s="51"/>
      <c r="AB148" s="24">
        <v>2909.8840392184088</v>
      </c>
      <c r="AC148" s="19" t="s">
        <v>214</v>
      </c>
      <c r="AD148" s="19">
        <v>280</v>
      </c>
      <c r="AE148" s="19">
        <v>280</v>
      </c>
      <c r="AF148" s="19">
        <v>280</v>
      </c>
      <c r="AG148" s="19" t="s">
        <v>270</v>
      </c>
      <c r="AH148" s="19"/>
      <c r="AI148" s="19"/>
      <c r="AJ148" s="19">
        <f t="shared" si="47"/>
        <v>7.75</v>
      </c>
      <c r="AK148" s="19" t="s">
        <v>383</v>
      </c>
      <c r="AL148" s="19"/>
      <c r="AM148" s="19" t="s">
        <v>234</v>
      </c>
      <c r="AN148" s="19" t="s">
        <v>385</v>
      </c>
      <c r="AO148" s="19" t="s">
        <v>270</v>
      </c>
      <c r="AP148" s="94"/>
      <c r="AQ148" s="19" t="s">
        <v>90</v>
      </c>
      <c r="AR148" s="19" t="s">
        <v>386</v>
      </c>
      <c r="AS148" s="19"/>
      <c r="AT148" s="65" t="str">
        <f t="shared" si="40"/>
        <v>Y</v>
      </c>
      <c r="AU148" s="65" t="str">
        <f t="shared" si="43"/>
        <v>Y</v>
      </c>
      <c r="AV148" s="65" t="str">
        <f t="shared" si="34"/>
        <v>Y</v>
      </c>
      <c r="AW148" s="99"/>
      <c r="AX148" s="99"/>
      <c r="AY148" s="93"/>
      <c r="AZ148" s="96" t="str">
        <f t="shared" si="44"/>
        <v>LC50</v>
      </c>
      <c r="BA148" s="96">
        <f>IF(AZ148="n","n",VLOOKUP(AZ148,'Conversion factors'!$C$4:$D$24,2,FALSE))</f>
        <v>5</v>
      </c>
      <c r="BB148" s="96">
        <f t="shared" si="45"/>
        <v>581.97680784368174</v>
      </c>
      <c r="BC148" s="97"/>
      <c r="BD148" s="96" t="str">
        <f t="shared" si="41"/>
        <v>Chronic</v>
      </c>
      <c r="BE148" s="96" t="str">
        <f t="shared" si="46"/>
        <v>y</v>
      </c>
      <c r="BF148" s="98" t="str">
        <f t="shared" si="42"/>
        <v>LC50</v>
      </c>
      <c r="BG148" s="96" t="str">
        <f>IF(BF148="","",IF(ISNUMBER(VLOOKUP(BF148,'Conversion factors'!$B$35:$C$52,2,FALSE)),"y","n"))</f>
        <v>n</v>
      </c>
      <c r="BH148" s="99" t="s">
        <v>1505</v>
      </c>
      <c r="BI148" s="100"/>
      <c r="BJ148" s="100"/>
    </row>
    <row r="149" spans="1:62" ht="15.75" customHeight="1" x14ac:dyDescent="0.2">
      <c r="A149" s="46"/>
      <c r="B149" s="19">
        <v>194</v>
      </c>
      <c r="D149" s="36">
        <v>20727</v>
      </c>
      <c r="E149" s="93" t="s">
        <v>1224</v>
      </c>
      <c r="F149" s="93">
        <v>1999</v>
      </c>
      <c r="G149" s="19" t="s">
        <v>382</v>
      </c>
      <c r="H149" s="19"/>
      <c r="I149" s="19" t="s">
        <v>41</v>
      </c>
      <c r="J149" s="19" t="s">
        <v>89</v>
      </c>
      <c r="K149" s="19" t="s">
        <v>161</v>
      </c>
      <c r="L149" s="99" t="s">
        <v>82</v>
      </c>
      <c r="M149" s="19" t="s">
        <v>82</v>
      </c>
      <c r="N149" s="19" t="s">
        <v>66</v>
      </c>
      <c r="O149" s="19" t="s">
        <v>387</v>
      </c>
      <c r="P149" s="19" t="s">
        <v>51</v>
      </c>
      <c r="Q149" s="47"/>
      <c r="R149" s="19" t="s">
        <v>237</v>
      </c>
      <c r="S149" s="19" t="s">
        <v>79</v>
      </c>
      <c r="T149" s="19" t="s">
        <v>56</v>
      </c>
      <c r="U149" s="19" t="s">
        <v>44</v>
      </c>
      <c r="V149" s="19">
        <v>25</v>
      </c>
      <c r="W149" s="93" t="s">
        <v>45</v>
      </c>
      <c r="X149" s="19" t="s">
        <v>46</v>
      </c>
      <c r="Y149" s="50"/>
      <c r="Z149" s="47"/>
      <c r="AA149" s="51"/>
      <c r="AB149" s="24">
        <v>2085.635244584596</v>
      </c>
      <c r="AC149" s="19" t="s">
        <v>214</v>
      </c>
      <c r="AD149" s="19">
        <v>280</v>
      </c>
      <c r="AE149" s="19">
        <v>280</v>
      </c>
      <c r="AF149" s="19">
        <v>280</v>
      </c>
      <c r="AG149" s="19" t="s">
        <v>270</v>
      </c>
      <c r="AH149" s="19"/>
      <c r="AI149" s="19"/>
      <c r="AJ149" s="19">
        <f t="shared" si="47"/>
        <v>7.75</v>
      </c>
      <c r="AK149" s="19" t="s">
        <v>383</v>
      </c>
      <c r="AL149" s="19"/>
      <c r="AM149" s="19" t="s">
        <v>234</v>
      </c>
      <c r="AN149" s="19" t="s">
        <v>385</v>
      </c>
      <c r="AO149" s="19" t="s">
        <v>270</v>
      </c>
      <c r="AP149" s="94"/>
      <c r="AQ149" s="19" t="s">
        <v>90</v>
      </c>
      <c r="AR149" s="19" t="s">
        <v>386</v>
      </c>
      <c r="AS149" s="19"/>
      <c r="AT149" s="65" t="str">
        <f t="shared" si="40"/>
        <v>Y</v>
      </c>
      <c r="AU149" s="65" t="str">
        <f t="shared" si="43"/>
        <v>Y</v>
      </c>
      <c r="AV149" s="65" t="str">
        <f t="shared" si="34"/>
        <v>Y</v>
      </c>
      <c r="AW149" s="99"/>
      <c r="AX149" s="99"/>
      <c r="AY149" s="93"/>
      <c r="AZ149" s="96" t="str">
        <f t="shared" si="44"/>
        <v>LC50</v>
      </c>
      <c r="BA149" s="96">
        <f>IF(AZ149="n","n",VLOOKUP(AZ149,'Conversion factors'!$C$4:$D$24,2,FALSE))</f>
        <v>5</v>
      </c>
      <c r="BB149" s="96">
        <f t="shared" si="45"/>
        <v>417.12704891691919</v>
      </c>
      <c r="BC149" s="97"/>
      <c r="BD149" s="96" t="str">
        <f t="shared" si="41"/>
        <v>Chronic</v>
      </c>
      <c r="BE149" s="96" t="str">
        <f t="shared" si="46"/>
        <v>y</v>
      </c>
      <c r="BF149" s="98" t="str">
        <f t="shared" si="42"/>
        <v>LC50</v>
      </c>
      <c r="BG149" s="96" t="str">
        <f>IF(BF149="","",IF(ISNUMBER(VLOOKUP(BF149,'Conversion factors'!$B$35:$C$52,2,FALSE)),"y","n"))</f>
        <v>n</v>
      </c>
      <c r="BH149" s="99" t="s">
        <v>1505</v>
      </c>
      <c r="BI149" s="100"/>
      <c r="BJ149" s="100"/>
    </row>
    <row r="150" spans="1:62" ht="15.75" customHeight="1" x14ac:dyDescent="0.2">
      <c r="A150" s="46"/>
      <c r="B150" s="19">
        <v>194</v>
      </c>
      <c r="D150" s="36">
        <v>20727</v>
      </c>
      <c r="E150" s="93" t="s">
        <v>1224</v>
      </c>
      <c r="F150" s="93">
        <v>1999</v>
      </c>
      <c r="G150" s="19" t="s">
        <v>382</v>
      </c>
      <c r="H150" s="19"/>
      <c r="I150" s="19" t="s">
        <v>41</v>
      </c>
      <c r="J150" s="19" t="s">
        <v>89</v>
      </c>
      <c r="K150" s="19" t="s">
        <v>161</v>
      </c>
      <c r="L150" s="99" t="s">
        <v>82</v>
      </c>
      <c r="M150" s="19" t="s">
        <v>82</v>
      </c>
      <c r="N150" s="19" t="s">
        <v>66</v>
      </c>
      <c r="O150" s="19" t="s">
        <v>387</v>
      </c>
      <c r="P150" s="19" t="s">
        <v>51</v>
      </c>
      <c r="Q150" s="47"/>
      <c r="R150" s="19" t="s">
        <v>237</v>
      </c>
      <c r="S150" s="19" t="s">
        <v>79</v>
      </c>
      <c r="T150" s="19" t="s">
        <v>56</v>
      </c>
      <c r="U150" s="19" t="s">
        <v>44</v>
      </c>
      <c r="V150" s="19">
        <v>26</v>
      </c>
      <c r="W150" s="93" t="s">
        <v>45</v>
      </c>
      <c r="X150" s="19" t="s">
        <v>46</v>
      </c>
      <c r="Y150" s="50"/>
      <c r="Z150" s="47"/>
      <c r="AA150" s="51"/>
      <c r="AB150" s="24">
        <v>1685.6051480100462</v>
      </c>
      <c r="AC150" s="19" t="s">
        <v>214</v>
      </c>
      <c r="AD150" s="19">
        <v>280</v>
      </c>
      <c r="AE150" s="19">
        <v>280</v>
      </c>
      <c r="AF150" s="19">
        <v>280</v>
      </c>
      <c r="AG150" s="19" t="s">
        <v>270</v>
      </c>
      <c r="AH150" s="19"/>
      <c r="AI150" s="19"/>
      <c r="AJ150" s="19">
        <f t="shared" si="47"/>
        <v>7.75</v>
      </c>
      <c r="AK150" s="19" t="s">
        <v>383</v>
      </c>
      <c r="AL150" s="19"/>
      <c r="AM150" s="19" t="s">
        <v>234</v>
      </c>
      <c r="AN150" s="19" t="s">
        <v>385</v>
      </c>
      <c r="AO150" s="19" t="s">
        <v>270</v>
      </c>
      <c r="AP150" s="94"/>
      <c r="AQ150" s="19" t="s">
        <v>90</v>
      </c>
      <c r="AR150" s="19" t="s">
        <v>386</v>
      </c>
      <c r="AS150" s="19"/>
      <c r="AT150" s="65" t="str">
        <f t="shared" si="40"/>
        <v>Y</v>
      </c>
      <c r="AU150" s="65" t="str">
        <f t="shared" si="43"/>
        <v>Y</v>
      </c>
      <c r="AV150" s="65" t="str">
        <f t="shared" si="34"/>
        <v>Y</v>
      </c>
      <c r="AW150" s="99"/>
      <c r="AX150" s="99"/>
      <c r="AY150" s="93"/>
      <c r="AZ150" s="96" t="str">
        <f t="shared" si="44"/>
        <v>LC50</v>
      </c>
      <c r="BA150" s="96">
        <f>IF(AZ150="n","n",VLOOKUP(AZ150,'Conversion factors'!$C$4:$D$24,2,FALSE))</f>
        <v>5</v>
      </c>
      <c r="BB150" s="96">
        <f t="shared" si="45"/>
        <v>337.12102960200923</v>
      </c>
      <c r="BC150" s="97"/>
      <c r="BD150" s="96" t="str">
        <f t="shared" si="41"/>
        <v>Chronic</v>
      </c>
      <c r="BE150" s="96" t="str">
        <f t="shared" si="46"/>
        <v>y</v>
      </c>
      <c r="BF150" s="98" t="str">
        <f t="shared" si="42"/>
        <v>LC50</v>
      </c>
      <c r="BG150" s="96" t="str">
        <f>IF(BF150="","",IF(ISNUMBER(VLOOKUP(BF150,'Conversion factors'!$B$35:$C$52,2,FALSE)),"y","n"))</f>
        <v>n</v>
      </c>
      <c r="BH150" s="99" t="s">
        <v>1505</v>
      </c>
      <c r="BI150" s="100"/>
      <c r="BJ150" s="100"/>
    </row>
    <row r="151" spans="1:62" ht="15.75" customHeight="1" x14ac:dyDescent="0.2">
      <c r="A151" s="46"/>
      <c r="B151" s="19">
        <v>194</v>
      </c>
      <c r="D151" s="36">
        <v>20727</v>
      </c>
      <c r="E151" s="93" t="s">
        <v>1224</v>
      </c>
      <c r="F151" s="93">
        <v>1999</v>
      </c>
      <c r="G151" s="19" t="s">
        <v>382</v>
      </c>
      <c r="H151" s="19"/>
      <c r="I151" s="19" t="s">
        <v>41</v>
      </c>
      <c r="J151" s="19" t="s">
        <v>89</v>
      </c>
      <c r="K151" s="19" t="s">
        <v>161</v>
      </c>
      <c r="L151" s="99" t="s">
        <v>82</v>
      </c>
      <c r="M151" s="19" t="s">
        <v>82</v>
      </c>
      <c r="N151" s="19" t="s">
        <v>66</v>
      </c>
      <c r="O151" s="19" t="s">
        <v>387</v>
      </c>
      <c r="P151" s="19" t="s">
        <v>51</v>
      </c>
      <c r="Q151" s="47"/>
      <c r="R151" s="19" t="s">
        <v>237</v>
      </c>
      <c r="S151" s="19" t="s">
        <v>79</v>
      </c>
      <c r="T151" s="19" t="s">
        <v>56</v>
      </c>
      <c r="U151" s="19" t="s">
        <v>44</v>
      </c>
      <c r="V151" s="19">
        <v>27</v>
      </c>
      <c r="W151" s="93" t="s">
        <v>45</v>
      </c>
      <c r="X151" s="19" t="s">
        <v>46</v>
      </c>
      <c r="Y151" s="50"/>
      <c r="Z151" s="47"/>
      <c r="AA151" s="51"/>
      <c r="AB151" s="24">
        <v>1269.6153831653505</v>
      </c>
      <c r="AC151" s="19" t="s">
        <v>214</v>
      </c>
      <c r="AD151" s="19">
        <v>280</v>
      </c>
      <c r="AE151" s="19">
        <v>280</v>
      </c>
      <c r="AF151" s="19">
        <v>280</v>
      </c>
      <c r="AG151" s="19" t="s">
        <v>270</v>
      </c>
      <c r="AH151" s="19"/>
      <c r="AI151" s="19"/>
      <c r="AJ151" s="19">
        <f t="shared" si="47"/>
        <v>7.75</v>
      </c>
      <c r="AK151" s="19" t="s">
        <v>383</v>
      </c>
      <c r="AL151" s="19"/>
      <c r="AM151" s="19" t="s">
        <v>234</v>
      </c>
      <c r="AN151" s="19" t="s">
        <v>385</v>
      </c>
      <c r="AO151" s="19" t="s">
        <v>270</v>
      </c>
      <c r="AP151" s="94"/>
      <c r="AQ151" s="19" t="s">
        <v>90</v>
      </c>
      <c r="AR151" s="19" t="s">
        <v>386</v>
      </c>
      <c r="AS151" s="19"/>
      <c r="AT151" s="65" t="str">
        <f t="shared" si="40"/>
        <v>Y</v>
      </c>
      <c r="AU151" s="65" t="str">
        <f t="shared" si="43"/>
        <v>Y</v>
      </c>
      <c r="AV151" s="65" t="str">
        <f t="shared" si="34"/>
        <v>Y</v>
      </c>
      <c r="AW151" s="99"/>
      <c r="AX151" s="99"/>
      <c r="AY151" s="93"/>
      <c r="AZ151" s="96" t="str">
        <f t="shared" si="44"/>
        <v>LC50</v>
      </c>
      <c r="BA151" s="96">
        <f>IF(AZ151="n","n",VLOOKUP(AZ151,'Conversion factors'!$C$4:$D$24,2,FALSE))</f>
        <v>5</v>
      </c>
      <c r="BB151" s="96">
        <f t="shared" si="45"/>
        <v>253.92307663307011</v>
      </c>
      <c r="BC151" s="97"/>
      <c r="BD151" s="96" t="str">
        <f t="shared" si="41"/>
        <v>Chronic</v>
      </c>
      <c r="BE151" s="96" t="str">
        <f t="shared" si="46"/>
        <v>y</v>
      </c>
      <c r="BF151" s="98" t="str">
        <f t="shared" si="42"/>
        <v>LC50</v>
      </c>
      <c r="BG151" s="96" t="str">
        <f>IF(BF151="","",IF(ISNUMBER(VLOOKUP(BF151,'Conversion factors'!$B$35:$C$52,2,FALSE)),"y","n"))</f>
        <v>n</v>
      </c>
      <c r="BH151" s="99" t="s">
        <v>1505</v>
      </c>
      <c r="BI151" s="100"/>
      <c r="BJ151" s="100"/>
    </row>
    <row r="152" spans="1:62" ht="15.75" customHeight="1" x14ac:dyDescent="0.2">
      <c r="A152" s="46"/>
      <c r="B152" s="19">
        <v>194</v>
      </c>
      <c r="D152" s="36">
        <v>20727</v>
      </c>
      <c r="E152" s="93" t="s">
        <v>1224</v>
      </c>
      <c r="F152" s="93">
        <v>1999</v>
      </c>
      <c r="G152" s="19" t="s">
        <v>382</v>
      </c>
      <c r="H152" s="19"/>
      <c r="I152" s="19" t="s">
        <v>41</v>
      </c>
      <c r="J152" s="19" t="s">
        <v>89</v>
      </c>
      <c r="K152" s="19" t="s">
        <v>161</v>
      </c>
      <c r="L152" s="99" t="s">
        <v>82</v>
      </c>
      <c r="M152" s="19" t="s">
        <v>82</v>
      </c>
      <c r="N152" s="19" t="s">
        <v>66</v>
      </c>
      <c r="O152" s="19" t="s">
        <v>387</v>
      </c>
      <c r="P152" s="19" t="s">
        <v>51</v>
      </c>
      <c r="Q152" s="47"/>
      <c r="R152" s="19" t="s">
        <v>237</v>
      </c>
      <c r="S152" s="19" t="s">
        <v>79</v>
      </c>
      <c r="T152" s="19" t="s">
        <v>56</v>
      </c>
      <c r="U152" s="19" t="s">
        <v>44</v>
      </c>
      <c r="V152" s="19">
        <v>28</v>
      </c>
      <c r="W152" s="93" t="s">
        <v>45</v>
      </c>
      <c r="X152" s="19" t="s">
        <v>46</v>
      </c>
      <c r="Y152" s="50"/>
      <c r="Z152" s="47"/>
      <c r="AA152" s="51"/>
      <c r="AB152" s="24">
        <v>1025.2515876696709</v>
      </c>
      <c r="AC152" s="19" t="s">
        <v>214</v>
      </c>
      <c r="AD152" s="19">
        <v>280</v>
      </c>
      <c r="AE152" s="19">
        <v>280</v>
      </c>
      <c r="AF152" s="19">
        <v>280</v>
      </c>
      <c r="AG152" s="19" t="s">
        <v>270</v>
      </c>
      <c r="AH152" s="19"/>
      <c r="AI152" s="19"/>
      <c r="AJ152" s="19">
        <f t="shared" si="47"/>
        <v>7.75</v>
      </c>
      <c r="AK152" s="19" t="s">
        <v>383</v>
      </c>
      <c r="AL152" s="19"/>
      <c r="AM152" s="19" t="s">
        <v>234</v>
      </c>
      <c r="AN152" s="19" t="s">
        <v>385</v>
      </c>
      <c r="AO152" s="19" t="s">
        <v>270</v>
      </c>
      <c r="AP152" s="94"/>
      <c r="AQ152" s="19" t="s">
        <v>90</v>
      </c>
      <c r="AR152" s="19" t="s">
        <v>386</v>
      </c>
      <c r="AS152" s="19"/>
      <c r="AT152" s="65" t="str">
        <f t="shared" si="40"/>
        <v>Y</v>
      </c>
      <c r="AU152" s="65" t="str">
        <f t="shared" si="43"/>
        <v>Y</v>
      </c>
      <c r="AV152" s="65" t="str">
        <f t="shared" si="34"/>
        <v>Y</v>
      </c>
      <c r="AW152" s="99"/>
      <c r="AX152" s="99"/>
      <c r="AY152" s="93"/>
      <c r="AZ152" s="96" t="str">
        <f t="shared" si="44"/>
        <v>LC50</v>
      </c>
      <c r="BA152" s="96">
        <f>IF(AZ152="n","n",VLOOKUP(AZ152,'Conversion factors'!$C$4:$D$24,2,FALSE))</f>
        <v>5</v>
      </c>
      <c r="BB152" s="96">
        <f t="shared" si="45"/>
        <v>205.05031753393419</v>
      </c>
      <c r="BC152" s="97"/>
      <c r="BD152" s="96" t="str">
        <f t="shared" si="41"/>
        <v>Chronic</v>
      </c>
      <c r="BE152" s="96" t="str">
        <f t="shared" si="46"/>
        <v>y</v>
      </c>
      <c r="BF152" s="98" t="str">
        <f t="shared" si="42"/>
        <v>LC50</v>
      </c>
      <c r="BG152" s="96" t="str">
        <f>IF(BF152="","",IF(ISNUMBER(VLOOKUP(BF152,'Conversion factors'!$B$35:$C$52,2,FALSE)),"y","n"))</f>
        <v>n</v>
      </c>
      <c r="BH152" s="99" t="s">
        <v>1505</v>
      </c>
      <c r="BI152" s="100"/>
      <c r="BJ152" s="100"/>
    </row>
    <row r="153" spans="1:62" ht="15.75" customHeight="1" x14ac:dyDescent="0.2">
      <c r="A153" s="46"/>
      <c r="B153" s="19">
        <v>194</v>
      </c>
      <c r="D153" s="36">
        <v>20727</v>
      </c>
      <c r="E153" s="93" t="s">
        <v>1224</v>
      </c>
      <c r="F153" s="93">
        <v>1999</v>
      </c>
      <c r="G153" s="19" t="s">
        <v>382</v>
      </c>
      <c r="H153" s="19"/>
      <c r="I153" s="19" t="s">
        <v>41</v>
      </c>
      <c r="J153" s="19" t="s">
        <v>89</v>
      </c>
      <c r="K153" s="19" t="s">
        <v>161</v>
      </c>
      <c r="L153" s="99" t="s">
        <v>82</v>
      </c>
      <c r="M153" s="19" t="s">
        <v>82</v>
      </c>
      <c r="N153" s="19" t="s">
        <v>66</v>
      </c>
      <c r="O153" s="19" t="s">
        <v>387</v>
      </c>
      <c r="P153" s="19" t="s">
        <v>51</v>
      </c>
      <c r="Q153" s="47"/>
      <c r="R153" s="19" t="s">
        <v>237</v>
      </c>
      <c r="S153" s="19" t="s">
        <v>79</v>
      </c>
      <c r="T153" s="19" t="s">
        <v>56</v>
      </c>
      <c r="U153" s="19" t="s">
        <v>44</v>
      </c>
      <c r="V153" s="19">
        <v>29</v>
      </c>
      <c r="W153" s="93" t="s">
        <v>45</v>
      </c>
      <c r="X153" s="19" t="s">
        <v>46</v>
      </c>
      <c r="Y153" s="50"/>
      <c r="Z153" s="47"/>
      <c r="AA153" s="51"/>
      <c r="AB153" s="24">
        <v>1103.4265599645487</v>
      </c>
      <c r="AC153" s="19" t="s">
        <v>214</v>
      </c>
      <c r="AD153" s="19">
        <v>280</v>
      </c>
      <c r="AE153" s="19">
        <v>280</v>
      </c>
      <c r="AF153" s="19">
        <v>280</v>
      </c>
      <c r="AG153" s="19" t="s">
        <v>270</v>
      </c>
      <c r="AH153" s="19"/>
      <c r="AI153" s="19"/>
      <c r="AJ153" s="19">
        <f t="shared" si="47"/>
        <v>7.75</v>
      </c>
      <c r="AK153" s="19" t="s">
        <v>383</v>
      </c>
      <c r="AL153" s="19"/>
      <c r="AM153" s="19" t="s">
        <v>234</v>
      </c>
      <c r="AN153" s="19" t="s">
        <v>385</v>
      </c>
      <c r="AO153" s="19" t="s">
        <v>270</v>
      </c>
      <c r="AP153" s="94"/>
      <c r="AQ153" s="19" t="s">
        <v>90</v>
      </c>
      <c r="AR153" s="19" t="s">
        <v>386</v>
      </c>
      <c r="AS153" s="19"/>
      <c r="AT153" s="65" t="str">
        <f t="shared" si="40"/>
        <v>Y</v>
      </c>
      <c r="AU153" s="65" t="str">
        <f t="shared" si="43"/>
        <v>Y</v>
      </c>
      <c r="AV153" s="65" t="str">
        <f t="shared" si="34"/>
        <v>Y</v>
      </c>
      <c r="AW153" s="99"/>
      <c r="AX153" s="99"/>
      <c r="AY153" s="93"/>
      <c r="AZ153" s="96" t="str">
        <f t="shared" si="44"/>
        <v>LC50</v>
      </c>
      <c r="BA153" s="96">
        <f>IF(AZ153="n","n",VLOOKUP(AZ153,'Conversion factors'!$C$4:$D$24,2,FALSE))</f>
        <v>5</v>
      </c>
      <c r="BB153" s="96">
        <f t="shared" si="45"/>
        <v>220.68531199290973</v>
      </c>
      <c r="BC153" s="97"/>
      <c r="BD153" s="96" t="str">
        <f t="shared" si="41"/>
        <v>Chronic</v>
      </c>
      <c r="BE153" s="96" t="str">
        <f t="shared" si="46"/>
        <v>y</v>
      </c>
      <c r="BF153" s="98" t="str">
        <f t="shared" si="42"/>
        <v>LC50</v>
      </c>
      <c r="BG153" s="96" t="str">
        <f>IF(BF153="","",IF(ISNUMBER(VLOOKUP(BF153,'Conversion factors'!$B$35:$C$52,2,FALSE)),"y","n"))</f>
        <v>n</v>
      </c>
      <c r="BH153" s="99" t="s">
        <v>1505</v>
      </c>
      <c r="BI153" s="100"/>
      <c r="BJ153" s="100"/>
    </row>
    <row r="154" spans="1:62" ht="15.75" customHeight="1" x14ac:dyDescent="0.2">
      <c r="A154" s="46"/>
      <c r="B154" s="19">
        <v>194</v>
      </c>
      <c r="D154" s="36">
        <v>20727</v>
      </c>
      <c r="E154" s="93" t="s">
        <v>1224</v>
      </c>
      <c r="F154" s="93">
        <v>1999</v>
      </c>
      <c r="G154" s="19" t="s">
        <v>382</v>
      </c>
      <c r="H154" s="19"/>
      <c r="I154" s="19" t="s">
        <v>41</v>
      </c>
      <c r="J154" s="19" t="s">
        <v>89</v>
      </c>
      <c r="K154" s="19" t="s">
        <v>161</v>
      </c>
      <c r="L154" s="99" t="s">
        <v>82</v>
      </c>
      <c r="M154" s="19" t="s">
        <v>82</v>
      </c>
      <c r="N154" s="19" t="s">
        <v>66</v>
      </c>
      <c r="O154" s="19" t="s">
        <v>387</v>
      </c>
      <c r="P154" s="19" t="s">
        <v>51</v>
      </c>
      <c r="Q154" s="47"/>
      <c r="R154" s="19" t="s">
        <v>237</v>
      </c>
      <c r="S154" s="19" t="s">
        <v>79</v>
      </c>
      <c r="T154" s="19" t="s">
        <v>56</v>
      </c>
      <c r="U154" s="19" t="s">
        <v>44</v>
      </c>
      <c r="V154" s="19">
        <v>30</v>
      </c>
      <c r="W154" s="93" t="s">
        <v>45</v>
      </c>
      <c r="X154" s="19" t="s">
        <v>46</v>
      </c>
      <c r="Y154" s="50"/>
      <c r="Z154" s="47"/>
      <c r="AA154" s="51"/>
      <c r="AB154" s="24">
        <v>999.9199871969272</v>
      </c>
      <c r="AC154" s="19" t="s">
        <v>214</v>
      </c>
      <c r="AD154" s="19">
        <v>280</v>
      </c>
      <c r="AE154" s="19">
        <v>280</v>
      </c>
      <c r="AF154" s="19">
        <v>280</v>
      </c>
      <c r="AG154" s="19" t="s">
        <v>270</v>
      </c>
      <c r="AH154" s="19"/>
      <c r="AI154" s="19"/>
      <c r="AJ154" s="19">
        <f t="shared" si="47"/>
        <v>7.75</v>
      </c>
      <c r="AK154" s="19" t="s">
        <v>383</v>
      </c>
      <c r="AL154" s="19"/>
      <c r="AM154" s="19" t="s">
        <v>234</v>
      </c>
      <c r="AN154" s="19" t="s">
        <v>385</v>
      </c>
      <c r="AO154" s="19" t="s">
        <v>270</v>
      </c>
      <c r="AP154" s="94"/>
      <c r="AQ154" s="19" t="s">
        <v>90</v>
      </c>
      <c r="AR154" s="19" t="s">
        <v>386</v>
      </c>
      <c r="AS154" s="19"/>
      <c r="AT154" s="65" t="str">
        <f t="shared" si="40"/>
        <v>Y</v>
      </c>
      <c r="AU154" s="65" t="str">
        <f t="shared" si="43"/>
        <v>Y</v>
      </c>
      <c r="AV154" s="65" t="str">
        <f t="shared" si="34"/>
        <v>Y</v>
      </c>
      <c r="AW154" s="99"/>
      <c r="AX154" s="99"/>
      <c r="AY154" s="93"/>
      <c r="AZ154" s="96" t="str">
        <f t="shared" si="44"/>
        <v>LC50</v>
      </c>
      <c r="BA154" s="96">
        <f>IF(AZ154="n","n",VLOOKUP(AZ154,'Conversion factors'!$C$4:$D$24,2,FALSE))</f>
        <v>5</v>
      </c>
      <c r="BB154" s="96">
        <f t="shared" si="45"/>
        <v>199.98399743938543</v>
      </c>
      <c r="BC154" s="97"/>
      <c r="BD154" s="96" t="str">
        <f t="shared" si="41"/>
        <v>Chronic</v>
      </c>
      <c r="BE154" s="96" t="str">
        <f t="shared" si="46"/>
        <v>y</v>
      </c>
      <c r="BF154" s="98" t="str">
        <f t="shared" si="42"/>
        <v>LC50</v>
      </c>
      <c r="BG154" s="96" t="str">
        <f>IF(BF154="","",IF(ISNUMBER(VLOOKUP(BF154,'Conversion factors'!$B$35:$C$52,2,FALSE)),"y","n"))</f>
        <v>n</v>
      </c>
      <c r="BH154" s="99" t="s">
        <v>1505</v>
      </c>
      <c r="BI154" s="100"/>
      <c r="BJ154" s="100"/>
    </row>
    <row r="155" spans="1:62" ht="15.75" customHeight="1" x14ac:dyDescent="0.2">
      <c r="A155" s="18"/>
      <c r="B155" s="19">
        <v>194</v>
      </c>
      <c r="D155" s="36">
        <v>20727</v>
      </c>
      <c r="E155" s="93" t="s">
        <v>1224</v>
      </c>
      <c r="F155" s="93">
        <v>1999</v>
      </c>
      <c r="G155" s="19" t="s">
        <v>382</v>
      </c>
      <c r="H155" s="19"/>
      <c r="I155" s="19" t="s">
        <v>41</v>
      </c>
      <c r="J155" s="19" t="s">
        <v>89</v>
      </c>
      <c r="K155" s="19" t="s">
        <v>161</v>
      </c>
      <c r="L155" s="99" t="s">
        <v>82</v>
      </c>
      <c r="M155" s="19" t="s">
        <v>82</v>
      </c>
      <c r="N155" s="19" t="s">
        <v>66</v>
      </c>
      <c r="O155" s="19" t="s">
        <v>292</v>
      </c>
      <c r="P155" s="19" t="s">
        <v>51</v>
      </c>
      <c r="Q155" s="19"/>
      <c r="R155" s="19" t="s">
        <v>237</v>
      </c>
      <c r="S155" s="19" t="s">
        <v>79</v>
      </c>
      <c r="T155" s="19" t="s">
        <v>56</v>
      </c>
      <c r="U155" s="19" t="s">
        <v>44</v>
      </c>
      <c r="V155" s="93">
        <v>22</v>
      </c>
      <c r="W155" s="93" t="s">
        <v>45</v>
      </c>
      <c r="X155" s="19" t="s">
        <v>46</v>
      </c>
      <c r="Y155" s="29"/>
      <c r="Z155" s="105"/>
      <c r="AA155" s="24">
        <v>422.54991072689376</v>
      </c>
      <c r="AB155" s="106">
        <v>3900</v>
      </c>
      <c r="AC155" s="19" t="s">
        <v>214</v>
      </c>
      <c r="AD155" s="19">
        <v>280</v>
      </c>
      <c r="AE155" s="19">
        <v>280</v>
      </c>
      <c r="AF155" s="19">
        <v>280</v>
      </c>
      <c r="AG155" s="19" t="s">
        <v>270</v>
      </c>
      <c r="AH155" s="19"/>
      <c r="AI155" s="19"/>
      <c r="AJ155" s="19">
        <f t="shared" si="47"/>
        <v>7.75</v>
      </c>
      <c r="AK155" s="19" t="s">
        <v>383</v>
      </c>
      <c r="AL155" s="19"/>
      <c r="AM155" s="19" t="s">
        <v>234</v>
      </c>
      <c r="AN155" s="19" t="s">
        <v>385</v>
      </c>
      <c r="AO155" s="19" t="s">
        <v>270</v>
      </c>
      <c r="AP155" s="94"/>
      <c r="AQ155" s="19" t="s">
        <v>90</v>
      </c>
      <c r="AR155" s="19" t="s">
        <v>386</v>
      </c>
      <c r="AS155" s="19"/>
      <c r="AT155" s="65" t="str">
        <f t="shared" si="40"/>
        <v>Y</v>
      </c>
      <c r="AU155" s="65" t="str">
        <f t="shared" si="43"/>
        <v>Y</v>
      </c>
      <c r="AV155" s="65" t="str">
        <f t="shared" si="34"/>
        <v>Y</v>
      </c>
      <c r="AW155" s="99"/>
      <c r="AX155" s="99"/>
      <c r="AY155" s="93"/>
      <c r="AZ155" s="96" t="str">
        <f t="shared" si="44"/>
        <v>LC50</v>
      </c>
      <c r="BA155" s="96">
        <f>IF(AZ155="n","n",VLOOKUP(AZ155,'Conversion factors'!$C$4:$D$24,2,FALSE))</f>
        <v>5</v>
      </c>
      <c r="BB155" s="96">
        <f t="shared" si="45"/>
        <v>780</v>
      </c>
      <c r="BC155" s="97"/>
      <c r="BD155" s="96" t="str">
        <f t="shared" si="41"/>
        <v>Chronic</v>
      </c>
      <c r="BE155" s="96" t="str">
        <f t="shared" si="46"/>
        <v>y</v>
      </c>
      <c r="BF155" s="98" t="str">
        <f t="shared" si="42"/>
        <v>LC50</v>
      </c>
      <c r="BG155" s="96" t="str">
        <f>IF(BF155="","",IF(ISNUMBER(VLOOKUP(BF155,'Conversion factors'!$B$35:$C$52,2,FALSE)),"y","n"))</f>
        <v>n</v>
      </c>
      <c r="BH155" s="99" t="s">
        <v>1505</v>
      </c>
      <c r="BI155" s="100"/>
      <c r="BJ155" s="100"/>
    </row>
    <row r="156" spans="1:62" ht="15.75" customHeight="1" x14ac:dyDescent="0.2">
      <c r="A156" s="46"/>
      <c r="B156" s="19">
        <v>194</v>
      </c>
      <c r="D156" s="36">
        <v>20727</v>
      </c>
      <c r="E156" s="93" t="s">
        <v>1224</v>
      </c>
      <c r="F156" s="93">
        <v>1999</v>
      </c>
      <c r="G156" s="19" t="s">
        <v>382</v>
      </c>
      <c r="H156" s="19"/>
      <c r="I156" s="19" t="s">
        <v>41</v>
      </c>
      <c r="J156" s="19" t="s">
        <v>89</v>
      </c>
      <c r="K156" s="19" t="s">
        <v>161</v>
      </c>
      <c r="L156" s="99" t="s">
        <v>82</v>
      </c>
      <c r="M156" s="19" t="s">
        <v>82</v>
      </c>
      <c r="N156" s="19" t="s">
        <v>66</v>
      </c>
      <c r="O156" s="19" t="s">
        <v>292</v>
      </c>
      <c r="P156" s="19" t="s">
        <v>51</v>
      </c>
      <c r="Q156" s="19"/>
      <c r="R156" s="19" t="s">
        <v>237</v>
      </c>
      <c r="S156" s="19" t="s">
        <v>79</v>
      </c>
      <c r="T156" s="19" t="s">
        <v>56</v>
      </c>
      <c r="U156" s="19" t="s">
        <v>44</v>
      </c>
      <c r="V156" s="19">
        <v>23</v>
      </c>
      <c r="W156" s="93" t="s">
        <v>45</v>
      </c>
      <c r="X156" s="19" t="s">
        <v>46</v>
      </c>
      <c r="Y156" s="50"/>
      <c r="Z156" s="47"/>
      <c r="AA156" s="51"/>
      <c r="AB156" s="24">
        <v>4211.3684645684089</v>
      </c>
      <c r="AC156" s="19" t="s">
        <v>214</v>
      </c>
      <c r="AD156" s="19">
        <v>280</v>
      </c>
      <c r="AE156" s="19">
        <v>280</v>
      </c>
      <c r="AF156" s="19">
        <v>280</v>
      </c>
      <c r="AG156" s="19" t="s">
        <v>270</v>
      </c>
      <c r="AH156" s="19"/>
      <c r="AI156" s="19"/>
      <c r="AJ156" s="19">
        <f t="shared" si="47"/>
        <v>7.75</v>
      </c>
      <c r="AK156" s="19" t="s">
        <v>383</v>
      </c>
      <c r="AL156" s="19"/>
      <c r="AM156" s="19" t="s">
        <v>234</v>
      </c>
      <c r="AN156" s="19" t="s">
        <v>385</v>
      </c>
      <c r="AO156" s="19" t="s">
        <v>270</v>
      </c>
      <c r="AP156" s="94"/>
      <c r="AQ156" s="19" t="s">
        <v>90</v>
      </c>
      <c r="AR156" s="19" t="s">
        <v>386</v>
      </c>
      <c r="AS156" s="19"/>
      <c r="AT156" s="65" t="str">
        <f t="shared" si="40"/>
        <v>Y</v>
      </c>
      <c r="AU156" s="65" t="str">
        <f t="shared" si="43"/>
        <v>Y</v>
      </c>
      <c r="AV156" s="65" t="str">
        <f t="shared" si="34"/>
        <v>Y</v>
      </c>
      <c r="AW156" s="99"/>
      <c r="AX156" s="99"/>
      <c r="AY156" s="93"/>
      <c r="AZ156" s="96" t="str">
        <f t="shared" si="44"/>
        <v>LC50</v>
      </c>
      <c r="BA156" s="96">
        <f>IF(AZ156="n","n",VLOOKUP(AZ156,'Conversion factors'!$C$4:$D$24,2,FALSE))</f>
        <v>5</v>
      </c>
      <c r="BB156" s="96">
        <f t="shared" si="45"/>
        <v>842.27369291368177</v>
      </c>
      <c r="BC156" s="97"/>
      <c r="BD156" s="96" t="str">
        <f t="shared" si="41"/>
        <v>Chronic</v>
      </c>
      <c r="BE156" s="96" t="str">
        <f t="shared" si="46"/>
        <v>y</v>
      </c>
      <c r="BF156" s="98" t="str">
        <f t="shared" si="42"/>
        <v>LC50</v>
      </c>
      <c r="BG156" s="96" t="str">
        <f>IF(BF156="","",IF(ISNUMBER(VLOOKUP(BF156,'Conversion factors'!$B$35:$C$52,2,FALSE)),"y","n"))</f>
        <v>n</v>
      </c>
      <c r="BH156" s="99" t="s">
        <v>1505</v>
      </c>
      <c r="BI156" s="100"/>
      <c r="BJ156" s="100"/>
    </row>
    <row r="157" spans="1:62" ht="15.75" customHeight="1" x14ac:dyDescent="0.2">
      <c r="A157" s="46"/>
      <c r="B157" s="19">
        <v>194</v>
      </c>
      <c r="D157" s="36">
        <v>20727</v>
      </c>
      <c r="E157" s="93" t="s">
        <v>1224</v>
      </c>
      <c r="F157" s="93">
        <v>1999</v>
      </c>
      <c r="G157" s="19" t="s">
        <v>382</v>
      </c>
      <c r="H157" s="19"/>
      <c r="I157" s="19" t="s">
        <v>41</v>
      </c>
      <c r="J157" s="19" t="s">
        <v>89</v>
      </c>
      <c r="K157" s="19" t="s">
        <v>161</v>
      </c>
      <c r="L157" s="99" t="s">
        <v>82</v>
      </c>
      <c r="M157" s="19" t="s">
        <v>82</v>
      </c>
      <c r="N157" s="19" t="s">
        <v>66</v>
      </c>
      <c r="O157" s="19" t="s">
        <v>292</v>
      </c>
      <c r="P157" s="19" t="s">
        <v>51</v>
      </c>
      <c r="Q157" s="19"/>
      <c r="R157" s="19" t="s">
        <v>237</v>
      </c>
      <c r="S157" s="19" t="s">
        <v>79</v>
      </c>
      <c r="T157" s="19" t="s">
        <v>56</v>
      </c>
      <c r="U157" s="19" t="s">
        <v>44</v>
      </c>
      <c r="V157" s="19">
        <v>24</v>
      </c>
      <c r="W157" s="93" t="s">
        <v>45</v>
      </c>
      <c r="X157" s="19" t="s">
        <v>46</v>
      </c>
      <c r="Y157" s="50"/>
      <c r="Z157" s="47"/>
      <c r="AA157" s="51"/>
      <c r="AB157" s="24">
        <v>3577.1696320488959</v>
      </c>
      <c r="AC157" s="19" t="s">
        <v>214</v>
      </c>
      <c r="AD157" s="19">
        <v>280</v>
      </c>
      <c r="AE157" s="19">
        <v>280</v>
      </c>
      <c r="AF157" s="19">
        <v>280</v>
      </c>
      <c r="AG157" s="19" t="s">
        <v>270</v>
      </c>
      <c r="AH157" s="19"/>
      <c r="AI157" s="19"/>
      <c r="AJ157" s="19">
        <f t="shared" si="47"/>
        <v>7.75</v>
      </c>
      <c r="AK157" s="19" t="s">
        <v>383</v>
      </c>
      <c r="AL157" s="19"/>
      <c r="AM157" s="19" t="s">
        <v>234</v>
      </c>
      <c r="AN157" s="19" t="s">
        <v>385</v>
      </c>
      <c r="AO157" s="19" t="s">
        <v>270</v>
      </c>
      <c r="AP157" s="94"/>
      <c r="AQ157" s="19" t="s">
        <v>90</v>
      </c>
      <c r="AR157" s="19" t="s">
        <v>386</v>
      </c>
      <c r="AS157" s="19"/>
      <c r="AT157" s="65" t="str">
        <f t="shared" si="40"/>
        <v>Y</v>
      </c>
      <c r="AU157" s="65" t="str">
        <f t="shared" si="43"/>
        <v>Y</v>
      </c>
      <c r="AV157" s="65" t="str">
        <f t="shared" si="34"/>
        <v>Y</v>
      </c>
      <c r="AW157" s="99"/>
      <c r="AX157" s="99"/>
      <c r="AY157" s="93"/>
      <c r="AZ157" s="96" t="str">
        <f t="shared" si="44"/>
        <v>LC50</v>
      </c>
      <c r="BA157" s="96">
        <f>IF(AZ157="n","n",VLOOKUP(AZ157,'Conversion factors'!$C$4:$D$24,2,FALSE))</f>
        <v>5</v>
      </c>
      <c r="BB157" s="96">
        <f t="shared" si="45"/>
        <v>715.43392640977913</v>
      </c>
      <c r="BC157" s="97"/>
      <c r="BD157" s="96" t="str">
        <f t="shared" si="41"/>
        <v>Chronic</v>
      </c>
      <c r="BE157" s="96" t="str">
        <f t="shared" si="46"/>
        <v>y</v>
      </c>
      <c r="BF157" s="98" t="str">
        <f t="shared" si="42"/>
        <v>LC50</v>
      </c>
      <c r="BG157" s="96" t="str">
        <f>IF(BF157="","",IF(ISNUMBER(VLOOKUP(BF157,'Conversion factors'!$B$35:$C$52,2,FALSE)),"y","n"))</f>
        <v>n</v>
      </c>
      <c r="BH157" s="99" t="s">
        <v>1505</v>
      </c>
      <c r="BI157" s="100"/>
      <c r="BJ157" s="100"/>
    </row>
    <row r="158" spans="1:62" ht="15.75" customHeight="1" x14ac:dyDescent="0.2">
      <c r="A158" s="46"/>
      <c r="B158" s="19">
        <v>194</v>
      </c>
      <c r="D158" s="36">
        <v>20727</v>
      </c>
      <c r="E158" s="93" t="s">
        <v>1224</v>
      </c>
      <c r="F158" s="93">
        <v>1999</v>
      </c>
      <c r="G158" s="19" t="s">
        <v>382</v>
      </c>
      <c r="H158" s="19"/>
      <c r="I158" s="19" t="s">
        <v>41</v>
      </c>
      <c r="J158" s="19" t="s">
        <v>89</v>
      </c>
      <c r="K158" s="19" t="s">
        <v>161</v>
      </c>
      <c r="L158" s="99" t="s">
        <v>82</v>
      </c>
      <c r="M158" s="19" t="s">
        <v>82</v>
      </c>
      <c r="N158" s="19" t="s">
        <v>66</v>
      </c>
      <c r="O158" s="19" t="s">
        <v>292</v>
      </c>
      <c r="P158" s="19" t="s">
        <v>51</v>
      </c>
      <c r="Q158" s="19"/>
      <c r="R158" s="19" t="s">
        <v>237</v>
      </c>
      <c r="S158" s="19" t="s">
        <v>79</v>
      </c>
      <c r="T158" s="19" t="s">
        <v>56</v>
      </c>
      <c r="U158" s="19" t="s">
        <v>44</v>
      </c>
      <c r="V158" s="19">
        <v>25</v>
      </c>
      <c r="W158" s="93" t="s">
        <v>45</v>
      </c>
      <c r="X158" s="19" t="s">
        <v>46</v>
      </c>
      <c r="Y158" s="50"/>
      <c r="Z158" s="47"/>
      <c r="AA158" s="51"/>
      <c r="AB158" s="24">
        <v>3291.9293280363158</v>
      </c>
      <c r="AC158" s="19" t="s">
        <v>214</v>
      </c>
      <c r="AD158" s="19">
        <v>280</v>
      </c>
      <c r="AE158" s="19">
        <v>280</v>
      </c>
      <c r="AF158" s="19">
        <v>280</v>
      </c>
      <c r="AG158" s="19" t="s">
        <v>270</v>
      </c>
      <c r="AH158" s="19"/>
      <c r="AI158" s="19"/>
      <c r="AJ158" s="19">
        <f t="shared" si="47"/>
        <v>7.75</v>
      </c>
      <c r="AK158" s="19" t="s">
        <v>383</v>
      </c>
      <c r="AL158" s="19"/>
      <c r="AM158" s="19" t="s">
        <v>234</v>
      </c>
      <c r="AN158" s="19" t="s">
        <v>385</v>
      </c>
      <c r="AO158" s="19" t="s">
        <v>270</v>
      </c>
      <c r="AP158" s="94"/>
      <c r="AQ158" s="19" t="s">
        <v>90</v>
      </c>
      <c r="AR158" s="19" t="s">
        <v>386</v>
      </c>
      <c r="AS158" s="19"/>
      <c r="AT158" s="65" t="str">
        <f t="shared" si="40"/>
        <v>Y</v>
      </c>
      <c r="AU158" s="65" t="str">
        <f t="shared" si="43"/>
        <v>Y</v>
      </c>
      <c r="AV158" s="65" t="str">
        <f t="shared" si="34"/>
        <v>Y</v>
      </c>
      <c r="AW158" s="99"/>
      <c r="AX158" s="99"/>
      <c r="AY158" s="93"/>
      <c r="AZ158" s="96" t="str">
        <f t="shared" si="44"/>
        <v>LC50</v>
      </c>
      <c r="BA158" s="96">
        <f>IF(AZ158="n","n",VLOOKUP(AZ158,'Conversion factors'!$C$4:$D$24,2,FALSE))</f>
        <v>5</v>
      </c>
      <c r="BB158" s="96">
        <f t="shared" si="45"/>
        <v>658.38586560726321</v>
      </c>
      <c r="BC158" s="97"/>
      <c r="BD158" s="96" t="str">
        <f t="shared" si="41"/>
        <v>Chronic</v>
      </c>
      <c r="BE158" s="96" t="str">
        <f t="shared" si="46"/>
        <v>y</v>
      </c>
      <c r="BF158" s="98" t="str">
        <f t="shared" si="42"/>
        <v>LC50</v>
      </c>
      <c r="BG158" s="96" t="str">
        <f>IF(BF158="","",IF(ISNUMBER(VLOOKUP(BF158,'Conversion factors'!$B$35:$C$52,2,FALSE)),"y","n"))</f>
        <v>n</v>
      </c>
      <c r="BH158" s="99" t="s">
        <v>1505</v>
      </c>
      <c r="BI158" s="100"/>
      <c r="BJ158" s="100"/>
    </row>
    <row r="159" spans="1:62" ht="15.75" customHeight="1" x14ac:dyDescent="0.2">
      <c r="A159" s="46"/>
      <c r="B159" s="19">
        <v>194</v>
      </c>
      <c r="D159" s="36">
        <v>20727</v>
      </c>
      <c r="E159" s="93" t="s">
        <v>1224</v>
      </c>
      <c r="F159" s="93">
        <v>1999</v>
      </c>
      <c r="G159" s="19" t="s">
        <v>382</v>
      </c>
      <c r="H159" s="19"/>
      <c r="I159" s="19" t="s">
        <v>41</v>
      </c>
      <c r="J159" s="19" t="s">
        <v>89</v>
      </c>
      <c r="K159" s="19" t="s">
        <v>161</v>
      </c>
      <c r="L159" s="99" t="s">
        <v>82</v>
      </c>
      <c r="M159" s="19" t="s">
        <v>82</v>
      </c>
      <c r="N159" s="19" t="s">
        <v>66</v>
      </c>
      <c r="O159" s="19" t="s">
        <v>292</v>
      </c>
      <c r="P159" s="19" t="s">
        <v>51</v>
      </c>
      <c r="Q159" s="19"/>
      <c r="R159" s="19" t="s">
        <v>237</v>
      </c>
      <c r="S159" s="19" t="s">
        <v>79</v>
      </c>
      <c r="T159" s="19" t="s">
        <v>56</v>
      </c>
      <c r="U159" s="19" t="s">
        <v>44</v>
      </c>
      <c r="V159" s="19">
        <v>26</v>
      </c>
      <c r="W159" s="93" t="s">
        <v>45</v>
      </c>
      <c r="X159" s="19" t="s">
        <v>46</v>
      </c>
      <c r="Y159" s="50"/>
      <c r="Z159" s="47"/>
      <c r="AA159" s="51"/>
      <c r="AB159" s="24">
        <v>2955.4356742022428</v>
      </c>
      <c r="AC159" s="19" t="s">
        <v>214</v>
      </c>
      <c r="AD159" s="19">
        <v>280</v>
      </c>
      <c r="AE159" s="19">
        <v>280</v>
      </c>
      <c r="AF159" s="19">
        <v>280</v>
      </c>
      <c r="AG159" s="19" t="s">
        <v>270</v>
      </c>
      <c r="AH159" s="19"/>
      <c r="AI159" s="19"/>
      <c r="AJ159" s="19">
        <f t="shared" si="47"/>
        <v>7.75</v>
      </c>
      <c r="AK159" s="19" t="s">
        <v>383</v>
      </c>
      <c r="AL159" s="19"/>
      <c r="AM159" s="19" t="s">
        <v>234</v>
      </c>
      <c r="AN159" s="19" t="s">
        <v>385</v>
      </c>
      <c r="AO159" s="19" t="s">
        <v>270</v>
      </c>
      <c r="AP159" s="94"/>
      <c r="AQ159" s="19" t="s">
        <v>90</v>
      </c>
      <c r="AR159" s="19" t="s">
        <v>386</v>
      </c>
      <c r="AS159" s="19"/>
      <c r="AT159" s="65" t="str">
        <f t="shared" si="40"/>
        <v>Y</v>
      </c>
      <c r="AU159" s="65" t="str">
        <f t="shared" si="43"/>
        <v>Y</v>
      </c>
      <c r="AV159" s="65" t="str">
        <f t="shared" si="34"/>
        <v>Y</v>
      </c>
      <c r="AW159" s="99"/>
      <c r="AX159" s="99"/>
      <c r="AY159" s="93"/>
      <c r="AZ159" s="96" t="str">
        <f t="shared" si="44"/>
        <v>LC50</v>
      </c>
      <c r="BA159" s="96">
        <f>IF(AZ159="n","n",VLOOKUP(AZ159,'Conversion factors'!$C$4:$D$24,2,FALSE))</f>
        <v>5</v>
      </c>
      <c r="BB159" s="96">
        <f t="shared" si="45"/>
        <v>591.08713484044858</v>
      </c>
      <c r="BC159" s="97"/>
      <c r="BD159" s="96" t="str">
        <f t="shared" si="41"/>
        <v>Chronic</v>
      </c>
      <c r="BE159" s="96" t="str">
        <f t="shared" si="46"/>
        <v>y</v>
      </c>
      <c r="BF159" s="98" t="str">
        <f t="shared" si="42"/>
        <v>LC50</v>
      </c>
      <c r="BG159" s="96" t="str">
        <f>IF(BF159="","",IF(ISNUMBER(VLOOKUP(BF159,'Conversion factors'!$B$35:$C$52,2,FALSE)),"y","n"))</f>
        <v>n</v>
      </c>
      <c r="BH159" s="99" t="s">
        <v>1505</v>
      </c>
      <c r="BI159" s="100"/>
      <c r="BJ159" s="100"/>
    </row>
    <row r="160" spans="1:62" ht="15.75" customHeight="1" x14ac:dyDescent="0.2">
      <c r="A160" s="46"/>
      <c r="B160" s="19">
        <v>194</v>
      </c>
      <c r="D160" s="36">
        <v>20727</v>
      </c>
      <c r="E160" s="93" t="s">
        <v>1224</v>
      </c>
      <c r="F160" s="93">
        <v>1999</v>
      </c>
      <c r="G160" s="19" t="s">
        <v>382</v>
      </c>
      <c r="H160" s="19"/>
      <c r="I160" s="19" t="s">
        <v>41</v>
      </c>
      <c r="J160" s="19" t="s">
        <v>89</v>
      </c>
      <c r="K160" s="19" t="s">
        <v>161</v>
      </c>
      <c r="L160" s="99" t="s">
        <v>82</v>
      </c>
      <c r="M160" s="19" t="s">
        <v>82</v>
      </c>
      <c r="N160" s="19" t="s">
        <v>66</v>
      </c>
      <c r="O160" s="19" t="s">
        <v>292</v>
      </c>
      <c r="P160" s="19" t="s">
        <v>51</v>
      </c>
      <c r="Q160" s="19"/>
      <c r="R160" s="19" t="s">
        <v>237</v>
      </c>
      <c r="S160" s="19" t="s">
        <v>79</v>
      </c>
      <c r="T160" s="19" t="s">
        <v>56</v>
      </c>
      <c r="U160" s="19" t="s">
        <v>44</v>
      </c>
      <c r="V160" s="19">
        <v>27</v>
      </c>
      <c r="W160" s="93" t="s">
        <v>45</v>
      </c>
      <c r="X160" s="19" t="s">
        <v>46</v>
      </c>
      <c r="Y160" s="50"/>
      <c r="Z160" s="47"/>
      <c r="AA160" s="51"/>
      <c r="AB160" s="24">
        <v>2717.8213221123733</v>
      </c>
      <c r="AC160" s="19" t="s">
        <v>214</v>
      </c>
      <c r="AD160" s="19">
        <v>280</v>
      </c>
      <c r="AE160" s="19">
        <v>280</v>
      </c>
      <c r="AF160" s="19">
        <v>280</v>
      </c>
      <c r="AG160" s="19" t="s">
        <v>270</v>
      </c>
      <c r="AH160" s="19"/>
      <c r="AI160" s="19"/>
      <c r="AJ160" s="19">
        <f t="shared" si="47"/>
        <v>7.75</v>
      </c>
      <c r="AK160" s="19" t="s">
        <v>383</v>
      </c>
      <c r="AL160" s="19"/>
      <c r="AM160" s="19" t="s">
        <v>234</v>
      </c>
      <c r="AN160" s="19" t="s">
        <v>385</v>
      </c>
      <c r="AO160" s="19" t="s">
        <v>270</v>
      </c>
      <c r="AP160" s="94"/>
      <c r="AQ160" s="19" t="s">
        <v>90</v>
      </c>
      <c r="AR160" s="19" t="s">
        <v>386</v>
      </c>
      <c r="AS160" s="19"/>
      <c r="AT160" s="65" t="str">
        <f t="shared" si="40"/>
        <v>Y</v>
      </c>
      <c r="AU160" s="65" t="str">
        <f t="shared" si="43"/>
        <v>Y</v>
      </c>
      <c r="AV160" s="65" t="str">
        <f t="shared" si="34"/>
        <v>Y</v>
      </c>
      <c r="AW160" s="99"/>
      <c r="AX160" s="99"/>
      <c r="AY160" s="93"/>
      <c r="AZ160" s="96" t="str">
        <f t="shared" si="44"/>
        <v>LC50</v>
      </c>
      <c r="BA160" s="96">
        <f>IF(AZ160="n","n",VLOOKUP(AZ160,'Conversion factors'!$C$4:$D$24,2,FALSE))</f>
        <v>5</v>
      </c>
      <c r="BB160" s="96">
        <f t="shared" si="45"/>
        <v>543.56426442247471</v>
      </c>
      <c r="BC160" s="97"/>
      <c r="BD160" s="96" t="str">
        <f t="shared" si="41"/>
        <v>Chronic</v>
      </c>
      <c r="BE160" s="96" t="str">
        <f t="shared" si="46"/>
        <v>y</v>
      </c>
      <c r="BF160" s="98" t="str">
        <f t="shared" si="42"/>
        <v>LC50</v>
      </c>
      <c r="BG160" s="96" t="str">
        <f>IF(BF160="","",IF(ISNUMBER(VLOOKUP(BF160,'Conversion factors'!$B$35:$C$52,2,FALSE)),"y","n"))</f>
        <v>n</v>
      </c>
      <c r="BH160" s="99" t="s">
        <v>1505</v>
      </c>
      <c r="BI160" s="100"/>
      <c r="BJ160" s="100"/>
    </row>
    <row r="161" spans="1:62" ht="15.75" customHeight="1" x14ac:dyDescent="0.2">
      <c r="A161" s="46"/>
      <c r="B161" s="19">
        <v>194</v>
      </c>
      <c r="D161" s="36">
        <v>20727</v>
      </c>
      <c r="E161" s="93" t="s">
        <v>1224</v>
      </c>
      <c r="F161" s="93">
        <v>1999</v>
      </c>
      <c r="G161" s="19" t="s">
        <v>382</v>
      </c>
      <c r="H161" s="19"/>
      <c r="I161" s="19" t="s">
        <v>41</v>
      </c>
      <c r="J161" s="19" t="s">
        <v>89</v>
      </c>
      <c r="K161" s="19" t="s">
        <v>161</v>
      </c>
      <c r="L161" s="99" t="s">
        <v>82</v>
      </c>
      <c r="M161" s="19" t="s">
        <v>82</v>
      </c>
      <c r="N161" s="19" t="s">
        <v>66</v>
      </c>
      <c r="O161" s="19" t="s">
        <v>292</v>
      </c>
      <c r="P161" s="19" t="s">
        <v>51</v>
      </c>
      <c r="Q161" s="19"/>
      <c r="R161" s="19" t="s">
        <v>237</v>
      </c>
      <c r="S161" s="19" t="s">
        <v>79</v>
      </c>
      <c r="T161" s="19" t="s">
        <v>56</v>
      </c>
      <c r="U161" s="19" t="s">
        <v>44</v>
      </c>
      <c r="V161" s="19">
        <v>28</v>
      </c>
      <c r="W161" s="93" t="s">
        <v>45</v>
      </c>
      <c r="X161" s="19" t="s">
        <v>46</v>
      </c>
      <c r="Y161" s="50"/>
      <c r="Z161" s="47"/>
      <c r="AA161" s="51"/>
      <c r="AB161" s="24">
        <v>2665.8357756558021</v>
      </c>
      <c r="AC161" s="19" t="s">
        <v>214</v>
      </c>
      <c r="AD161" s="19">
        <v>280</v>
      </c>
      <c r="AE161" s="19">
        <v>280</v>
      </c>
      <c r="AF161" s="19">
        <v>280</v>
      </c>
      <c r="AG161" s="19" t="s">
        <v>270</v>
      </c>
      <c r="AH161" s="19"/>
      <c r="AI161" s="19"/>
      <c r="AJ161" s="19">
        <f t="shared" si="47"/>
        <v>7.75</v>
      </c>
      <c r="AK161" s="19" t="s">
        <v>383</v>
      </c>
      <c r="AL161" s="19"/>
      <c r="AM161" s="19" t="s">
        <v>234</v>
      </c>
      <c r="AN161" s="19" t="s">
        <v>385</v>
      </c>
      <c r="AO161" s="19" t="s">
        <v>270</v>
      </c>
      <c r="AP161" s="94"/>
      <c r="AQ161" s="19" t="s">
        <v>90</v>
      </c>
      <c r="AR161" s="19" t="s">
        <v>386</v>
      </c>
      <c r="AS161" s="19"/>
      <c r="AT161" s="65" t="str">
        <f t="shared" si="40"/>
        <v>Y</v>
      </c>
      <c r="AU161" s="65" t="str">
        <f t="shared" si="43"/>
        <v>Y</v>
      </c>
      <c r="AV161" s="65" t="str">
        <f t="shared" si="34"/>
        <v>Y</v>
      </c>
      <c r="AW161" s="99"/>
      <c r="AX161" s="99"/>
      <c r="AY161" s="93"/>
      <c r="AZ161" s="96" t="str">
        <f t="shared" si="44"/>
        <v>LC50</v>
      </c>
      <c r="BA161" s="96">
        <f>IF(AZ161="n","n",VLOOKUP(AZ161,'Conversion factors'!$C$4:$D$24,2,FALSE))</f>
        <v>5</v>
      </c>
      <c r="BB161" s="96">
        <f t="shared" si="45"/>
        <v>533.16715513116037</v>
      </c>
      <c r="BC161" s="97"/>
      <c r="BD161" s="96" t="str">
        <f t="shared" si="41"/>
        <v>Chronic</v>
      </c>
      <c r="BE161" s="96" t="str">
        <f t="shared" si="46"/>
        <v>y</v>
      </c>
      <c r="BF161" s="98" t="str">
        <f t="shared" si="42"/>
        <v>LC50</v>
      </c>
      <c r="BG161" s="96" t="str">
        <f>IF(BF161="","",IF(ISNUMBER(VLOOKUP(BF161,'Conversion factors'!$B$35:$C$52,2,FALSE)),"y","n"))</f>
        <v>n</v>
      </c>
      <c r="BH161" s="99" t="s">
        <v>1505</v>
      </c>
      <c r="BI161" s="100"/>
      <c r="BJ161" s="100"/>
    </row>
    <row r="162" spans="1:62" ht="15.75" customHeight="1" x14ac:dyDescent="0.2">
      <c r="A162" s="46"/>
      <c r="B162" s="19">
        <v>194</v>
      </c>
      <c r="D162" s="36">
        <v>20727</v>
      </c>
      <c r="E162" s="93" t="s">
        <v>1224</v>
      </c>
      <c r="F162" s="93">
        <v>1999</v>
      </c>
      <c r="G162" s="19" t="s">
        <v>382</v>
      </c>
      <c r="H162" s="19"/>
      <c r="I162" s="19" t="s">
        <v>41</v>
      </c>
      <c r="J162" s="19" t="s">
        <v>89</v>
      </c>
      <c r="K162" s="19" t="s">
        <v>161</v>
      </c>
      <c r="L162" s="99" t="s">
        <v>82</v>
      </c>
      <c r="M162" s="19" t="s">
        <v>82</v>
      </c>
      <c r="N162" s="19" t="s">
        <v>66</v>
      </c>
      <c r="O162" s="19" t="s">
        <v>292</v>
      </c>
      <c r="P162" s="19" t="s">
        <v>51</v>
      </c>
      <c r="Q162" s="19"/>
      <c r="R162" s="19" t="s">
        <v>237</v>
      </c>
      <c r="S162" s="19" t="s">
        <v>79</v>
      </c>
      <c r="T162" s="19" t="s">
        <v>56</v>
      </c>
      <c r="U162" s="19" t="s">
        <v>44</v>
      </c>
      <c r="V162" s="19">
        <v>29</v>
      </c>
      <c r="W162" s="93" t="s">
        <v>45</v>
      </c>
      <c r="X162" s="19" t="s">
        <v>46</v>
      </c>
      <c r="Y162" s="50"/>
      <c r="Z162" s="47"/>
      <c r="AA162" s="51"/>
      <c r="AB162" s="24">
        <v>2647.701239297171</v>
      </c>
      <c r="AC162" s="19" t="s">
        <v>214</v>
      </c>
      <c r="AD162" s="19">
        <v>280</v>
      </c>
      <c r="AE162" s="19">
        <v>280</v>
      </c>
      <c r="AF162" s="19">
        <v>280</v>
      </c>
      <c r="AG162" s="19" t="s">
        <v>270</v>
      </c>
      <c r="AH162" s="19"/>
      <c r="AI162" s="19"/>
      <c r="AJ162" s="19">
        <f t="shared" si="47"/>
        <v>7.75</v>
      </c>
      <c r="AK162" s="19" t="s">
        <v>383</v>
      </c>
      <c r="AL162" s="19"/>
      <c r="AM162" s="19" t="s">
        <v>234</v>
      </c>
      <c r="AN162" s="19" t="s">
        <v>385</v>
      </c>
      <c r="AO162" s="19" t="s">
        <v>270</v>
      </c>
      <c r="AP162" s="94"/>
      <c r="AQ162" s="19" t="s">
        <v>90</v>
      </c>
      <c r="AR162" s="19" t="s">
        <v>386</v>
      </c>
      <c r="AS162" s="19"/>
      <c r="AT162" s="65" t="str">
        <f t="shared" si="40"/>
        <v>Y</v>
      </c>
      <c r="AU162" s="65" t="str">
        <f t="shared" si="43"/>
        <v>Y</v>
      </c>
      <c r="AV162" s="65" t="str">
        <f t="shared" si="34"/>
        <v>Y</v>
      </c>
      <c r="AW162" s="99"/>
      <c r="AX162" s="99"/>
      <c r="AY162" s="93"/>
      <c r="AZ162" s="96" t="str">
        <f t="shared" si="44"/>
        <v>LC50</v>
      </c>
      <c r="BA162" s="96">
        <f>IF(AZ162="n","n",VLOOKUP(AZ162,'Conversion factors'!$C$4:$D$24,2,FALSE))</f>
        <v>5</v>
      </c>
      <c r="BB162" s="96">
        <f t="shared" si="45"/>
        <v>529.5402478594342</v>
      </c>
      <c r="BC162" s="97"/>
      <c r="BD162" s="96" t="str">
        <f t="shared" si="41"/>
        <v>Chronic</v>
      </c>
      <c r="BE162" s="96" t="str">
        <f t="shared" si="46"/>
        <v>y</v>
      </c>
      <c r="BF162" s="98" t="str">
        <f t="shared" si="42"/>
        <v>LC50</v>
      </c>
      <c r="BG162" s="96" t="str">
        <f>IF(BF162="","",IF(ISNUMBER(VLOOKUP(BF162,'Conversion factors'!$B$35:$C$52,2,FALSE)),"y","n"))</f>
        <v>n</v>
      </c>
      <c r="BH162" s="99" t="s">
        <v>1505</v>
      </c>
      <c r="BI162" s="100"/>
      <c r="BJ162" s="100"/>
    </row>
    <row r="163" spans="1:62" ht="15.75" customHeight="1" x14ac:dyDescent="0.2">
      <c r="A163" s="46"/>
      <c r="B163" s="19">
        <v>194</v>
      </c>
      <c r="D163" s="36">
        <v>20727</v>
      </c>
      <c r="E163" s="93" t="s">
        <v>1224</v>
      </c>
      <c r="F163" s="93">
        <v>1999</v>
      </c>
      <c r="G163" s="19" t="s">
        <v>382</v>
      </c>
      <c r="H163" s="19"/>
      <c r="I163" s="19" t="s">
        <v>41</v>
      </c>
      <c r="J163" s="19" t="s">
        <v>89</v>
      </c>
      <c r="K163" s="19" t="s">
        <v>161</v>
      </c>
      <c r="L163" s="99" t="s">
        <v>82</v>
      </c>
      <c r="M163" s="19" t="s">
        <v>82</v>
      </c>
      <c r="N163" s="19" t="s">
        <v>66</v>
      </c>
      <c r="O163" s="19" t="s">
        <v>292</v>
      </c>
      <c r="P163" s="19" t="s">
        <v>51</v>
      </c>
      <c r="Q163" s="19"/>
      <c r="R163" s="19" t="s">
        <v>237</v>
      </c>
      <c r="S163" s="19" t="s">
        <v>79</v>
      </c>
      <c r="T163" s="19" t="s">
        <v>56</v>
      </c>
      <c r="U163" s="19" t="s">
        <v>44</v>
      </c>
      <c r="V163" s="19">
        <v>30</v>
      </c>
      <c r="W163" s="93" t="s">
        <v>45</v>
      </c>
      <c r="X163" s="19" t="s">
        <v>46</v>
      </c>
      <c r="Y163" s="50"/>
      <c r="Z163" s="47"/>
      <c r="AA163" s="51"/>
      <c r="AB163" s="24">
        <v>2579.9034151696806</v>
      </c>
      <c r="AC163" s="19" t="s">
        <v>214</v>
      </c>
      <c r="AD163" s="19">
        <v>280</v>
      </c>
      <c r="AE163" s="19">
        <v>280</v>
      </c>
      <c r="AF163" s="19">
        <v>280</v>
      </c>
      <c r="AG163" s="19" t="s">
        <v>270</v>
      </c>
      <c r="AH163" s="19"/>
      <c r="AI163" s="19"/>
      <c r="AJ163" s="19">
        <f t="shared" si="47"/>
        <v>7.75</v>
      </c>
      <c r="AK163" s="19" t="s">
        <v>383</v>
      </c>
      <c r="AL163" s="19"/>
      <c r="AM163" s="19" t="s">
        <v>234</v>
      </c>
      <c r="AN163" s="19" t="s">
        <v>385</v>
      </c>
      <c r="AO163" s="19" t="s">
        <v>270</v>
      </c>
      <c r="AP163" s="94"/>
      <c r="AQ163" s="19" t="s">
        <v>90</v>
      </c>
      <c r="AR163" s="19" t="s">
        <v>386</v>
      </c>
      <c r="AS163" s="19"/>
      <c r="AT163" s="65" t="str">
        <f t="shared" si="40"/>
        <v>Y</v>
      </c>
      <c r="AU163" s="65" t="str">
        <f t="shared" si="43"/>
        <v>Y</v>
      </c>
      <c r="AV163" s="65" t="str">
        <f t="shared" si="34"/>
        <v>Y</v>
      </c>
      <c r="AW163" s="99"/>
      <c r="AX163" s="99"/>
      <c r="AY163" s="93"/>
      <c r="AZ163" s="96" t="str">
        <f t="shared" si="44"/>
        <v>LC50</v>
      </c>
      <c r="BA163" s="96">
        <f>IF(AZ163="n","n",VLOOKUP(AZ163,'Conversion factors'!$C$4:$D$24,2,FALSE))</f>
        <v>5</v>
      </c>
      <c r="BB163" s="96">
        <f t="shared" si="45"/>
        <v>515.98068303393609</v>
      </c>
      <c r="BC163" s="97"/>
      <c r="BD163" s="96" t="str">
        <f t="shared" si="41"/>
        <v>Chronic</v>
      </c>
      <c r="BE163" s="96" t="str">
        <f t="shared" si="46"/>
        <v>y</v>
      </c>
      <c r="BF163" s="98" t="str">
        <f t="shared" si="42"/>
        <v>LC50</v>
      </c>
      <c r="BG163" s="96" t="str">
        <f>IF(BF163="","",IF(ISNUMBER(VLOOKUP(BF163,'Conversion factors'!$B$35:$C$52,2,FALSE)),"y","n"))</f>
        <v>n</v>
      </c>
      <c r="BH163" s="99" t="s">
        <v>1505</v>
      </c>
      <c r="BI163" s="100"/>
      <c r="BJ163" s="100"/>
    </row>
    <row r="164" spans="1:62" s="103" customFormat="1" ht="15.75" customHeight="1" x14ac:dyDescent="0.2">
      <c r="A164" s="18"/>
      <c r="B164" s="19">
        <v>199</v>
      </c>
      <c r="C164" s="19"/>
      <c r="D164" s="19">
        <v>46947</v>
      </c>
      <c r="E164" s="19" t="s">
        <v>1224</v>
      </c>
      <c r="F164" s="93">
        <v>2000</v>
      </c>
      <c r="G164" s="19" t="s">
        <v>417</v>
      </c>
      <c r="H164" s="19"/>
      <c r="I164" s="19" t="s">
        <v>41</v>
      </c>
      <c r="J164" s="19" t="s">
        <v>89</v>
      </c>
      <c r="K164" s="19" t="s">
        <v>161</v>
      </c>
      <c r="L164" s="19" t="s">
        <v>82</v>
      </c>
      <c r="M164" s="19" t="s">
        <v>82</v>
      </c>
      <c r="N164" s="19" t="s">
        <v>66</v>
      </c>
      <c r="O164" s="19" t="s">
        <v>235</v>
      </c>
      <c r="P164" s="19" t="s">
        <v>51</v>
      </c>
      <c r="Q164" s="19"/>
      <c r="R164" s="19" t="s">
        <v>237</v>
      </c>
      <c r="S164" s="19" t="s">
        <v>79</v>
      </c>
      <c r="T164" s="19" t="s">
        <v>56</v>
      </c>
      <c r="U164" s="19" t="s">
        <v>44</v>
      </c>
      <c r="V164" s="19" t="s">
        <v>1207</v>
      </c>
      <c r="W164" s="19" t="s">
        <v>231</v>
      </c>
      <c r="X164" s="19" t="s">
        <v>46</v>
      </c>
      <c r="Y164" s="29"/>
      <c r="Z164" s="19"/>
      <c r="AA164" s="19"/>
      <c r="AB164" s="19" t="s">
        <v>418</v>
      </c>
      <c r="AC164" s="19" t="s">
        <v>1322</v>
      </c>
      <c r="AD164" s="19"/>
      <c r="AE164" s="19">
        <v>120</v>
      </c>
      <c r="AF164" s="19">
        <v>120</v>
      </c>
      <c r="AG164" s="19" t="s">
        <v>270</v>
      </c>
      <c r="AH164" s="19"/>
      <c r="AI164" s="19"/>
      <c r="AJ164" s="19">
        <f>MEDIAN(7.5)</f>
        <v>7.5</v>
      </c>
      <c r="AK164" s="19">
        <v>7.5</v>
      </c>
      <c r="AL164" s="19"/>
      <c r="AM164" s="19" t="s">
        <v>234</v>
      </c>
      <c r="AN164" s="19" t="s">
        <v>419</v>
      </c>
      <c r="AO164" s="19" t="s">
        <v>270</v>
      </c>
      <c r="AP164" s="94">
        <v>3</v>
      </c>
      <c r="AQ164" s="19" t="s">
        <v>420</v>
      </c>
      <c r="AR164" s="19" t="s">
        <v>241</v>
      </c>
      <c r="AS164" s="19"/>
      <c r="AT164" s="65" t="str">
        <f t="shared" si="40"/>
        <v>N</v>
      </c>
      <c r="AU164" s="65" t="str">
        <f t="shared" si="43"/>
        <v>N</v>
      </c>
      <c r="AV164" s="65" t="s">
        <v>162</v>
      </c>
      <c r="AW164" s="99" t="s">
        <v>1406</v>
      </c>
      <c r="AX164" s="99"/>
      <c r="AY164" s="19"/>
      <c r="AZ164" s="96" t="str">
        <f t="shared" si="44"/>
        <v>n</v>
      </c>
      <c r="BA164" s="96" t="str">
        <f>IF(AZ164="n","n",VLOOKUP(AZ164,'Conversion factors'!$C$4:$D$24,2,FALSE))</f>
        <v>n</v>
      </c>
      <c r="BB164" s="96" t="str">
        <f t="shared" si="45"/>
        <v>n</v>
      </c>
      <c r="BC164" s="97"/>
      <c r="BD164" s="96" t="str">
        <f t="shared" si="41"/>
        <v>n</v>
      </c>
      <c r="BE164" s="96" t="str">
        <f t="shared" si="46"/>
        <v>n</v>
      </c>
      <c r="BF164" s="98" t="str">
        <f t="shared" si="42"/>
        <v/>
      </c>
      <c r="BG164" s="96" t="str">
        <f>IF(BF164="","",IF(ISNUMBER(VLOOKUP(BF164,'Conversion factors'!$B$35:$C$52,2,FALSE)),"y","n"))</f>
        <v/>
      </c>
      <c r="BH164" s="99" t="s">
        <v>1505</v>
      </c>
    </row>
    <row r="165" spans="1:62" s="103" customFormat="1" ht="15.75" customHeight="1" x14ac:dyDescent="0.2">
      <c r="A165" s="18"/>
      <c r="B165" s="19"/>
      <c r="C165" s="19"/>
      <c r="D165" s="19"/>
      <c r="E165" s="19" t="s">
        <v>1612</v>
      </c>
      <c r="F165" s="93">
        <v>1982</v>
      </c>
      <c r="G165" s="19" t="s">
        <v>1613</v>
      </c>
      <c r="H165" s="19"/>
      <c r="I165" s="19" t="s">
        <v>41</v>
      </c>
      <c r="J165" s="19" t="s">
        <v>89</v>
      </c>
      <c r="K165" s="19" t="s">
        <v>161</v>
      </c>
      <c r="L165" s="19" t="s">
        <v>82</v>
      </c>
      <c r="M165" s="19" t="s">
        <v>82</v>
      </c>
      <c r="N165" s="19" t="s">
        <v>66</v>
      </c>
      <c r="O165" s="19" t="s">
        <v>1615</v>
      </c>
      <c r="P165" s="19" t="s">
        <v>51</v>
      </c>
      <c r="Q165" s="19"/>
      <c r="R165" s="19" t="s">
        <v>237</v>
      </c>
      <c r="S165" s="19" t="s">
        <v>79</v>
      </c>
      <c r="T165" s="19" t="s">
        <v>174</v>
      </c>
      <c r="U165" s="19" t="s">
        <v>49</v>
      </c>
      <c r="V165" s="19">
        <v>72</v>
      </c>
      <c r="W165" s="19"/>
      <c r="X165" s="19" t="s">
        <v>46</v>
      </c>
      <c r="Y165" s="29"/>
      <c r="Z165" s="19"/>
      <c r="AA165" s="19"/>
      <c r="AB165" s="19">
        <v>458</v>
      </c>
      <c r="AC165" s="19" t="s">
        <v>214</v>
      </c>
      <c r="AD165" s="19"/>
      <c r="AE165" s="19">
        <v>25</v>
      </c>
      <c r="AF165" s="19">
        <v>25</v>
      </c>
      <c r="AG165" s="19" t="s">
        <v>270</v>
      </c>
      <c r="AH165" s="19"/>
      <c r="AI165" s="19"/>
      <c r="AJ165" s="19">
        <v>7</v>
      </c>
      <c r="AK165" s="19">
        <v>7</v>
      </c>
      <c r="AL165" s="19"/>
      <c r="AM165" s="19"/>
      <c r="AN165" s="19"/>
      <c r="AO165" s="19"/>
      <c r="AP165" s="94">
        <v>1.6</v>
      </c>
      <c r="AQ165" s="19">
        <v>12</v>
      </c>
      <c r="AR165" s="19"/>
      <c r="AS165" s="19"/>
      <c r="AT165" s="65" t="str">
        <f t="shared" si="40"/>
        <v>Y</v>
      </c>
      <c r="AU165" s="65" t="str">
        <f t="shared" si="43"/>
        <v>Y</v>
      </c>
      <c r="AV165" s="65" t="str">
        <f t="shared" si="34"/>
        <v>Y</v>
      </c>
      <c r="AW165" s="99" t="s">
        <v>1614</v>
      </c>
      <c r="AX165" s="99"/>
      <c r="AY165" s="19"/>
      <c r="AZ165" s="96" t="str">
        <f t="shared" si="44"/>
        <v>LC10</v>
      </c>
      <c r="BA165" s="96">
        <f>IF(AZ165="n","n",VLOOKUP(AZ165,'Conversion factors'!$C$4:$D$24,2,FALSE))</f>
        <v>1</v>
      </c>
      <c r="BB165" s="96">
        <f t="shared" si="45"/>
        <v>458</v>
      </c>
      <c r="BC165" s="97"/>
      <c r="BD165" s="96" t="str">
        <f t="shared" si="41"/>
        <v>Chronic</v>
      </c>
      <c r="BE165" s="96" t="str">
        <f t="shared" si="46"/>
        <v>y</v>
      </c>
      <c r="BF165" s="98" t="str">
        <f t="shared" si="42"/>
        <v>LC10</v>
      </c>
      <c r="BG165" s="96" t="str">
        <f>IF(BF165="","",IF(ISNUMBER(VLOOKUP(BF165,'Conversion factors'!$B$35:$C$52,2,FALSE)),"y","n"))</f>
        <v>y</v>
      </c>
      <c r="BH165" s="99"/>
    </row>
    <row r="166" spans="1:62" s="103" customFormat="1" ht="15.75" customHeight="1" x14ac:dyDescent="0.2">
      <c r="A166" s="18"/>
      <c r="B166" s="19"/>
      <c r="C166" s="19"/>
      <c r="D166" s="19"/>
      <c r="E166" s="19" t="s">
        <v>1612</v>
      </c>
      <c r="F166" s="93">
        <v>1982</v>
      </c>
      <c r="G166" s="19" t="s">
        <v>1613</v>
      </c>
      <c r="H166" s="19"/>
      <c r="I166" s="19" t="s">
        <v>41</v>
      </c>
      <c r="J166" s="19" t="s">
        <v>89</v>
      </c>
      <c r="K166" s="19" t="s">
        <v>161</v>
      </c>
      <c r="L166" s="19" t="s">
        <v>82</v>
      </c>
      <c r="M166" s="19" t="s">
        <v>82</v>
      </c>
      <c r="N166" s="19" t="s">
        <v>66</v>
      </c>
      <c r="O166" s="19" t="s">
        <v>1615</v>
      </c>
      <c r="P166" s="19" t="s">
        <v>51</v>
      </c>
      <c r="Q166" s="19"/>
      <c r="R166" s="19" t="s">
        <v>237</v>
      </c>
      <c r="S166" s="19" t="s">
        <v>79</v>
      </c>
      <c r="T166" s="19" t="s">
        <v>54</v>
      </c>
      <c r="U166" s="19" t="s">
        <v>54</v>
      </c>
      <c r="V166" s="19">
        <v>72</v>
      </c>
      <c r="W166" s="19"/>
      <c r="X166" s="19" t="s">
        <v>46</v>
      </c>
      <c r="Y166" s="29"/>
      <c r="Z166" s="19"/>
      <c r="AA166" s="19"/>
      <c r="AB166" s="19">
        <v>444</v>
      </c>
      <c r="AC166" s="19" t="s">
        <v>214</v>
      </c>
      <c r="AD166" s="19"/>
      <c r="AE166" s="19">
        <v>25</v>
      </c>
      <c r="AF166" s="19">
        <v>25</v>
      </c>
      <c r="AG166" s="19" t="s">
        <v>270</v>
      </c>
      <c r="AH166" s="19"/>
      <c r="AI166" s="19"/>
      <c r="AJ166" s="19">
        <v>7</v>
      </c>
      <c r="AK166" s="19">
        <v>7</v>
      </c>
      <c r="AL166" s="19"/>
      <c r="AM166" s="19"/>
      <c r="AN166" s="19"/>
      <c r="AO166" s="19"/>
      <c r="AP166" s="94">
        <v>1.6</v>
      </c>
      <c r="AQ166" s="19">
        <v>12</v>
      </c>
      <c r="AR166" s="19"/>
      <c r="AS166" s="19"/>
      <c r="AT166" s="65" t="str">
        <f t="shared" si="40"/>
        <v>Y</v>
      </c>
      <c r="AU166" s="65" t="str">
        <f t="shared" ref="AU166" si="48">IF(AT166="N","N",IF(AJ166&lt;6,"N",IF(AJ166&gt;8.5,"N","Y")))</f>
        <v>Y</v>
      </c>
      <c r="AV166" s="65" t="str">
        <f t="shared" si="34"/>
        <v>Y</v>
      </c>
      <c r="AW166" s="99"/>
      <c r="AX166" s="99"/>
      <c r="AY166" s="19"/>
      <c r="AZ166" s="96" t="str">
        <f t="shared" ref="AZ166" si="49">IF(AV166="N","n",T166)</f>
        <v>NOEC</v>
      </c>
      <c r="BA166" s="96">
        <f>IF(AZ166="n","n",VLOOKUP(AZ166,'Conversion factors'!$C$4:$D$24,2,FALSE))</f>
        <v>1</v>
      </c>
      <c r="BB166" s="96">
        <f t="shared" ref="BB166" si="50">IF(BA166="n","n",AB166/BA166)</f>
        <v>444</v>
      </c>
      <c r="BC166" s="97"/>
      <c r="BD166" s="96" t="str">
        <f t="shared" si="41"/>
        <v>Chronic</v>
      </c>
      <c r="BE166" s="96" t="str">
        <f t="shared" ref="BE166" si="51">IF(BD166="chronic","y","n")</f>
        <v>y</v>
      </c>
      <c r="BF166" s="98" t="str">
        <f t="shared" si="42"/>
        <v>NOEC</v>
      </c>
      <c r="BG166" s="96" t="str">
        <f>IF(BF166="","",IF(ISNUMBER(VLOOKUP(BF166,'Conversion factors'!$B$35:$C$52,2,FALSE)),"y","n"))</f>
        <v>y</v>
      </c>
      <c r="BH166" s="99"/>
    </row>
    <row r="167" spans="1:62" s="103" customFormat="1" ht="15.75" customHeight="1" x14ac:dyDescent="0.2">
      <c r="A167" s="18"/>
      <c r="B167" s="19">
        <v>253</v>
      </c>
      <c r="C167" s="19"/>
      <c r="D167" s="19">
        <v>84051</v>
      </c>
      <c r="E167" s="19" t="s">
        <v>1224</v>
      </c>
      <c r="F167" s="93">
        <v>2004</v>
      </c>
      <c r="G167" s="19" t="s">
        <v>711</v>
      </c>
      <c r="H167" s="19"/>
      <c r="I167" s="19" t="s">
        <v>41</v>
      </c>
      <c r="J167" s="19" t="s">
        <v>89</v>
      </c>
      <c r="K167" s="19" t="s">
        <v>161</v>
      </c>
      <c r="L167" s="19" t="s">
        <v>82</v>
      </c>
      <c r="M167" s="19" t="s">
        <v>82</v>
      </c>
      <c r="N167" s="19" t="s">
        <v>66</v>
      </c>
      <c r="O167" s="19" t="s">
        <v>160</v>
      </c>
      <c r="P167" s="19" t="s">
        <v>51</v>
      </c>
      <c r="Q167" s="19"/>
      <c r="R167" s="19" t="s">
        <v>237</v>
      </c>
      <c r="S167" s="19" t="s">
        <v>79</v>
      </c>
      <c r="T167" s="19" t="s">
        <v>174</v>
      </c>
      <c r="U167" s="19" t="s">
        <v>49</v>
      </c>
      <c r="V167" s="19" t="s">
        <v>78</v>
      </c>
      <c r="W167" s="19" t="s">
        <v>231</v>
      </c>
      <c r="X167" s="19" t="s">
        <v>46</v>
      </c>
      <c r="Y167" s="29"/>
      <c r="Z167" s="19"/>
      <c r="AA167" s="19"/>
      <c r="AB167" s="19" t="s">
        <v>726</v>
      </c>
      <c r="AC167" s="19" t="s">
        <v>214</v>
      </c>
      <c r="AD167" s="19"/>
      <c r="AE167" s="24">
        <f t="shared" ref="AE167:AF171" si="52">0.218*40.078*2.497+0.073*24.305*4.118</f>
        <v>29.122722258</v>
      </c>
      <c r="AF167" s="24">
        <f t="shared" si="52"/>
        <v>29.122722258</v>
      </c>
      <c r="AG167" s="19" t="s">
        <v>1417</v>
      </c>
      <c r="AH167" s="19"/>
      <c r="AI167" s="19"/>
      <c r="AJ167" s="19">
        <f>MEDIAN(5.68)</f>
        <v>5.68</v>
      </c>
      <c r="AK167" s="19" t="s">
        <v>727</v>
      </c>
      <c r="AL167" s="19"/>
      <c r="AM167" s="19" t="s">
        <v>234</v>
      </c>
      <c r="AN167" s="19" t="s">
        <v>234</v>
      </c>
      <c r="AO167" s="19" t="s">
        <v>235</v>
      </c>
      <c r="AP167" s="94">
        <v>0.3</v>
      </c>
      <c r="AQ167" s="19" t="s">
        <v>101</v>
      </c>
      <c r="AR167" s="19" t="s">
        <v>241</v>
      </c>
      <c r="AS167" s="19"/>
      <c r="AT167" s="65" t="str">
        <f t="shared" si="40"/>
        <v>Y</v>
      </c>
      <c r="AU167" s="65" t="str">
        <f t="shared" si="43"/>
        <v>N</v>
      </c>
      <c r="AV167" s="65" t="s">
        <v>162</v>
      </c>
      <c r="AW167" s="99" t="s">
        <v>1405</v>
      </c>
      <c r="AX167" s="99"/>
      <c r="AY167" s="19"/>
      <c r="AZ167" s="96" t="str">
        <f t="shared" si="44"/>
        <v>n</v>
      </c>
      <c r="BA167" s="96" t="str">
        <f>IF(AZ167="n","n",VLOOKUP(AZ167,'Conversion factors'!$C$4:$D$24,2,FALSE))</f>
        <v>n</v>
      </c>
      <c r="BB167" s="96" t="str">
        <f t="shared" si="45"/>
        <v>n</v>
      </c>
      <c r="BC167" s="97"/>
      <c r="BD167" s="96" t="str">
        <f t="shared" si="41"/>
        <v>n</v>
      </c>
      <c r="BE167" s="96" t="str">
        <f t="shared" si="46"/>
        <v>n</v>
      </c>
      <c r="BF167" s="98" t="str">
        <f t="shared" si="42"/>
        <v/>
      </c>
      <c r="BG167" s="96" t="str">
        <f>IF(BF167="","",IF(ISNUMBER(VLOOKUP(BF167,'Conversion factors'!$B$35:$C$52,2,FALSE)),"y","n"))</f>
        <v/>
      </c>
      <c r="BH167" s="99" t="s">
        <v>1592</v>
      </c>
    </row>
    <row r="168" spans="1:62" s="103" customFormat="1" ht="15.75" customHeight="1" x14ac:dyDescent="0.2">
      <c r="A168" s="18"/>
      <c r="B168" s="19">
        <v>253</v>
      </c>
      <c r="C168" s="19"/>
      <c r="D168" s="19">
        <v>84051</v>
      </c>
      <c r="E168" s="19" t="s">
        <v>1224</v>
      </c>
      <c r="F168" s="93">
        <v>2004</v>
      </c>
      <c r="G168" s="19" t="s">
        <v>711</v>
      </c>
      <c r="H168" s="19"/>
      <c r="I168" s="19" t="s">
        <v>41</v>
      </c>
      <c r="J168" s="19" t="s">
        <v>89</v>
      </c>
      <c r="K168" s="19" t="s">
        <v>161</v>
      </c>
      <c r="L168" s="19" t="s">
        <v>82</v>
      </c>
      <c r="M168" s="19" t="s">
        <v>82</v>
      </c>
      <c r="N168" s="19" t="s">
        <v>66</v>
      </c>
      <c r="O168" s="19" t="s">
        <v>160</v>
      </c>
      <c r="P168" s="19" t="s">
        <v>51</v>
      </c>
      <c r="Q168" s="19"/>
      <c r="R168" s="19" t="s">
        <v>237</v>
      </c>
      <c r="S168" s="19" t="s">
        <v>79</v>
      </c>
      <c r="T168" s="19" t="s">
        <v>56</v>
      </c>
      <c r="U168" s="19" t="s">
        <v>44</v>
      </c>
      <c r="V168" s="19" t="s">
        <v>78</v>
      </c>
      <c r="W168" s="19" t="s">
        <v>231</v>
      </c>
      <c r="X168" s="19" t="s">
        <v>46</v>
      </c>
      <c r="Y168" s="29"/>
      <c r="Z168" s="19"/>
      <c r="AA168" s="19"/>
      <c r="AB168" s="19" t="s">
        <v>737</v>
      </c>
      <c r="AC168" s="19" t="s">
        <v>214</v>
      </c>
      <c r="AD168" s="19"/>
      <c r="AE168" s="24">
        <f t="shared" si="52"/>
        <v>29.122722258</v>
      </c>
      <c r="AF168" s="24">
        <f t="shared" si="52"/>
        <v>29.122722258</v>
      </c>
      <c r="AG168" s="19" t="s">
        <v>1417</v>
      </c>
      <c r="AH168" s="19"/>
      <c r="AI168" s="19"/>
      <c r="AJ168" s="19">
        <f>MEDIAN(5.68)</f>
        <v>5.68</v>
      </c>
      <c r="AK168" s="19" t="s">
        <v>727</v>
      </c>
      <c r="AL168" s="19"/>
      <c r="AM168" s="19" t="s">
        <v>234</v>
      </c>
      <c r="AN168" s="19" t="s">
        <v>234</v>
      </c>
      <c r="AO168" s="19" t="s">
        <v>235</v>
      </c>
      <c r="AP168" s="94">
        <v>0.3</v>
      </c>
      <c r="AQ168" s="19" t="s">
        <v>101</v>
      </c>
      <c r="AR168" s="19" t="s">
        <v>241</v>
      </c>
      <c r="AS168" s="19"/>
      <c r="AT168" s="65" t="str">
        <f t="shared" si="40"/>
        <v>Y</v>
      </c>
      <c r="AU168" s="65" t="str">
        <f t="shared" si="43"/>
        <v>N</v>
      </c>
      <c r="AV168" s="65" t="s">
        <v>162</v>
      </c>
      <c r="AW168" s="99" t="s">
        <v>1405</v>
      </c>
      <c r="AX168" s="99"/>
      <c r="AY168" s="19"/>
      <c r="AZ168" s="96" t="str">
        <f t="shared" si="44"/>
        <v>n</v>
      </c>
      <c r="BA168" s="96" t="str">
        <f>IF(AZ168="n","n",VLOOKUP(AZ168,'Conversion factors'!$C$4:$D$24,2,FALSE))</f>
        <v>n</v>
      </c>
      <c r="BB168" s="96" t="str">
        <f t="shared" si="45"/>
        <v>n</v>
      </c>
      <c r="BC168" s="97"/>
      <c r="BD168" s="96" t="str">
        <f t="shared" si="41"/>
        <v>n</v>
      </c>
      <c r="BE168" s="96" t="str">
        <f t="shared" si="46"/>
        <v>n</v>
      </c>
      <c r="BF168" s="98" t="str">
        <f t="shared" si="42"/>
        <v/>
      </c>
      <c r="BG168" s="96" t="str">
        <f>IF(BF168="","",IF(ISNUMBER(VLOOKUP(BF168,'Conversion factors'!$B$35:$C$52,2,FALSE)),"y","n"))</f>
        <v/>
      </c>
      <c r="BH168" s="99" t="s">
        <v>1466</v>
      </c>
    </row>
    <row r="169" spans="1:62" s="103" customFormat="1" ht="15.75" customHeight="1" x14ac:dyDescent="0.2">
      <c r="A169" s="18"/>
      <c r="B169" s="19">
        <v>253</v>
      </c>
      <c r="C169" s="19"/>
      <c r="D169" s="19">
        <v>84051</v>
      </c>
      <c r="E169" s="19" t="s">
        <v>1224</v>
      </c>
      <c r="F169" s="93">
        <v>2004</v>
      </c>
      <c r="G169" s="19" t="s">
        <v>711</v>
      </c>
      <c r="H169" s="19"/>
      <c r="I169" s="19" t="s">
        <v>41</v>
      </c>
      <c r="J169" s="19" t="s">
        <v>89</v>
      </c>
      <c r="K169" s="19" t="s">
        <v>161</v>
      </c>
      <c r="L169" s="19" t="s">
        <v>82</v>
      </c>
      <c r="M169" s="19" t="s">
        <v>82</v>
      </c>
      <c r="N169" s="19" t="s">
        <v>66</v>
      </c>
      <c r="O169" s="19" t="s">
        <v>160</v>
      </c>
      <c r="P169" s="19" t="s">
        <v>51</v>
      </c>
      <c r="Q169" s="19"/>
      <c r="R169" s="19" t="s">
        <v>237</v>
      </c>
      <c r="S169" s="19" t="s">
        <v>414</v>
      </c>
      <c r="T169" s="19" t="s">
        <v>55</v>
      </c>
      <c r="U169" s="19" t="s">
        <v>55</v>
      </c>
      <c r="V169" s="19" t="s">
        <v>78</v>
      </c>
      <c r="W169" s="19" t="s">
        <v>231</v>
      </c>
      <c r="X169" s="19" t="s">
        <v>46</v>
      </c>
      <c r="Y169" s="29"/>
      <c r="Z169" s="19"/>
      <c r="AA169" s="19"/>
      <c r="AB169" s="19" t="s">
        <v>361</v>
      </c>
      <c r="AC169" s="19" t="s">
        <v>214</v>
      </c>
      <c r="AD169" s="19"/>
      <c r="AE169" s="24">
        <f t="shared" si="52"/>
        <v>29.122722258</v>
      </c>
      <c r="AF169" s="24">
        <f t="shared" si="52"/>
        <v>29.122722258</v>
      </c>
      <c r="AG169" s="19" t="s">
        <v>1417</v>
      </c>
      <c r="AH169" s="19"/>
      <c r="AI169" s="19"/>
      <c r="AJ169" s="19">
        <f>MEDIAN(5.68)</f>
        <v>5.68</v>
      </c>
      <c r="AK169" s="19" t="s">
        <v>727</v>
      </c>
      <c r="AL169" s="19"/>
      <c r="AM169" s="19" t="s">
        <v>234</v>
      </c>
      <c r="AN169" s="19" t="s">
        <v>234</v>
      </c>
      <c r="AO169" s="19" t="s">
        <v>235</v>
      </c>
      <c r="AP169" s="94">
        <v>0.3</v>
      </c>
      <c r="AQ169" s="19" t="s">
        <v>101</v>
      </c>
      <c r="AR169" s="19" t="s">
        <v>241</v>
      </c>
      <c r="AS169" s="19"/>
      <c r="AT169" s="65" t="str">
        <f t="shared" si="40"/>
        <v>Y</v>
      </c>
      <c r="AU169" s="65" t="str">
        <f t="shared" si="43"/>
        <v>N</v>
      </c>
      <c r="AV169" s="65" t="s">
        <v>162</v>
      </c>
      <c r="AW169" s="99" t="s">
        <v>1405</v>
      </c>
      <c r="AX169" s="99"/>
      <c r="AY169" s="19"/>
      <c r="AZ169" s="96" t="str">
        <f t="shared" si="44"/>
        <v>n</v>
      </c>
      <c r="BA169" s="96" t="str">
        <f>IF(AZ169="n","n",VLOOKUP(AZ169,'Conversion factors'!$C$4:$D$24,2,FALSE))</f>
        <v>n</v>
      </c>
      <c r="BB169" s="96" t="str">
        <f t="shared" si="45"/>
        <v>n</v>
      </c>
      <c r="BC169" s="97"/>
      <c r="BD169" s="96" t="str">
        <f t="shared" si="41"/>
        <v>n</v>
      </c>
      <c r="BE169" s="96" t="str">
        <f t="shared" si="46"/>
        <v>n</v>
      </c>
      <c r="BF169" s="98" t="str">
        <f t="shared" si="42"/>
        <v/>
      </c>
      <c r="BG169" s="96" t="str">
        <f>IF(BF169="","",IF(ISNUMBER(VLOOKUP(BF169,'Conversion factors'!$B$35:$C$52,2,FALSE)),"y","n"))</f>
        <v/>
      </c>
      <c r="BH169" s="99" t="s">
        <v>1466</v>
      </c>
    </row>
    <row r="170" spans="1:62" s="103" customFormat="1" ht="15.75" customHeight="1" x14ac:dyDescent="0.2">
      <c r="A170" s="18"/>
      <c r="B170" s="19">
        <v>253</v>
      </c>
      <c r="C170" s="19"/>
      <c r="D170" s="19">
        <v>84051</v>
      </c>
      <c r="E170" s="19" t="s">
        <v>1224</v>
      </c>
      <c r="F170" s="93">
        <v>2004</v>
      </c>
      <c r="G170" s="19" t="s">
        <v>711</v>
      </c>
      <c r="H170" s="19"/>
      <c r="I170" s="19" t="s">
        <v>41</v>
      </c>
      <c r="J170" s="19" t="s">
        <v>89</v>
      </c>
      <c r="K170" s="19" t="s">
        <v>161</v>
      </c>
      <c r="L170" s="19" t="s">
        <v>82</v>
      </c>
      <c r="M170" s="19" t="s">
        <v>82</v>
      </c>
      <c r="N170" s="19" t="s">
        <v>66</v>
      </c>
      <c r="O170" s="19" t="s">
        <v>160</v>
      </c>
      <c r="P170" s="19" t="s">
        <v>51</v>
      </c>
      <c r="Q170" s="19"/>
      <c r="R170" s="19" t="s">
        <v>81</v>
      </c>
      <c r="S170" s="19" t="s">
        <v>749</v>
      </c>
      <c r="T170" s="19" t="s">
        <v>55</v>
      </c>
      <c r="U170" s="19" t="s">
        <v>55</v>
      </c>
      <c r="V170" s="19" t="s">
        <v>78</v>
      </c>
      <c r="W170" s="19" t="s">
        <v>231</v>
      </c>
      <c r="X170" s="19" t="s">
        <v>46</v>
      </c>
      <c r="Y170" s="29"/>
      <c r="Z170" s="19"/>
      <c r="AA170" s="19"/>
      <c r="AB170" s="19" t="s">
        <v>759</v>
      </c>
      <c r="AC170" s="19" t="s">
        <v>214</v>
      </c>
      <c r="AD170" s="19"/>
      <c r="AE170" s="24">
        <f t="shared" si="52"/>
        <v>29.122722258</v>
      </c>
      <c r="AF170" s="24">
        <f t="shared" si="52"/>
        <v>29.122722258</v>
      </c>
      <c r="AG170" s="19" t="s">
        <v>1440</v>
      </c>
      <c r="AH170" s="19"/>
      <c r="AI170" s="19"/>
      <c r="AJ170" s="19">
        <f>MEDIAN(5.68)</f>
        <v>5.68</v>
      </c>
      <c r="AK170" s="19" t="s">
        <v>727</v>
      </c>
      <c r="AL170" s="19"/>
      <c r="AM170" s="19" t="s">
        <v>234</v>
      </c>
      <c r="AN170" s="19" t="s">
        <v>234</v>
      </c>
      <c r="AO170" s="19" t="s">
        <v>235</v>
      </c>
      <c r="AP170" s="94">
        <v>0.3</v>
      </c>
      <c r="AQ170" s="19" t="s">
        <v>101</v>
      </c>
      <c r="AR170" s="19" t="s">
        <v>241</v>
      </c>
      <c r="AS170" s="19"/>
      <c r="AT170" s="65" t="str">
        <f t="shared" si="40"/>
        <v>Y</v>
      </c>
      <c r="AU170" s="65" t="str">
        <f t="shared" si="43"/>
        <v>N</v>
      </c>
      <c r="AV170" s="65" t="s">
        <v>162</v>
      </c>
      <c r="AW170" s="99" t="s">
        <v>1405</v>
      </c>
      <c r="AX170" s="99"/>
      <c r="AY170" s="19"/>
      <c r="AZ170" s="96" t="str">
        <f t="shared" si="44"/>
        <v>n</v>
      </c>
      <c r="BA170" s="96" t="str">
        <f>IF(AZ170="n","n",VLOOKUP(AZ170,'Conversion factors'!$C$4:$D$24,2,FALSE))</f>
        <v>n</v>
      </c>
      <c r="BB170" s="96" t="str">
        <f t="shared" si="45"/>
        <v>n</v>
      </c>
      <c r="BC170" s="97"/>
      <c r="BD170" s="96" t="str">
        <f t="shared" si="41"/>
        <v>n</v>
      </c>
      <c r="BE170" s="96" t="str">
        <f t="shared" si="46"/>
        <v>n</v>
      </c>
      <c r="BF170" s="98" t="str">
        <f t="shared" si="42"/>
        <v/>
      </c>
      <c r="BG170" s="96" t="str">
        <f>IF(BF170="","",IF(ISNUMBER(VLOOKUP(BF170,'Conversion factors'!$B$35:$C$52,2,FALSE)),"y","n"))</f>
        <v/>
      </c>
      <c r="BH170" s="99" t="s">
        <v>1464</v>
      </c>
    </row>
    <row r="171" spans="1:62" s="103" customFormat="1" ht="15.75" customHeight="1" x14ac:dyDescent="0.2">
      <c r="A171" s="18"/>
      <c r="B171" s="19">
        <v>253</v>
      </c>
      <c r="C171" s="19"/>
      <c r="D171" s="19">
        <v>84051</v>
      </c>
      <c r="E171" s="19" t="s">
        <v>1224</v>
      </c>
      <c r="F171" s="93">
        <v>2004</v>
      </c>
      <c r="G171" s="19" t="s">
        <v>711</v>
      </c>
      <c r="H171" s="19"/>
      <c r="I171" s="19" t="s">
        <v>41</v>
      </c>
      <c r="J171" s="19" t="s">
        <v>89</v>
      </c>
      <c r="K171" s="19" t="s">
        <v>161</v>
      </c>
      <c r="L171" s="19" t="s">
        <v>82</v>
      </c>
      <c r="M171" s="19" t="s">
        <v>82</v>
      </c>
      <c r="N171" s="19" t="s">
        <v>66</v>
      </c>
      <c r="O171" s="19" t="s">
        <v>160</v>
      </c>
      <c r="P171" s="19" t="s">
        <v>51</v>
      </c>
      <c r="Q171" s="19"/>
      <c r="R171" s="19" t="s">
        <v>237</v>
      </c>
      <c r="S171" s="19" t="s">
        <v>414</v>
      </c>
      <c r="T171" s="19" t="s">
        <v>54</v>
      </c>
      <c r="U171" s="19" t="s">
        <v>54</v>
      </c>
      <c r="V171" s="19" t="s">
        <v>78</v>
      </c>
      <c r="W171" s="19" t="s">
        <v>231</v>
      </c>
      <c r="X171" s="19" t="s">
        <v>46</v>
      </c>
      <c r="Y171" s="29"/>
      <c r="Z171" s="19"/>
      <c r="AA171" s="19"/>
      <c r="AB171" s="19" t="s">
        <v>776</v>
      </c>
      <c r="AC171" s="19" t="s">
        <v>214</v>
      </c>
      <c r="AD171" s="19"/>
      <c r="AE171" s="24">
        <f t="shared" si="52"/>
        <v>29.122722258</v>
      </c>
      <c r="AF171" s="24">
        <f t="shared" si="52"/>
        <v>29.122722258</v>
      </c>
      <c r="AG171" s="19" t="s">
        <v>1417</v>
      </c>
      <c r="AH171" s="19"/>
      <c r="AI171" s="19"/>
      <c r="AJ171" s="19">
        <f>MEDIAN(5.68)</f>
        <v>5.68</v>
      </c>
      <c r="AK171" s="19" t="s">
        <v>727</v>
      </c>
      <c r="AL171" s="19"/>
      <c r="AM171" s="19" t="s">
        <v>234</v>
      </c>
      <c r="AN171" s="19" t="s">
        <v>234</v>
      </c>
      <c r="AO171" s="19" t="s">
        <v>235</v>
      </c>
      <c r="AP171" s="94">
        <v>0.3</v>
      </c>
      <c r="AQ171" s="19" t="s">
        <v>101</v>
      </c>
      <c r="AR171" s="19" t="s">
        <v>241</v>
      </c>
      <c r="AS171" s="19"/>
      <c r="AT171" s="65" t="str">
        <f t="shared" si="40"/>
        <v>Y</v>
      </c>
      <c r="AU171" s="65" t="str">
        <f t="shared" si="43"/>
        <v>N</v>
      </c>
      <c r="AV171" s="65" t="s">
        <v>162</v>
      </c>
      <c r="AW171" s="99" t="s">
        <v>1405</v>
      </c>
      <c r="AX171" s="99"/>
      <c r="AY171" s="19"/>
      <c r="AZ171" s="96" t="str">
        <f t="shared" si="44"/>
        <v>n</v>
      </c>
      <c r="BA171" s="96" t="str">
        <f>IF(AZ171="n","n",VLOOKUP(AZ171,'Conversion factors'!$C$4:$D$24,2,FALSE))</f>
        <v>n</v>
      </c>
      <c r="BB171" s="96" t="str">
        <f t="shared" si="45"/>
        <v>n</v>
      </c>
      <c r="BC171" s="97"/>
      <c r="BD171" s="96" t="str">
        <f t="shared" si="41"/>
        <v>n</v>
      </c>
      <c r="BE171" s="96" t="str">
        <f t="shared" si="46"/>
        <v>n</v>
      </c>
      <c r="BF171" s="98" t="str">
        <f t="shared" si="42"/>
        <v/>
      </c>
      <c r="BG171" s="96" t="str">
        <f>IF(BF171="","",IF(ISNUMBER(VLOOKUP(BF171,'Conversion factors'!$B$35:$C$52,2,FALSE)),"y","n"))</f>
        <v/>
      </c>
      <c r="BH171" s="99" t="s">
        <v>1466</v>
      </c>
    </row>
    <row r="172" spans="1:62" s="103" customFormat="1" ht="15.75" customHeight="1" x14ac:dyDescent="0.2">
      <c r="A172" s="18"/>
      <c r="B172" s="19">
        <v>253</v>
      </c>
      <c r="C172" s="19"/>
      <c r="D172" s="19">
        <v>84051</v>
      </c>
      <c r="E172" s="19" t="s">
        <v>1224</v>
      </c>
      <c r="F172" s="93">
        <v>2004</v>
      </c>
      <c r="G172" s="19" t="s">
        <v>711</v>
      </c>
      <c r="H172" s="19"/>
      <c r="I172" s="19" t="s">
        <v>41</v>
      </c>
      <c r="J172" s="19" t="s">
        <v>89</v>
      </c>
      <c r="K172" s="19" t="s">
        <v>161</v>
      </c>
      <c r="L172" s="99" t="s">
        <v>82</v>
      </c>
      <c r="M172" s="19" t="s">
        <v>82</v>
      </c>
      <c r="N172" s="19" t="s">
        <v>66</v>
      </c>
      <c r="O172" s="19" t="s">
        <v>160</v>
      </c>
      <c r="P172" s="19" t="s">
        <v>51</v>
      </c>
      <c r="Q172" s="19"/>
      <c r="R172" s="19" t="s">
        <v>237</v>
      </c>
      <c r="S172" s="19" t="s">
        <v>79</v>
      </c>
      <c r="T172" s="19" t="s">
        <v>174</v>
      </c>
      <c r="U172" s="19" t="s">
        <v>49</v>
      </c>
      <c r="V172" s="19" t="s">
        <v>78</v>
      </c>
      <c r="W172" s="19" t="s">
        <v>231</v>
      </c>
      <c r="X172" s="19" t="s">
        <v>46</v>
      </c>
      <c r="Y172" s="29"/>
      <c r="Z172" s="19"/>
      <c r="AA172" s="19"/>
      <c r="AB172" s="19" t="s">
        <v>721</v>
      </c>
      <c r="AC172" s="19" t="s">
        <v>214</v>
      </c>
      <c r="AD172" s="19"/>
      <c r="AE172" s="24">
        <f t="shared" ref="AE172:AF176" si="53">0.223*40.078*2.497+0.064*24.305*4.118</f>
        <v>28.722304178000002</v>
      </c>
      <c r="AF172" s="24">
        <f t="shared" si="53"/>
        <v>28.722304178000002</v>
      </c>
      <c r="AG172" s="19" t="s">
        <v>1417</v>
      </c>
      <c r="AH172" s="19"/>
      <c r="AI172" s="19"/>
      <c r="AJ172" s="101">
        <f>MEDIAN(6.7)</f>
        <v>6.7</v>
      </c>
      <c r="AK172" s="19" t="s">
        <v>722</v>
      </c>
      <c r="AL172" s="19"/>
      <c r="AM172" s="19"/>
      <c r="AN172" s="19" t="s">
        <v>234</v>
      </c>
      <c r="AO172" s="19" t="s">
        <v>235</v>
      </c>
      <c r="AP172" s="94">
        <v>0.3</v>
      </c>
      <c r="AQ172" s="19" t="s">
        <v>101</v>
      </c>
      <c r="AR172" s="19" t="s">
        <v>241</v>
      </c>
      <c r="AS172" s="19"/>
      <c r="AT172" s="65" t="str">
        <f t="shared" si="40"/>
        <v>Y</v>
      </c>
      <c r="AU172" s="65" t="str">
        <f t="shared" si="43"/>
        <v>Y</v>
      </c>
      <c r="AV172" s="65" t="str">
        <f t="shared" ref="AV172:AV235" si="54">AU172</f>
        <v>Y</v>
      </c>
      <c r="AW172" s="99"/>
      <c r="AX172" s="99"/>
      <c r="AY172" s="19"/>
      <c r="AZ172" s="96" t="str">
        <f t="shared" si="44"/>
        <v>LC10</v>
      </c>
      <c r="BA172" s="96">
        <f>IF(AZ172="n","n",VLOOKUP(AZ172,'Conversion factors'!$C$4:$D$24,2,FALSE))</f>
        <v>1</v>
      </c>
      <c r="BB172" s="96">
        <f t="shared" si="45"/>
        <v>99.1</v>
      </c>
      <c r="BC172" s="97"/>
      <c r="BD172" s="96" t="str">
        <f t="shared" si="41"/>
        <v>Chronic</v>
      </c>
      <c r="BE172" s="96" t="str">
        <f t="shared" si="46"/>
        <v>y</v>
      </c>
      <c r="BF172" s="98" t="str">
        <f t="shared" si="42"/>
        <v>LC10</v>
      </c>
      <c r="BG172" s="96" t="str">
        <f>IF(BF172="","",IF(ISNUMBER(VLOOKUP(BF172,'Conversion factors'!$B$35:$C$52,2,FALSE)),"y","n"))</f>
        <v>y</v>
      </c>
      <c r="BH172" s="99" t="s">
        <v>1592</v>
      </c>
    </row>
    <row r="173" spans="1:62" s="103" customFormat="1" ht="15.75" customHeight="1" x14ac:dyDescent="0.2">
      <c r="A173" s="18"/>
      <c r="B173" s="19">
        <v>253</v>
      </c>
      <c r="C173" s="19"/>
      <c r="D173" s="19">
        <v>84051</v>
      </c>
      <c r="E173" s="19" t="s">
        <v>1224</v>
      </c>
      <c r="F173" s="93">
        <v>2004</v>
      </c>
      <c r="G173" s="19" t="s">
        <v>711</v>
      </c>
      <c r="H173" s="19"/>
      <c r="I173" s="19" t="s">
        <v>41</v>
      </c>
      <c r="J173" s="19" t="s">
        <v>89</v>
      </c>
      <c r="K173" s="19" t="s">
        <v>161</v>
      </c>
      <c r="L173" s="19" t="s">
        <v>82</v>
      </c>
      <c r="M173" s="19" t="s">
        <v>82</v>
      </c>
      <c r="N173" s="19" t="s">
        <v>66</v>
      </c>
      <c r="O173" s="19" t="s">
        <v>160</v>
      </c>
      <c r="P173" s="19" t="s">
        <v>51</v>
      </c>
      <c r="Q173" s="19"/>
      <c r="R173" s="19" t="s">
        <v>237</v>
      </c>
      <c r="S173" s="19" t="s">
        <v>79</v>
      </c>
      <c r="T173" s="19" t="s">
        <v>56</v>
      </c>
      <c r="U173" s="19" t="s">
        <v>44</v>
      </c>
      <c r="V173" s="19" t="s">
        <v>78</v>
      </c>
      <c r="W173" s="19" t="s">
        <v>231</v>
      </c>
      <c r="X173" s="19" t="s">
        <v>46</v>
      </c>
      <c r="Y173" s="29"/>
      <c r="Z173" s="19"/>
      <c r="AA173" s="19"/>
      <c r="AB173" s="19" t="s">
        <v>746</v>
      </c>
      <c r="AC173" s="19" t="s">
        <v>214</v>
      </c>
      <c r="AD173" s="19"/>
      <c r="AE173" s="24">
        <f t="shared" si="53"/>
        <v>28.722304178000002</v>
      </c>
      <c r="AF173" s="24">
        <f t="shared" si="53"/>
        <v>28.722304178000002</v>
      </c>
      <c r="AG173" s="19" t="s">
        <v>1417</v>
      </c>
      <c r="AH173" s="19"/>
      <c r="AI173" s="19"/>
      <c r="AJ173" s="19">
        <f>MEDIAN(6.7)</f>
        <v>6.7</v>
      </c>
      <c r="AK173" s="19" t="s">
        <v>722</v>
      </c>
      <c r="AL173" s="19"/>
      <c r="AM173" s="19" t="s">
        <v>234</v>
      </c>
      <c r="AN173" s="19" t="s">
        <v>234</v>
      </c>
      <c r="AO173" s="19" t="s">
        <v>235</v>
      </c>
      <c r="AP173" s="94">
        <v>0.3</v>
      </c>
      <c r="AQ173" s="19" t="s">
        <v>101</v>
      </c>
      <c r="AR173" s="19" t="s">
        <v>241</v>
      </c>
      <c r="AS173" s="19"/>
      <c r="AT173" s="65" t="str">
        <f t="shared" si="40"/>
        <v>Y</v>
      </c>
      <c r="AU173" s="65" t="str">
        <f t="shared" si="43"/>
        <v>Y</v>
      </c>
      <c r="AV173" s="65" t="str">
        <f t="shared" si="54"/>
        <v>Y</v>
      </c>
      <c r="AW173" s="99"/>
      <c r="AX173" s="99"/>
      <c r="AY173" s="19"/>
      <c r="AZ173" s="96" t="str">
        <f t="shared" si="44"/>
        <v>LC50</v>
      </c>
      <c r="BA173" s="96">
        <f>IF(AZ173="n","n",VLOOKUP(AZ173,'Conversion factors'!$C$4:$D$24,2,FALSE))</f>
        <v>5</v>
      </c>
      <c r="BB173" s="96">
        <f t="shared" si="45"/>
        <v>73.599999999999994</v>
      </c>
      <c r="BC173" s="97"/>
      <c r="BD173" s="96" t="str">
        <f t="shared" si="41"/>
        <v>Chronic</v>
      </c>
      <c r="BE173" s="96" t="str">
        <f t="shared" si="46"/>
        <v>y</v>
      </c>
      <c r="BF173" s="98" t="str">
        <f t="shared" si="42"/>
        <v>LC50</v>
      </c>
      <c r="BG173" s="96" t="str">
        <f>IF(BF173="","",IF(ISNUMBER(VLOOKUP(BF173,'Conversion factors'!$B$35:$C$52,2,FALSE)),"y","n"))</f>
        <v>n</v>
      </c>
      <c r="BH173" s="99" t="s">
        <v>1466</v>
      </c>
    </row>
    <row r="174" spans="1:62" s="103" customFormat="1" ht="15.75" customHeight="1" x14ac:dyDescent="0.2">
      <c r="A174" s="18"/>
      <c r="B174" s="19">
        <v>253</v>
      </c>
      <c r="C174" s="19"/>
      <c r="D174" s="19">
        <v>84051</v>
      </c>
      <c r="E174" s="19" t="s">
        <v>1224</v>
      </c>
      <c r="F174" s="93">
        <v>2004</v>
      </c>
      <c r="G174" s="19" t="s">
        <v>711</v>
      </c>
      <c r="H174" s="19"/>
      <c r="I174" s="19" t="s">
        <v>41</v>
      </c>
      <c r="J174" s="19" t="s">
        <v>89</v>
      </c>
      <c r="K174" s="19" t="s">
        <v>161</v>
      </c>
      <c r="L174" s="19" t="s">
        <v>82</v>
      </c>
      <c r="M174" s="19" t="s">
        <v>82</v>
      </c>
      <c r="N174" s="19" t="s">
        <v>66</v>
      </c>
      <c r="O174" s="19" t="s">
        <v>160</v>
      </c>
      <c r="P174" s="19" t="s">
        <v>51</v>
      </c>
      <c r="Q174" s="19"/>
      <c r="R174" s="19" t="s">
        <v>237</v>
      </c>
      <c r="S174" s="19" t="s">
        <v>414</v>
      </c>
      <c r="T174" s="19" t="s">
        <v>55</v>
      </c>
      <c r="U174" s="19" t="s">
        <v>55</v>
      </c>
      <c r="V174" s="19" t="s">
        <v>78</v>
      </c>
      <c r="W174" s="19" t="s">
        <v>231</v>
      </c>
      <c r="X174" s="19" t="s">
        <v>46</v>
      </c>
      <c r="Y174" s="29"/>
      <c r="Z174" s="19"/>
      <c r="AA174" s="19"/>
      <c r="AB174" s="19" t="s">
        <v>748</v>
      </c>
      <c r="AC174" s="19" t="s">
        <v>214</v>
      </c>
      <c r="AD174" s="19"/>
      <c r="AE174" s="24">
        <f t="shared" si="53"/>
        <v>28.722304178000002</v>
      </c>
      <c r="AF174" s="24">
        <f t="shared" si="53"/>
        <v>28.722304178000002</v>
      </c>
      <c r="AG174" s="19" t="s">
        <v>1417</v>
      </c>
      <c r="AH174" s="19"/>
      <c r="AI174" s="19"/>
      <c r="AJ174" s="19">
        <f>MEDIAN(6.7)</f>
        <v>6.7</v>
      </c>
      <c r="AK174" s="19" t="s">
        <v>722</v>
      </c>
      <c r="AL174" s="19"/>
      <c r="AM174" s="19" t="s">
        <v>234</v>
      </c>
      <c r="AN174" s="19" t="s">
        <v>234</v>
      </c>
      <c r="AO174" s="19" t="s">
        <v>235</v>
      </c>
      <c r="AP174" s="94">
        <v>0.3</v>
      </c>
      <c r="AQ174" s="19" t="s">
        <v>101</v>
      </c>
      <c r="AR174" s="19" t="s">
        <v>241</v>
      </c>
      <c r="AS174" s="19"/>
      <c r="AT174" s="65" t="str">
        <f t="shared" si="40"/>
        <v>Y</v>
      </c>
      <c r="AU174" s="65" t="str">
        <f t="shared" si="43"/>
        <v>Y</v>
      </c>
      <c r="AV174" s="65" t="str">
        <f t="shared" si="54"/>
        <v>Y</v>
      </c>
      <c r="AW174" s="99"/>
      <c r="AX174" s="99"/>
      <c r="AY174" s="19"/>
      <c r="AZ174" s="96" t="str">
        <f t="shared" si="44"/>
        <v>LOEC</v>
      </c>
      <c r="BA174" s="96">
        <f>IF(AZ174="n","n",VLOOKUP(AZ174,'Conversion factors'!$C$4:$D$24,2,FALSE))</f>
        <v>2.5</v>
      </c>
      <c r="BB174" s="96">
        <f t="shared" si="45"/>
        <v>266</v>
      </c>
      <c r="BC174" s="97"/>
      <c r="BD174" s="96" t="str">
        <f t="shared" si="41"/>
        <v>Chronic</v>
      </c>
      <c r="BE174" s="96" t="str">
        <f t="shared" si="46"/>
        <v>y</v>
      </c>
      <c r="BF174" s="98" t="str">
        <f t="shared" si="42"/>
        <v>LOEC</v>
      </c>
      <c r="BG174" s="96" t="str">
        <f>IF(BF174="","",IF(ISNUMBER(VLOOKUP(BF174,'Conversion factors'!$B$35:$C$52,2,FALSE)),"y","n"))</f>
        <v>n</v>
      </c>
      <c r="BH174" s="99" t="s">
        <v>1466</v>
      </c>
    </row>
    <row r="175" spans="1:62" s="103" customFormat="1" ht="15.75" customHeight="1" x14ac:dyDescent="0.2">
      <c r="A175" s="18"/>
      <c r="B175" s="19">
        <v>253</v>
      </c>
      <c r="C175" s="19"/>
      <c r="D175" s="19">
        <v>84051</v>
      </c>
      <c r="E175" s="19" t="s">
        <v>1224</v>
      </c>
      <c r="F175" s="93">
        <v>2004</v>
      </c>
      <c r="G175" s="19" t="s">
        <v>711</v>
      </c>
      <c r="H175" s="19"/>
      <c r="I175" s="19" t="s">
        <v>41</v>
      </c>
      <c r="J175" s="19" t="s">
        <v>89</v>
      </c>
      <c r="K175" s="19" t="s">
        <v>161</v>
      </c>
      <c r="L175" s="19" t="s">
        <v>82</v>
      </c>
      <c r="M175" s="19" t="s">
        <v>82</v>
      </c>
      <c r="N175" s="19" t="s">
        <v>66</v>
      </c>
      <c r="O175" s="19" t="s">
        <v>160</v>
      </c>
      <c r="P175" s="19" t="s">
        <v>51</v>
      </c>
      <c r="Q175" s="19"/>
      <c r="R175" s="19" t="s">
        <v>81</v>
      </c>
      <c r="S175" s="19" t="s">
        <v>749</v>
      </c>
      <c r="T175" s="19" t="s">
        <v>55</v>
      </c>
      <c r="U175" s="19" t="s">
        <v>55</v>
      </c>
      <c r="V175" s="19" t="s">
        <v>78</v>
      </c>
      <c r="W175" s="19" t="s">
        <v>231</v>
      </c>
      <c r="X175" s="19" t="s">
        <v>46</v>
      </c>
      <c r="Y175" s="29"/>
      <c r="Z175" s="19"/>
      <c r="AA175" s="19"/>
      <c r="AB175" s="19" t="s">
        <v>750</v>
      </c>
      <c r="AC175" s="19" t="s">
        <v>214</v>
      </c>
      <c r="AD175" s="19"/>
      <c r="AE175" s="24">
        <f t="shared" si="53"/>
        <v>28.722304178000002</v>
      </c>
      <c r="AF175" s="24">
        <f t="shared" si="53"/>
        <v>28.722304178000002</v>
      </c>
      <c r="AG175" s="19" t="s">
        <v>1443</v>
      </c>
      <c r="AH175" s="19"/>
      <c r="AI175" s="19"/>
      <c r="AJ175" s="19">
        <f>MEDIAN(6.7)</f>
        <v>6.7</v>
      </c>
      <c r="AK175" s="19" t="s">
        <v>722</v>
      </c>
      <c r="AL175" s="19"/>
      <c r="AM175" s="19" t="s">
        <v>234</v>
      </c>
      <c r="AN175" s="19" t="s">
        <v>234</v>
      </c>
      <c r="AO175" s="19" t="s">
        <v>235</v>
      </c>
      <c r="AP175" s="94">
        <v>0.3</v>
      </c>
      <c r="AQ175" s="19" t="s">
        <v>101</v>
      </c>
      <c r="AR175" s="19" t="s">
        <v>241</v>
      </c>
      <c r="AS175" s="19"/>
      <c r="AT175" s="65" t="str">
        <f t="shared" si="40"/>
        <v>Y</v>
      </c>
      <c r="AU175" s="65" t="str">
        <f t="shared" si="43"/>
        <v>Y</v>
      </c>
      <c r="AV175" s="65" t="str">
        <f t="shared" si="54"/>
        <v>Y</v>
      </c>
      <c r="AW175" s="99"/>
      <c r="AX175" s="99"/>
      <c r="AY175" s="19"/>
      <c r="AZ175" s="96" t="str">
        <f t="shared" si="44"/>
        <v>LOEC</v>
      </c>
      <c r="BA175" s="96">
        <f>IF(AZ175="n","n",VLOOKUP(AZ175,'Conversion factors'!$C$4:$D$24,2,FALSE))</f>
        <v>2.5</v>
      </c>
      <c r="BB175" s="96" t="e">
        <f t="shared" si="45"/>
        <v>#VALUE!</v>
      </c>
      <c r="BC175" s="97"/>
      <c r="BD175" s="96" t="str">
        <f t="shared" si="41"/>
        <v>Chronic</v>
      </c>
      <c r="BE175" s="96" t="str">
        <f t="shared" si="46"/>
        <v>y</v>
      </c>
      <c r="BF175" s="98" t="str">
        <f t="shared" si="42"/>
        <v>LOEC</v>
      </c>
      <c r="BG175" s="96" t="str">
        <f>IF(BF175="","",IF(ISNUMBER(VLOOKUP(BF175,'Conversion factors'!$B$35:$C$52,2,FALSE)),"y","n"))</f>
        <v>n</v>
      </c>
      <c r="BH175" s="99" t="s">
        <v>1464</v>
      </c>
    </row>
    <row r="176" spans="1:62" s="103" customFormat="1" ht="15.75" customHeight="1" x14ac:dyDescent="0.2">
      <c r="A176" s="18"/>
      <c r="B176" s="19">
        <v>253</v>
      </c>
      <c r="C176" s="19"/>
      <c r="D176" s="19">
        <v>84051</v>
      </c>
      <c r="E176" s="19" t="s">
        <v>1224</v>
      </c>
      <c r="F176" s="93">
        <v>2004</v>
      </c>
      <c r="G176" s="19" t="s">
        <v>711</v>
      </c>
      <c r="H176" s="19"/>
      <c r="I176" s="19" t="s">
        <v>41</v>
      </c>
      <c r="J176" s="19" t="s">
        <v>89</v>
      </c>
      <c r="K176" s="19" t="s">
        <v>161</v>
      </c>
      <c r="L176" s="19" t="s">
        <v>82</v>
      </c>
      <c r="M176" s="19" t="s">
        <v>82</v>
      </c>
      <c r="N176" s="19" t="s">
        <v>66</v>
      </c>
      <c r="O176" s="19" t="s">
        <v>160</v>
      </c>
      <c r="P176" s="19" t="s">
        <v>51</v>
      </c>
      <c r="Q176" s="19"/>
      <c r="R176" s="19" t="s">
        <v>237</v>
      </c>
      <c r="S176" s="19" t="s">
        <v>414</v>
      </c>
      <c r="T176" s="19" t="s">
        <v>54</v>
      </c>
      <c r="U176" s="19" t="s">
        <v>54</v>
      </c>
      <c r="V176" s="19" t="s">
        <v>78</v>
      </c>
      <c r="W176" s="19" t="s">
        <v>231</v>
      </c>
      <c r="X176" s="19" t="s">
        <v>46</v>
      </c>
      <c r="Y176" s="29"/>
      <c r="Z176" s="19"/>
      <c r="AA176" s="19"/>
      <c r="AB176" s="19" t="s">
        <v>754</v>
      </c>
      <c r="AC176" s="19" t="s">
        <v>214</v>
      </c>
      <c r="AD176" s="19"/>
      <c r="AE176" s="24">
        <f t="shared" si="53"/>
        <v>28.722304178000002</v>
      </c>
      <c r="AF176" s="24">
        <f t="shared" si="53"/>
        <v>28.722304178000002</v>
      </c>
      <c r="AG176" s="19" t="s">
        <v>1417</v>
      </c>
      <c r="AH176" s="19"/>
      <c r="AI176" s="19"/>
      <c r="AJ176" s="19">
        <f>MEDIAN(6.7)</f>
        <v>6.7</v>
      </c>
      <c r="AK176" s="19" t="s">
        <v>722</v>
      </c>
      <c r="AL176" s="19"/>
      <c r="AM176" s="19"/>
      <c r="AN176" s="19" t="s">
        <v>234</v>
      </c>
      <c r="AO176" s="19" t="s">
        <v>235</v>
      </c>
      <c r="AP176" s="94">
        <v>0.3</v>
      </c>
      <c r="AQ176" s="19" t="s">
        <v>101</v>
      </c>
      <c r="AR176" s="19" t="s">
        <v>241</v>
      </c>
      <c r="AS176" s="19"/>
      <c r="AT176" s="65" t="str">
        <f t="shared" si="40"/>
        <v>Y</v>
      </c>
      <c r="AU176" s="65" t="str">
        <f t="shared" si="43"/>
        <v>Y</v>
      </c>
      <c r="AV176" s="65" t="str">
        <f t="shared" si="54"/>
        <v>Y</v>
      </c>
      <c r="AW176" s="99"/>
      <c r="AX176" s="99"/>
      <c r="AY176" s="19"/>
      <c r="AZ176" s="96" t="str">
        <f t="shared" si="44"/>
        <v>NOEC</v>
      </c>
      <c r="BA176" s="96">
        <f>IF(AZ176="n","n",VLOOKUP(AZ176,'Conversion factors'!$C$4:$D$24,2,FALSE))</f>
        <v>1</v>
      </c>
      <c r="BB176" s="96">
        <f t="shared" si="45"/>
        <v>256</v>
      </c>
      <c r="BC176" s="97"/>
      <c r="BD176" s="96" t="str">
        <f t="shared" si="41"/>
        <v>Chronic</v>
      </c>
      <c r="BE176" s="96" t="str">
        <f t="shared" si="46"/>
        <v>y</v>
      </c>
      <c r="BF176" s="98" t="str">
        <f t="shared" si="42"/>
        <v>NOEC</v>
      </c>
      <c r="BG176" s="96" t="str">
        <f>IF(BF176="","",IF(ISNUMBER(VLOOKUP(BF176,'Conversion factors'!$B$35:$C$52,2,FALSE)),"y","n"))</f>
        <v>y</v>
      </c>
      <c r="BH176" s="99" t="s">
        <v>1466</v>
      </c>
    </row>
    <row r="177" spans="1:60" s="103" customFormat="1" ht="15.75" customHeight="1" x14ac:dyDescent="0.2">
      <c r="A177" s="18"/>
      <c r="B177" s="19">
        <v>253</v>
      </c>
      <c r="C177" s="19"/>
      <c r="D177" s="19">
        <v>84051</v>
      </c>
      <c r="E177" s="19" t="s">
        <v>1224</v>
      </c>
      <c r="F177" s="93">
        <v>2004</v>
      </c>
      <c r="G177" s="19" t="s">
        <v>711</v>
      </c>
      <c r="H177" s="19"/>
      <c r="I177" s="19" t="s">
        <v>41</v>
      </c>
      <c r="J177" s="19" t="s">
        <v>89</v>
      </c>
      <c r="K177" s="19" t="s">
        <v>161</v>
      </c>
      <c r="L177" s="19" t="s">
        <v>82</v>
      </c>
      <c r="M177" s="19" t="s">
        <v>82</v>
      </c>
      <c r="N177" s="19" t="s">
        <v>66</v>
      </c>
      <c r="O177" s="19" t="s">
        <v>160</v>
      </c>
      <c r="P177" s="19" t="s">
        <v>51</v>
      </c>
      <c r="Q177" s="19"/>
      <c r="R177" s="19" t="s">
        <v>237</v>
      </c>
      <c r="S177" s="19" t="s">
        <v>79</v>
      </c>
      <c r="T177" s="19" t="s">
        <v>56</v>
      </c>
      <c r="U177" s="19" t="s">
        <v>44</v>
      </c>
      <c r="V177" s="19" t="s">
        <v>78</v>
      </c>
      <c r="W177" s="19" t="s">
        <v>231</v>
      </c>
      <c r="X177" s="19" t="s">
        <v>46</v>
      </c>
      <c r="Y177" s="29"/>
      <c r="Z177" s="19"/>
      <c r="AA177" s="19"/>
      <c r="AB177" s="19" t="s">
        <v>740</v>
      </c>
      <c r="AC177" s="19" t="s">
        <v>214</v>
      </c>
      <c r="AD177" s="19"/>
      <c r="AE177" s="24">
        <f t="shared" ref="AE177:AF180" si="55">0.197*40.078*2.497+3.121*24.305*4.118</f>
        <v>332.08934569199999</v>
      </c>
      <c r="AF177" s="24">
        <f t="shared" si="55"/>
        <v>332.08934569199999</v>
      </c>
      <c r="AG177" s="19" t="s">
        <v>1417</v>
      </c>
      <c r="AH177" s="19"/>
      <c r="AI177" s="19"/>
      <c r="AJ177" s="19">
        <f>MEDIAN(7.39)</f>
        <v>7.39</v>
      </c>
      <c r="AK177" s="19" t="s">
        <v>699</v>
      </c>
      <c r="AL177" s="19"/>
      <c r="AM177" s="19" t="s">
        <v>234</v>
      </c>
      <c r="AN177" s="19" t="s">
        <v>234</v>
      </c>
      <c r="AO177" s="19" t="s">
        <v>235</v>
      </c>
      <c r="AP177" s="94">
        <v>0.3</v>
      </c>
      <c r="AQ177" s="19" t="s">
        <v>101</v>
      </c>
      <c r="AR177" s="19" t="s">
        <v>241</v>
      </c>
      <c r="AS177" s="19"/>
      <c r="AT177" s="65" t="str">
        <f t="shared" si="40"/>
        <v>Y</v>
      </c>
      <c r="AU177" s="65" t="str">
        <f t="shared" si="43"/>
        <v>Y</v>
      </c>
      <c r="AV177" s="65" t="str">
        <f t="shared" si="54"/>
        <v>Y</v>
      </c>
      <c r="AW177" s="99"/>
      <c r="AX177" s="99"/>
      <c r="AY177" s="19"/>
      <c r="AZ177" s="96" t="str">
        <f t="shared" si="44"/>
        <v>LC50</v>
      </c>
      <c r="BA177" s="96">
        <f>IF(AZ177="n","n",VLOOKUP(AZ177,'Conversion factors'!$C$4:$D$24,2,FALSE))</f>
        <v>5</v>
      </c>
      <c r="BB177" s="96">
        <f t="shared" si="45"/>
        <v>116.6</v>
      </c>
      <c r="BC177" s="97"/>
      <c r="BD177" s="96" t="str">
        <f t="shared" si="41"/>
        <v>Chronic</v>
      </c>
      <c r="BE177" s="96" t="str">
        <f t="shared" si="46"/>
        <v>y</v>
      </c>
      <c r="BF177" s="98" t="str">
        <f t="shared" si="42"/>
        <v>LC50</v>
      </c>
      <c r="BG177" s="96" t="str">
        <f>IF(BF177="","",IF(ISNUMBER(VLOOKUP(BF177,'Conversion factors'!$B$35:$C$52,2,FALSE)),"y","n"))</f>
        <v>n</v>
      </c>
      <c r="BH177" s="99" t="s">
        <v>1466</v>
      </c>
    </row>
    <row r="178" spans="1:60" s="103" customFormat="1" ht="15.75" customHeight="1" x14ac:dyDescent="0.2">
      <c r="A178" s="18"/>
      <c r="B178" s="19">
        <v>253</v>
      </c>
      <c r="C178" s="19"/>
      <c r="D178" s="19">
        <v>84051</v>
      </c>
      <c r="E178" s="19" t="s">
        <v>1224</v>
      </c>
      <c r="F178" s="93">
        <v>2004</v>
      </c>
      <c r="G178" s="19" t="s">
        <v>711</v>
      </c>
      <c r="H178" s="19"/>
      <c r="I178" s="19" t="s">
        <v>41</v>
      </c>
      <c r="J178" s="19" t="s">
        <v>89</v>
      </c>
      <c r="K178" s="19" t="s">
        <v>161</v>
      </c>
      <c r="L178" s="19" t="s">
        <v>82</v>
      </c>
      <c r="M178" s="19" t="s">
        <v>82</v>
      </c>
      <c r="N178" s="19" t="s">
        <v>66</v>
      </c>
      <c r="O178" s="19" t="s">
        <v>160</v>
      </c>
      <c r="P178" s="19" t="s">
        <v>51</v>
      </c>
      <c r="Q178" s="19"/>
      <c r="R178" s="19" t="s">
        <v>237</v>
      </c>
      <c r="S178" s="19" t="s">
        <v>414</v>
      </c>
      <c r="T178" s="19" t="s">
        <v>55</v>
      </c>
      <c r="U178" s="19" t="s">
        <v>55</v>
      </c>
      <c r="V178" s="19" t="s">
        <v>78</v>
      </c>
      <c r="W178" s="19" t="s">
        <v>231</v>
      </c>
      <c r="X178" s="19" t="s">
        <v>46</v>
      </c>
      <c r="Y178" s="29"/>
      <c r="Z178" s="19"/>
      <c r="AA178" s="19"/>
      <c r="AB178" s="19" t="s">
        <v>773</v>
      </c>
      <c r="AC178" s="19" t="s">
        <v>214</v>
      </c>
      <c r="AD178" s="19"/>
      <c r="AE178" s="24">
        <f t="shared" si="55"/>
        <v>332.08934569199999</v>
      </c>
      <c r="AF178" s="24">
        <f t="shared" si="55"/>
        <v>332.08934569199999</v>
      </c>
      <c r="AG178" s="19" t="s">
        <v>1417</v>
      </c>
      <c r="AH178" s="19"/>
      <c r="AI178" s="19"/>
      <c r="AJ178" s="19">
        <f>MEDIAN(7.39)</f>
        <v>7.39</v>
      </c>
      <c r="AK178" s="19" t="s">
        <v>699</v>
      </c>
      <c r="AL178" s="19"/>
      <c r="AM178" s="19" t="s">
        <v>234</v>
      </c>
      <c r="AN178" s="19" t="s">
        <v>234</v>
      </c>
      <c r="AO178" s="19" t="s">
        <v>235</v>
      </c>
      <c r="AP178" s="94">
        <v>0.3</v>
      </c>
      <c r="AQ178" s="19" t="s">
        <v>101</v>
      </c>
      <c r="AR178" s="19" t="s">
        <v>241</v>
      </c>
      <c r="AS178" s="19"/>
      <c r="AT178" s="65" t="str">
        <f t="shared" si="40"/>
        <v>Y</v>
      </c>
      <c r="AU178" s="65" t="str">
        <f t="shared" si="43"/>
        <v>Y</v>
      </c>
      <c r="AV178" s="65" t="str">
        <f t="shared" si="54"/>
        <v>Y</v>
      </c>
      <c r="AW178" s="99"/>
      <c r="AX178" s="99"/>
      <c r="AY178" s="19"/>
      <c r="AZ178" s="96" t="str">
        <f t="shared" si="44"/>
        <v>LOEC</v>
      </c>
      <c r="BA178" s="96">
        <f>IF(AZ178="n","n",VLOOKUP(AZ178,'Conversion factors'!$C$4:$D$24,2,FALSE))</f>
        <v>2.5</v>
      </c>
      <c r="BB178" s="96">
        <f t="shared" si="45"/>
        <v>215.2</v>
      </c>
      <c r="BC178" s="97"/>
      <c r="BD178" s="96" t="str">
        <f t="shared" si="41"/>
        <v>Chronic</v>
      </c>
      <c r="BE178" s="96" t="str">
        <f t="shared" si="46"/>
        <v>y</v>
      </c>
      <c r="BF178" s="98" t="str">
        <f t="shared" si="42"/>
        <v>LOEC</v>
      </c>
      <c r="BG178" s="96" t="str">
        <f>IF(BF178="","",IF(ISNUMBER(VLOOKUP(BF178,'Conversion factors'!$B$35:$C$52,2,FALSE)),"y","n"))</f>
        <v>n</v>
      </c>
      <c r="BH178" s="99" t="s">
        <v>1466</v>
      </c>
    </row>
    <row r="179" spans="1:60" s="103" customFormat="1" ht="15.75" customHeight="1" x14ac:dyDescent="0.2">
      <c r="A179" s="18"/>
      <c r="B179" s="19">
        <v>253</v>
      </c>
      <c r="C179" s="19"/>
      <c r="D179" s="19">
        <v>84051</v>
      </c>
      <c r="E179" s="19" t="s">
        <v>1224</v>
      </c>
      <c r="F179" s="93">
        <v>2004</v>
      </c>
      <c r="G179" s="19" t="s">
        <v>711</v>
      </c>
      <c r="H179" s="19"/>
      <c r="I179" s="19" t="s">
        <v>41</v>
      </c>
      <c r="J179" s="19" t="s">
        <v>89</v>
      </c>
      <c r="K179" s="19" t="s">
        <v>161</v>
      </c>
      <c r="L179" s="19" t="s">
        <v>82</v>
      </c>
      <c r="M179" s="19" t="s">
        <v>82</v>
      </c>
      <c r="N179" s="19" t="s">
        <v>66</v>
      </c>
      <c r="O179" s="19" t="s">
        <v>160</v>
      </c>
      <c r="P179" s="19" t="s">
        <v>51</v>
      </c>
      <c r="Q179" s="19"/>
      <c r="R179" s="19" t="s">
        <v>81</v>
      </c>
      <c r="S179" s="19" t="s">
        <v>749</v>
      </c>
      <c r="T179" s="19" t="s">
        <v>55</v>
      </c>
      <c r="U179" s="19" t="s">
        <v>55</v>
      </c>
      <c r="V179" s="19" t="s">
        <v>78</v>
      </c>
      <c r="W179" s="19" t="s">
        <v>231</v>
      </c>
      <c r="X179" s="19" t="s">
        <v>46</v>
      </c>
      <c r="Y179" s="29"/>
      <c r="Z179" s="19"/>
      <c r="AA179" s="19"/>
      <c r="AB179" s="19" t="s">
        <v>760</v>
      </c>
      <c r="AC179" s="19" t="s">
        <v>214</v>
      </c>
      <c r="AD179" s="19"/>
      <c r="AE179" s="24">
        <f t="shared" si="55"/>
        <v>332.08934569199999</v>
      </c>
      <c r="AF179" s="24">
        <f t="shared" si="55"/>
        <v>332.08934569199999</v>
      </c>
      <c r="AG179" s="19" t="s">
        <v>1441</v>
      </c>
      <c r="AH179" s="19"/>
      <c r="AI179" s="19"/>
      <c r="AJ179" s="19">
        <f>MEDIAN(7.39)</f>
        <v>7.39</v>
      </c>
      <c r="AK179" s="19" t="s">
        <v>699</v>
      </c>
      <c r="AL179" s="19"/>
      <c r="AM179" s="19" t="s">
        <v>234</v>
      </c>
      <c r="AN179" s="19" t="s">
        <v>234</v>
      </c>
      <c r="AO179" s="19" t="s">
        <v>235</v>
      </c>
      <c r="AP179" s="94">
        <v>0.3</v>
      </c>
      <c r="AQ179" s="19" t="s">
        <v>101</v>
      </c>
      <c r="AR179" s="19" t="s">
        <v>241</v>
      </c>
      <c r="AS179" s="19"/>
      <c r="AT179" s="65" t="str">
        <f t="shared" si="40"/>
        <v>Y</v>
      </c>
      <c r="AU179" s="65" t="str">
        <f t="shared" si="43"/>
        <v>Y</v>
      </c>
      <c r="AV179" s="65" t="str">
        <f t="shared" si="54"/>
        <v>Y</v>
      </c>
      <c r="AW179" s="99"/>
      <c r="AX179" s="99"/>
      <c r="AY179" s="19"/>
      <c r="AZ179" s="96" t="str">
        <f t="shared" si="44"/>
        <v>LOEC</v>
      </c>
      <c r="BA179" s="96">
        <f>IF(AZ179="n","n",VLOOKUP(AZ179,'Conversion factors'!$C$4:$D$24,2,FALSE))</f>
        <v>2.5</v>
      </c>
      <c r="BB179" s="96" t="e">
        <f t="shared" si="45"/>
        <v>#VALUE!</v>
      </c>
      <c r="BC179" s="97"/>
      <c r="BD179" s="96" t="str">
        <f t="shared" si="41"/>
        <v>Chronic</v>
      </c>
      <c r="BE179" s="96" t="str">
        <f t="shared" si="46"/>
        <v>y</v>
      </c>
      <c r="BF179" s="98" t="str">
        <f t="shared" si="42"/>
        <v>LOEC</v>
      </c>
      <c r="BG179" s="96" t="str">
        <f>IF(BF179="","",IF(ISNUMBER(VLOOKUP(BF179,'Conversion factors'!$B$35:$C$52,2,FALSE)),"y","n"))</f>
        <v>n</v>
      </c>
      <c r="BH179" s="99" t="s">
        <v>1464</v>
      </c>
    </row>
    <row r="180" spans="1:60" s="103" customFormat="1" ht="15.75" customHeight="1" x14ac:dyDescent="0.2">
      <c r="A180" s="18"/>
      <c r="B180" s="19">
        <v>253</v>
      </c>
      <c r="C180" s="19"/>
      <c r="D180" s="19">
        <v>84051</v>
      </c>
      <c r="E180" s="19" t="s">
        <v>1224</v>
      </c>
      <c r="F180" s="93">
        <v>2004</v>
      </c>
      <c r="G180" s="19" t="s">
        <v>711</v>
      </c>
      <c r="H180" s="19"/>
      <c r="I180" s="19" t="s">
        <v>41</v>
      </c>
      <c r="J180" s="19" t="s">
        <v>89</v>
      </c>
      <c r="K180" s="19" t="s">
        <v>161</v>
      </c>
      <c r="L180" s="19" t="s">
        <v>82</v>
      </c>
      <c r="M180" s="19" t="s">
        <v>82</v>
      </c>
      <c r="N180" s="19" t="s">
        <v>66</v>
      </c>
      <c r="O180" s="19" t="s">
        <v>160</v>
      </c>
      <c r="P180" s="19" t="s">
        <v>51</v>
      </c>
      <c r="Q180" s="19"/>
      <c r="R180" s="19" t="s">
        <v>237</v>
      </c>
      <c r="S180" s="19" t="s">
        <v>414</v>
      </c>
      <c r="T180" s="19" t="s">
        <v>54</v>
      </c>
      <c r="U180" s="19" t="s">
        <v>54</v>
      </c>
      <c r="V180" s="19" t="s">
        <v>78</v>
      </c>
      <c r="W180" s="19" t="s">
        <v>231</v>
      </c>
      <c r="X180" s="19" t="s">
        <v>46</v>
      </c>
      <c r="Y180" s="29"/>
      <c r="Z180" s="19"/>
      <c r="AA180" s="19"/>
      <c r="AB180" s="19" t="s">
        <v>775</v>
      </c>
      <c r="AC180" s="19" t="s">
        <v>214</v>
      </c>
      <c r="AD180" s="19"/>
      <c r="AE180" s="24">
        <f t="shared" si="55"/>
        <v>332.08934569199999</v>
      </c>
      <c r="AF180" s="24">
        <f t="shared" si="55"/>
        <v>332.08934569199999</v>
      </c>
      <c r="AG180" s="19" t="s">
        <v>1417</v>
      </c>
      <c r="AH180" s="19"/>
      <c r="AI180" s="19"/>
      <c r="AJ180" s="19">
        <f>MEDIAN(7.39)</f>
        <v>7.39</v>
      </c>
      <c r="AK180" s="19" t="s">
        <v>699</v>
      </c>
      <c r="AL180" s="19"/>
      <c r="AM180" s="19"/>
      <c r="AN180" s="19" t="s">
        <v>234</v>
      </c>
      <c r="AO180" s="19" t="s">
        <v>235</v>
      </c>
      <c r="AP180" s="94">
        <v>0.3</v>
      </c>
      <c r="AQ180" s="19" t="s">
        <v>101</v>
      </c>
      <c r="AR180" s="19" t="s">
        <v>241</v>
      </c>
      <c r="AS180" s="19"/>
      <c r="AT180" s="65" t="str">
        <f t="shared" si="40"/>
        <v>Y</v>
      </c>
      <c r="AU180" s="65" t="str">
        <f t="shared" si="43"/>
        <v>Y</v>
      </c>
      <c r="AV180" s="65" t="str">
        <f t="shared" si="54"/>
        <v>Y</v>
      </c>
      <c r="AW180" s="99"/>
      <c r="AX180" s="99"/>
      <c r="AY180" s="19"/>
      <c r="AZ180" s="96" t="str">
        <f t="shared" si="44"/>
        <v>NOEC</v>
      </c>
      <c r="BA180" s="96">
        <f>IF(AZ180="n","n",VLOOKUP(AZ180,'Conversion factors'!$C$4:$D$24,2,FALSE))</f>
        <v>1</v>
      </c>
      <c r="BB180" s="96">
        <f t="shared" si="45"/>
        <v>90.3</v>
      </c>
      <c r="BC180" s="97"/>
      <c r="BD180" s="96" t="str">
        <f t="shared" si="41"/>
        <v>Chronic</v>
      </c>
      <c r="BE180" s="96" t="str">
        <f t="shared" si="46"/>
        <v>y</v>
      </c>
      <c r="BF180" s="98" t="str">
        <f t="shared" si="42"/>
        <v>NOEC</v>
      </c>
      <c r="BG180" s="96" t="str">
        <f>IF(BF180="","",IF(ISNUMBER(VLOOKUP(BF180,'Conversion factors'!$B$35:$C$52,2,FALSE)),"y","n"))</f>
        <v>y</v>
      </c>
      <c r="BH180" s="99" t="s">
        <v>1466</v>
      </c>
    </row>
    <row r="181" spans="1:60" s="103" customFormat="1" ht="15.75" customHeight="1" x14ac:dyDescent="0.2">
      <c r="A181" s="18"/>
      <c r="B181" s="19">
        <v>253</v>
      </c>
      <c r="C181" s="19"/>
      <c r="D181" s="19">
        <v>84051</v>
      </c>
      <c r="E181" s="19" t="s">
        <v>1224</v>
      </c>
      <c r="F181" s="93">
        <v>2004</v>
      </c>
      <c r="G181" s="19" t="s">
        <v>711</v>
      </c>
      <c r="H181" s="19"/>
      <c r="I181" s="19" t="s">
        <v>41</v>
      </c>
      <c r="J181" s="19" t="s">
        <v>89</v>
      </c>
      <c r="K181" s="19" t="s">
        <v>161</v>
      </c>
      <c r="L181" s="99" t="s">
        <v>82</v>
      </c>
      <c r="M181" s="19" t="s">
        <v>82</v>
      </c>
      <c r="N181" s="19" t="s">
        <v>66</v>
      </c>
      <c r="O181" s="19" t="s">
        <v>160</v>
      </c>
      <c r="P181" s="19" t="s">
        <v>51</v>
      </c>
      <c r="Q181" s="19"/>
      <c r="R181" s="19" t="s">
        <v>237</v>
      </c>
      <c r="S181" s="19" t="s">
        <v>79</v>
      </c>
      <c r="T181" s="19" t="s">
        <v>174</v>
      </c>
      <c r="U181" s="19" t="s">
        <v>49</v>
      </c>
      <c r="V181" s="19" t="s">
        <v>78</v>
      </c>
      <c r="W181" s="19" t="s">
        <v>231</v>
      </c>
      <c r="X181" s="19" t="s">
        <v>46</v>
      </c>
      <c r="Y181" s="29"/>
      <c r="Z181" s="19"/>
      <c r="AA181" s="19"/>
      <c r="AB181" s="19" t="s">
        <v>729</v>
      </c>
      <c r="AC181" s="19" t="s">
        <v>214</v>
      </c>
      <c r="AD181" s="19"/>
      <c r="AE181" s="24">
        <f t="shared" ref="AE181:AF183" si="56">0.221*40.078*2.497+0.075*24.305*4.118</f>
        <v>29.623122536</v>
      </c>
      <c r="AF181" s="24">
        <f t="shared" si="56"/>
        <v>29.623122536</v>
      </c>
      <c r="AG181" s="19" t="s">
        <v>1417</v>
      </c>
      <c r="AH181" s="19"/>
      <c r="AI181" s="19"/>
      <c r="AJ181" s="101">
        <f>MEDIAN(7.45)</f>
        <v>7.45</v>
      </c>
      <c r="AK181" s="19" t="s">
        <v>707</v>
      </c>
      <c r="AL181" s="19"/>
      <c r="AM181" s="19"/>
      <c r="AN181" s="19" t="s">
        <v>234</v>
      </c>
      <c r="AO181" s="19" t="s">
        <v>235</v>
      </c>
      <c r="AP181" s="94">
        <v>0.3</v>
      </c>
      <c r="AQ181" s="19" t="s">
        <v>101</v>
      </c>
      <c r="AR181" s="19" t="s">
        <v>241</v>
      </c>
      <c r="AS181" s="19"/>
      <c r="AT181" s="65" t="str">
        <f t="shared" si="40"/>
        <v>Y</v>
      </c>
      <c r="AU181" s="65" t="str">
        <f t="shared" si="43"/>
        <v>Y</v>
      </c>
      <c r="AV181" s="65" t="str">
        <f t="shared" si="54"/>
        <v>Y</v>
      </c>
      <c r="AW181" s="99"/>
      <c r="AX181" s="99"/>
      <c r="AY181" s="19"/>
      <c r="AZ181" s="96" t="str">
        <f t="shared" si="44"/>
        <v>LC10</v>
      </c>
      <c r="BA181" s="96">
        <f>IF(AZ181="n","n",VLOOKUP(AZ181,'Conversion factors'!$C$4:$D$24,2,FALSE))</f>
        <v>1</v>
      </c>
      <c r="BB181" s="96">
        <f t="shared" si="45"/>
        <v>38.4</v>
      </c>
      <c r="BC181" s="97"/>
      <c r="BD181" s="96" t="str">
        <f t="shared" si="41"/>
        <v>Chronic</v>
      </c>
      <c r="BE181" s="96" t="str">
        <f t="shared" si="46"/>
        <v>y</v>
      </c>
      <c r="BF181" s="98" t="str">
        <f t="shared" si="42"/>
        <v>LC10</v>
      </c>
      <c r="BG181" s="96" t="str">
        <f>IF(BF181="","",IF(ISNUMBER(VLOOKUP(BF181,'Conversion factors'!$B$35:$C$52,2,FALSE)),"y","n"))</f>
        <v>y</v>
      </c>
      <c r="BH181" s="99" t="s">
        <v>1592</v>
      </c>
    </row>
    <row r="182" spans="1:60" s="103" customFormat="1" ht="15.75" customHeight="1" x14ac:dyDescent="0.2">
      <c r="A182" s="18"/>
      <c r="B182" s="19">
        <v>253</v>
      </c>
      <c r="C182" s="19"/>
      <c r="D182" s="19">
        <v>84051</v>
      </c>
      <c r="E182" s="19" t="s">
        <v>1224</v>
      </c>
      <c r="F182" s="93">
        <v>2004</v>
      </c>
      <c r="G182" s="19" t="s">
        <v>711</v>
      </c>
      <c r="H182" s="19"/>
      <c r="I182" s="19" t="s">
        <v>41</v>
      </c>
      <c r="J182" s="19" t="s">
        <v>89</v>
      </c>
      <c r="K182" s="19" t="s">
        <v>161</v>
      </c>
      <c r="L182" s="19" t="s">
        <v>82</v>
      </c>
      <c r="M182" s="19" t="s">
        <v>82</v>
      </c>
      <c r="N182" s="19" t="s">
        <v>66</v>
      </c>
      <c r="O182" s="19" t="s">
        <v>160</v>
      </c>
      <c r="P182" s="19" t="s">
        <v>51</v>
      </c>
      <c r="Q182" s="19"/>
      <c r="R182" s="19" t="s">
        <v>237</v>
      </c>
      <c r="S182" s="19" t="s">
        <v>79</v>
      </c>
      <c r="T182" s="19" t="s">
        <v>56</v>
      </c>
      <c r="U182" s="19" t="s">
        <v>44</v>
      </c>
      <c r="V182" s="19" t="s">
        <v>78</v>
      </c>
      <c r="W182" s="19" t="s">
        <v>231</v>
      </c>
      <c r="X182" s="19" t="s">
        <v>46</v>
      </c>
      <c r="Y182" s="29"/>
      <c r="Z182" s="19"/>
      <c r="AA182" s="19"/>
      <c r="AB182" s="19" t="s">
        <v>736</v>
      </c>
      <c r="AC182" s="19" t="s">
        <v>214</v>
      </c>
      <c r="AD182" s="19"/>
      <c r="AE182" s="24">
        <f t="shared" si="56"/>
        <v>29.623122536</v>
      </c>
      <c r="AF182" s="24">
        <f t="shared" si="56"/>
        <v>29.623122536</v>
      </c>
      <c r="AG182" s="19" t="s">
        <v>1417</v>
      </c>
      <c r="AH182" s="19"/>
      <c r="AI182" s="19"/>
      <c r="AJ182" s="19">
        <f>MEDIAN(7.45)</f>
        <v>7.45</v>
      </c>
      <c r="AK182" s="19" t="s">
        <v>707</v>
      </c>
      <c r="AL182" s="19"/>
      <c r="AM182" s="19" t="s">
        <v>234</v>
      </c>
      <c r="AN182" s="19" t="s">
        <v>234</v>
      </c>
      <c r="AO182" s="19" t="s">
        <v>235</v>
      </c>
      <c r="AP182" s="94">
        <v>0.3</v>
      </c>
      <c r="AQ182" s="19" t="s">
        <v>101</v>
      </c>
      <c r="AR182" s="19" t="s">
        <v>241</v>
      </c>
      <c r="AS182" s="19"/>
      <c r="AT182" s="65" t="str">
        <f t="shared" si="40"/>
        <v>Y</v>
      </c>
      <c r="AU182" s="65" t="str">
        <f t="shared" si="43"/>
        <v>Y</v>
      </c>
      <c r="AV182" s="65" t="str">
        <f t="shared" si="54"/>
        <v>Y</v>
      </c>
      <c r="AW182" s="99"/>
      <c r="AX182" s="99"/>
      <c r="AY182" s="19"/>
      <c r="AZ182" s="96" t="str">
        <f t="shared" si="44"/>
        <v>LC50</v>
      </c>
      <c r="BA182" s="96">
        <f>IF(AZ182="n","n",VLOOKUP(AZ182,'Conversion factors'!$C$4:$D$24,2,FALSE))</f>
        <v>5</v>
      </c>
      <c r="BB182" s="96">
        <f t="shared" si="45"/>
        <v>35.4</v>
      </c>
      <c r="BC182" s="97"/>
      <c r="BD182" s="96" t="str">
        <f t="shared" si="41"/>
        <v>Chronic</v>
      </c>
      <c r="BE182" s="96" t="str">
        <f t="shared" si="46"/>
        <v>y</v>
      </c>
      <c r="BF182" s="98" t="str">
        <f t="shared" si="42"/>
        <v>LC50</v>
      </c>
      <c r="BG182" s="96" t="str">
        <f>IF(BF182="","",IF(ISNUMBER(VLOOKUP(BF182,'Conversion factors'!$B$35:$C$52,2,FALSE)),"y","n"))</f>
        <v>n</v>
      </c>
      <c r="BH182" s="99" t="s">
        <v>1466</v>
      </c>
    </row>
    <row r="183" spans="1:60" s="103" customFormat="1" ht="15.75" customHeight="1" x14ac:dyDescent="0.2">
      <c r="A183" s="18"/>
      <c r="B183" s="19">
        <v>253</v>
      </c>
      <c r="C183" s="19"/>
      <c r="D183" s="19">
        <v>84051</v>
      </c>
      <c r="E183" s="19" t="s">
        <v>1224</v>
      </c>
      <c r="F183" s="93">
        <v>2004</v>
      </c>
      <c r="G183" s="19" t="s">
        <v>711</v>
      </c>
      <c r="H183" s="19"/>
      <c r="I183" s="19" t="s">
        <v>41</v>
      </c>
      <c r="J183" s="19" t="s">
        <v>89</v>
      </c>
      <c r="K183" s="19" t="s">
        <v>161</v>
      </c>
      <c r="L183" s="19" t="s">
        <v>82</v>
      </c>
      <c r="M183" s="19" t="s">
        <v>82</v>
      </c>
      <c r="N183" s="19" t="s">
        <v>66</v>
      </c>
      <c r="O183" s="19" t="s">
        <v>160</v>
      </c>
      <c r="P183" s="19" t="s">
        <v>51</v>
      </c>
      <c r="Q183" s="19"/>
      <c r="R183" s="19" t="s">
        <v>237</v>
      </c>
      <c r="S183" s="19" t="s">
        <v>414</v>
      </c>
      <c r="T183" s="19" t="s">
        <v>55</v>
      </c>
      <c r="U183" s="19" t="s">
        <v>55</v>
      </c>
      <c r="V183" s="19" t="s">
        <v>78</v>
      </c>
      <c r="W183" s="19" t="s">
        <v>231</v>
      </c>
      <c r="X183" s="19" t="s">
        <v>46</v>
      </c>
      <c r="Y183" s="29"/>
      <c r="Z183" s="19"/>
      <c r="AA183" s="19"/>
      <c r="AB183" s="19" t="s">
        <v>764</v>
      </c>
      <c r="AC183" s="19" t="s">
        <v>214</v>
      </c>
      <c r="AD183" s="19"/>
      <c r="AE183" s="24">
        <f t="shared" si="56"/>
        <v>29.623122536</v>
      </c>
      <c r="AF183" s="24">
        <f t="shared" si="56"/>
        <v>29.623122536</v>
      </c>
      <c r="AG183" s="19" t="s">
        <v>1417</v>
      </c>
      <c r="AH183" s="19"/>
      <c r="AI183" s="19"/>
      <c r="AJ183" s="19">
        <f>MEDIAN(7.45)</f>
        <v>7.45</v>
      </c>
      <c r="AK183" s="19" t="s">
        <v>707</v>
      </c>
      <c r="AL183" s="19"/>
      <c r="AM183" s="19" t="s">
        <v>234</v>
      </c>
      <c r="AN183" s="19" t="s">
        <v>234</v>
      </c>
      <c r="AO183" s="19" t="s">
        <v>235</v>
      </c>
      <c r="AP183" s="94">
        <v>0.3</v>
      </c>
      <c r="AQ183" s="19" t="s">
        <v>101</v>
      </c>
      <c r="AR183" s="19" t="s">
        <v>241</v>
      </c>
      <c r="AS183" s="19"/>
      <c r="AT183" s="65" t="str">
        <f t="shared" si="40"/>
        <v>Y</v>
      </c>
      <c r="AU183" s="65" t="str">
        <f t="shared" si="43"/>
        <v>Y</v>
      </c>
      <c r="AV183" s="65" t="str">
        <f t="shared" si="54"/>
        <v>Y</v>
      </c>
      <c r="AW183" s="99"/>
      <c r="AX183" s="99"/>
      <c r="AY183" s="19"/>
      <c r="AZ183" s="96" t="str">
        <f t="shared" si="44"/>
        <v>LOEC</v>
      </c>
      <c r="BA183" s="96">
        <f>IF(AZ183="n","n",VLOOKUP(AZ183,'Conversion factors'!$C$4:$D$24,2,FALSE))</f>
        <v>2.5</v>
      </c>
      <c r="BB183" s="96">
        <f t="shared" si="45"/>
        <v>46.8</v>
      </c>
      <c r="BC183" s="97"/>
      <c r="BD183" s="96" t="str">
        <f t="shared" si="41"/>
        <v>Chronic</v>
      </c>
      <c r="BE183" s="96" t="str">
        <f t="shared" si="46"/>
        <v>y</v>
      </c>
      <c r="BF183" s="98" t="str">
        <f t="shared" si="42"/>
        <v>LOEC</v>
      </c>
      <c r="BG183" s="96" t="str">
        <f>IF(BF183="","",IF(ISNUMBER(VLOOKUP(BF183,'Conversion factors'!$B$35:$C$52,2,FALSE)),"y","n"))</f>
        <v>n</v>
      </c>
      <c r="BH183" s="99" t="s">
        <v>1466</v>
      </c>
    </row>
    <row r="184" spans="1:60" s="103" customFormat="1" ht="15.75" customHeight="1" x14ac:dyDescent="0.2">
      <c r="A184" s="18"/>
      <c r="B184" s="19">
        <v>253</v>
      </c>
      <c r="C184" s="19"/>
      <c r="D184" s="19">
        <v>84051</v>
      </c>
      <c r="E184" s="19" t="s">
        <v>1224</v>
      </c>
      <c r="F184" s="93">
        <v>2004</v>
      </c>
      <c r="G184" s="19" t="s">
        <v>711</v>
      </c>
      <c r="H184" s="19"/>
      <c r="I184" s="19" t="s">
        <v>41</v>
      </c>
      <c r="J184" s="19" t="s">
        <v>89</v>
      </c>
      <c r="K184" s="19" t="s">
        <v>161</v>
      </c>
      <c r="L184" s="19" t="s">
        <v>82</v>
      </c>
      <c r="M184" s="19" t="s">
        <v>82</v>
      </c>
      <c r="N184" s="19" t="s">
        <v>66</v>
      </c>
      <c r="O184" s="19" t="s">
        <v>160</v>
      </c>
      <c r="P184" s="19" t="s">
        <v>51</v>
      </c>
      <c r="Q184" s="19"/>
      <c r="R184" s="19" t="s">
        <v>81</v>
      </c>
      <c r="S184" s="19" t="s">
        <v>749</v>
      </c>
      <c r="T184" s="19" t="s">
        <v>55</v>
      </c>
      <c r="U184" s="19" t="s">
        <v>55</v>
      </c>
      <c r="V184" s="19" t="s">
        <v>78</v>
      </c>
      <c r="W184" s="19" t="s">
        <v>231</v>
      </c>
      <c r="X184" s="19" t="s">
        <v>46</v>
      </c>
      <c r="Y184" s="29"/>
      <c r="Z184" s="19"/>
      <c r="AA184" s="19"/>
      <c r="AB184" s="19" t="s">
        <v>753</v>
      </c>
      <c r="AC184" s="19" t="s">
        <v>214</v>
      </c>
      <c r="AD184" s="19"/>
      <c r="AE184" s="24">
        <v>190</v>
      </c>
      <c r="AF184" s="24">
        <f>1.844*40.078*2.497+0.057*24.305*4.118</f>
        <v>190.24288393400002</v>
      </c>
      <c r="AG184" s="19" t="s">
        <v>1437</v>
      </c>
      <c r="AH184" s="19"/>
      <c r="AI184" s="19"/>
      <c r="AJ184" s="19">
        <f>MEDIAN(7.45)</f>
        <v>7.45</v>
      </c>
      <c r="AK184" s="19" t="s">
        <v>707</v>
      </c>
      <c r="AL184" s="19"/>
      <c r="AM184" s="19" t="s">
        <v>234</v>
      </c>
      <c r="AN184" s="19" t="s">
        <v>234</v>
      </c>
      <c r="AO184" s="19" t="s">
        <v>235</v>
      </c>
      <c r="AP184" s="94">
        <v>0.3</v>
      </c>
      <c r="AQ184" s="19" t="s">
        <v>101</v>
      </c>
      <c r="AR184" s="19" t="s">
        <v>241</v>
      </c>
      <c r="AS184" s="19"/>
      <c r="AT184" s="65" t="str">
        <f t="shared" si="40"/>
        <v>Y</v>
      </c>
      <c r="AU184" s="65" t="str">
        <f t="shared" si="43"/>
        <v>Y</v>
      </c>
      <c r="AV184" s="65" t="str">
        <f t="shared" si="54"/>
        <v>Y</v>
      </c>
      <c r="AW184" s="99"/>
      <c r="AX184" s="99"/>
      <c r="AY184" s="19"/>
      <c r="AZ184" s="96" t="str">
        <f t="shared" si="44"/>
        <v>LOEC</v>
      </c>
      <c r="BA184" s="96">
        <f>IF(AZ184="n","n",VLOOKUP(AZ184,'Conversion factors'!$C$4:$D$24,2,FALSE))</f>
        <v>2.5</v>
      </c>
      <c r="BB184" s="96" t="e">
        <f t="shared" si="45"/>
        <v>#VALUE!</v>
      </c>
      <c r="BC184" s="97"/>
      <c r="BD184" s="96" t="str">
        <f t="shared" si="41"/>
        <v>Chronic</v>
      </c>
      <c r="BE184" s="96" t="str">
        <f t="shared" si="46"/>
        <v>y</v>
      </c>
      <c r="BF184" s="98" t="str">
        <f t="shared" si="42"/>
        <v>LOEC</v>
      </c>
      <c r="BG184" s="96" t="str">
        <f>IF(BF184="","",IF(ISNUMBER(VLOOKUP(BF184,'Conversion factors'!$B$35:$C$52,2,FALSE)),"y","n"))</f>
        <v>n</v>
      </c>
      <c r="BH184" s="99" t="s">
        <v>1464</v>
      </c>
    </row>
    <row r="185" spans="1:60" s="103" customFormat="1" ht="15.75" customHeight="1" x14ac:dyDescent="0.2">
      <c r="A185" s="18"/>
      <c r="B185" s="19">
        <v>253</v>
      </c>
      <c r="C185" s="19"/>
      <c r="D185" s="19">
        <v>84051</v>
      </c>
      <c r="E185" s="19" t="s">
        <v>1224</v>
      </c>
      <c r="F185" s="93">
        <v>2004</v>
      </c>
      <c r="G185" s="19" t="s">
        <v>711</v>
      </c>
      <c r="H185" s="19"/>
      <c r="I185" s="19" t="s">
        <v>41</v>
      </c>
      <c r="J185" s="19" t="s">
        <v>89</v>
      </c>
      <c r="K185" s="19" t="s">
        <v>161</v>
      </c>
      <c r="L185" s="19" t="s">
        <v>82</v>
      </c>
      <c r="M185" s="19" t="s">
        <v>82</v>
      </c>
      <c r="N185" s="19" t="s">
        <v>66</v>
      </c>
      <c r="O185" s="19" t="s">
        <v>160</v>
      </c>
      <c r="P185" s="19" t="s">
        <v>51</v>
      </c>
      <c r="Q185" s="19"/>
      <c r="R185" s="19" t="s">
        <v>237</v>
      </c>
      <c r="S185" s="19" t="s">
        <v>414</v>
      </c>
      <c r="T185" s="19" t="s">
        <v>54</v>
      </c>
      <c r="U185" s="19" t="s">
        <v>54</v>
      </c>
      <c r="V185" s="19" t="s">
        <v>78</v>
      </c>
      <c r="W185" s="19" t="s">
        <v>231</v>
      </c>
      <c r="X185" s="19" t="s">
        <v>46</v>
      </c>
      <c r="Y185" s="29"/>
      <c r="Z185" s="19"/>
      <c r="AA185" s="19"/>
      <c r="AB185" s="19" t="s">
        <v>347</v>
      </c>
      <c r="AC185" s="19" t="s">
        <v>214</v>
      </c>
      <c r="AD185" s="19"/>
      <c r="AE185" s="24">
        <f>0.221*40.078*2.497+0.075*24.305*4.118</f>
        <v>29.623122536</v>
      </c>
      <c r="AF185" s="24">
        <f>0.221*40.078*2.497+0.075*24.305*4.118</f>
        <v>29.623122536</v>
      </c>
      <c r="AG185" s="19" t="s">
        <v>1417</v>
      </c>
      <c r="AH185" s="19"/>
      <c r="AI185" s="19"/>
      <c r="AJ185" s="19">
        <f>MEDIAN(7.45)</f>
        <v>7.45</v>
      </c>
      <c r="AK185" s="19" t="s">
        <v>707</v>
      </c>
      <c r="AL185" s="19"/>
      <c r="AM185" s="19"/>
      <c r="AN185" s="19" t="s">
        <v>234</v>
      </c>
      <c r="AO185" s="19" t="s">
        <v>235</v>
      </c>
      <c r="AP185" s="94">
        <v>0.3</v>
      </c>
      <c r="AQ185" s="19" t="s">
        <v>101</v>
      </c>
      <c r="AR185" s="19" t="s">
        <v>241</v>
      </c>
      <c r="AS185" s="19"/>
      <c r="AT185" s="65" t="str">
        <f t="shared" si="40"/>
        <v>Y</v>
      </c>
      <c r="AU185" s="65" t="str">
        <f t="shared" si="43"/>
        <v>Y</v>
      </c>
      <c r="AV185" s="65" t="str">
        <f t="shared" si="54"/>
        <v>Y</v>
      </c>
      <c r="AW185" s="99"/>
      <c r="AX185" s="99"/>
      <c r="AY185" s="19"/>
      <c r="AZ185" s="96" t="str">
        <f t="shared" si="44"/>
        <v>NOEC</v>
      </c>
      <c r="BA185" s="96">
        <f>IF(AZ185="n","n",VLOOKUP(AZ185,'Conversion factors'!$C$4:$D$24,2,FALSE))</f>
        <v>1</v>
      </c>
      <c r="BB185" s="96">
        <f t="shared" si="45"/>
        <v>31.5</v>
      </c>
      <c r="BC185" s="97"/>
      <c r="BD185" s="96" t="str">
        <f t="shared" si="41"/>
        <v>Chronic</v>
      </c>
      <c r="BE185" s="96" t="str">
        <f t="shared" si="46"/>
        <v>y</v>
      </c>
      <c r="BF185" s="98" t="str">
        <f t="shared" si="42"/>
        <v>NOEC</v>
      </c>
      <c r="BG185" s="96" t="str">
        <f>IF(BF185="","",IF(ISNUMBER(VLOOKUP(BF185,'Conversion factors'!$B$35:$C$52,2,FALSE)),"y","n"))</f>
        <v>y</v>
      </c>
      <c r="BH185" s="99" t="s">
        <v>1466</v>
      </c>
    </row>
    <row r="186" spans="1:60" s="103" customFormat="1" ht="15.75" customHeight="1" x14ac:dyDescent="0.2">
      <c r="A186" s="18"/>
      <c r="B186" s="19">
        <v>253</v>
      </c>
      <c r="C186" s="19"/>
      <c r="D186" s="19">
        <v>84051</v>
      </c>
      <c r="E186" s="19" t="s">
        <v>1224</v>
      </c>
      <c r="F186" s="93">
        <v>2004</v>
      </c>
      <c r="G186" s="19" t="s">
        <v>711</v>
      </c>
      <c r="H186" s="19"/>
      <c r="I186" s="19" t="s">
        <v>41</v>
      </c>
      <c r="J186" s="19" t="s">
        <v>89</v>
      </c>
      <c r="K186" s="19" t="s">
        <v>161</v>
      </c>
      <c r="L186" s="19" t="s">
        <v>82</v>
      </c>
      <c r="M186" s="19" t="s">
        <v>82</v>
      </c>
      <c r="N186" s="19" t="s">
        <v>66</v>
      </c>
      <c r="O186" s="19" t="s">
        <v>160</v>
      </c>
      <c r="P186" s="19" t="s">
        <v>51</v>
      </c>
      <c r="Q186" s="19"/>
      <c r="R186" s="19" t="s">
        <v>237</v>
      </c>
      <c r="S186" s="19" t="s">
        <v>79</v>
      </c>
      <c r="T186" s="19" t="s">
        <v>174</v>
      </c>
      <c r="U186" s="19" t="s">
        <v>49</v>
      </c>
      <c r="V186" s="19" t="s">
        <v>78</v>
      </c>
      <c r="W186" s="19" t="s">
        <v>231</v>
      </c>
      <c r="X186" s="19" t="s">
        <v>46</v>
      </c>
      <c r="Y186" s="29"/>
      <c r="Z186" s="19"/>
      <c r="AA186" s="19"/>
      <c r="AB186" s="19" t="s">
        <v>717</v>
      </c>
      <c r="AC186" s="19" t="s">
        <v>214</v>
      </c>
      <c r="AD186" s="19"/>
      <c r="AE186" s="24">
        <f t="shared" ref="AE186:AF188" si="57">0.228*40.078*2.497+0.072*24.305*4.118</f>
        <v>30.023381927999999</v>
      </c>
      <c r="AF186" s="24">
        <f t="shared" si="57"/>
        <v>30.023381927999999</v>
      </c>
      <c r="AG186" s="19" t="s">
        <v>1417</v>
      </c>
      <c r="AH186" s="19"/>
      <c r="AI186" s="19"/>
      <c r="AJ186" s="19">
        <f>MEDIAN(7.49)</f>
        <v>7.49</v>
      </c>
      <c r="AK186" s="19" t="s">
        <v>718</v>
      </c>
      <c r="AL186" s="19"/>
      <c r="AM186" s="19"/>
      <c r="AN186" s="19" t="s">
        <v>234</v>
      </c>
      <c r="AO186" s="19" t="s">
        <v>235</v>
      </c>
      <c r="AP186" s="94">
        <v>0.3</v>
      </c>
      <c r="AQ186" s="19" t="s">
        <v>101</v>
      </c>
      <c r="AR186" s="19" t="s">
        <v>241</v>
      </c>
      <c r="AS186" s="19"/>
      <c r="AT186" s="65" t="str">
        <f t="shared" si="40"/>
        <v>Y</v>
      </c>
      <c r="AU186" s="65" t="str">
        <f t="shared" si="43"/>
        <v>Y</v>
      </c>
      <c r="AV186" s="65" t="s">
        <v>162</v>
      </c>
      <c r="AW186" s="99" t="s">
        <v>1593</v>
      </c>
      <c r="AX186" s="99"/>
      <c r="AY186" s="19"/>
      <c r="AZ186" s="96" t="str">
        <f t="shared" si="44"/>
        <v>n</v>
      </c>
      <c r="BA186" s="96" t="str">
        <f>IF(AZ186="n","n",VLOOKUP(AZ186,'Conversion factors'!$C$4:$D$24,2,FALSE))</f>
        <v>n</v>
      </c>
      <c r="BB186" s="96" t="str">
        <f t="shared" si="45"/>
        <v>n</v>
      </c>
      <c r="BC186" s="97"/>
      <c r="BD186" s="96" t="str">
        <f t="shared" si="41"/>
        <v>n</v>
      </c>
      <c r="BE186" s="96" t="str">
        <f t="shared" si="46"/>
        <v>n</v>
      </c>
      <c r="BF186" s="98" t="str">
        <f t="shared" si="42"/>
        <v/>
      </c>
      <c r="BG186" s="96" t="str">
        <f>IF(BF186="","",IF(ISNUMBER(VLOOKUP(BF186,'Conversion factors'!$B$35:$C$52,2,FALSE)),"y","n"))</f>
        <v/>
      </c>
      <c r="BH186" s="99" t="s">
        <v>1593</v>
      </c>
    </row>
    <row r="187" spans="1:60" s="103" customFormat="1" ht="15.75" customHeight="1" x14ac:dyDescent="0.2">
      <c r="A187" s="18"/>
      <c r="B187" s="19">
        <v>253</v>
      </c>
      <c r="C187" s="19"/>
      <c r="D187" s="19">
        <v>84051</v>
      </c>
      <c r="E187" s="19" t="s">
        <v>1224</v>
      </c>
      <c r="F187" s="93">
        <v>2004</v>
      </c>
      <c r="G187" s="19" t="s">
        <v>711</v>
      </c>
      <c r="H187" s="19"/>
      <c r="I187" s="19" t="s">
        <v>41</v>
      </c>
      <c r="J187" s="19" t="s">
        <v>89</v>
      </c>
      <c r="K187" s="19" t="s">
        <v>161</v>
      </c>
      <c r="L187" s="19" t="s">
        <v>82</v>
      </c>
      <c r="M187" s="19" t="s">
        <v>82</v>
      </c>
      <c r="N187" s="19" t="s">
        <v>66</v>
      </c>
      <c r="O187" s="19" t="s">
        <v>160</v>
      </c>
      <c r="P187" s="19" t="s">
        <v>51</v>
      </c>
      <c r="Q187" s="19"/>
      <c r="R187" s="19" t="s">
        <v>237</v>
      </c>
      <c r="S187" s="19" t="s">
        <v>79</v>
      </c>
      <c r="T187" s="19" t="s">
        <v>56</v>
      </c>
      <c r="U187" s="19" t="s">
        <v>44</v>
      </c>
      <c r="V187" s="19" t="s">
        <v>78</v>
      </c>
      <c r="W187" s="19" t="s">
        <v>231</v>
      </c>
      <c r="X187" s="19" t="s">
        <v>46</v>
      </c>
      <c r="Y187" s="29"/>
      <c r="Z187" s="19"/>
      <c r="AA187" s="19"/>
      <c r="AB187" s="19" t="s">
        <v>735</v>
      </c>
      <c r="AC187" s="19" t="s">
        <v>214</v>
      </c>
      <c r="AD187" s="19"/>
      <c r="AE187" s="24">
        <f t="shared" si="57"/>
        <v>30.023381927999999</v>
      </c>
      <c r="AF187" s="24">
        <f t="shared" si="57"/>
        <v>30.023381927999999</v>
      </c>
      <c r="AG187" s="19" t="s">
        <v>1417</v>
      </c>
      <c r="AH187" s="19"/>
      <c r="AI187" s="19"/>
      <c r="AJ187" s="19">
        <f>MEDIAN(7.49)</f>
        <v>7.49</v>
      </c>
      <c r="AK187" s="19" t="s">
        <v>718</v>
      </c>
      <c r="AL187" s="19"/>
      <c r="AM187" s="19" t="s">
        <v>234</v>
      </c>
      <c r="AN187" s="19" t="s">
        <v>234</v>
      </c>
      <c r="AO187" s="19" t="s">
        <v>235</v>
      </c>
      <c r="AP187" s="94">
        <v>0.3</v>
      </c>
      <c r="AQ187" s="19" t="s">
        <v>101</v>
      </c>
      <c r="AR187" s="19" t="s">
        <v>241</v>
      </c>
      <c r="AS187" s="19"/>
      <c r="AT187" s="65" t="str">
        <f t="shared" si="40"/>
        <v>Y</v>
      </c>
      <c r="AU187" s="65" t="str">
        <f t="shared" si="43"/>
        <v>Y</v>
      </c>
      <c r="AV187" s="65" t="str">
        <f t="shared" si="54"/>
        <v>Y</v>
      </c>
      <c r="AW187" s="99"/>
      <c r="AX187" s="99"/>
      <c r="AY187" s="19"/>
      <c r="AZ187" s="96" t="str">
        <f t="shared" si="44"/>
        <v>LC50</v>
      </c>
      <c r="BA187" s="96">
        <f>IF(AZ187="n","n",VLOOKUP(AZ187,'Conversion factors'!$C$4:$D$24,2,FALSE))</f>
        <v>5</v>
      </c>
      <c r="BB187" s="96">
        <f t="shared" si="45"/>
        <v>56.4</v>
      </c>
      <c r="BC187" s="97"/>
      <c r="BD187" s="96" t="str">
        <f t="shared" si="41"/>
        <v>Chronic</v>
      </c>
      <c r="BE187" s="96" t="str">
        <f t="shared" si="46"/>
        <v>y</v>
      </c>
      <c r="BF187" s="98" t="str">
        <f t="shared" si="42"/>
        <v>LC50</v>
      </c>
      <c r="BG187" s="96" t="str">
        <f>IF(BF187="","",IF(ISNUMBER(VLOOKUP(BF187,'Conversion factors'!$B$35:$C$52,2,FALSE)),"y","n"))</f>
        <v>n</v>
      </c>
      <c r="BH187" s="99" t="s">
        <v>1466</v>
      </c>
    </row>
    <row r="188" spans="1:60" s="103" customFormat="1" ht="15.75" customHeight="1" x14ac:dyDescent="0.2">
      <c r="A188" s="18"/>
      <c r="B188" s="19">
        <v>253</v>
      </c>
      <c r="C188" s="19"/>
      <c r="D188" s="19">
        <v>84051</v>
      </c>
      <c r="E188" s="19" t="s">
        <v>1224</v>
      </c>
      <c r="F188" s="93">
        <v>2004</v>
      </c>
      <c r="G188" s="19" t="s">
        <v>711</v>
      </c>
      <c r="H188" s="19"/>
      <c r="I188" s="19" t="s">
        <v>41</v>
      </c>
      <c r="J188" s="19" t="s">
        <v>89</v>
      </c>
      <c r="K188" s="19" t="s">
        <v>161</v>
      </c>
      <c r="L188" s="19" t="s">
        <v>82</v>
      </c>
      <c r="M188" s="19" t="s">
        <v>82</v>
      </c>
      <c r="N188" s="19" t="s">
        <v>66</v>
      </c>
      <c r="O188" s="19" t="s">
        <v>160</v>
      </c>
      <c r="P188" s="19" t="s">
        <v>51</v>
      </c>
      <c r="Q188" s="19"/>
      <c r="R188" s="19" t="s">
        <v>237</v>
      </c>
      <c r="S188" s="19" t="s">
        <v>414</v>
      </c>
      <c r="T188" s="19" t="s">
        <v>55</v>
      </c>
      <c r="U188" s="19" t="s">
        <v>55</v>
      </c>
      <c r="V188" s="19" t="s">
        <v>78</v>
      </c>
      <c r="W188" s="19" t="s">
        <v>231</v>
      </c>
      <c r="X188" s="19" t="s">
        <v>46</v>
      </c>
      <c r="Y188" s="29"/>
      <c r="Z188" s="19"/>
      <c r="AA188" s="19"/>
      <c r="AB188" s="19" t="s">
        <v>758</v>
      </c>
      <c r="AC188" s="19" t="s">
        <v>214</v>
      </c>
      <c r="AD188" s="19"/>
      <c r="AE188" s="24">
        <f t="shared" si="57"/>
        <v>30.023381927999999</v>
      </c>
      <c r="AF188" s="24">
        <f t="shared" si="57"/>
        <v>30.023381927999999</v>
      </c>
      <c r="AG188" s="19" t="s">
        <v>1417</v>
      </c>
      <c r="AH188" s="19"/>
      <c r="AI188" s="19"/>
      <c r="AJ188" s="19">
        <f>MEDIAN(7.49)</f>
        <v>7.49</v>
      </c>
      <c r="AK188" s="19" t="s">
        <v>718</v>
      </c>
      <c r="AL188" s="19"/>
      <c r="AM188" s="19" t="s">
        <v>234</v>
      </c>
      <c r="AN188" s="19" t="s">
        <v>234</v>
      </c>
      <c r="AO188" s="19" t="s">
        <v>235</v>
      </c>
      <c r="AP188" s="94">
        <v>0.3</v>
      </c>
      <c r="AQ188" s="19" t="s">
        <v>101</v>
      </c>
      <c r="AR188" s="19" t="s">
        <v>241</v>
      </c>
      <c r="AS188" s="19"/>
      <c r="AT188" s="65" t="str">
        <f t="shared" si="40"/>
        <v>Y</v>
      </c>
      <c r="AU188" s="65" t="str">
        <f t="shared" si="43"/>
        <v>Y</v>
      </c>
      <c r="AV188" s="65" t="str">
        <f t="shared" si="54"/>
        <v>Y</v>
      </c>
      <c r="AW188" s="99"/>
      <c r="AX188" s="99"/>
      <c r="AY188" s="19"/>
      <c r="AZ188" s="96" t="str">
        <f t="shared" si="44"/>
        <v>LOEC</v>
      </c>
      <c r="BA188" s="96">
        <f>IF(AZ188="n","n",VLOOKUP(AZ188,'Conversion factors'!$C$4:$D$24,2,FALSE))</f>
        <v>2.5</v>
      </c>
      <c r="BB188" s="96">
        <f t="shared" si="45"/>
        <v>148.4</v>
      </c>
      <c r="BC188" s="97"/>
      <c r="BD188" s="96" t="str">
        <f t="shared" si="41"/>
        <v>Chronic</v>
      </c>
      <c r="BE188" s="96" t="str">
        <f t="shared" si="46"/>
        <v>y</v>
      </c>
      <c r="BF188" s="98" t="str">
        <f t="shared" si="42"/>
        <v>LOEC</v>
      </c>
      <c r="BG188" s="96" t="str">
        <f>IF(BF188="","",IF(ISNUMBER(VLOOKUP(BF188,'Conversion factors'!$B$35:$C$52,2,FALSE)),"y","n"))</f>
        <v>n</v>
      </c>
      <c r="BH188" s="99" t="s">
        <v>1466</v>
      </c>
    </row>
    <row r="189" spans="1:60" s="103" customFormat="1" ht="15.75" customHeight="1" x14ac:dyDescent="0.2">
      <c r="A189" s="18"/>
      <c r="B189" s="19">
        <v>253</v>
      </c>
      <c r="C189" s="19"/>
      <c r="D189" s="19">
        <v>84051</v>
      </c>
      <c r="E189" s="19" t="s">
        <v>1224</v>
      </c>
      <c r="F189" s="93">
        <v>2004</v>
      </c>
      <c r="G189" s="19" t="s">
        <v>711</v>
      </c>
      <c r="H189" s="19"/>
      <c r="I189" s="19" t="s">
        <v>41</v>
      </c>
      <c r="J189" s="19" t="s">
        <v>89</v>
      </c>
      <c r="K189" s="19" t="s">
        <v>161</v>
      </c>
      <c r="L189" s="19" t="s">
        <v>82</v>
      </c>
      <c r="M189" s="19" t="s">
        <v>82</v>
      </c>
      <c r="N189" s="19" t="s">
        <v>66</v>
      </c>
      <c r="O189" s="19" t="s">
        <v>160</v>
      </c>
      <c r="P189" s="19" t="s">
        <v>51</v>
      </c>
      <c r="Q189" s="19"/>
      <c r="R189" s="19" t="s">
        <v>81</v>
      </c>
      <c r="S189" s="19" t="s">
        <v>749</v>
      </c>
      <c r="T189" s="19" t="s">
        <v>55</v>
      </c>
      <c r="U189" s="19" t="s">
        <v>55</v>
      </c>
      <c r="V189" s="19" t="s">
        <v>78</v>
      </c>
      <c r="W189" s="19" t="s">
        <v>231</v>
      </c>
      <c r="X189" s="19" t="s">
        <v>46</v>
      </c>
      <c r="Y189" s="29"/>
      <c r="Z189" s="19"/>
      <c r="AA189" s="19"/>
      <c r="AB189" s="19" t="s">
        <v>769</v>
      </c>
      <c r="AC189" s="19" t="s">
        <v>214</v>
      </c>
      <c r="AD189" s="19"/>
      <c r="AE189" s="24">
        <v>30</v>
      </c>
      <c r="AF189" s="24">
        <f>0.221*40.078*2.497+0.075*24.305*4.118</f>
        <v>29.623122536</v>
      </c>
      <c r="AG189" s="19" t="s">
        <v>1448</v>
      </c>
      <c r="AH189" s="19"/>
      <c r="AI189" s="19"/>
      <c r="AJ189" s="19">
        <f>MEDIAN(7.49)</f>
        <v>7.49</v>
      </c>
      <c r="AK189" s="19" t="s">
        <v>718</v>
      </c>
      <c r="AL189" s="19"/>
      <c r="AM189" s="19" t="s">
        <v>234</v>
      </c>
      <c r="AN189" s="19" t="s">
        <v>234</v>
      </c>
      <c r="AO189" s="19" t="s">
        <v>235</v>
      </c>
      <c r="AP189" s="94">
        <v>0.3</v>
      </c>
      <c r="AQ189" s="19" t="s">
        <v>101</v>
      </c>
      <c r="AR189" s="19" t="s">
        <v>241</v>
      </c>
      <c r="AS189" s="19"/>
      <c r="AT189" s="65" t="str">
        <f t="shared" si="40"/>
        <v>Y</v>
      </c>
      <c r="AU189" s="65" t="str">
        <f t="shared" si="43"/>
        <v>Y</v>
      </c>
      <c r="AV189" s="65" t="str">
        <f t="shared" si="54"/>
        <v>Y</v>
      </c>
      <c r="AW189" s="99"/>
      <c r="AX189" s="99"/>
      <c r="AY189" s="19"/>
      <c r="AZ189" s="96" t="str">
        <f t="shared" si="44"/>
        <v>LOEC</v>
      </c>
      <c r="BA189" s="96">
        <f>IF(AZ189="n","n",VLOOKUP(AZ189,'Conversion factors'!$C$4:$D$24,2,FALSE))</f>
        <v>2.5</v>
      </c>
      <c r="BB189" s="96" t="e">
        <f t="shared" si="45"/>
        <v>#VALUE!</v>
      </c>
      <c r="BC189" s="97"/>
      <c r="BD189" s="96" t="str">
        <f t="shared" si="41"/>
        <v>Chronic</v>
      </c>
      <c r="BE189" s="96" t="str">
        <f t="shared" si="46"/>
        <v>y</v>
      </c>
      <c r="BF189" s="98" t="str">
        <f t="shared" si="42"/>
        <v>LOEC</v>
      </c>
      <c r="BG189" s="96" t="str">
        <f>IF(BF189="","",IF(ISNUMBER(VLOOKUP(BF189,'Conversion factors'!$B$35:$C$52,2,FALSE)),"y","n"))</f>
        <v>n</v>
      </c>
      <c r="BH189" s="99" t="s">
        <v>1464</v>
      </c>
    </row>
    <row r="190" spans="1:60" s="103" customFormat="1" ht="15.75" customHeight="1" x14ac:dyDescent="0.2">
      <c r="A190" s="18"/>
      <c r="B190" s="19">
        <v>253</v>
      </c>
      <c r="C190" s="19"/>
      <c r="D190" s="19">
        <v>84051</v>
      </c>
      <c r="E190" s="19" t="s">
        <v>1224</v>
      </c>
      <c r="F190" s="93">
        <v>2004</v>
      </c>
      <c r="G190" s="19" t="s">
        <v>711</v>
      </c>
      <c r="H190" s="19"/>
      <c r="I190" s="19" t="s">
        <v>41</v>
      </c>
      <c r="J190" s="19" t="s">
        <v>89</v>
      </c>
      <c r="K190" s="19" t="s">
        <v>161</v>
      </c>
      <c r="L190" s="19" t="s">
        <v>82</v>
      </c>
      <c r="M190" s="19" t="s">
        <v>82</v>
      </c>
      <c r="N190" s="19" t="s">
        <v>66</v>
      </c>
      <c r="O190" s="19" t="s">
        <v>160</v>
      </c>
      <c r="P190" s="19" t="s">
        <v>51</v>
      </c>
      <c r="Q190" s="19"/>
      <c r="R190" s="19" t="s">
        <v>237</v>
      </c>
      <c r="S190" s="19" t="s">
        <v>414</v>
      </c>
      <c r="T190" s="19" t="s">
        <v>54</v>
      </c>
      <c r="U190" s="19" t="s">
        <v>54</v>
      </c>
      <c r="V190" s="19" t="s">
        <v>78</v>
      </c>
      <c r="W190" s="19" t="s">
        <v>231</v>
      </c>
      <c r="X190" s="19" t="s">
        <v>46</v>
      </c>
      <c r="Y190" s="29"/>
      <c r="Z190" s="19"/>
      <c r="AA190" s="19"/>
      <c r="AB190" s="19" t="s">
        <v>781</v>
      </c>
      <c r="AC190" s="19" t="s">
        <v>214</v>
      </c>
      <c r="AD190" s="19"/>
      <c r="AE190" s="24">
        <f>0.228*40.078*2.497+0.072*24.305*4.118</f>
        <v>30.023381927999999</v>
      </c>
      <c r="AF190" s="24">
        <f>0.228*40.078*2.497+0.072*24.305*4.118</f>
        <v>30.023381927999999</v>
      </c>
      <c r="AG190" s="19" t="s">
        <v>1417</v>
      </c>
      <c r="AH190" s="19"/>
      <c r="AI190" s="19"/>
      <c r="AJ190" s="19">
        <f>MEDIAN(7.49)</f>
        <v>7.49</v>
      </c>
      <c r="AK190" s="19" t="s">
        <v>718</v>
      </c>
      <c r="AL190" s="19"/>
      <c r="AM190" s="19"/>
      <c r="AN190" s="19" t="s">
        <v>234</v>
      </c>
      <c r="AO190" s="19" t="s">
        <v>235</v>
      </c>
      <c r="AP190" s="94">
        <v>0.3</v>
      </c>
      <c r="AQ190" s="19" t="s">
        <v>101</v>
      </c>
      <c r="AR190" s="19" t="s">
        <v>241</v>
      </c>
      <c r="AS190" s="19"/>
      <c r="AT190" s="65" t="str">
        <f t="shared" si="40"/>
        <v>Y</v>
      </c>
      <c r="AU190" s="65" t="str">
        <f t="shared" si="43"/>
        <v>Y</v>
      </c>
      <c r="AV190" s="65" t="str">
        <f t="shared" si="54"/>
        <v>Y</v>
      </c>
      <c r="AW190" s="99"/>
      <c r="AX190" s="99"/>
      <c r="AY190" s="19"/>
      <c r="AZ190" s="96" t="str">
        <f t="shared" si="44"/>
        <v>NOEC</v>
      </c>
      <c r="BA190" s="96">
        <f>IF(AZ190="n","n",VLOOKUP(AZ190,'Conversion factors'!$C$4:$D$24,2,FALSE))</f>
        <v>1</v>
      </c>
      <c r="BB190" s="96">
        <f t="shared" si="45"/>
        <v>95.1</v>
      </c>
      <c r="BC190" s="97"/>
      <c r="BD190" s="96" t="str">
        <f t="shared" si="41"/>
        <v>Chronic</v>
      </c>
      <c r="BE190" s="96" t="str">
        <f t="shared" si="46"/>
        <v>y</v>
      </c>
      <c r="BF190" s="98" t="str">
        <f t="shared" si="42"/>
        <v>NOEC</v>
      </c>
      <c r="BG190" s="96" t="str">
        <f>IF(BF190="","",IF(ISNUMBER(VLOOKUP(BF190,'Conversion factors'!$B$35:$C$52,2,FALSE)),"y","n"))</f>
        <v>y</v>
      </c>
      <c r="BH190" s="99" t="s">
        <v>1466</v>
      </c>
    </row>
    <row r="191" spans="1:60" s="103" customFormat="1" ht="15.75" customHeight="1" x14ac:dyDescent="0.2">
      <c r="A191" s="18"/>
      <c r="B191" s="19">
        <v>253</v>
      </c>
      <c r="C191" s="19"/>
      <c r="D191" s="19">
        <v>84051</v>
      </c>
      <c r="E191" s="19" t="s">
        <v>1224</v>
      </c>
      <c r="F191" s="93">
        <v>2004</v>
      </c>
      <c r="G191" s="19" t="s">
        <v>711</v>
      </c>
      <c r="H191" s="19"/>
      <c r="I191" s="19" t="s">
        <v>41</v>
      </c>
      <c r="J191" s="19" t="s">
        <v>89</v>
      </c>
      <c r="K191" s="19" t="s">
        <v>161</v>
      </c>
      <c r="L191" s="19" t="s">
        <v>82</v>
      </c>
      <c r="M191" s="19" t="s">
        <v>82</v>
      </c>
      <c r="N191" s="19" t="s">
        <v>66</v>
      </c>
      <c r="O191" s="19" t="s">
        <v>160</v>
      </c>
      <c r="P191" s="19" t="s">
        <v>51</v>
      </c>
      <c r="Q191" s="19"/>
      <c r="R191" s="19" t="s">
        <v>237</v>
      </c>
      <c r="S191" s="19" t="s">
        <v>414</v>
      </c>
      <c r="T191" s="19" t="s">
        <v>55</v>
      </c>
      <c r="U191" s="19" t="s">
        <v>55</v>
      </c>
      <c r="V191" s="19" t="s">
        <v>78</v>
      </c>
      <c r="W191" s="19" t="s">
        <v>231</v>
      </c>
      <c r="X191" s="19" t="s">
        <v>46</v>
      </c>
      <c r="Y191" s="29"/>
      <c r="Z191" s="19"/>
      <c r="AA191" s="19"/>
      <c r="AB191" s="19" t="s">
        <v>751</v>
      </c>
      <c r="AC191" s="19" t="s">
        <v>214</v>
      </c>
      <c r="AD191" s="19"/>
      <c r="AE191" s="24">
        <f>3.955*40.078*2.497+0.063*24.305*4.118</f>
        <v>402.10124290000005</v>
      </c>
      <c r="AF191" s="24">
        <f>3.955*40.078*2.497+0.063*24.305*4.118</f>
        <v>402.10124290000005</v>
      </c>
      <c r="AG191" s="19" t="s">
        <v>1417</v>
      </c>
      <c r="AH191" s="19"/>
      <c r="AI191" s="19"/>
      <c r="AJ191" s="19">
        <f>MEDIAN(7.54)</f>
        <v>7.54</v>
      </c>
      <c r="AK191" s="19" t="s">
        <v>752</v>
      </c>
      <c r="AL191" s="19"/>
      <c r="AM191" s="19" t="s">
        <v>234</v>
      </c>
      <c r="AN191" s="19" t="s">
        <v>234</v>
      </c>
      <c r="AO191" s="19" t="s">
        <v>235</v>
      </c>
      <c r="AP191" s="94">
        <v>0.3</v>
      </c>
      <c r="AQ191" s="19" t="s">
        <v>101</v>
      </c>
      <c r="AR191" s="19" t="s">
        <v>241</v>
      </c>
      <c r="AS191" s="19"/>
      <c r="AT191" s="65" t="str">
        <f t="shared" si="40"/>
        <v>Y</v>
      </c>
      <c r="AU191" s="65" t="str">
        <f t="shared" si="43"/>
        <v>Y</v>
      </c>
      <c r="AV191" s="65" t="str">
        <f t="shared" si="54"/>
        <v>Y</v>
      </c>
      <c r="AW191" s="99"/>
      <c r="AX191" s="99"/>
      <c r="AY191" s="19"/>
      <c r="AZ191" s="96" t="str">
        <f t="shared" si="44"/>
        <v>LOEC</v>
      </c>
      <c r="BA191" s="96">
        <f>IF(AZ191="n","n",VLOOKUP(AZ191,'Conversion factors'!$C$4:$D$24,2,FALSE))</f>
        <v>2.5</v>
      </c>
      <c r="BB191" s="96" t="e">
        <f t="shared" si="45"/>
        <v>#VALUE!</v>
      </c>
      <c r="BC191" s="97"/>
      <c r="BD191" s="96" t="str">
        <f t="shared" si="41"/>
        <v>Chronic</v>
      </c>
      <c r="BE191" s="96" t="str">
        <f t="shared" si="46"/>
        <v>y</v>
      </c>
      <c r="BF191" s="98" t="str">
        <f t="shared" si="42"/>
        <v>LOEC</v>
      </c>
      <c r="BG191" s="96" t="str">
        <f>IF(BF191="","",IF(ISNUMBER(VLOOKUP(BF191,'Conversion factors'!$B$35:$C$52,2,FALSE)),"y","n"))</f>
        <v>n</v>
      </c>
      <c r="BH191" s="99" t="s">
        <v>1466</v>
      </c>
    </row>
    <row r="192" spans="1:60" s="103" customFormat="1" ht="15.75" customHeight="1" x14ac:dyDescent="0.2">
      <c r="A192" s="18"/>
      <c r="B192" s="19">
        <v>253</v>
      </c>
      <c r="C192" s="19"/>
      <c r="D192" s="19">
        <v>84051</v>
      </c>
      <c r="E192" s="19" t="s">
        <v>1224</v>
      </c>
      <c r="F192" s="93">
        <v>2004</v>
      </c>
      <c r="G192" s="19" t="s">
        <v>711</v>
      </c>
      <c r="H192" s="19"/>
      <c r="I192" s="19" t="s">
        <v>41</v>
      </c>
      <c r="J192" s="19" t="s">
        <v>89</v>
      </c>
      <c r="K192" s="19" t="s">
        <v>161</v>
      </c>
      <c r="L192" s="19" t="s">
        <v>82</v>
      </c>
      <c r="M192" s="19" t="s">
        <v>82</v>
      </c>
      <c r="N192" s="19" t="s">
        <v>66</v>
      </c>
      <c r="O192" s="19" t="s">
        <v>160</v>
      </c>
      <c r="P192" s="19" t="s">
        <v>51</v>
      </c>
      <c r="Q192" s="19"/>
      <c r="R192" s="19" t="s">
        <v>81</v>
      </c>
      <c r="S192" s="19" t="s">
        <v>749</v>
      </c>
      <c r="T192" s="19" t="s">
        <v>55</v>
      </c>
      <c r="U192" s="19" t="s">
        <v>55</v>
      </c>
      <c r="V192" s="19" t="s">
        <v>78</v>
      </c>
      <c r="W192" s="19" t="s">
        <v>231</v>
      </c>
      <c r="X192" s="19" t="s">
        <v>46</v>
      </c>
      <c r="Y192" s="29"/>
      <c r="Z192" s="19"/>
      <c r="AA192" s="19"/>
      <c r="AB192" s="19" t="s">
        <v>751</v>
      </c>
      <c r="AC192" s="19" t="s">
        <v>214</v>
      </c>
      <c r="AD192" s="19"/>
      <c r="AE192" s="24">
        <f>3.955*40.078*2.497+0.063*24.305*4.118</f>
        <v>402.10124290000005</v>
      </c>
      <c r="AF192" s="24">
        <f>3.955*40.078*2.497+0.063*24.305*4.118</f>
        <v>402.10124290000005</v>
      </c>
      <c r="AG192" s="19" t="s">
        <v>1436</v>
      </c>
      <c r="AH192" s="19"/>
      <c r="AI192" s="19"/>
      <c r="AJ192" s="19">
        <f>MEDIAN(7.54)</f>
        <v>7.54</v>
      </c>
      <c r="AK192" s="19" t="s">
        <v>752</v>
      </c>
      <c r="AL192" s="19"/>
      <c r="AM192" s="19" t="s">
        <v>234</v>
      </c>
      <c r="AN192" s="19" t="s">
        <v>234</v>
      </c>
      <c r="AO192" s="19" t="s">
        <v>235</v>
      </c>
      <c r="AP192" s="94">
        <v>0.3</v>
      </c>
      <c r="AQ192" s="19" t="s">
        <v>101</v>
      </c>
      <c r="AR192" s="19" t="s">
        <v>241</v>
      </c>
      <c r="AS192" s="19"/>
      <c r="AT192" s="65" t="str">
        <f t="shared" si="40"/>
        <v>Y</v>
      </c>
      <c r="AU192" s="65" t="str">
        <f t="shared" si="43"/>
        <v>Y</v>
      </c>
      <c r="AV192" s="65" t="str">
        <f t="shared" si="54"/>
        <v>Y</v>
      </c>
      <c r="AW192" s="99"/>
      <c r="AX192" s="99"/>
      <c r="AY192" s="19"/>
      <c r="AZ192" s="96" t="str">
        <f t="shared" si="44"/>
        <v>LOEC</v>
      </c>
      <c r="BA192" s="96">
        <f>IF(AZ192="n","n",VLOOKUP(AZ192,'Conversion factors'!$C$4:$D$24,2,FALSE))</f>
        <v>2.5</v>
      </c>
      <c r="BB192" s="96" t="e">
        <f t="shared" si="45"/>
        <v>#VALUE!</v>
      </c>
      <c r="BC192" s="97"/>
      <c r="BD192" s="96" t="str">
        <f t="shared" si="41"/>
        <v>Chronic</v>
      </c>
      <c r="BE192" s="96" t="str">
        <f t="shared" si="46"/>
        <v>y</v>
      </c>
      <c r="BF192" s="98" t="str">
        <f t="shared" si="42"/>
        <v>LOEC</v>
      </c>
      <c r="BG192" s="96" t="str">
        <f>IF(BF192="","",IF(ISNUMBER(VLOOKUP(BF192,'Conversion factors'!$B$35:$C$52,2,FALSE)),"y","n"))</f>
        <v>n</v>
      </c>
      <c r="BH192" s="99" t="s">
        <v>1464</v>
      </c>
    </row>
    <row r="193" spans="1:60" s="103" customFormat="1" ht="15.75" customHeight="1" x14ac:dyDescent="0.2">
      <c r="A193" s="18"/>
      <c r="B193" s="19">
        <v>253</v>
      </c>
      <c r="C193" s="19"/>
      <c r="D193" s="19">
        <v>84051</v>
      </c>
      <c r="E193" s="19" t="s">
        <v>1224</v>
      </c>
      <c r="F193" s="93">
        <v>2004</v>
      </c>
      <c r="G193" s="19" t="s">
        <v>711</v>
      </c>
      <c r="H193" s="19"/>
      <c r="I193" s="19" t="s">
        <v>41</v>
      </c>
      <c r="J193" s="19" t="s">
        <v>89</v>
      </c>
      <c r="K193" s="19" t="s">
        <v>161</v>
      </c>
      <c r="L193" s="99" t="s">
        <v>82</v>
      </c>
      <c r="M193" s="19" t="s">
        <v>82</v>
      </c>
      <c r="N193" s="19" t="s">
        <v>66</v>
      </c>
      <c r="O193" s="19" t="s">
        <v>160</v>
      </c>
      <c r="P193" s="19" t="s">
        <v>51</v>
      </c>
      <c r="Q193" s="19"/>
      <c r="R193" s="19" t="s">
        <v>237</v>
      </c>
      <c r="S193" s="19" t="s">
        <v>79</v>
      </c>
      <c r="T193" s="19" t="s">
        <v>174</v>
      </c>
      <c r="U193" s="19" t="s">
        <v>49</v>
      </c>
      <c r="V193" s="19" t="s">
        <v>78</v>
      </c>
      <c r="W193" s="19" t="s">
        <v>231</v>
      </c>
      <c r="X193" s="19" t="s">
        <v>46</v>
      </c>
      <c r="Y193" s="29"/>
      <c r="Z193" s="19"/>
      <c r="AA193" s="19"/>
      <c r="AB193" s="19" t="s">
        <v>714</v>
      </c>
      <c r="AC193" s="19" t="s">
        <v>214</v>
      </c>
      <c r="AD193" s="19"/>
      <c r="AE193" s="24">
        <f>0.221*40.078*2.497+0.063*24.305*4.118</f>
        <v>28.422066655999998</v>
      </c>
      <c r="AF193" s="24">
        <f>0.221*40.078*2.497+0.063*24.305*4.118</f>
        <v>28.422066655999998</v>
      </c>
      <c r="AG193" s="19" t="s">
        <v>1412</v>
      </c>
      <c r="AH193" s="19"/>
      <c r="AI193" s="19"/>
      <c r="AJ193" s="101">
        <f t="shared" ref="AJ193:AJ199" si="58">MEDIAN(7.58)</f>
        <v>7.58</v>
      </c>
      <c r="AK193" s="19" t="s">
        <v>715</v>
      </c>
      <c r="AL193" s="19"/>
      <c r="AM193" s="19"/>
      <c r="AN193" s="19" t="s">
        <v>234</v>
      </c>
      <c r="AO193" s="19" t="s">
        <v>235</v>
      </c>
      <c r="AP193" s="94">
        <v>0.3</v>
      </c>
      <c r="AQ193" s="19" t="s">
        <v>101</v>
      </c>
      <c r="AR193" s="19" t="s">
        <v>241</v>
      </c>
      <c r="AS193" s="19"/>
      <c r="AT193" s="65" t="str">
        <f t="shared" si="40"/>
        <v>Y</v>
      </c>
      <c r="AU193" s="65" t="str">
        <f t="shared" si="43"/>
        <v>Y</v>
      </c>
      <c r="AV193" s="65" t="str">
        <f t="shared" si="54"/>
        <v>Y</v>
      </c>
      <c r="AW193" s="99"/>
      <c r="AX193" s="99"/>
      <c r="AY193" s="19"/>
      <c r="AZ193" s="96" t="str">
        <f t="shared" si="44"/>
        <v>LC10</v>
      </c>
      <c r="BA193" s="96">
        <f>IF(AZ193="n","n",VLOOKUP(AZ193,'Conversion factors'!$C$4:$D$24,2,FALSE))</f>
        <v>1</v>
      </c>
      <c r="BB193" s="96">
        <f t="shared" si="45"/>
        <v>73.599999999999994</v>
      </c>
      <c r="BC193" s="97"/>
      <c r="BD193" s="96" t="str">
        <f t="shared" si="41"/>
        <v>Chronic</v>
      </c>
      <c r="BE193" s="96" t="str">
        <f t="shared" si="46"/>
        <v>y</v>
      </c>
      <c r="BF193" s="98" t="str">
        <f t="shared" si="42"/>
        <v>LC10</v>
      </c>
      <c r="BG193" s="96" t="str">
        <f>IF(BF193="","",IF(ISNUMBER(VLOOKUP(BF193,'Conversion factors'!$B$35:$C$52,2,FALSE)),"y","n"))</f>
        <v>y</v>
      </c>
      <c r="BH193" s="99" t="s">
        <v>1592</v>
      </c>
    </row>
    <row r="194" spans="1:60" s="103" customFormat="1" ht="15.75" customHeight="1" x14ac:dyDescent="0.2">
      <c r="A194" s="18"/>
      <c r="B194" s="19">
        <v>253</v>
      </c>
      <c r="C194" s="19"/>
      <c r="D194" s="19">
        <v>84051</v>
      </c>
      <c r="E194" s="19" t="s">
        <v>1224</v>
      </c>
      <c r="F194" s="93">
        <v>2004</v>
      </c>
      <c r="G194" s="19" t="s">
        <v>711</v>
      </c>
      <c r="H194" s="19"/>
      <c r="I194" s="19" t="s">
        <v>41</v>
      </c>
      <c r="J194" s="19" t="s">
        <v>89</v>
      </c>
      <c r="K194" s="19" t="s">
        <v>161</v>
      </c>
      <c r="L194" s="99" t="s">
        <v>82</v>
      </c>
      <c r="M194" s="19" t="s">
        <v>82</v>
      </c>
      <c r="N194" s="19" t="s">
        <v>66</v>
      </c>
      <c r="O194" s="19" t="s">
        <v>160</v>
      </c>
      <c r="P194" s="19" t="s">
        <v>51</v>
      </c>
      <c r="Q194" s="19"/>
      <c r="R194" s="19" t="s">
        <v>237</v>
      </c>
      <c r="S194" s="19" t="s">
        <v>79</v>
      </c>
      <c r="T194" s="19" t="s">
        <v>174</v>
      </c>
      <c r="U194" s="19" t="s">
        <v>49</v>
      </c>
      <c r="V194" s="19" t="s">
        <v>78</v>
      </c>
      <c r="W194" s="19" t="s">
        <v>231</v>
      </c>
      <c r="X194" s="19" t="s">
        <v>46</v>
      </c>
      <c r="Y194" s="29"/>
      <c r="Z194" s="19"/>
      <c r="AA194" s="19"/>
      <c r="AB194" s="19" t="s">
        <v>723</v>
      </c>
      <c r="AC194" s="19" t="s">
        <v>214</v>
      </c>
      <c r="AD194" s="19"/>
      <c r="AE194" s="24">
        <f>0.953*40.078*2.497+0.068*24.305*4.118</f>
        <v>102.17723531799999</v>
      </c>
      <c r="AF194" s="24">
        <f>0.953*40.078*2.497+0.068*24.305*4.118</f>
        <v>102.17723531799999</v>
      </c>
      <c r="AG194" s="19" t="s">
        <v>1417</v>
      </c>
      <c r="AH194" s="19"/>
      <c r="AI194" s="19"/>
      <c r="AJ194" s="101">
        <f t="shared" si="58"/>
        <v>7.58</v>
      </c>
      <c r="AK194" s="19" t="s">
        <v>715</v>
      </c>
      <c r="AL194" s="19"/>
      <c r="AM194" s="19"/>
      <c r="AN194" s="19" t="s">
        <v>234</v>
      </c>
      <c r="AO194" s="19" t="s">
        <v>235</v>
      </c>
      <c r="AP194" s="94">
        <v>0.3</v>
      </c>
      <c r="AQ194" s="19" t="s">
        <v>101</v>
      </c>
      <c r="AR194" s="19" t="s">
        <v>241</v>
      </c>
      <c r="AS194" s="19"/>
      <c r="AT194" s="65" t="str">
        <f t="shared" si="40"/>
        <v>Y</v>
      </c>
      <c r="AU194" s="65" t="str">
        <f t="shared" si="43"/>
        <v>Y</v>
      </c>
      <c r="AV194" s="65" t="str">
        <f t="shared" si="54"/>
        <v>Y</v>
      </c>
      <c r="AW194" s="99"/>
      <c r="AX194" s="99"/>
      <c r="AY194" s="19"/>
      <c r="AZ194" s="96" t="str">
        <f t="shared" si="44"/>
        <v>LC10</v>
      </c>
      <c r="BA194" s="96">
        <f>IF(AZ194="n","n",VLOOKUP(AZ194,'Conversion factors'!$C$4:$D$24,2,FALSE))</f>
        <v>1</v>
      </c>
      <c r="BB194" s="96">
        <f t="shared" si="45"/>
        <v>171</v>
      </c>
      <c r="BC194" s="97"/>
      <c r="BD194" s="96" t="str">
        <f t="shared" si="41"/>
        <v>Chronic</v>
      </c>
      <c r="BE194" s="96" t="str">
        <f t="shared" si="46"/>
        <v>y</v>
      </c>
      <c r="BF194" s="98" t="str">
        <f t="shared" si="42"/>
        <v>LC10</v>
      </c>
      <c r="BG194" s="96" t="str">
        <f>IF(BF194="","",IF(ISNUMBER(VLOOKUP(BF194,'Conversion factors'!$B$35:$C$52,2,FALSE)),"y","n"))</f>
        <v>y</v>
      </c>
      <c r="BH194" s="99" t="s">
        <v>1592</v>
      </c>
    </row>
    <row r="195" spans="1:60" s="103" customFormat="1" ht="15.75" customHeight="1" x14ac:dyDescent="0.2">
      <c r="A195" s="18"/>
      <c r="B195" s="19">
        <v>253</v>
      </c>
      <c r="C195" s="19"/>
      <c r="D195" s="19">
        <v>84051</v>
      </c>
      <c r="E195" s="19" t="s">
        <v>1224</v>
      </c>
      <c r="F195" s="93">
        <v>2004</v>
      </c>
      <c r="G195" s="19" t="s">
        <v>711</v>
      </c>
      <c r="H195" s="19"/>
      <c r="I195" s="19" t="s">
        <v>41</v>
      </c>
      <c r="J195" s="19" t="s">
        <v>89</v>
      </c>
      <c r="K195" s="19" t="s">
        <v>161</v>
      </c>
      <c r="L195" s="19" t="s">
        <v>82</v>
      </c>
      <c r="M195" s="19" t="s">
        <v>82</v>
      </c>
      <c r="N195" s="19" t="s">
        <v>66</v>
      </c>
      <c r="O195" s="19" t="s">
        <v>160</v>
      </c>
      <c r="P195" s="19" t="s">
        <v>51</v>
      </c>
      <c r="Q195" s="19"/>
      <c r="R195" s="19" t="s">
        <v>237</v>
      </c>
      <c r="S195" s="19" t="s">
        <v>79</v>
      </c>
      <c r="T195" s="19" t="s">
        <v>56</v>
      </c>
      <c r="U195" s="19" t="s">
        <v>44</v>
      </c>
      <c r="V195" s="19" t="s">
        <v>78</v>
      </c>
      <c r="W195" s="19" t="s">
        <v>231</v>
      </c>
      <c r="X195" s="19" t="s">
        <v>46</v>
      </c>
      <c r="Y195" s="29"/>
      <c r="Z195" s="19"/>
      <c r="AA195" s="19"/>
      <c r="AB195" s="19" t="s">
        <v>733</v>
      </c>
      <c r="AC195" s="19" t="s">
        <v>214</v>
      </c>
      <c r="AD195" s="19"/>
      <c r="AE195" s="24">
        <f>0.221*40.078*2.497+0.063*24.305*4.118</f>
        <v>28.422066655999998</v>
      </c>
      <c r="AF195" s="24">
        <f>0.221*40.078*2.497+0.063*24.305*4.118</f>
        <v>28.422066655999998</v>
      </c>
      <c r="AG195" s="19" t="s">
        <v>1417</v>
      </c>
      <c r="AH195" s="19"/>
      <c r="AI195" s="19"/>
      <c r="AJ195" s="19">
        <f t="shared" si="58"/>
        <v>7.58</v>
      </c>
      <c r="AK195" s="19" t="s">
        <v>715</v>
      </c>
      <c r="AL195" s="19"/>
      <c r="AM195" s="19" t="s">
        <v>234</v>
      </c>
      <c r="AN195" s="19" t="s">
        <v>234</v>
      </c>
      <c r="AO195" s="19" t="s">
        <v>235</v>
      </c>
      <c r="AP195" s="94">
        <v>0.3</v>
      </c>
      <c r="AQ195" s="19" t="s">
        <v>101</v>
      </c>
      <c r="AR195" s="19" t="s">
        <v>241</v>
      </c>
      <c r="AS195" s="19"/>
      <c r="AT195" s="65" t="str">
        <f t="shared" si="40"/>
        <v>Y</v>
      </c>
      <c r="AU195" s="65" t="str">
        <f t="shared" si="43"/>
        <v>Y</v>
      </c>
      <c r="AV195" s="65" t="str">
        <f t="shared" si="54"/>
        <v>Y</v>
      </c>
      <c r="AW195" s="99"/>
      <c r="AX195" s="99"/>
      <c r="AY195" s="19"/>
      <c r="AZ195" s="96" t="str">
        <f t="shared" si="44"/>
        <v>LC50</v>
      </c>
      <c r="BA195" s="96">
        <f>IF(AZ195="n","n",VLOOKUP(AZ195,'Conversion factors'!$C$4:$D$24,2,FALSE))</f>
        <v>5</v>
      </c>
      <c r="BB195" s="96">
        <f t="shared" si="45"/>
        <v>72.2</v>
      </c>
      <c r="BC195" s="97"/>
      <c r="BD195" s="96" t="str">
        <f t="shared" si="41"/>
        <v>Chronic</v>
      </c>
      <c r="BE195" s="96" t="str">
        <f t="shared" si="46"/>
        <v>y</v>
      </c>
      <c r="BF195" s="98" t="str">
        <f t="shared" si="42"/>
        <v>LC50</v>
      </c>
      <c r="BG195" s="96" t="str">
        <f>IF(BF195="","",IF(ISNUMBER(VLOOKUP(BF195,'Conversion factors'!$B$35:$C$52,2,FALSE)),"y","n"))</f>
        <v>n</v>
      </c>
      <c r="BH195" s="99" t="s">
        <v>1466</v>
      </c>
    </row>
    <row r="196" spans="1:60" s="103" customFormat="1" ht="15.75" customHeight="1" x14ac:dyDescent="0.2">
      <c r="A196" s="18"/>
      <c r="B196" s="19">
        <v>253</v>
      </c>
      <c r="C196" s="19"/>
      <c r="D196" s="19">
        <v>84051</v>
      </c>
      <c r="E196" s="19" t="s">
        <v>1224</v>
      </c>
      <c r="F196" s="93">
        <v>2004</v>
      </c>
      <c r="G196" s="19" t="s">
        <v>711</v>
      </c>
      <c r="H196" s="19"/>
      <c r="I196" s="19" t="s">
        <v>41</v>
      </c>
      <c r="J196" s="19" t="s">
        <v>89</v>
      </c>
      <c r="K196" s="19" t="s">
        <v>161</v>
      </c>
      <c r="L196" s="19" t="s">
        <v>82</v>
      </c>
      <c r="M196" s="19" t="s">
        <v>82</v>
      </c>
      <c r="N196" s="19" t="s">
        <v>66</v>
      </c>
      <c r="O196" s="19" t="s">
        <v>160</v>
      </c>
      <c r="P196" s="19" t="s">
        <v>51</v>
      </c>
      <c r="Q196" s="19"/>
      <c r="R196" s="19" t="s">
        <v>237</v>
      </c>
      <c r="S196" s="19" t="s">
        <v>79</v>
      </c>
      <c r="T196" s="19" t="s">
        <v>56</v>
      </c>
      <c r="U196" s="19" t="s">
        <v>44</v>
      </c>
      <c r="V196" s="19" t="s">
        <v>78</v>
      </c>
      <c r="W196" s="19" t="s">
        <v>231</v>
      </c>
      <c r="X196" s="19" t="s">
        <v>46</v>
      </c>
      <c r="Y196" s="29"/>
      <c r="Z196" s="19"/>
      <c r="AA196" s="19"/>
      <c r="AB196" s="19" t="s">
        <v>739</v>
      </c>
      <c r="AC196" s="19" t="s">
        <v>214</v>
      </c>
      <c r="AD196" s="19"/>
      <c r="AE196" s="24">
        <f>0.953*40.078*2.497+0.068*24.305*4.118</f>
        <v>102.17723531799999</v>
      </c>
      <c r="AF196" s="24">
        <f>0.953*40.078*2.497+0.068*24.305*4.118</f>
        <v>102.17723531799999</v>
      </c>
      <c r="AG196" s="19" t="s">
        <v>1417</v>
      </c>
      <c r="AH196" s="19"/>
      <c r="AI196" s="19"/>
      <c r="AJ196" s="19">
        <f t="shared" si="58"/>
        <v>7.58</v>
      </c>
      <c r="AK196" s="19" t="s">
        <v>715</v>
      </c>
      <c r="AL196" s="19"/>
      <c r="AM196" s="19" t="s">
        <v>234</v>
      </c>
      <c r="AN196" s="19" t="s">
        <v>234</v>
      </c>
      <c r="AO196" s="19" t="s">
        <v>235</v>
      </c>
      <c r="AP196" s="94">
        <v>0.3</v>
      </c>
      <c r="AQ196" s="19" t="s">
        <v>101</v>
      </c>
      <c r="AR196" s="19" t="s">
        <v>241</v>
      </c>
      <c r="AS196" s="19"/>
      <c r="AT196" s="65" t="str">
        <f t="shared" ref="AT196:AT259" si="59">IF(F196&lt;1980,"N",IF(AC196="M","Y",IF(AC196="SM","Y","N")))</f>
        <v>Y</v>
      </c>
      <c r="AU196" s="65" t="str">
        <f t="shared" si="43"/>
        <v>Y</v>
      </c>
      <c r="AV196" s="65" t="str">
        <f t="shared" si="54"/>
        <v>Y</v>
      </c>
      <c r="AW196" s="99"/>
      <c r="AX196" s="99"/>
      <c r="AY196" s="19"/>
      <c r="AZ196" s="96" t="str">
        <f t="shared" si="44"/>
        <v>LC50</v>
      </c>
      <c r="BA196" s="96">
        <f>IF(AZ196="n","n",VLOOKUP(AZ196,'Conversion factors'!$C$4:$D$24,2,FALSE))</f>
        <v>5</v>
      </c>
      <c r="BB196" s="96">
        <f t="shared" si="45"/>
        <v>151.80000000000001</v>
      </c>
      <c r="BC196" s="97"/>
      <c r="BD196" s="96" t="str">
        <f t="shared" ref="BD196:BD259" si="60">IF(AV196="N","n",X196)</f>
        <v>Chronic</v>
      </c>
      <c r="BE196" s="96" t="str">
        <f t="shared" si="46"/>
        <v>y</v>
      </c>
      <c r="BF196" s="98" t="str">
        <f t="shared" si="42"/>
        <v>LC50</v>
      </c>
      <c r="BG196" s="96" t="str">
        <f>IF(BF196="","",IF(ISNUMBER(VLOOKUP(BF196,'Conversion factors'!$B$35:$C$52,2,FALSE)),"y","n"))</f>
        <v>n</v>
      </c>
      <c r="BH196" s="99" t="s">
        <v>1466</v>
      </c>
    </row>
    <row r="197" spans="1:60" s="103" customFormat="1" ht="15.75" customHeight="1" x14ac:dyDescent="0.2">
      <c r="A197" s="18"/>
      <c r="B197" s="19">
        <v>253</v>
      </c>
      <c r="C197" s="19"/>
      <c r="D197" s="19">
        <v>84051</v>
      </c>
      <c r="E197" s="19" t="s">
        <v>1224</v>
      </c>
      <c r="F197" s="93">
        <v>2004</v>
      </c>
      <c r="G197" s="19" t="s">
        <v>711</v>
      </c>
      <c r="H197" s="19"/>
      <c r="I197" s="19" t="s">
        <v>41</v>
      </c>
      <c r="J197" s="19" t="s">
        <v>89</v>
      </c>
      <c r="K197" s="19" t="s">
        <v>161</v>
      </c>
      <c r="L197" s="19" t="s">
        <v>82</v>
      </c>
      <c r="M197" s="19" t="s">
        <v>82</v>
      </c>
      <c r="N197" s="19" t="s">
        <v>66</v>
      </c>
      <c r="O197" s="19" t="s">
        <v>160</v>
      </c>
      <c r="P197" s="19" t="s">
        <v>51</v>
      </c>
      <c r="Q197" s="19"/>
      <c r="R197" s="19" t="s">
        <v>237</v>
      </c>
      <c r="S197" s="19" t="s">
        <v>414</v>
      </c>
      <c r="T197" s="19" t="s">
        <v>55</v>
      </c>
      <c r="U197" s="19" t="s">
        <v>55</v>
      </c>
      <c r="V197" s="19" t="s">
        <v>78</v>
      </c>
      <c r="W197" s="19" t="s">
        <v>231</v>
      </c>
      <c r="X197" s="19" t="s">
        <v>46</v>
      </c>
      <c r="Y197" s="29"/>
      <c r="Z197" s="19"/>
      <c r="AA197" s="19"/>
      <c r="AB197" s="19" t="s">
        <v>754</v>
      </c>
      <c r="AC197" s="19" t="s">
        <v>214</v>
      </c>
      <c r="AD197" s="19"/>
      <c r="AE197" s="24">
        <f>0.221*40.078*2.497+0.063*24.305*4.118</f>
        <v>28.422066655999998</v>
      </c>
      <c r="AF197" s="24">
        <f>0.221*40.078*2.497+0.063*24.305*4.118</f>
        <v>28.422066655999998</v>
      </c>
      <c r="AG197" s="19" t="s">
        <v>1417</v>
      </c>
      <c r="AH197" s="19"/>
      <c r="AI197" s="19"/>
      <c r="AJ197" s="19">
        <f t="shared" si="58"/>
        <v>7.58</v>
      </c>
      <c r="AK197" s="19" t="s">
        <v>715</v>
      </c>
      <c r="AL197" s="19"/>
      <c r="AM197" s="19" t="s">
        <v>234</v>
      </c>
      <c r="AN197" s="19" t="s">
        <v>234</v>
      </c>
      <c r="AO197" s="19" t="s">
        <v>235</v>
      </c>
      <c r="AP197" s="94">
        <v>0.3</v>
      </c>
      <c r="AQ197" s="19" t="s">
        <v>101</v>
      </c>
      <c r="AR197" s="19" t="s">
        <v>241</v>
      </c>
      <c r="AS197" s="19"/>
      <c r="AT197" s="65" t="str">
        <f t="shared" si="59"/>
        <v>Y</v>
      </c>
      <c r="AU197" s="65" t="str">
        <f t="shared" si="43"/>
        <v>Y</v>
      </c>
      <c r="AV197" s="65" t="str">
        <f t="shared" si="54"/>
        <v>Y</v>
      </c>
      <c r="AW197" s="99"/>
      <c r="AX197" s="99"/>
      <c r="AY197" s="19"/>
      <c r="AZ197" s="96" t="str">
        <f t="shared" si="44"/>
        <v>LOEC</v>
      </c>
      <c r="BA197" s="96">
        <f>IF(AZ197="n","n",VLOOKUP(AZ197,'Conversion factors'!$C$4:$D$24,2,FALSE))</f>
        <v>2.5</v>
      </c>
      <c r="BB197" s="96">
        <f t="shared" si="45"/>
        <v>102.4</v>
      </c>
      <c r="BC197" s="97"/>
      <c r="BD197" s="96" t="str">
        <f t="shared" si="60"/>
        <v>Chronic</v>
      </c>
      <c r="BE197" s="96" t="str">
        <f t="shared" si="46"/>
        <v>y</v>
      </c>
      <c r="BF197" s="98" t="str">
        <f t="shared" ref="BF197:BF260" si="61">IF(BE197="n","",AZ197)</f>
        <v>LOEC</v>
      </c>
      <c r="BG197" s="96" t="str">
        <f>IF(BF197="","",IF(ISNUMBER(VLOOKUP(BF197,'Conversion factors'!$B$35:$C$52,2,FALSE)),"y","n"))</f>
        <v>n</v>
      </c>
      <c r="BH197" s="99" t="s">
        <v>1466</v>
      </c>
    </row>
    <row r="198" spans="1:60" s="103" customFormat="1" ht="15.75" customHeight="1" x14ac:dyDescent="0.2">
      <c r="A198" s="18"/>
      <c r="B198" s="19">
        <v>253</v>
      </c>
      <c r="C198" s="19"/>
      <c r="D198" s="19">
        <v>84051</v>
      </c>
      <c r="E198" s="19" t="s">
        <v>1224</v>
      </c>
      <c r="F198" s="93">
        <v>2004</v>
      </c>
      <c r="G198" s="19" t="s">
        <v>711</v>
      </c>
      <c r="H198" s="19"/>
      <c r="I198" s="19" t="s">
        <v>41</v>
      </c>
      <c r="J198" s="19" t="s">
        <v>89</v>
      </c>
      <c r="K198" s="19" t="s">
        <v>161</v>
      </c>
      <c r="L198" s="19" t="s">
        <v>82</v>
      </c>
      <c r="M198" s="19" t="s">
        <v>82</v>
      </c>
      <c r="N198" s="19" t="s">
        <v>66</v>
      </c>
      <c r="O198" s="19" t="s">
        <v>160</v>
      </c>
      <c r="P198" s="19" t="s">
        <v>51</v>
      </c>
      <c r="Q198" s="19"/>
      <c r="R198" s="19" t="s">
        <v>237</v>
      </c>
      <c r="S198" s="19" t="s">
        <v>414</v>
      </c>
      <c r="T198" s="19" t="s">
        <v>55</v>
      </c>
      <c r="U198" s="19" t="s">
        <v>55</v>
      </c>
      <c r="V198" s="19" t="s">
        <v>78</v>
      </c>
      <c r="W198" s="19" t="s">
        <v>231</v>
      </c>
      <c r="X198" s="19" t="s">
        <v>46</v>
      </c>
      <c r="Y198" s="29"/>
      <c r="Z198" s="19"/>
      <c r="AA198" s="19"/>
      <c r="AB198" s="19" t="s">
        <v>772</v>
      </c>
      <c r="AC198" s="19" t="s">
        <v>214</v>
      </c>
      <c r="AD198" s="19"/>
      <c r="AE198" s="24">
        <f>0.953*40.078*2.497+0.068*24.305*4.118</f>
        <v>102.17723531799999</v>
      </c>
      <c r="AF198" s="24">
        <f>0.953*40.078*2.497+0.068*24.305*4.118</f>
        <v>102.17723531799999</v>
      </c>
      <c r="AG198" s="19" t="s">
        <v>1417</v>
      </c>
      <c r="AH198" s="19"/>
      <c r="AI198" s="19"/>
      <c r="AJ198" s="19">
        <f t="shared" si="58"/>
        <v>7.58</v>
      </c>
      <c r="AK198" s="19" t="s">
        <v>715</v>
      </c>
      <c r="AL198" s="19"/>
      <c r="AM198" s="19" t="s">
        <v>234</v>
      </c>
      <c r="AN198" s="19" t="s">
        <v>234</v>
      </c>
      <c r="AO198" s="19" t="s">
        <v>235</v>
      </c>
      <c r="AP198" s="94">
        <v>0.3</v>
      </c>
      <c r="AQ198" s="19" t="s">
        <v>101</v>
      </c>
      <c r="AR198" s="19" t="s">
        <v>241</v>
      </c>
      <c r="AS198" s="19"/>
      <c r="AT198" s="65" t="str">
        <f t="shared" si="59"/>
        <v>Y</v>
      </c>
      <c r="AU198" s="65" t="str">
        <f t="shared" si="43"/>
        <v>Y</v>
      </c>
      <c r="AV198" s="65" t="str">
        <f t="shared" si="54"/>
        <v>Y</v>
      </c>
      <c r="AW198" s="99"/>
      <c r="AX198" s="99"/>
      <c r="AY198" s="19"/>
      <c r="AZ198" s="96" t="str">
        <f t="shared" si="44"/>
        <v>LOEC</v>
      </c>
      <c r="BA198" s="96">
        <f>IF(AZ198="n","n",VLOOKUP(AZ198,'Conversion factors'!$C$4:$D$24,2,FALSE))</f>
        <v>2.5</v>
      </c>
      <c r="BB198" s="96">
        <f t="shared" si="45"/>
        <v>145.19999999999999</v>
      </c>
      <c r="BC198" s="97"/>
      <c r="BD198" s="96" t="str">
        <f t="shared" si="60"/>
        <v>Chronic</v>
      </c>
      <c r="BE198" s="96" t="str">
        <f t="shared" si="46"/>
        <v>y</v>
      </c>
      <c r="BF198" s="98" t="str">
        <f t="shared" si="61"/>
        <v>LOEC</v>
      </c>
      <c r="BG198" s="96" t="str">
        <f>IF(BF198="","",IF(ISNUMBER(VLOOKUP(BF198,'Conversion factors'!$B$35:$C$52,2,FALSE)),"y","n"))</f>
        <v>n</v>
      </c>
      <c r="BH198" s="99" t="s">
        <v>1466</v>
      </c>
    </row>
    <row r="199" spans="1:60" s="103" customFormat="1" ht="15.75" customHeight="1" x14ac:dyDescent="0.2">
      <c r="A199" s="18"/>
      <c r="B199" s="19">
        <v>253</v>
      </c>
      <c r="C199" s="19"/>
      <c r="D199" s="19">
        <v>84051</v>
      </c>
      <c r="E199" s="19" t="s">
        <v>1224</v>
      </c>
      <c r="F199" s="93">
        <v>2004</v>
      </c>
      <c r="G199" s="19" t="s">
        <v>711</v>
      </c>
      <c r="H199" s="19"/>
      <c r="I199" s="19" t="s">
        <v>41</v>
      </c>
      <c r="J199" s="19" t="s">
        <v>89</v>
      </c>
      <c r="K199" s="19" t="s">
        <v>161</v>
      </c>
      <c r="L199" s="19" t="s">
        <v>82</v>
      </c>
      <c r="M199" s="19" t="s">
        <v>82</v>
      </c>
      <c r="N199" s="19" t="s">
        <v>66</v>
      </c>
      <c r="O199" s="19" t="s">
        <v>160</v>
      </c>
      <c r="P199" s="19" t="s">
        <v>51</v>
      </c>
      <c r="Q199" s="19"/>
      <c r="R199" s="19" t="s">
        <v>81</v>
      </c>
      <c r="S199" s="19" t="s">
        <v>749</v>
      </c>
      <c r="T199" s="19" t="s">
        <v>55</v>
      </c>
      <c r="U199" s="19" t="s">
        <v>55</v>
      </c>
      <c r="V199" s="19" t="s">
        <v>78</v>
      </c>
      <c r="W199" s="19" t="s">
        <v>231</v>
      </c>
      <c r="X199" s="19" t="s">
        <v>46</v>
      </c>
      <c r="Y199" s="29"/>
      <c r="Z199" s="19"/>
      <c r="AA199" s="19"/>
      <c r="AB199" s="19" t="s">
        <v>770</v>
      </c>
      <c r="AC199" s="19" t="s">
        <v>214</v>
      </c>
      <c r="AD199" s="19"/>
      <c r="AE199" s="24">
        <f>0.221*40.078*2.497+0.063*24.305*4.118</f>
        <v>28.422066655999998</v>
      </c>
      <c r="AF199" s="24">
        <f>0.221*40.078*2.497+0.063*24.305*4.118</f>
        <v>28.422066655999998</v>
      </c>
      <c r="AG199" s="19" t="s">
        <v>1449</v>
      </c>
      <c r="AH199" s="19"/>
      <c r="AI199" s="19"/>
      <c r="AJ199" s="19">
        <f t="shared" si="58"/>
        <v>7.58</v>
      </c>
      <c r="AK199" s="19" t="s">
        <v>715</v>
      </c>
      <c r="AL199" s="19"/>
      <c r="AM199" s="19" t="s">
        <v>234</v>
      </c>
      <c r="AN199" s="19" t="s">
        <v>234</v>
      </c>
      <c r="AO199" s="19" t="s">
        <v>235</v>
      </c>
      <c r="AP199" s="94">
        <v>0.3</v>
      </c>
      <c r="AQ199" s="19" t="s">
        <v>101</v>
      </c>
      <c r="AR199" s="19" t="s">
        <v>241</v>
      </c>
      <c r="AS199" s="19"/>
      <c r="AT199" s="65" t="str">
        <f t="shared" si="59"/>
        <v>Y</v>
      </c>
      <c r="AU199" s="65" t="str">
        <f t="shared" si="43"/>
        <v>Y</v>
      </c>
      <c r="AV199" s="65" t="str">
        <f t="shared" si="54"/>
        <v>Y</v>
      </c>
      <c r="AW199" s="99"/>
      <c r="AX199" s="99"/>
      <c r="AY199" s="19"/>
      <c r="AZ199" s="96" t="str">
        <f t="shared" si="44"/>
        <v>LOEC</v>
      </c>
      <c r="BA199" s="96">
        <f>IF(AZ199="n","n",VLOOKUP(AZ199,'Conversion factors'!$C$4:$D$24,2,FALSE))</f>
        <v>2.5</v>
      </c>
      <c r="BB199" s="96" t="e">
        <f t="shared" si="45"/>
        <v>#VALUE!</v>
      </c>
      <c r="BC199" s="97"/>
      <c r="BD199" s="96" t="str">
        <f t="shared" si="60"/>
        <v>Chronic</v>
      </c>
      <c r="BE199" s="96" t="str">
        <f t="shared" si="46"/>
        <v>y</v>
      </c>
      <c r="BF199" s="98" t="str">
        <f t="shared" si="61"/>
        <v>LOEC</v>
      </c>
      <c r="BG199" s="96" t="str">
        <f>IF(BF199="","",IF(ISNUMBER(VLOOKUP(BF199,'Conversion factors'!$B$35:$C$52,2,FALSE)),"y","n"))</f>
        <v>n</v>
      </c>
      <c r="BH199" s="99" t="s">
        <v>1464</v>
      </c>
    </row>
    <row r="200" spans="1:60" s="103" customFormat="1" ht="15.75" customHeight="1" x14ac:dyDescent="0.2">
      <c r="A200" s="18"/>
      <c r="B200" s="19">
        <v>253</v>
      </c>
      <c r="C200" s="19"/>
      <c r="D200" s="19">
        <v>84051</v>
      </c>
      <c r="E200" s="19" t="s">
        <v>1224</v>
      </c>
      <c r="F200" s="93">
        <v>2004</v>
      </c>
      <c r="G200" s="19" t="s">
        <v>711</v>
      </c>
      <c r="H200" s="19"/>
      <c r="I200" s="19" t="s">
        <v>41</v>
      </c>
      <c r="J200" s="19" t="s">
        <v>89</v>
      </c>
      <c r="K200" s="19" t="s">
        <v>161</v>
      </c>
      <c r="L200" s="19" t="s">
        <v>82</v>
      </c>
      <c r="M200" s="19" t="s">
        <v>82</v>
      </c>
      <c r="N200" s="19" t="s">
        <v>66</v>
      </c>
      <c r="O200" s="19" t="s">
        <v>160</v>
      </c>
      <c r="P200" s="19" t="s">
        <v>51</v>
      </c>
      <c r="Q200" s="19"/>
      <c r="R200" s="19" t="s">
        <v>81</v>
      </c>
      <c r="S200" s="19" t="s">
        <v>749</v>
      </c>
      <c r="T200" s="19" t="s">
        <v>55</v>
      </c>
      <c r="U200" s="19" t="s">
        <v>55</v>
      </c>
      <c r="V200" s="19" t="s">
        <v>78</v>
      </c>
      <c r="W200" s="19" t="s">
        <v>231</v>
      </c>
      <c r="X200" s="19" t="s">
        <v>46</v>
      </c>
      <c r="Y200" s="29"/>
      <c r="Z200" s="19"/>
      <c r="AA200" s="19"/>
      <c r="AB200" s="19" t="s">
        <v>771</v>
      </c>
      <c r="AC200" s="19" t="s">
        <v>214</v>
      </c>
      <c r="AD200" s="19"/>
      <c r="AE200" s="24">
        <f>0.953*40.078*2.497+0.068*24.305*4.118</f>
        <v>102.17723531799999</v>
      </c>
      <c r="AF200" s="24">
        <f>0.953*40.078*2.497+0.068*24.305*4.118</f>
        <v>102.17723531799999</v>
      </c>
      <c r="AG200" s="19" t="s">
        <v>1450</v>
      </c>
      <c r="AH200" s="19"/>
      <c r="AI200" s="19"/>
      <c r="AJ200" s="19">
        <v>7.58</v>
      </c>
      <c r="AK200" s="19" t="s">
        <v>715</v>
      </c>
      <c r="AL200" s="19"/>
      <c r="AM200" s="19" t="s">
        <v>234</v>
      </c>
      <c r="AN200" s="19" t="s">
        <v>234</v>
      </c>
      <c r="AO200" s="19" t="s">
        <v>235</v>
      </c>
      <c r="AP200" s="94">
        <v>0.3</v>
      </c>
      <c r="AQ200" s="19" t="s">
        <v>101</v>
      </c>
      <c r="AR200" s="19" t="s">
        <v>241</v>
      </c>
      <c r="AS200" s="19"/>
      <c r="AT200" s="65" t="str">
        <f t="shared" si="59"/>
        <v>Y</v>
      </c>
      <c r="AU200" s="65" t="str">
        <f t="shared" si="43"/>
        <v>Y</v>
      </c>
      <c r="AV200" s="65" t="str">
        <f t="shared" si="54"/>
        <v>Y</v>
      </c>
      <c r="AW200" s="99"/>
      <c r="AX200" s="99"/>
      <c r="AY200" s="19"/>
      <c r="AZ200" s="96" t="str">
        <f t="shared" si="44"/>
        <v>LOEC</v>
      </c>
      <c r="BA200" s="96">
        <f>IF(AZ200="n","n",VLOOKUP(AZ200,'Conversion factors'!$C$4:$D$24,2,FALSE))</f>
        <v>2.5</v>
      </c>
      <c r="BB200" s="96" t="e">
        <f t="shared" si="45"/>
        <v>#VALUE!</v>
      </c>
      <c r="BC200" s="97"/>
      <c r="BD200" s="96" t="str">
        <f t="shared" si="60"/>
        <v>Chronic</v>
      </c>
      <c r="BE200" s="96" t="str">
        <f t="shared" si="46"/>
        <v>y</v>
      </c>
      <c r="BF200" s="98" t="str">
        <f t="shared" si="61"/>
        <v>LOEC</v>
      </c>
      <c r="BG200" s="96" t="str">
        <f>IF(BF200="","",IF(ISNUMBER(VLOOKUP(BF200,'Conversion factors'!$B$35:$C$52,2,FALSE)),"y","n"))</f>
        <v>n</v>
      </c>
      <c r="BH200" s="99" t="s">
        <v>1464</v>
      </c>
    </row>
    <row r="201" spans="1:60" s="103" customFormat="1" ht="15.75" customHeight="1" x14ac:dyDescent="0.2">
      <c r="A201" s="18"/>
      <c r="B201" s="19">
        <v>253</v>
      </c>
      <c r="C201" s="19"/>
      <c r="D201" s="19">
        <v>84051</v>
      </c>
      <c r="E201" s="19" t="s">
        <v>1224</v>
      </c>
      <c r="F201" s="93">
        <v>2004</v>
      </c>
      <c r="G201" s="19" t="s">
        <v>711</v>
      </c>
      <c r="H201" s="19"/>
      <c r="I201" s="19" t="s">
        <v>41</v>
      </c>
      <c r="J201" s="19" t="s">
        <v>89</v>
      </c>
      <c r="K201" s="19" t="s">
        <v>161</v>
      </c>
      <c r="L201" s="19" t="s">
        <v>82</v>
      </c>
      <c r="M201" s="19" t="s">
        <v>82</v>
      </c>
      <c r="N201" s="19" t="s">
        <v>66</v>
      </c>
      <c r="O201" s="19" t="s">
        <v>160</v>
      </c>
      <c r="P201" s="19" t="s">
        <v>51</v>
      </c>
      <c r="Q201" s="19"/>
      <c r="R201" s="19" t="s">
        <v>237</v>
      </c>
      <c r="S201" s="19" t="s">
        <v>414</v>
      </c>
      <c r="T201" s="19" t="s">
        <v>54</v>
      </c>
      <c r="U201" s="19" t="s">
        <v>54</v>
      </c>
      <c r="V201" s="19" t="s">
        <v>78</v>
      </c>
      <c r="W201" s="19" t="s">
        <v>231</v>
      </c>
      <c r="X201" s="19" t="s">
        <v>46</v>
      </c>
      <c r="Y201" s="29"/>
      <c r="Z201" s="19"/>
      <c r="AA201" s="19"/>
      <c r="AB201" s="19" t="s">
        <v>778</v>
      </c>
      <c r="AC201" s="19" t="s">
        <v>214</v>
      </c>
      <c r="AD201" s="19"/>
      <c r="AE201" s="24">
        <f>0.221*40.078*2.497+0.063*24.305*4.118</f>
        <v>28.422066655999998</v>
      </c>
      <c r="AF201" s="24">
        <f>0.221*40.078*2.497+0.063*24.305*4.118</f>
        <v>28.422066655999998</v>
      </c>
      <c r="AG201" s="19" t="s">
        <v>1417</v>
      </c>
      <c r="AH201" s="19"/>
      <c r="AI201" s="19"/>
      <c r="AJ201" s="19">
        <v>7.58</v>
      </c>
      <c r="AK201" s="19" t="s">
        <v>715</v>
      </c>
      <c r="AL201" s="19"/>
      <c r="AM201" s="19"/>
      <c r="AN201" s="19" t="s">
        <v>234</v>
      </c>
      <c r="AO201" s="19" t="s">
        <v>235</v>
      </c>
      <c r="AP201" s="94">
        <v>0.3</v>
      </c>
      <c r="AQ201" s="19" t="s">
        <v>101</v>
      </c>
      <c r="AR201" s="19" t="s">
        <v>241</v>
      </c>
      <c r="AS201" s="19"/>
      <c r="AT201" s="65" t="str">
        <f t="shared" si="59"/>
        <v>Y</v>
      </c>
      <c r="AU201" s="65" t="str">
        <f t="shared" si="43"/>
        <v>Y</v>
      </c>
      <c r="AV201" s="65" t="str">
        <f t="shared" si="54"/>
        <v>Y</v>
      </c>
      <c r="AW201" s="99"/>
      <c r="AX201" s="99"/>
      <c r="AY201" s="19"/>
      <c r="AZ201" s="96" t="str">
        <f t="shared" si="44"/>
        <v>NOEC</v>
      </c>
      <c r="BA201" s="96">
        <f>IF(AZ201="n","n",VLOOKUP(AZ201,'Conversion factors'!$C$4:$D$24,2,FALSE))</f>
        <v>1</v>
      </c>
      <c r="BB201" s="96">
        <f t="shared" si="45"/>
        <v>157</v>
      </c>
      <c r="BC201" s="97"/>
      <c r="BD201" s="96" t="str">
        <f t="shared" si="60"/>
        <v>Chronic</v>
      </c>
      <c r="BE201" s="96" t="str">
        <f t="shared" si="46"/>
        <v>y</v>
      </c>
      <c r="BF201" s="98" t="str">
        <f t="shared" si="61"/>
        <v>NOEC</v>
      </c>
      <c r="BG201" s="96" t="str">
        <f>IF(BF201="","",IF(ISNUMBER(VLOOKUP(BF201,'Conversion factors'!$B$35:$C$52,2,FALSE)),"y","n"))</f>
        <v>y</v>
      </c>
      <c r="BH201" s="99" t="s">
        <v>1466</v>
      </c>
    </row>
    <row r="202" spans="1:60" s="103" customFormat="1" ht="15.75" customHeight="1" x14ac:dyDescent="0.2">
      <c r="A202" s="18"/>
      <c r="B202" s="19">
        <v>253</v>
      </c>
      <c r="C202" s="19"/>
      <c r="D202" s="19">
        <v>84051</v>
      </c>
      <c r="E202" s="19" t="s">
        <v>1224</v>
      </c>
      <c r="F202" s="93">
        <v>2004</v>
      </c>
      <c r="G202" s="19" t="s">
        <v>711</v>
      </c>
      <c r="H202" s="19"/>
      <c r="I202" s="19" t="s">
        <v>41</v>
      </c>
      <c r="J202" s="19" t="s">
        <v>89</v>
      </c>
      <c r="K202" s="19" t="s">
        <v>161</v>
      </c>
      <c r="L202" s="19" t="s">
        <v>82</v>
      </c>
      <c r="M202" s="19" t="s">
        <v>82</v>
      </c>
      <c r="N202" s="19" t="s">
        <v>66</v>
      </c>
      <c r="O202" s="19" t="s">
        <v>160</v>
      </c>
      <c r="P202" s="19" t="s">
        <v>51</v>
      </c>
      <c r="Q202" s="19"/>
      <c r="R202" s="19" t="s">
        <v>237</v>
      </c>
      <c r="S202" s="19" t="s">
        <v>414</v>
      </c>
      <c r="T202" s="19" t="s">
        <v>54</v>
      </c>
      <c r="U202" s="19" t="s">
        <v>54</v>
      </c>
      <c r="V202" s="19" t="s">
        <v>78</v>
      </c>
      <c r="W202" s="19" t="s">
        <v>231</v>
      </c>
      <c r="X202" s="19" t="s">
        <v>46</v>
      </c>
      <c r="Y202" s="29"/>
      <c r="Z202" s="19"/>
      <c r="AA202" s="19"/>
      <c r="AB202" s="19" t="s">
        <v>333</v>
      </c>
      <c r="AC202" s="19" t="s">
        <v>214</v>
      </c>
      <c r="AD202" s="19"/>
      <c r="AE202" s="24">
        <f>0.953*40.078*2.497+0.068*24.305*4.118</f>
        <v>102.17723531799999</v>
      </c>
      <c r="AF202" s="24">
        <f>0.953*40.078*2.497+0.068*24.305*4.118</f>
        <v>102.17723531799999</v>
      </c>
      <c r="AG202" s="19" t="s">
        <v>1417</v>
      </c>
      <c r="AH202" s="19"/>
      <c r="AI202" s="19"/>
      <c r="AJ202" s="19">
        <v>7.58</v>
      </c>
      <c r="AK202" s="19" t="s">
        <v>715</v>
      </c>
      <c r="AL202" s="19"/>
      <c r="AM202" s="19"/>
      <c r="AN202" s="19" t="s">
        <v>234</v>
      </c>
      <c r="AO202" s="19" t="s">
        <v>235</v>
      </c>
      <c r="AP202" s="94">
        <v>0.3</v>
      </c>
      <c r="AQ202" s="19" t="s">
        <v>101</v>
      </c>
      <c r="AR202" s="19" t="s">
        <v>241</v>
      </c>
      <c r="AS202" s="19"/>
      <c r="AT202" s="65" t="str">
        <f t="shared" si="59"/>
        <v>Y</v>
      </c>
      <c r="AU202" s="65" t="str">
        <f t="shared" si="43"/>
        <v>Y</v>
      </c>
      <c r="AV202" s="65" t="str">
        <f t="shared" si="54"/>
        <v>Y</v>
      </c>
      <c r="AW202" s="99"/>
      <c r="AX202" s="99"/>
      <c r="AY202" s="19"/>
      <c r="AZ202" s="96" t="str">
        <f t="shared" si="44"/>
        <v>NOEC</v>
      </c>
      <c r="BA202" s="96">
        <f>IF(AZ202="n","n",VLOOKUP(AZ202,'Conversion factors'!$C$4:$D$24,2,FALSE))</f>
        <v>1</v>
      </c>
      <c r="BB202" s="96">
        <f t="shared" si="45"/>
        <v>169</v>
      </c>
      <c r="BC202" s="97"/>
      <c r="BD202" s="96" t="str">
        <f t="shared" si="60"/>
        <v>Chronic</v>
      </c>
      <c r="BE202" s="96" t="str">
        <f t="shared" si="46"/>
        <v>y</v>
      </c>
      <c r="BF202" s="98" t="str">
        <f t="shared" si="61"/>
        <v>NOEC</v>
      </c>
      <c r="BG202" s="96" t="str">
        <f>IF(BF202="","",IF(ISNUMBER(VLOOKUP(BF202,'Conversion factors'!$B$35:$C$52,2,FALSE)),"y","n"))</f>
        <v>y</v>
      </c>
      <c r="BH202" s="99" t="s">
        <v>1466</v>
      </c>
    </row>
    <row r="203" spans="1:60" s="103" customFormat="1" ht="15.75" customHeight="1" x14ac:dyDescent="0.2">
      <c r="A203" s="18"/>
      <c r="B203" s="19">
        <v>253</v>
      </c>
      <c r="C203" s="19"/>
      <c r="D203" s="19">
        <v>84051</v>
      </c>
      <c r="E203" s="19" t="s">
        <v>1224</v>
      </c>
      <c r="F203" s="93">
        <v>2004</v>
      </c>
      <c r="G203" s="19" t="s">
        <v>711</v>
      </c>
      <c r="H203" s="19"/>
      <c r="I203" s="19" t="s">
        <v>41</v>
      </c>
      <c r="J203" s="19" t="s">
        <v>89</v>
      </c>
      <c r="K203" s="19" t="s">
        <v>161</v>
      </c>
      <c r="L203" s="99" t="s">
        <v>82</v>
      </c>
      <c r="M203" s="19" t="s">
        <v>82</v>
      </c>
      <c r="N203" s="19" t="s">
        <v>66</v>
      </c>
      <c r="O203" s="19" t="s">
        <v>160</v>
      </c>
      <c r="P203" s="19" t="s">
        <v>51</v>
      </c>
      <c r="Q203" s="19"/>
      <c r="R203" s="19" t="s">
        <v>237</v>
      </c>
      <c r="S203" s="19" t="s">
        <v>79</v>
      </c>
      <c r="T203" s="19" t="s">
        <v>174</v>
      </c>
      <c r="U203" s="19" t="s">
        <v>49</v>
      </c>
      <c r="V203" s="19" t="s">
        <v>78</v>
      </c>
      <c r="W203" s="19" t="s">
        <v>231</v>
      </c>
      <c r="X203" s="19" t="s">
        <v>46</v>
      </c>
      <c r="Y203" s="29"/>
      <c r="Z203" s="19"/>
      <c r="AA203" s="19"/>
      <c r="AB203" s="19" t="s">
        <v>719</v>
      </c>
      <c r="AC203" s="19" t="s">
        <v>214</v>
      </c>
      <c r="AD203" s="19"/>
      <c r="AE203" s="24">
        <f t="shared" ref="AE203:AF208" si="62">0.228*40.078*2.497+0.063*24.305*4.118</f>
        <v>29.122590018000004</v>
      </c>
      <c r="AF203" s="24">
        <f t="shared" si="62"/>
        <v>29.122590018000004</v>
      </c>
      <c r="AG203" s="19" t="s">
        <v>1413</v>
      </c>
      <c r="AH203" s="19"/>
      <c r="AI203" s="19"/>
      <c r="AJ203" s="101">
        <v>7.61</v>
      </c>
      <c r="AK203" s="19" t="s">
        <v>720</v>
      </c>
      <c r="AL203" s="19"/>
      <c r="AM203" s="19"/>
      <c r="AN203" s="19" t="s">
        <v>234</v>
      </c>
      <c r="AO203" s="19" t="s">
        <v>235</v>
      </c>
      <c r="AP203" s="94">
        <v>0.3</v>
      </c>
      <c r="AQ203" s="19" t="s">
        <v>101</v>
      </c>
      <c r="AR203" s="19" t="s">
        <v>241</v>
      </c>
      <c r="AS203" s="19"/>
      <c r="AT203" s="65" t="str">
        <f t="shared" si="59"/>
        <v>Y</v>
      </c>
      <c r="AU203" s="65" t="str">
        <f t="shared" si="43"/>
        <v>Y</v>
      </c>
      <c r="AV203" s="65" t="str">
        <f t="shared" si="54"/>
        <v>Y</v>
      </c>
      <c r="AW203" s="99"/>
      <c r="AX203" s="99"/>
      <c r="AY203" s="19"/>
      <c r="AZ203" s="96" t="str">
        <f t="shared" si="44"/>
        <v>LC10</v>
      </c>
      <c r="BA203" s="96">
        <f>IF(AZ203="n","n",VLOOKUP(AZ203,'Conversion factors'!$C$4:$D$24,2,FALSE))</f>
        <v>1</v>
      </c>
      <c r="BB203" s="96">
        <f t="shared" si="45"/>
        <v>34.5</v>
      </c>
      <c r="BC203" s="97"/>
      <c r="BD203" s="96" t="str">
        <f t="shared" si="60"/>
        <v>Chronic</v>
      </c>
      <c r="BE203" s="96" t="str">
        <f t="shared" si="46"/>
        <v>y</v>
      </c>
      <c r="BF203" s="98" t="str">
        <f t="shared" si="61"/>
        <v>LC10</v>
      </c>
      <c r="BG203" s="96" t="str">
        <f>IF(BF203="","",IF(ISNUMBER(VLOOKUP(BF203,'Conversion factors'!$B$35:$C$52,2,FALSE)),"y","n"))</f>
        <v>y</v>
      </c>
      <c r="BH203" s="99" t="s">
        <v>1592</v>
      </c>
    </row>
    <row r="204" spans="1:60" s="103" customFormat="1" ht="15.75" customHeight="1" x14ac:dyDescent="0.2">
      <c r="A204" s="18"/>
      <c r="B204" s="19">
        <v>253</v>
      </c>
      <c r="C204" s="19"/>
      <c r="D204" s="19">
        <v>84051</v>
      </c>
      <c r="E204" s="19" t="s">
        <v>1224</v>
      </c>
      <c r="F204" s="93">
        <v>2004</v>
      </c>
      <c r="G204" s="19" t="s">
        <v>711</v>
      </c>
      <c r="H204" s="19"/>
      <c r="I204" s="19" t="s">
        <v>41</v>
      </c>
      <c r="J204" s="19" t="s">
        <v>89</v>
      </c>
      <c r="K204" s="19" t="s">
        <v>161</v>
      </c>
      <c r="L204" s="19" t="s">
        <v>82</v>
      </c>
      <c r="M204" s="19" t="s">
        <v>82</v>
      </c>
      <c r="N204" s="19" t="s">
        <v>66</v>
      </c>
      <c r="O204" s="19" t="s">
        <v>160</v>
      </c>
      <c r="P204" s="19" t="s">
        <v>51</v>
      </c>
      <c r="Q204" s="19"/>
      <c r="R204" s="19" t="s">
        <v>237</v>
      </c>
      <c r="S204" s="19" t="s">
        <v>79</v>
      </c>
      <c r="T204" s="19" t="s">
        <v>56</v>
      </c>
      <c r="U204" s="19" t="s">
        <v>44</v>
      </c>
      <c r="V204" s="19" t="s">
        <v>78</v>
      </c>
      <c r="W204" s="19" t="s">
        <v>231</v>
      </c>
      <c r="X204" s="19" t="s">
        <v>46</v>
      </c>
      <c r="Y204" s="29"/>
      <c r="Z204" s="19"/>
      <c r="AA204" s="19"/>
      <c r="AB204" s="19" t="s">
        <v>744</v>
      </c>
      <c r="AC204" s="19" t="s">
        <v>214</v>
      </c>
      <c r="AD204" s="19"/>
      <c r="AE204" s="24">
        <f t="shared" si="62"/>
        <v>29.122590018000004</v>
      </c>
      <c r="AF204" s="24">
        <f t="shared" si="62"/>
        <v>29.122590018000004</v>
      </c>
      <c r="AG204" s="19" t="s">
        <v>1414</v>
      </c>
      <c r="AH204" s="19"/>
      <c r="AI204" s="19"/>
      <c r="AJ204" s="19">
        <v>7.61</v>
      </c>
      <c r="AK204" s="19" t="s">
        <v>720</v>
      </c>
      <c r="AL204" s="19"/>
      <c r="AM204" s="19" t="s">
        <v>234</v>
      </c>
      <c r="AN204" s="19" t="s">
        <v>234</v>
      </c>
      <c r="AO204" s="19" t="s">
        <v>235</v>
      </c>
      <c r="AP204" s="94">
        <v>0.3</v>
      </c>
      <c r="AQ204" s="19" t="s">
        <v>101</v>
      </c>
      <c r="AR204" s="19" t="s">
        <v>241</v>
      </c>
      <c r="AS204" s="19"/>
      <c r="AT204" s="65" t="str">
        <f t="shared" si="59"/>
        <v>Y</v>
      </c>
      <c r="AU204" s="65" t="str">
        <f t="shared" ref="AU204:AU267" si="63">IF(AT204="N","N",IF(AJ204&lt;6,"N",IF(AJ204&gt;8.5,"N","Y")))</f>
        <v>Y</v>
      </c>
      <c r="AV204" s="65" t="str">
        <f t="shared" si="54"/>
        <v>Y</v>
      </c>
      <c r="AW204" s="99"/>
      <c r="AX204" s="99"/>
      <c r="AY204" s="19"/>
      <c r="AZ204" s="96" t="str">
        <f t="shared" si="44"/>
        <v>LC50</v>
      </c>
      <c r="BA204" s="96">
        <f>IF(AZ204="n","n",VLOOKUP(AZ204,'Conversion factors'!$C$4:$D$24,2,FALSE))</f>
        <v>5</v>
      </c>
      <c r="BB204" s="96">
        <f t="shared" si="45"/>
        <v>31.8</v>
      </c>
      <c r="BC204" s="97"/>
      <c r="BD204" s="96" t="str">
        <f t="shared" si="60"/>
        <v>Chronic</v>
      </c>
      <c r="BE204" s="96" t="str">
        <f t="shared" si="46"/>
        <v>y</v>
      </c>
      <c r="BF204" s="98" t="str">
        <f t="shared" si="61"/>
        <v>LC50</v>
      </c>
      <c r="BG204" s="96" t="str">
        <f>IF(BF204="","",IF(ISNUMBER(VLOOKUP(BF204,'Conversion factors'!$B$35:$C$52,2,FALSE)),"y","n"))</f>
        <v>n</v>
      </c>
      <c r="BH204" s="99" t="s">
        <v>1466</v>
      </c>
    </row>
    <row r="205" spans="1:60" s="103" customFormat="1" ht="15.75" customHeight="1" x14ac:dyDescent="0.2">
      <c r="A205" s="18"/>
      <c r="B205" s="19">
        <v>253</v>
      </c>
      <c r="C205" s="19"/>
      <c r="D205" s="19">
        <v>84051</v>
      </c>
      <c r="E205" s="19" t="s">
        <v>1224</v>
      </c>
      <c r="F205" s="93">
        <v>2004</v>
      </c>
      <c r="G205" s="19" t="s">
        <v>711</v>
      </c>
      <c r="H205" s="19"/>
      <c r="I205" s="19" t="s">
        <v>41</v>
      </c>
      <c r="J205" s="19" t="s">
        <v>89</v>
      </c>
      <c r="K205" s="19" t="s">
        <v>161</v>
      </c>
      <c r="L205" s="19" t="s">
        <v>82</v>
      </c>
      <c r="M205" s="19" t="s">
        <v>82</v>
      </c>
      <c r="N205" s="19" t="s">
        <v>66</v>
      </c>
      <c r="O205" s="19" t="s">
        <v>160</v>
      </c>
      <c r="P205" s="19" t="s">
        <v>51</v>
      </c>
      <c r="Q205" s="19"/>
      <c r="R205" s="19" t="s">
        <v>237</v>
      </c>
      <c r="S205" s="19" t="s">
        <v>414</v>
      </c>
      <c r="T205" s="19" t="s">
        <v>55</v>
      </c>
      <c r="U205" s="19" t="s">
        <v>55</v>
      </c>
      <c r="V205" s="19" t="s">
        <v>78</v>
      </c>
      <c r="W205" s="19" t="s">
        <v>231</v>
      </c>
      <c r="X205" s="19" t="s">
        <v>46</v>
      </c>
      <c r="Y205" s="29"/>
      <c r="Z205" s="19"/>
      <c r="AA205" s="19"/>
      <c r="AB205" s="19" t="s">
        <v>763</v>
      </c>
      <c r="AC205" s="19" t="s">
        <v>214</v>
      </c>
      <c r="AD205" s="19"/>
      <c r="AE205" s="24">
        <f t="shared" si="62"/>
        <v>29.122590018000004</v>
      </c>
      <c r="AF205" s="24">
        <f t="shared" si="62"/>
        <v>29.122590018000004</v>
      </c>
      <c r="AG205" s="19" t="s">
        <v>1415</v>
      </c>
      <c r="AH205" s="19"/>
      <c r="AI205" s="19"/>
      <c r="AJ205" s="19">
        <v>7.61</v>
      </c>
      <c r="AK205" s="19" t="s">
        <v>720</v>
      </c>
      <c r="AL205" s="19"/>
      <c r="AM205" s="19" t="s">
        <v>234</v>
      </c>
      <c r="AN205" s="19" t="s">
        <v>234</v>
      </c>
      <c r="AO205" s="19" t="s">
        <v>235</v>
      </c>
      <c r="AP205" s="94">
        <v>0.3</v>
      </c>
      <c r="AQ205" s="19" t="s">
        <v>101</v>
      </c>
      <c r="AR205" s="19" t="s">
        <v>241</v>
      </c>
      <c r="AS205" s="19"/>
      <c r="AT205" s="65" t="str">
        <f t="shared" si="59"/>
        <v>Y</v>
      </c>
      <c r="AU205" s="65" t="str">
        <f t="shared" si="63"/>
        <v>Y</v>
      </c>
      <c r="AV205" s="65" t="str">
        <f t="shared" si="54"/>
        <v>Y</v>
      </c>
      <c r="AW205" s="99"/>
      <c r="AX205" s="99"/>
      <c r="AY205" s="19"/>
      <c r="AZ205" s="96" t="str">
        <f t="shared" ref="AZ205:AZ268" si="64">IF(AV205="N","n",T205)</f>
        <v>LOEC</v>
      </c>
      <c r="BA205" s="96">
        <f>IF(AZ205="n","n",VLOOKUP(AZ205,'Conversion factors'!$C$4:$D$24,2,FALSE))</f>
        <v>2.5</v>
      </c>
      <c r="BB205" s="96">
        <f t="shared" ref="BB205:BB268" si="65">IF(BA205="n","n",AB205/BA205)</f>
        <v>66.400000000000006</v>
      </c>
      <c r="BC205" s="97"/>
      <c r="BD205" s="96" t="str">
        <f t="shared" si="60"/>
        <v>Chronic</v>
      </c>
      <c r="BE205" s="96" t="str">
        <f t="shared" ref="BE205:BE268" si="66">IF(BD205="chronic","y","n")</f>
        <v>y</v>
      </c>
      <c r="BF205" s="98" t="str">
        <f t="shared" si="61"/>
        <v>LOEC</v>
      </c>
      <c r="BG205" s="96" t="str">
        <f>IF(BF205="","",IF(ISNUMBER(VLOOKUP(BF205,'Conversion factors'!$B$35:$C$52,2,FALSE)),"y","n"))</f>
        <v>n</v>
      </c>
      <c r="BH205" s="99" t="s">
        <v>1466</v>
      </c>
    </row>
    <row r="206" spans="1:60" s="103" customFormat="1" ht="15.75" customHeight="1" x14ac:dyDescent="0.2">
      <c r="A206" s="18"/>
      <c r="B206" s="19">
        <v>253</v>
      </c>
      <c r="C206" s="19"/>
      <c r="D206" s="19">
        <v>84051</v>
      </c>
      <c r="E206" s="19" t="s">
        <v>1224</v>
      </c>
      <c r="F206" s="93">
        <v>2004</v>
      </c>
      <c r="G206" s="19" t="s">
        <v>711</v>
      </c>
      <c r="H206" s="19"/>
      <c r="I206" s="19" t="s">
        <v>41</v>
      </c>
      <c r="J206" s="19" t="s">
        <v>89</v>
      </c>
      <c r="K206" s="19" t="s">
        <v>161</v>
      </c>
      <c r="L206" s="19" t="s">
        <v>82</v>
      </c>
      <c r="M206" s="19" t="s">
        <v>82</v>
      </c>
      <c r="N206" s="19" t="s">
        <v>66</v>
      </c>
      <c r="O206" s="19" t="s">
        <v>160</v>
      </c>
      <c r="P206" s="19" t="s">
        <v>51</v>
      </c>
      <c r="Q206" s="19"/>
      <c r="R206" s="19" t="s">
        <v>81</v>
      </c>
      <c r="S206" s="19" t="s">
        <v>749</v>
      </c>
      <c r="T206" s="19" t="s">
        <v>55</v>
      </c>
      <c r="U206" s="19" t="s">
        <v>55</v>
      </c>
      <c r="V206" s="19" t="s">
        <v>78</v>
      </c>
      <c r="W206" s="19" t="s">
        <v>231</v>
      </c>
      <c r="X206" s="19" t="s">
        <v>46</v>
      </c>
      <c r="Y206" s="29"/>
      <c r="Z206" s="19"/>
      <c r="AA206" s="19"/>
      <c r="AB206" s="19" t="s">
        <v>766</v>
      </c>
      <c r="AC206" s="19" t="s">
        <v>214</v>
      </c>
      <c r="AD206" s="19"/>
      <c r="AE206" s="24">
        <f t="shared" si="62"/>
        <v>29.122590018000004</v>
      </c>
      <c r="AF206" s="24">
        <f t="shared" si="62"/>
        <v>29.122590018000004</v>
      </c>
      <c r="AG206" s="19" t="s">
        <v>1445</v>
      </c>
      <c r="AH206" s="19"/>
      <c r="AI206" s="19"/>
      <c r="AJ206" s="19">
        <v>7.61</v>
      </c>
      <c r="AK206" s="19" t="s">
        <v>720</v>
      </c>
      <c r="AL206" s="19"/>
      <c r="AM206" s="19" t="s">
        <v>234</v>
      </c>
      <c r="AN206" s="19" t="s">
        <v>234</v>
      </c>
      <c r="AO206" s="19" t="s">
        <v>235</v>
      </c>
      <c r="AP206" s="94">
        <v>0.3</v>
      </c>
      <c r="AQ206" s="19" t="s">
        <v>101</v>
      </c>
      <c r="AR206" s="19" t="s">
        <v>241</v>
      </c>
      <c r="AS206" s="19"/>
      <c r="AT206" s="65" t="str">
        <f t="shared" si="59"/>
        <v>Y</v>
      </c>
      <c r="AU206" s="65" t="str">
        <f t="shared" si="63"/>
        <v>Y</v>
      </c>
      <c r="AV206" s="65" t="str">
        <f t="shared" si="54"/>
        <v>Y</v>
      </c>
      <c r="AW206" s="99"/>
      <c r="AX206" s="99"/>
      <c r="AY206" s="19"/>
      <c r="AZ206" s="96" t="str">
        <f t="shared" si="64"/>
        <v>LOEC</v>
      </c>
      <c r="BA206" s="96">
        <f>IF(AZ206="n","n",VLOOKUP(AZ206,'Conversion factors'!$C$4:$D$24,2,FALSE))</f>
        <v>2.5</v>
      </c>
      <c r="BB206" s="96">
        <f t="shared" si="65"/>
        <v>138</v>
      </c>
      <c r="BC206" s="97"/>
      <c r="BD206" s="96" t="str">
        <f t="shared" si="60"/>
        <v>Chronic</v>
      </c>
      <c r="BE206" s="96" t="str">
        <f t="shared" si="66"/>
        <v>y</v>
      </c>
      <c r="BF206" s="98" t="str">
        <f t="shared" si="61"/>
        <v>LOEC</v>
      </c>
      <c r="BG206" s="96" t="str">
        <f>IF(BF206="","",IF(ISNUMBER(VLOOKUP(BF206,'Conversion factors'!$B$35:$C$52,2,FALSE)),"y","n"))</f>
        <v>n</v>
      </c>
      <c r="BH206" s="99" t="s">
        <v>1464</v>
      </c>
    </row>
    <row r="207" spans="1:60" s="103" customFormat="1" ht="15.75" customHeight="1" x14ac:dyDescent="0.2">
      <c r="A207" s="18"/>
      <c r="B207" s="19">
        <v>253</v>
      </c>
      <c r="C207" s="19"/>
      <c r="D207" s="19">
        <v>84051</v>
      </c>
      <c r="E207" s="19" t="s">
        <v>1224</v>
      </c>
      <c r="F207" s="93">
        <v>2004</v>
      </c>
      <c r="G207" s="19" t="s">
        <v>711</v>
      </c>
      <c r="H207" s="19"/>
      <c r="I207" s="19" t="s">
        <v>41</v>
      </c>
      <c r="J207" s="19" t="s">
        <v>89</v>
      </c>
      <c r="K207" s="19" t="s">
        <v>161</v>
      </c>
      <c r="L207" s="19" t="s">
        <v>82</v>
      </c>
      <c r="M207" s="19" t="s">
        <v>82</v>
      </c>
      <c r="N207" s="19" t="s">
        <v>66</v>
      </c>
      <c r="O207" s="19" t="s">
        <v>160</v>
      </c>
      <c r="P207" s="19" t="s">
        <v>51</v>
      </c>
      <c r="Q207" s="19"/>
      <c r="R207" s="19" t="s">
        <v>237</v>
      </c>
      <c r="S207" s="19" t="s">
        <v>414</v>
      </c>
      <c r="T207" s="19" t="s">
        <v>54</v>
      </c>
      <c r="U207" s="19" t="s">
        <v>54</v>
      </c>
      <c r="V207" s="19" t="s">
        <v>78</v>
      </c>
      <c r="W207" s="19" t="s">
        <v>231</v>
      </c>
      <c r="X207" s="19" t="s">
        <v>46</v>
      </c>
      <c r="Y207" s="29"/>
      <c r="Z207" s="19"/>
      <c r="AA207" s="19"/>
      <c r="AB207" s="19" t="s">
        <v>783</v>
      </c>
      <c r="AC207" s="19" t="s">
        <v>214</v>
      </c>
      <c r="AD207" s="19"/>
      <c r="AE207" s="24">
        <f t="shared" si="62"/>
        <v>29.122590018000004</v>
      </c>
      <c r="AF207" s="24">
        <f t="shared" si="62"/>
        <v>29.122590018000004</v>
      </c>
      <c r="AG207" s="19" t="s">
        <v>1416</v>
      </c>
      <c r="AH207" s="19"/>
      <c r="AI207" s="19"/>
      <c r="AJ207" s="19">
        <v>7.61</v>
      </c>
      <c r="AK207" s="19" t="s">
        <v>720</v>
      </c>
      <c r="AL207" s="19"/>
      <c r="AM207" s="19"/>
      <c r="AN207" s="19" t="s">
        <v>234</v>
      </c>
      <c r="AO207" s="19" t="s">
        <v>235</v>
      </c>
      <c r="AP207" s="94">
        <v>0.3</v>
      </c>
      <c r="AQ207" s="19" t="s">
        <v>101</v>
      </c>
      <c r="AR207" s="19" t="s">
        <v>241</v>
      </c>
      <c r="AS207" s="19"/>
      <c r="AT207" s="65" t="str">
        <f t="shared" si="59"/>
        <v>Y</v>
      </c>
      <c r="AU207" s="65" t="str">
        <f t="shared" si="63"/>
        <v>Y</v>
      </c>
      <c r="AV207" s="65" t="str">
        <f t="shared" si="54"/>
        <v>Y</v>
      </c>
      <c r="AW207" s="99"/>
      <c r="AX207" s="99"/>
      <c r="AY207" s="19"/>
      <c r="AZ207" s="96" t="str">
        <f t="shared" si="64"/>
        <v>NOEC</v>
      </c>
      <c r="BA207" s="96">
        <f>IF(AZ207="n","n",VLOOKUP(AZ207,'Conversion factors'!$C$4:$D$24,2,FALSE))</f>
        <v>1</v>
      </c>
      <c r="BB207" s="96">
        <f t="shared" si="65"/>
        <v>78.900000000000006</v>
      </c>
      <c r="BC207" s="97"/>
      <c r="BD207" s="96" t="str">
        <f t="shared" si="60"/>
        <v>Chronic</v>
      </c>
      <c r="BE207" s="96" t="str">
        <f t="shared" si="66"/>
        <v>y</v>
      </c>
      <c r="BF207" s="98" t="str">
        <f t="shared" si="61"/>
        <v>NOEC</v>
      </c>
      <c r="BG207" s="96" t="str">
        <f>IF(BF207="","",IF(ISNUMBER(VLOOKUP(BF207,'Conversion factors'!$B$35:$C$52,2,FALSE)),"y","n"))</f>
        <v>y</v>
      </c>
      <c r="BH207" s="99" t="s">
        <v>1466</v>
      </c>
    </row>
    <row r="208" spans="1:60" s="103" customFormat="1" ht="15.75" customHeight="1" x14ac:dyDescent="0.2">
      <c r="A208" s="18"/>
      <c r="B208" s="19">
        <v>253</v>
      </c>
      <c r="C208" s="19"/>
      <c r="D208" s="19">
        <v>84051</v>
      </c>
      <c r="E208" s="19" t="s">
        <v>1224</v>
      </c>
      <c r="F208" s="93">
        <v>2004</v>
      </c>
      <c r="G208" s="19" t="s">
        <v>711</v>
      </c>
      <c r="H208" s="19"/>
      <c r="I208" s="19" t="s">
        <v>41</v>
      </c>
      <c r="J208" s="19" t="s">
        <v>89</v>
      </c>
      <c r="K208" s="19" t="s">
        <v>161</v>
      </c>
      <c r="L208" s="99" t="s">
        <v>82</v>
      </c>
      <c r="M208" s="19" t="s">
        <v>82</v>
      </c>
      <c r="N208" s="19" t="s">
        <v>66</v>
      </c>
      <c r="O208" s="19" t="s">
        <v>160</v>
      </c>
      <c r="P208" s="19" t="s">
        <v>51</v>
      </c>
      <c r="Q208" s="19"/>
      <c r="R208" s="19" t="s">
        <v>81</v>
      </c>
      <c r="S208" s="19" t="s">
        <v>749</v>
      </c>
      <c r="T208" s="19" t="s">
        <v>54</v>
      </c>
      <c r="U208" s="19" t="s">
        <v>54</v>
      </c>
      <c r="V208" s="19" t="s">
        <v>78</v>
      </c>
      <c r="W208" s="19" t="s">
        <v>231</v>
      </c>
      <c r="X208" s="19" t="s">
        <v>46</v>
      </c>
      <c r="Y208" s="29"/>
      <c r="Z208" s="19"/>
      <c r="AA208" s="19"/>
      <c r="AB208" s="19" t="s">
        <v>763</v>
      </c>
      <c r="AC208" s="19" t="s">
        <v>214</v>
      </c>
      <c r="AD208" s="19"/>
      <c r="AE208" s="24">
        <f t="shared" si="62"/>
        <v>29.122590018000004</v>
      </c>
      <c r="AF208" s="24">
        <f t="shared" si="62"/>
        <v>29.122590018000004</v>
      </c>
      <c r="AG208" s="19" t="s">
        <v>1453</v>
      </c>
      <c r="AH208" s="19"/>
      <c r="AI208" s="19"/>
      <c r="AJ208" s="101">
        <v>7.61</v>
      </c>
      <c r="AK208" s="19" t="s">
        <v>720</v>
      </c>
      <c r="AL208" s="19"/>
      <c r="AM208" s="19"/>
      <c r="AN208" s="19" t="s">
        <v>234</v>
      </c>
      <c r="AO208" s="19" t="s">
        <v>235</v>
      </c>
      <c r="AP208" s="94">
        <v>0.3</v>
      </c>
      <c r="AQ208" s="19" t="s">
        <v>101</v>
      </c>
      <c r="AR208" s="19" t="s">
        <v>241</v>
      </c>
      <c r="AS208" s="19"/>
      <c r="AT208" s="65" t="str">
        <f t="shared" si="59"/>
        <v>Y</v>
      </c>
      <c r="AU208" s="65" t="str">
        <f t="shared" si="63"/>
        <v>Y</v>
      </c>
      <c r="AV208" s="65" t="str">
        <f t="shared" si="54"/>
        <v>Y</v>
      </c>
      <c r="AW208" s="99"/>
      <c r="AX208" s="99"/>
      <c r="AY208" s="19"/>
      <c r="AZ208" s="96" t="str">
        <f t="shared" si="64"/>
        <v>NOEC</v>
      </c>
      <c r="BA208" s="96">
        <f>IF(AZ208="n","n",VLOOKUP(AZ208,'Conversion factors'!$C$4:$D$24,2,FALSE))</f>
        <v>1</v>
      </c>
      <c r="BB208" s="96">
        <f t="shared" si="65"/>
        <v>166</v>
      </c>
      <c r="BC208" s="97"/>
      <c r="BD208" s="96" t="str">
        <f t="shared" si="60"/>
        <v>Chronic</v>
      </c>
      <c r="BE208" s="96" t="str">
        <f t="shared" si="66"/>
        <v>y</v>
      </c>
      <c r="BF208" s="98" t="str">
        <f t="shared" si="61"/>
        <v>NOEC</v>
      </c>
      <c r="BG208" s="96" t="str">
        <f>IF(BF208="","",IF(ISNUMBER(VLOOKUP(BF208,'Conversion factors'!$B$35:$C$52,2,FALSE)),"y","n"))</f>
        <v>y</v>
      </c>
      <c r="BH208" s="99" t="s">
        <v>1466</v>
      </c>
    </row>
    <row r="209" spans="1:60" s="103" customFormat="1" ht="15.75" customHeight="1" x14ac:dyDescent="0.2">
      <c r="A209" s="18"/>
      <c r="B209" s="19">
        <v>253</v>
      </c>
      <c r="C209" s="19"/>
      <c r="D209" s="19">
        <v>84051</v>
      </c>
      <c r="E209" s="19" t="s">
        <v>1224</v>
      </c>
      <c r="F209" s="93">
        <v>2004</v>
      </c>
      <c r="G209" s="19" t="s">
        <v>711</v>
      </c>
      <c r="H209" s="19"/>
      <c r="I209" s="19" t="s">
        <v>41</v>
      </c>
      <c r="J209" s="19" t="s">
        <v>89</v>
      </c>
      <c r="K209" s="19" t="s">
        <v>161</v>
      </c>
      <c r="L209" s="99" t="s">
        <v>82</v>
      </c>
      <c r="M209" s="19" t="s">
        <v>82</v>
      </c>
      <c r="N209" s="19" t="s">
        <v>66</v>
      </c>
      <c r="O209" s="19" t="s">
        <v>160</v>
      </c>
      <c r="P209" s="19" t="s">
        <v>51</v>
      </c>
      <c r="Q209" s="19"/>
      <c r="R209" s="19" t="s">
        <v>237</v>
      </c>
      <c r="S209" s="19" t="s">
        <v>79</v>
      </c>
      <c r="T209" s="19" t="s">
        <v>174</v>
      </c>
      <c r="U209" s="19" t="s">
        <v>49</v>
      </c>
      <c r="V209" s="19" t="s">
        <v>78</v>
      </c>
      <c r="W209" s="19" t="s">
        <v>231</v>
      </c>
      <c r="X209" s="19" t="s">
        <v>46</v>
      </c>
      <c r="Y209" s="29"/>
      <c r="Z209" s="19"/>
      <c r="AA209" s="19"/>
      <c r="AB209" s="19" t="s">
        <v>721</v>
      </c>
      <c r="AC209" s="19" t="s">
        <v>214</v>
      </c>
      <c r="AD209" s="19"/>
      <c r="AE209" s="24">
        <f>0.21*40.078*2.497+3.123*24.305*4.118</f>
        <v>333.59049363000003</v>
      </c>
      <c r="AF209" s="24">
        <f>0.21*40.078*2.497+3.123*24.305*4.118</f>
        <v>333.59049363000003</v>
      </c>
      <c r="AG209" s="19" t="s">
        <v>1417</v>
      </c>
      <c r="AH209" s="19"/>
      <c r="AI209" s="19"/>
      <c r="AJ209" s="101">
        <v>7.65</v>
      </c>
      <c r="AK209" s="19" t="s">
        <v>548</v>
      </c>
      <c r="AL209" s="19"/>
      <c r="AM209" s="19"/>
      <c r="AN209" s="19" t="s">
        <v>234</v>
      </c>
      <c r="AO209" s="19" t="s">
        <v>235</v>
      </c>
      <c r="AP209" s="94">
        <v>0.3</v>
      </c>
      <c r="AQ209" s="19" t="s">
        <v>101</v>
      </c>
      <c r="AR209" s="19" t="s">
        <v>241</v>
      </c>
      <c r="AS209" s="19"/>
      <c r="AT209" s="65" t="str">
        <f t="shared" si="59"/>
        <v>Y</v>
      </c>
      <c r="AU209" s="65" t="str">
        <f t="shared" si="63"/>
        <v>Y</v>
      </c>
      <c r="AV209" s="65" t="s">
        <v>47</v>
      </c>
      <c r="AW209" s="99" t="s">
        <v>1594</v>
      </c>
      <c r="AX209" s="99"/>
      <c r="AY209" s="19"/>
      <c r="AZ209" s="96" t="str">
        <f t="shared" si="64"/>
        <v>n</v>
      </c>
      <c r="BA209" s="96" t="str">
        <f>IF(AZ209="n","n",VLOOKUP(AZ209,'Conversion factors'!$C$4:$D$24,2,FALSE))</f>
        <v>n</v>
      </c>
      <c r="BB209" s="96" t="str">
        <f t="shared" si="65"/>
        <v>n</v>
      </c>
      <c r="BC209" s="97"/>
      <c r="BD209" s="96" t="str">
        <f t="shared" si="60"/>
        <v>n</v>
      </c>
      <c r="BE209" s="96" t="str">
        <f t="shared" si="66"/>
        <v>n</v>
      </c>
      <c r="BF209" s="98" t="str">
        <f t="shared" si="61"/>
        <v/>
      </c>
      <c r="BG209" s="96" t="str">
        <f>IF(BF209="","",IF(ISNUMBER(VLOOKUP(BF209,'Conversion factors'!$B$35:$C$52,2,FALSE)),"y","n"))</f>
        <v/>
      </c>
      <c r="BH209" s="99" t="s">
        <v>1594</v>
      </c>
    </row>
    <row r="210" spans="1:60" s="103" customFormat="1" ht="15.75" customHeight="1" x14ac:dyDescent="0.2">
      <c r="A210" s="18"/>
      <c r="B210" s="19">
        <v>253</v>
      </c>
      <c r="C210" s="19"/>
      <c r="D210" s="19">
        <v>84051</v>
      </c>
      <c r="E210" s="19" t="s">
        <v>1224</v>
      </c>
      <c r="F210" s="93">
        <v>2004</v>
      </c>
      <c r="G210" s="19" t="s">
        <v>711</v>
      </c>
      <c r="H210" s="19"/>
      <c r="I210" s="19" t="s">
        <v>41</v>
      </c>
      <c r="J210" s="19" t="s">
        <v>89</v>
      </c>
      <c r="K210" s="19" t="s">
        <v>161</v>
      </c>
      <c r="L210" s="99" t="s">
        <v>82</v>
      </c>
      <c r="M210" s="19" t="s">
        <v>82</v>
      </c>
      <c r="N210" s="19" t="s">
        <v>66</v>
      </c>
      <c r="O210" s="19" t="s">
        <v>160</v>
      </c>
      <c r="P210" s="19" t="s">
        <v>51</v>
      </c>
      <c r="Q210" s="19"/>
      <c r="R210" s="19" t="s">
        <v>237</v>
      </c>
      <c r="S210" s="19" t="s">
        <v>79</v>
      </c>
      <c r="T210" s="19" t="s">
        <v>174</v>
      </c>
      <c r="U210" s="19" t="s">
        <v>49</v>
      </c>
      <c r="V210" s="19" t="s">
        <v>78</v>
      </c>
      <c r="W210" s="19" t="s">
        <v>231</v>
      </c>
      <c r="X210" s="19" t="s">
        <v>46</v>
      </c>
      <c r="Y210" s="29"/>
      <c r="Z210" s="19"/>
      <c r="AA210" s="19"/>
      <c r="AB210" s="19" t="s">
        <v>731</v>
      </c>
      <c r="AC210" s="19" t="s">
        <v>214</v>
      </c>
      <c r="AD210" s="19"/>
      <c r="AE210" s="24">
        <f>0.214*40.078*2.497+0.078*24.305*4.118</f>
        <v>29.222863144000002</v>
      </c>
      <c r="AF210" s="24">
        <f>0.214*40.078*2.497+0.078*24.305*4.118</f>
        <v>29.222863144000002</v>
      </c>
      <c r="AG210" s="19" t="s">
        <v>1418</v>
      </c>
      <c r="AH210" s="19"/>
      <c r="AI210" s="19"/>
      <c r="AJ210" s="101">
        <v>7.65</v>
      </c>
      <c r="AK210" s="19" t="s">
        <v>548</v>
      </c>
      <c r="AL210" s="19"/>
      <c r="AM210" s="19"/>
      <c r="AN210" s="19" t="s">
        <v>234</v>
      </c>
      <c r="AO210" s="19" t="s">
        <v>235</v>
      </c>
      <c r="AP210" s="94">
        <v>0.3</v>
      </c>
      <c r="AQ210" s="19" t="s">
        <v>101</v>
      </c>
      <c r="AR210" s="19" t="s">
        <v>241</v>
      </c>
      <c r="AS210" s="19"/>
      <c r="AT210" s="65" t="str">
        <f t="shared" si="59"/>
        <v>Y</v>
      </c>
      <c r="AU210" s="65" t="str">
        <f t="shared" si="63"/>
        <v>Y</v>
      </c>
      <c r="AV210" s="65" t="str">
        <f t="shared" si="54"/>
        <v>Y</v>
      </c>
      <c r="AW210" s="99"/>
      <c r="AX210" s="99"/>
      <c r="AY210" s="19"/>
      <c r="AZ210" s="96" t="str">
        <f t="shared" si="64"/>
        <v>LC10</v>
      </c>
      <c r="BA210" s="96">
        <f>IF(AZ210="n","n",VLOOKUP(AZ210,'Conversion factors'!$C$4:$D$24,2,FALSE))</f>
        <v>1</v>
      </c>
      <c r="BB210" s="96">
        <f t="shared" si="65"/>
        <v>46.1</v>
      </c>
      <c r="BC210" s="97"/>
      <c r="BD210" s="96" t="str">
        <f t="shared" si="60"/>
        <v>Chronic</v>
      </c>
      <c r="BE210" s="96" t="str">
        <f t="shared" si="66"/>
        <v>y</v>
      </c>
      <c r="BF210" s="98" t="str">
        <f t="shared" si="61"/>
        <v>LC10</v>
      </c>
      <c r="BG210" s="96" t="str">
        <f>IF(BF210="","",IF(ISNUMBER(VLOOKUP(BF210,'Conversion factors'!$B$35:$C$52,2,FALSE)),"y","n"))</f>
        <v>y</v>
      </c>
      <c r="BH210" s="99" t="s">
        <v>1592</v>
      </c>
    </row>
    <row r="211" spans="1:60" s="103" customFormat="1" ht="15.75" customHeight="1" x14ac:dyDescent="0.2">
      <c r="A211" s="18"/>
      <c r="B211" s="19">
        <v>253</v>
      </c>
      <c r="C211" s="19"/>
      <c r="D211" s="19">
        <v>84051</v>
      </c>
      <c r="E211" s="19" t="s">
        <v>1224</v>
      </c>
      <c r="F211" s="93">
        <v>2004</v>
      </c>
      <c r="G211" s="19" t="s">
        <v>711</v>
      </c>
      <c r="H211" s="19"/>
      <c r="I211" s="19" t="s">
        <v>41</v>
      </c>
      <c r="J211" s="19" t="s">
        <v>89</v>
      </c>
      <c r="K211" s="19" t="s">
        <v>161</v>
      </c>
      <c r="L211" s="19" t="s">
        <v>82</v>
      </c>
      <c r="M211" s="19" t="s">
        <v>82</v>
      </c>
      <c r="N211" s="19" t="s">
        <v>66</v>
      </c>
      <c r="O211" s="19" t="s">
        <v>160</v>
      </c>
      <c r="P211" s="19" t="s">
        <v>51</v>
      </c>
      <c r="Q211" s="19"/>
      <c r="R211" s="19" t="s">
        <v>237</v>
      </c>
      <c r="S211" s="19" t="s">
        <v>79</v>
      </c>
      <c r="T211" s="19" t="s">
        <v>56</v>
      </c>
      <c r="U211" s="19" t="s">
        <v>44</v>
      </c>
      <c r="V211" s="19" t="s">
        <v>78</v>
      </c>
      <c r="W211" s="19" t="s">
        <v>231</v>
      </c>
      <c r="X211" s="19" t="s">
        <v>46</v>
      </c>
      <c r="Y211" s="29"/>
      <c r="Z211" s="19"/>
      <c r="AA211" s="19"/>
      <c r="AB211" s="19" t="s">
        <v>741</v>
      </c>
      <c r="AC211" s="19" t="s">
        <v>214</v>
      </c>
      <c r="AD211" s="19"/>
      <c r="AE211" s="24">
        <f>0.214*40.078*2.497+0.078*24.305*4.118</f>
        <v>29.222863144000002</v>
      </c>
      <c r="AF211" s="24">
        <f>0.214*40.078*2.497+0.078*24.305*4.118</f>
        <v>29.222863144000002</v>
      </c>
      <c r="AG211" s="19" t="s">
        <v>1419</v>
      </c>
      <c r="AH211" s="19"/>
      <c r="AI211" s="19"/>
      <c r="AJ211" s="19">
        <v>7.65</v>
      </c>
      <c r="AK211" s="19" t="s">
        <v>548</v>
      </c>
      <c r="AL211" s="19"/>
      <c r="AM211" s="19" t="s">
        <v>234</v>
      </c>
      <c r="AN211" s="19" t="s">
        <v>234</v>
      </c>
      <c r="AO211" s="19" t="s">
        <v>235</v>
      </c>
      <c r="AP211" s="94">
        <v>0.3</v>
      </c>
      <c r="AQ211" s="19" t="s">
        <v>101</v>
      </c>
      <c r="AR211" s="19" t="s">
        <v>241</v>
      </c>
      <c r="AS211" s="19"/>
      <c r="AT211" s="65" t="str">
        <f t="shared" si="59"/>
        <v>Y</v>
      </c>
      <c r="AU211" s="65" t="str">
        <f t="shared" si="63"/>
        <v>Y</v>
      </c>
      <c r="AV211" s="65" t="str">
        <f t="shared" si="54"/>
        <v>Y</v>
      </c>
      <c r="AW211" s="99"/>
      <c r="AX211" s="99"/>
      <c r="AY211" s="19"/>
      <c r="AZ211" s="96" t="str">
        <f t="shared" si="64"/>
        <v>LC50</v>
      </c>
      <c r="BA211" s="96">
        <f>IF(AZ211="n","n",VLOOKUP(AZ211,'Conversion factors'!$C$4:$D$24,2,FALSE))</f>
        <v>5</v>
      </c>
      <c r="BB211" s="96">
        <f t="shared" si="65"/>
        <v>21.6</v>
      </c>
      <c r="BC211" s="97"/>
      <c r="BD211" s="96" t="str">
        <f t="shared" si="60"/>
        <v>Chronic</v>
      </c>
      <c r="BE211" s="96" t="str">
        <f t="shared" si="66"/>
        <v>y</v>
      </c>
      <c r="BF211" s="98" t="str">
        <f t="shared" si="61"/>
        <v>LC50</v>
      </c>
      <c r="BG211" s="96" t="str">
        <f>IF(BF211="","",IF(ISNUMBER(VLOOKUP(BF211,'Conversion factors'!$B$35:$C$52,2,FALSE)),"y","n"))</f>
        <v>n</v>
      </c>
      <c r="BH211" s="99" t="s">
        <v>1466</v>
      </c>
    </row>
    <row r="212" spans="1:60" s="103" customFormat="1" ht="15.75" customHeight="1" x14ac:dyDescent="0.2">
      <c r="A212" s="18"/>
      <c r="B212" s="19">
        <v>253</v>
      </c>
      <c r="C212" s="19"/>
      <c r="D212" s="19">
        <v>84051</v>
      </c>
      <c r="E212" s="19" t="s">
        <v>1224</v>
      </c>
      <c r="F212" s="93">
        <v>2004</v>
      </c>
      <c r="G212" s="19" t="s">
        <v>711</v>
      </c>
      <c r="H212" s="19"/>
      <c r="I212" s="19" t="s">
        <v>41</v>
      </c>
      <c r="J212" s="19" t="s">
        <v>89</v>
      </c>
      <c r="K212" s="19" t="s">
        <v>161</v>
      </c>
      <c r="L212" s="19" t="s">
        <v>82</v>
      </c>
      <c r="M212" s="19" t="s">
        <v>82</v>
      </c>
      <c r="N212" s="19" t="s">
        <v>66</v>
      </c>
      <c r="O212" s="19" t="s">
        <v>160</v>
      </c>
      <c r="P212" s="19" t="s">
        <v>51</v>
      </c>
      <c r="Q212" s="19"/>
      <c r="R212" s="19" t="s">
        <v>237</v>
      </c>
      <c r="S212" s="19" t="s">
        <v>79</v>
      </c>
      <c r="T212" s="19" t="s">
        <v>56</v>
      </c>
      <c r="U212" s="19" t="s">
        <v>44</v>
      </c>
      <c r="V212" s="19" t="s">
        <v>78</v>
      </c>
      <c r="W212" s="19" t="s">
        <v>231</v>
      </c>
      <c r="X212" s="19" t="s">
        <v>46</v>
      </c>
      <c r="Y212" s="29"/>
      <c r="Z212" s="19"/>
      <c r="AA212" s="19"/>
      <c r="AB212" s="19" t="s">
        <v>743</v>
      </c>
      <c r="AC212" s="19" t="s">
        <v>214</v>
      </c>
      <c r="AD212" s="19"/>
      <c r="AE212" s="24">
        <f>0.21*40.078*2.497+3.123*24.305*4.118</f>
        <v>333.59049363000003</v>
      </c>
      <c r="AF212" s="24">
        <f>0.21*40.078*2.497+3.123*24.305*4.118</f>
        <v>333.59049363000003</v>
      </c>
      <c r="AG212" s="19" t="s">
        <v>1420</v>
      </c>
      <c r="AH212" s="19"/>
      <c r="AI212" s="19"/>
      <c r="AJ212" s="19">
        <v>7.65</v>
      </c>
      <c r="AK212" s="19" t="s">
        <v>548</v>
      </c>
      <c r="AL212" s="19"/>
      <c r="AM212" s="19" t="s">
        <v>234</v>
      </c>
      <c r="AN212" s="19" t="s">
        <v>234</v>
      </c>
      <c r="AO212" s="19" t="s">
        <v>235</v>
      </c>
      <c r="AP212" s="94">
        <v>0.3</v>
      </c>
      <c r="AQ212" s="19" t="s">
        <v>101</v>
      </c>
      <c r="AR212" s="19" t="s">
        <v>241</v>
      </c>
      <c r="AS212" s="19"/>
      <c r="AT212" s="65" t="str">
        <f t="shared" si="59"/>
        <v>Y</v>
      </c>
      <c r="AU212" s="65" t="str">
        <f t="shared" si="63"/>
        <v>Y</v>
      </c>
      <c r="AV212" s="65" t="str">
        <f t="shared" si="54"/>
        <v>Y</v>
      </c>
      <c r="AW212" s="99"/>
      <c r="AX212" s="99"/>
      <c r="AY212" s="19"/>
      <c r="AZ212" s="96" t="str">
        <f t="shared" si="64"/>
        <v>LC50</v>
      </c>
      <c r="BA212" s="96">
        <f>IF(AZ212="n","n",VLOOKUP(AZ212,'Conversion factors'!$C$4:$D$24,2,FALSE))</f>
        <v>5</v>
      </c>
      <c r="BB212" s="96">
        <f t="shared" si="65"/>
        <v>67.8</v>
      </c>
      <c r="BC212" s="97"/>
      <c r="BD212" s="96" t="str">
        <f t="shared" si="60"/>
        <v>Chronic</v>
      </c>
      <c r="BE212" s="96" t="str">
        <f t="shared" si="66"/>
        <v>y</v>
      </c>
      <c r="BF212" s="98" t="str">
        <f t="shared" si="61"/>
        <v>LC50</v>
      </c>
      <c r="BG212" s="96" t="str">
        <f>IF(BF212="","",IF(ISNUMBER(VLOOKUP(BF212,'Conversion factors'!$B$35:$C$52,2,FALSE)),"y","n"))</f>
        <v>n</v>
      </c>
      <c r="BH212" s="99" t="s">
        <v>1466</v>
      </c>
    </row>
    <row r="213" spans="1:60" s="103" customFormat="1" ht="15.75" customHeight="1" x14ac:dyDescent="0.2">
      <c r="A213" s="18"/>
      <c r="B213" s="19">
        <v>253</v>
      </c>
      <c r="C213" s="19"/>
      <c r="D213" s="19">
        <v>84051</v>
      </c>
      <c r="E213" s="19" t="s">
        <v>1224</v>
      </c>
      <c r="F213" s="93">
        <v>2004</v>
      </c>
      <c r="G213" s="19" t="s">
        <v>711</v>
      </c>
      <c r="H213" s="19"/>
      <c r="I213" s="19" t="s">
        <v>41</v>
      </c>
      <c r="J213" s="19" t="s">
        <v>89</v>
      </c>
      <c r="K213" s="19" t="s">
        <v>161</v>
      </c>
      <c r="L213" s="19" t="s">
        <v>82</v>
      </c>
      <c r="M213" s="19" t="s">
        <v>82</v>
      </c>
      <c r="N213" s="19" t="s">
        <v>66</v>
      </c>
      <c r="O213" s="19" t="s">
        <v>160</v>
      </c>
      <c r="P213" s="19" t="s">
        <v>51</v>
      </c>
      <c r="Q213" s="19"/>
      <c r="R213" s="19" t="s">
        <v>237</v>
      </c>
      <c r="S213" s="19" t="s">
        <v>414</v>
      </c>
      <c r="T213" s="19" t="s">
        <v>55</v>
      </c>
      <c r="U213" s="19" t="s">
        <v>55</v>
      </c>
      <c r="V213" s="19" t="s">
        <v>78</v>
      </c>
      <c r="W213" s="19" t="s">
        <v>231</v>
      </c>
      <c r="X213" s="19" t="s">
        <v>46</v>
      </c>
      <c r="Y213" s="29"/>
      <c r="Z213" s="19"/>
      <c r="AA213" s="19"/>
      <c r="AB213" s="19" t="s">
        <v>761</v>
      </c>
      <c r="AC213" s="19" t="s">
        <v>214</v>
      </c>
      <c r="AD213" s="19"/>
      <c r="AE213" s="24">
        <f>0.21*40.078*2.497+3.123*24.305*4.118</f>
        <v>333.59049363000003</v>
      </c>
      <c r="AF213" s="24">
        <f>0.21*40.078*2.497+3.123*24.305*4.118</f>
        <v>333.59049363000003</v>
      </c>
      <c r="AG213" s="19" t="s">
        <v>1421</v>
      </c>
      <c r="AH213" s="19"/>
      <c r="AI213" s="19"/>
      <c r="AJ213" s="19">
        <v>7.65</v>
      </c>
      <c r="AK213" s="19" t="s">
        <v>548</v>
      </c>
      <c r="AL213" s="19"/>
      <c r="AM213" s="19" t="s">
        <v>234</v>
      </c>
      <c r="AN213" s="19" t="s">
        <v>234</v>
      </c>
      <c r="AO213" s="19" t="s">
        <v>235</v>
      </c>
      <c r="AP213" s="94">
        <v>0.3</v>
      </c>
      <c r="AQ213" s="19" t="s">
        <v>101</v>
      </c>
      <c r="AR213" s="19" t="s">
        <v>241</v>
      </c>
      <c r="AS213" s="19"/>
      <c r="AT213" s="65" t="str">
        <f t="shared" si="59"/>
        <v>Y</v>
      </c>
      <c r="AU213" s="65" t="str">
        <f t="shared" si="63"/>
        <v>Y</v>
      </c>
      <c r="AV213" s="65" t="str">
        <f t="shared" si="54"/>
        <v>Y</v>
      </c>
      <c r="AW213" s="99"/>
      <c r="AX213" s="99"/>
      <c r="AY213" s="19"/>
      <c r="AZ213" s="96" t="str">
        <f t="shared" si="64"/>
        <v>LOEC</v>
      </c>
      <c r="BA213" s="96">
        <f>IF(AZ213="n","n",VLOOKUP(AZ213,'Conversion factors'!$C$4:$D$24,2,FALSE))</f>
        <v>2.5</v>
      </c>
      <c r="BB213" s="96">
        <f t="shared" si="65"/>
        <v>142.4</v>
      </c>
      <c r="BC213" s="97"/>
      <c r="BD213" s="96" t="str">
        <f t="shared" si="60"/>
        <v>Chronic</v>
      </c>
      <c r="BE213" s="96" t="str">
        <f t="shared" si="66"/>
        <v>y</v>
      </c>
      <c r="BF213" s="98" t="str">
        <f t="shared" si="61"/>
        <v>LOEC</v>
      </c>
      <c r="BG213" s="96" t="str">
        <f>IF(BF213="","",IF(ISNUMBER(VLOOKUP(BF213,'Conversion factors'!$B$35:$C$52,2,FALSE)),"y","n"))</f>
        <v>n</v>
      </c>
      <c r="BH213" s="99" t="s">
        <v>1466</v>
      </c>
    </row>
    <row r="214" spans="1:60" s="103" customFormat="1" ht="15.75" customHeight="1" x14ac:dyDescent="0.2">
      <c r="A214" s="18"/>
      <c r="B214" s="19">
        <v>253</v>
      </c>
      <c r="C214" s="19"/>
      <c r="D214" s="19">
        <v>84051</v>
      </c>
      <c r="E214" s="19" t="s">
        <v>1224</v>
      </c>
      <c r="F214" s="93">
        <v>2004</v>
      </c>
      <c r="G214" s="19" t="s">
        <v>711</v>
      </c>
      <c r="H214" s="19"/>
      <c r="I214" s="19" t="s">
        <v>41</v>
      </c>
      <c r="J214" s="19" t="s">
        <v>89</v>
      </c>
      <c r="K214" s="19" t="s">
        <v>161</v>
      </c>
      <c r="L214" s="19" t="s">
        <v>82</v>
      </c>
      <c r="M214" s="19" t="s">
        <v>82</v>
      </c>
      <c r="N214" s="19" t="s">
        <v>66</v>
      </c>
      <c r="O214" s="19" t="s">
        <v>160</v>
      </c>
      <c r="P214" s="19" t="s">
        <v>51</v>
      </c>
      <c r="Q214" s="19"/>
      <c r="R214" s="19" t="s">
        <v>237</v>
      </c>
      <c r="S214" s="19" t="s">
        <v>414</v>
      </c>
      <c r="T214" s="19" t="s">
        <v>55</v>
      </c>
      <c r="U214" s="19" t="s">
        <v>55</v>
      </c>
      <c r="V214" s="19" t="s">
        <v>78</v>
      </c>
      <c r="W214" s="19" t="s">
        <v>231</v>
      </c>
      <c r="X214" s="19" t="s">
        <v>46</v>
      </c>
      <c r="Y214" s="29"/>
      <c r="Z214" s="19"/>
      <c r="AA214" s="19"/>
      <c r="AB214" s="19" t="s">
        <v>774</v>
      </c>
      <c r="AC214" s="19" t="s">
        <v>214</v>
      </c>
      <c r="AD214" s="19"/>
      <c r="AE214" s="24">
        <f>0.214*40.078*2.497+0.078*24.305*4.118</f>
        <v>29.222863144000002</v>
      </c>
      <c r="AF214" s="24">
        <f>0.214*40.078*2.497+0.078*24.305*4.118</f>
        <v>29.222863144000002</v>
      </c>
      <c r="AG214" s="19" t="s">
        <v>1422</v>
      </c>
      <c r="AH214" s="19"/>
      <c r="AI214" s="19"/>
      <c r="AJ214" s="19">
        <v>7.65</v>
      </c>
      <c r="AK214" s="19" t="s">
        <v>548</v>
      </c>
      <c r="AL214" s="19"/>
      <c r="AM214" s="19" t="s">
        <v>234</v>
      </c>
      <c r="AN214" s="19" t="s">
        <v>234</v>
      </c>
      <c r="AO214" s="19" t="s">
        <v>235</v>
      </c>
      <c r="AP214" s="94">
        <v>0.3</v>
      </c>
      <c r="AQ214" s="19" t="s">
        <v>101</v>
      </c>
      <c r="AR214" s="19" t="s">
        <v>241</v>
      </c>
      <c r="AS214" s="19"/>
      <c r="AT214" s="65" t="str">
        <f t="shared" si="59"/>
        <v>Y</v>
      </c>
      <c r="AU214" s="65" t="str">
        <f t="shared" si="63"/>
        <v>Y</v>
      </c>
      <c r="AV214" s="65" t="str">
        <f t="shared" si="54"/>
        <v>Y</v>
      </c>
      <c r="AW214" s="99"/>
      <c r="AX214" s="99"/>
      <c r="AY214" s="19"/>
      <c r="AZ214" s="96" t="str">
        <f t="shared" si="64"/>
        <v>LOEC</v>
      </c>
      <c r="BA214" s="96">
        <f>IF(AZ214="n","n",VLOOKUP(AZ214,'Conversion factors'!$C$4:$D$24,2,FALSE))</f>
        <v>2.5</v>
      </c>
      <c r="BB214" s="96">
        <f t="shared" si="65"/>
        <v>64.8</v>
      </c>
      <c r="BC214" s="97"/>
      <c r="BD214" s="96" t="str">
        <f t="shared" si="60"/>
        <v>Chronic</v>
      </c>
      <c r="BE214" s="96" t="str">
        <f t="shared" si="66"/>
        <v>y</v>
      </c>
      <c r="BF214" s="98" t="str">
        <f t="shared" si="61"/>
        <v>LOEC</v>
      </c>
      <c r="BG214" s="96" t="str">
        <f>IF(BF214="","",IF(ISNUMBER(VLOOKUP(BF214,'Conversion factors'!$B$35:$C$52,2,FALSE)),"y","n"))</f>
        <v>n</v>
      </c>
      <c r="BH214" s="99" t="s">
        <v>1466</v>
      </c>
    </row>
    <row r="215" spans="1:60" s="103" customFormat="1" ht="15.75" customHeight="1" x14ac:dyDescent="0.2">
      <c r="A215" s="18"/>
      <c r="B215" s="19">
        <v>253</v>
      </c>
      <c r="C215" s="19"/>
      <c r="D215" s="19">
        <v>84051</v>
      </c>
      <c r="E215" s="19" t="s">
        <v>1224</v>
      </c>
      <c r="F215" s="93">
        <v>2004</v>
      </c>
      <c r="G215" s="19" t="s">
        <v>711</v>
      </c>
      <c r="H215" s="19"/>
      <c r="I215" s="19" t="s">
        <v>41</v>
      </c>
      <c r="J215" s="19" t="s">
        <v>89</v>
      </c>
      <c r="K215" s="19" t="s">
        <v>161</v>
      </c>
      <c r="L215" s="19" t="s">
        <v>82</v>
      </c>
      <c r="M215" s="19" t="s">
        <v>82</v>
      </c>
      <c r="N215" s="19" t="s">
        <v>66</v>
      </c>
      <c r="O215" s="19" t="s">
        <v>160</v>
      </c>
      <c r="P215" s="19" t="s">
        <v>51</v>
      </c>
      <c r="Q215" s="19"/>
      <c r="R215" s="19" t="s">
        <v>81</v>
      </c>
      <c r="S215" s="19" t="s">
        <v>749</v>
      </c>
      <c r="T215" s="19" t="s">
        <v>55</v>
      </c>
      <c r="U215" s="19" t="s">
        <v>55</v>
      </c>
      <c r="V215" s="19" t="s">
        <v>78</v>
      </c>
      <c r="W215" s="19" t="s">
        <v>231</v>
      </c>
      <c r="X215" s="19" t="s">
        <v>46</v>
      </c>
      <c r="Y215" s="29"/>
      <c r="Z215" s="19"/>
      <c r="AA215" s="19"/>
      <c r="AB215" s="19" t="s">
        <v>756</v>
      </c>
      <c r="AC215" s="19" t="s">
        <v>214</v>
      </c>
      <c r="AD215" s="19"/>
      <c r="AE215" s="24">
        <f>0.214*40.078*2.497+0.078*24.305*4.118</f>
        <v>29.222863144000002</v>
      </c>
      <c r="AF215" s="24">
        <f>0.214*40.078*2.497+0.078*24.305*4.118</f>
        <v>29.222863144000002</v>
      </c>
      <c r="AG215" s="19" t="s">
        <v>1439</v>
      </c>
      <c r="AH215" s="19"/>
      <c r="AI215" s="19"/>
      <c r="AJ215" s="19">
        <v>7.65</v>
      </c>
      <c r="AK215" s="19" t="s">
        <v>548</v>
      </c>
      <c r="AL215" s="19"/>
      <c r="AM215" s="19" t="s">
        <v>234</v>
      </c>
      <c r="AN215" s="19" t="s">
        <v>234</v>
      </c>
      <c r="AO215" s="19" t="s">
        <v>235</v>
      </c>
      <c r="AP215" s="94">
        <v>0.3</v>
      </c>
      <c r="AQ215" s="19" t="s">
        <v>101</v>
      </c>
      <c r="AR215" s="19" t="s">
        <v>241</v>
      </c>
      <c r="AS215" s="19"/>
      <c r="AT215" s="65" t="str">
        <f t="shared" si="59"/>
        <v>Y</v>
      </c>
      <c r="AU215" s="65" t="str">
        <f t="shared" si="63"/>
        <v>Y</v>
      </c>
      <c r="AV215" s="65" t="str">
        <f t="shared" si="54"/>
        <v>Y</v>
      </c>
      <c r="AW215" s="99"/>
      <c r="AX215" s="99"/>
      <c r="AY215" s="19"/>
      <c r="AZ215" s="96" t="str">
        <f t="shared" si="64"/>
        <v>LOEC</v>
      </c>
      <c r="BA215" s="96">
        <f>IF(AZ215="n","n",VLOOKUP(AZ215,'Conversion factors'!$C$4:$D$24,2,FALSE))</f>
        <v>2.5</v>
      </c>
      <c r="BB215" s="96" t="e">
        <f t="shared" si="65"/>
        <v>#VALUE!</v>
      </c>
      <c r="BC215" s="97"/>
      <c r="BD215" s="96" t="str">
        <f t="shared" si="60"/>
        <v>Chronic</v>
      </c>
      <c r="BE215" s="96" t="str">
        <f t="shared" si="66"/>
        <v>y</v>
      </c>
      <c r="BF215" s="98" t="str">
        <f t="shared" si="61"/>
        <v>LOEC</v>
      </c>
      <c r="BG215" s="96" t="str">
        <f>IF(BF215="","",IF(ISNUMBER(VLOOKUP(BF215,'Conversion factors'!$B$35:$C$52,2,FALSE)),"y","n"))</f>
        <v>n</v>
      </c>
      <c r="BH215" s="99" t="s">
        <v>1464</v>
      </c>
    </row>
    <row r="216" spans="1:60" s="103" customFormat="1" ht="15.75" customHeight="1" x14ac:dyDescent="0.2">
      <c r="A216" s="18"/>
      <c r="B216" s="19">
        <v>253</v>
      </c>
      <c r="C216" s="19"/>
      <c r="D216" s="19">
        <v>84051</v>
      </c>
      <c r="E216" s="19" t="s">
        <v>1224</v>
      </c>
      <c r="F216" s="93">
        <v>2004</v>
      </c>
      <c r="G216" s="19" t="s">
        <v>711</v>
      </c>
      <c r="H216" s="19"/>
      <c r="I216" s="19" t="s">
        <v>41</v>
      </c>
      <c r="J216" s="19" t="s">
        <v>89</v>
      </c>
      <c r="K216" s="19" t="s">
        <v>161</v>
      </c>
      <c r="L216" s="19" t="s">
        <v>82</v>
      </c>
      <c r="M216" s="19" t="s">
        <v>82</v>
      </c>
      <c r="N216" s="19" t="s">
        <v>66</v>
      </c>
      <c r="O216" s="19" t="s">
        <v>160</v>
      </c>
      <c r="P216" s="19" t="s">
        <v>51</v>
      </c>
      <c r="Q216" s="19"/>
      <c r="R216" s="19" t="s">
        <v>81</v>
      </c>
      <c r="S216" s="19" t="s">
        <v>749</v>
      </c>
      <c r="T216" s="19" t="s">
        <v>55</v>
      </c>
      <c r="U216" s="19" t="s">
        <v>55</v>
      </c>
      <c r="V216" s="19" t="s">
        <v>78</v>
      </c>
      <c r="W216" s="19" t="s">
        <v>231</v>
      </c>
      <c r="X216" s="19" t="s">
        <v>46</v>
      </c>
      <c r="Y216" s="29"/>
      <c r="Z216" s="19"/>
      <c r="AA216" s="19"/>
      <c r="AB216" s="19" t="s">
        <v>767</v>
      </c>
      <c r="AC216" s="19" t="s">
        <v>214</v>
      </c>
      <c r="AD216" s="19"/>
      <c r="AE216" s="24">
        <f>0.21*40.078*2.497+3.123*24.305*4.118</f>
        <v>333.59049363000003</v>
      </c>
      <c r="AF216" s="24">
        <f>0.21*40.078*2.497+3.123*24.305*4.118</f>
        <v>333.59049363000003</v>
      </c>
      <c r="AG216" s="19" t="s">
        <v>1446</v>
      </c>
      <c r="AH216" s="19"/>
      <c r="AI216" s="19"/>
      <c r="AJ216" s="19">
        <v>7.65</v>
      </c>
      <c r="AK216" s="19" t="s">
        <v>548</v>
      </c>
      <c r="AL216" s="19"/>
      <c r="AM216" s="19" t="s">
        <v>234</v>
      </c>
      <c r="AN216" s="19" t="s">
        <v>234</v>
      </c>
      <c r="AO216" s="19" t="s">
        <v>235</v>
      </c>
      <c r="AP216" s="94">
        <v>0.3</v>
      </c>
      <c r="AQ216" s="19" t="s">
        <v>101</v>
      </c>
      <c r="AR216" s="19" t="s">
        <v>241</v>
      </c>
      <c r="AS216" s="19"/>
      <c r="AT216" s="65" t="str">
        <f t="shared" si="59"/>
        <v>Y</v>
      </c>
      <c r="AU216" s="65" t="str">
        <f t="shared" si="63"/>
        <v>Y</v>
      </c>
      <c r="AV216" s="65" t="str">
        <f t="shared" si="54"/>
        <v>Y</v>
      </c>
      <c r="AW216" s="99"/>
      <c r="AX216" s="99"/>
      <c r="AY216" s="19"/>
      <c r="AZ216" s="96" t="str">
        <f t="shared" si="64"/>
        <v>LOEC</v>
      </c>
      <c r="BA216" s="96">
        <f>IF(AZ216="n","n",VLOOKUP(AZ216,'Conversion factors'!$C$4:$D$24,2,FALSE))</f>
        <v>2.5</v>
      </c>
      <c r="BB216" s="96" t="e">
        <f t="shared" si="65"/>
        <v>#VALUE!</v>
      </c>
      <c r="BC216" s="97"/>
      <c r="BD216" s="96" t="str">
        <f t="shared" si="60"/>
        <v>Chronic</v>
      </c>
      <c r="BE216" s="96" t="str">
        <f t="shared" si="66"/>
        <v>y</v>
      </c>
      <c r="BF216" s="98" t="str">
        <f t="shared" si="61"/>
        <v>LOEC</v>
      </c>
      <c r="BG216" s="96" t="str">
        <f>IF(BF216="","",IF(ISNUMBER(VLOOKUP(BF216,'Conversion factors'!$B$35:$C$52,2,FALSE)),"y","n"))</f>
        <v>n</v>
      </c>
      <c r="BH216" s="99" t="s">
        <v>1464</v>
      </c>
    </row>
    <row r="217" spans="1:60" s="103" customFormat="1" ht="15.75" customHeight="1" x14ac:dyDescent="0.2">
      <c r="A217" s="18"/>
      <c r="B217" s="19">
        <v>253</v>
      </c>
      <c r="C217" s="19"/>
      <c r="D217" s="19">
        <v>84051</v>
      </c>
      <c r="E217" s="19" t="s">
        <v>1224</v>
      </c>
      <c r="F217" s="93">
        <v>2004</v>
      </c>
      <c r="G217" s="19" t="s">
        <v>711</v>
      </c>
      <c r="H217" s="19"/>
      <c r="I217" s="19" t="s">
        <v>41</v>
      </c>
      <c r="J217" s="19" t="s">
        <v>89</v>
      </c>
      <c r="K217" s="19" t="s">
        <v>161</v>
      </c>
      <c r="L217" s="19" t="s">
        <v>82</v>
      </c>
      <c r="M217" s="19" t="s">
        <v>82</v>
      </c>
      <c r="N217" s="19" t="s">
        <v>66</v>
      </c>
      <c r="O217" s="19" t="s">
        <v>160</v>
      </c>
      <c r="P217" s="19" t="s">
        <v>51</v>
      </c>
      <c r="Q217" s="19"/>
      <c r="R217" s="19" t="s">
        <v>237</v>
      </c>
      <c r="S217" s="19" t="s">
        <v>414</v>
      </c>
      <c r="T217" s="19" t="s">
        <v>54</v>
      </c>
      <c r="U217" s="19" t="s">
        <v>54</v>
      </c>
      <c r="V217" s="19" t="s">
        <v>78</v>
      </c>
      <c r="W217" s="19" t="s">
        <v>231</v>
      </c>
      <c r="X217" s="19" t="s">
        <v>46</v>
      </c>
      <c r="Y217" s="29"/>
      <c r="Z217" s="19"/>
      <c r="AA217" s="19"/>
      <c r="AB217" s="19" t="s">
        <v>782</v>
      </c>
      <c r="AC217" s="19" t="s">
        <v>214</v>
      </c>
      <c r="AD217" s="19"/>
      <c r="AE217" s="24">
        <f>0.21*40.078*2.497+3.123*24.305*4.118</f>
        <v>333.59049363000003</v>
      </c>
      <c r="AF217" s="24">
        <f>0.21*40.078*2.497+3.123*24.305*4.118</f>
        <v>333.59049363000003</v>
      </c>
      <c r="AG217" s="19" t="s">
        <v>1423</v>
      </c>
      <c r="AH217" s="19"/>
      <c r="AI217" s="19"/>
      <c r="AJ217" s="19">
        <v>7.65</v>
      </c>
      <c r="AK217" s="19" t="s">
        <v>548</v>
      </c>
      <c r="AL217" s="19"/>
      <c r="AM217" s="19"/>
      <c r="AN217" s="19" t="s">
        <v>234</v>
      </c>
      <c r="AO217" s="19" t="s">
        <v>235</v>
      </c>
      <c r="AP217" s="94">
        <v>0.3</v>
      </c>
      <c r="AQ217" s="19" t="s">
        <v>101</v>
      </c>
      <c r="AR217" s="19" t="s">
        <v>241</v>
      </c>
      <c r="AS217" s="19"/>
      <c r="AT217" s="65" t="str">
        <f t="shared" si="59"/>
        <v>Y</v>
      </c>
      <c r="AU217" s="65" t="str">
        <f t="shared" si="63"/>
        <v>Y</v>
      </c>
      <c r="AV217" s="65" t="str">
        <f t="shared" si="54"/>
        <v>Y</v>
      </c>
      <c r="AW217" s="99"/>
      <c r="AX217" s="99"/>
      <c r="AY217" s="19"/>
      <c r="AZ217" s="96" t="str">
        <f t="shared" si="64"/>
        <v>NOEC</v>
      </c>
      <c r="BA217" s="96">
        <f>IF(AZ217="n","n",VLOOKUP(AZ217,'Conversion factors'!$C$4:$D$24,2,FALSE))</f>
        <v>1</v>
      </c>
      <c r="BB217" s="96">
        <f t="shared" si="65"/>
        <v>165</v>
      </c>
      <c r="BC217" s="97"/>
      <c r="BD217" s="96" t="str">
        <f t="shared" si="60"/>
        <v>Chronic</v>
      </c>
      <c r="BE217" s="96" t="str">
        <f t="shared" si="66"/>
        <v>y</v>
      </c>
      <c r="BF217" s="98" t="str">
        <f t="shared" si="61"/>
        <v>NOEC</v>
      </c>
      <c r="BG217" s="96" t="str">
        <f>IF(BF217="","",IF(ISNUMBER(VLOOKUP(BF217,'Conversion factors'!$B$35:$C$52,2,FALSE)),"y","n"))</f>
        <v>y</v>
      </c>
      <c r="BH217" s="99" t="s">
        <v>1466</v>
      </c>
    </row>
    <row r="218" spans="1:60" s="103" customFormat="1" ht="15.75" customHeight="1" x14ac:dyDescent="0.2">
      <c r="A218" s="18"/>
      <c r="B218" s="19">
        <v>253</v>
      </c>
      <c r="C218" s="19"/>
      <c r="D218" s="19">
        <v>84051</v>
      </c>
      <c r="E218" s="19" t="s">
        <v>1224</v>
      </c>
      <c r="F218" s="93">
        <v>2004</v>
      </c>
      <c r="G218" s="19" t="s">
        <v>711</v>
      </c>
      <c r="H218" s="19"/>
      <c r="I218" s="19" t="s">
        <v>41</v>
      </c>
      <c r="J218" s="19" t="s">
        <v>89</v>
      </c>
      <c r="K218" s="19" t="s">
        <v>161</v>
      </c>
      <c r="L218" s="19" t="s">
        <v>82</v>
      </c>
      <c r="M218" s="19" t="s">
        <v>82</v>
      </c>
      <c r="N218" s="19" t="s">
        <v>66</v>
      </c>
      <c r="O218" s="19" t="s">
        <v>160</v>
      </c>
      <c r="P218" s="19" t="s">
        <v>51</v>
      </c>
      <c r="Q218" s="19"/>
      <c r="R218" s="19" t="s">
        <v>237</v>
      </c>
      <c r="S218" s="19" t="s">
        <v>414</v>
      </c>
      <c r="T218" s="19" t="s">
        <v>54</v>
      </c>
      <c r="U218" s="19" t="s">
        <v>54</v>
      </c>
      <c r="V218" s="19" t="s">
        <v>78</v>
      </c>
      <c r="W218" s="19" t="s">
        <v>231</v>
      </c>
      <c r="X218" s="19" t="s">
        <v>46</v>
      </c>
      <c r="Y218" s="29"/>
      <c r="Z218" s="19"/>
      <c r="AA218" s="19"/>
      <c r="AB218" s="19" t="s">
        <v>784</v>
      </c>
      <c r="AC218" s="19" t="s">
        <v>214</v>
      </c>
      <c r="AD218" s="19"/>
      <c r="AE218" s="24">
        <f>0.214*40.078*2.497+0.078*24.305*4.118</f>
        <v>29.222863144000002</v>
      </c>
      <c r="AF218" s="24">
        <f>0.214*40.078*2.497+0.078*24.305*4.118</f>
        <v>29.222863144000002</v>
      </c>
      <c r="AG218" s="19" t="s">
        <v>1424</v>
      </c>
      <c r="AH218" s="19"/>
      <c r="AI218" s="19"/>
      <c r="AJ218" s="19">
        <v>7.65</v>
      </c>
      <c r="AK218" s="19" t="s">
        <v>548</v>
      </c>
      <c r="AL218" s="19"/>
      <c r="AM218" s="19"/>
      <c r="AN218" s="19" t="s">
        <v>234</v>
      </c>
      <c r="AO218" s="19" t="s">
        <v>235</v>
      </c>
      <c r="AP218" s="94">
        <v>0.3</v>
      </c>
      <c r="AQ218" s="19" t="s">
        <v>101</v>
      </c>
      <c r="AR218" s="19" t="s">
        <v>241</v>
      </c>
      <c r="AS218" s="19"/>
      <c r="AT218" s="65" t="str">
        <f t="shared" si="59"/>
        <v>Y</v>
      </c>
      <c r="AU218" s="65" t="str">
        <f t="shared" si="63"/>
        <v>Y</v>
      </c>
      <c r="AV218" s="65" t="str">
        <f t="shared" si="54"/>
        <v>Y</v>
      </c>
      <c r="AW218" s="99"/>
      <c r="AX218" s="99"/>
      <c r="AY218" s="19"/>
      <c r="AZ218" s="96" t="str">
        <f t="shared" si="64"/>
        <v>NOEC</v>
      </c>
      <c r="BA218" s="96">
        <f>IF(AZ218="n","n",VLOOKUP(AZ218,'Conversion factors'!$C$4:$D$24,2,FALSE))</f>
        <v>1</v>
      </c>
      <c r="BB218" s="96">
        <f t="shared" si="65"/>
        <v>48</v>
      </c>
      <c r="BC218" s="97"/>
      <c r="BD218" s="96" t="str">
        <f t="shared" si="60"/>
        <v>Chronic</v>
      </c>
      <c r="BE218" s="96" t="str">
        <f t="shared" si="66"/>
        <v>y</v>
      </c>
      <c r="BF218" s="98" t="str">
        <f t="shared" si="61"/>
        <v>NOEC</v>
      </c>
      <c r="BG218" s="96" t="str">
        <f>IF(BF218="","",IF(ISNUMBER(VLOOKUP(BF218,'Conversion factors'!$B$35:$C$52,2,FALSE)),"y","n"))</f>
        <v>y</v>
      </c>
      <c r="BH218" s="99" t="s">
        <v>1466</v>
      </c>
    </row>
    <row r="219" spans="1:60" s="103" customFormat="1" ht="15.75" customHeight="1" x14ac:dyDescent="0.2">
      <c r="A219" s="18"/>
      <c r="B219" s="19">
        <v>253</v>
      </c>
      <c r="C219" s="19"/>
      <c r="D219" s="19">
        <v>84051</v>
      </c>
      <c r="E219" s="19" t="s">
        <v>1224</v>
      </c>
      <c r="F219" s="93">
        <v>2004</v>
      </c>
      <c r="G219" s="19" t="s">
        <v>711</v>
      </c>
      <c r="H219" s="19"/>
      <c r="I219" s="19" t="s">
        <v>41</v>
      </c>
      <c r="J219" s="19" t="s">
        <v>89</v>
      </c>
      <c r="K219" s="19" t="s">
        <v>161</v>
      </c>
      <c r="L219" s="99" t="s">
        <v>82</v>
      </c>
      <c r="M219" s="19" t="s">
        <v>82</v>
      </c>
      <c r="N219" s="19" t="s">
        <v>66</v>
      </c>
      <c r="O219" s="19" t="s">
        <v>160</v>
      </c>
      <c r="P219" s="19" t="s">
        <v>51</v>
      </c>
      <c r="Q219" s="19"/>
      <c r="R219" s="19" t="s">
        <v>237</v>
      </c>
      <c r="S219" s="19" t="s">
        <v>79</v>
      </c>
      <c r="T219" s="19" t="s">
        <v>174</v>
      </c>
      <c r="U219" s="19" t="s">
        <v>49</v>
      </c>
      <c r="V219" s="19" t="s">
        <v>78</v>
      </c>
      <c r="W219" s="19" t="s">
        <v>231</v>
      </c>
      <c r="X219" s="19" t="s">
        <v>46</v>
      </c>
      <c r="Y219" s="29"/>
      <c r="Z219" s="19"/>
      <c r="AA219" s="19"/>
      <c r="AB219" s="19" t="s">
        <v>724</v>
      </c>
      <c r="AC219" s="19" t="s">
        <v>214</v>
      </c>
      <c r="AD219" s="19"/>
      <c r="AE219" s="24">
        <f t="shared" ref="AE219:AF223" si="67">3.886*40.078*2.497+0.069*24.305*4.118</f>
        <v>395.79661198600002</v>
      </c>
      <c r="AF219" s="24">
        <f t="shared" si="67"/>
        <v>395.79661198600002</v>
      </c>
      <c r="AG219" s="19" t="s">
        <v>1416</v>
      </c>
      <c r="AH219" s="19"/>
      <c r="AI219" s="19"/>
      <c r="AJ219" s="101">
        <v>7.68</v>
      </c>
      <c r="AK219" s="19" t="s">
        <v>725</v>
      </c>
      <c r="AL219" s="19"/>
      <c r="AM219" s="19"/>
      <c r="AN219" s="19" t="s">
        <v>234</v>
      </c>
      <c r="AO219" s="19" t="s">
        <v>235</v>
      </c>
      <c r="AP219" s="94">
        <v>0.3</v>
      </c>
      <c r="AQ219" s="19" t="s">
        <v>101</v>
      </c>
      <c r="AR219" s="19" t="s">
        <v>241</v>
      </c>
      <c r="AS219" s="19"/>
      <c r="AT219" s="65" t="str">
        <f t="shared" si="59"/>
        <v>Y</v>
      </c>
      <c r="AU219" s="65" t="str">
        <f t="shared" si="63"/>
        <v>Y</v>
      </c>
      <c r="AV219" s="65" t="str">
        <f t="shared" si="54"/>
        <v>Y</v>
      </c>
      <c r="AW219" s="99"/>
      <c r="AX219" s="99"/>
      <c r="AY219" s="19"/>
      <c r="AZ219" s="96" t="str">
        <f t="shared" si="64"/>
        <v>LC10</v>
      </c>
      <c r="BA219" s="96">
        <f>IF(AZ219="n","n",VLOOKUP(AZ219,'Conversion factors'!$C$4:$D$24,2,FALSE))</f>
        <v>1</v>
      </c>
      <c r="BB219" s="96">
        <f t="shared" si="65"/>
        <v>337</v>
      </c>
      <c r="BC219" s="97"/>
      <c r="BD219" s="96" t="str">
        <f t="shared" si="60"/>
        <v>Chronic</v>
      </c>
      <c r="BE219" s="96" t="str">
        <f t="shared" si="66"/>
        <v>y</v>
      </c>
      <c r="BF219" s="98" t="str">
        <f t="shared" si="61"/>
        <v>LC10</v>
      </c>
      <c r="BG219" s="96" t="str">
        <f>IF(BF219="","",IF(ISNUMBER(VLOOKUP(BF219,'Conversion factors'!$B$35:$C$52,2,FALSE)),"y","n"))</f>
        <v>y</v>
      </c>
      <c r="BH219" s="99" t="s">
        <v>1592</v>
      </c>
    </row>
    <row r="220" spans="1:60" s="103" customFormat="1" ht="15.75" customHeight="1" x14ac:dyDescent="0.2">
      <c r="A220" s="18"/>
      <c r="B220" s="19">
        <v>253</v>
      </c>
      <c r="C220" s="19"/>
      <c r="D220" s="19">
        <v>84051</v>
      </c>
      <c r="E220" s="19" t="s">
        <v>1224</v>
      </c>
      <c r="F220" s="93">
        <v>2004</v>
      </c>
      <c r="G220" s="19" t="s">
        <v>711</v>
      </c>
      <c r="H220" s="19"/>
      <c r="I220" s="19" t="s">
        <v>41</v>
      </c>
      <c r="J220" s="19" t="s">
        <v>89</v>
      </c>
      <c r="K220" s="19" t="s">
        <v>161</v>
      </c>
      <c r="L220" s="19" t="s">
        <v>82</v>
      </c>
      <c r="M220" s="19" t="s">
        <v>82</v>
      </c>
      <c r="N220" s="19" t="s">
        <v>66</v>
      </c>
      <c r="O220" s="19" t="s">
        <v>160</v>
      </c>
      <c r="P220" s="19" t="s">
        <v>51</v>
      </c>
      <c r="Q220" s="19"/>
      <c r="R220" s="19" t="s">
        <v>237</v>
      </c>
      <c r="S220" s="19" t="s">
        <v>79</v>
      </c>
      <c r="T220" s="19" t="s">
        <v>56</v>
      </c>
      <c r="U220" s="19" t="s">
        <v>44</v>
      </c>
      <c r="V220" s="19" t="s">
        <v>78</v>
      </c>
      <c r="W220" s="19" t="s">
        <v>231</v>
      </c>
      <c r="X220" s="19" t="s">
        <v>46</v>
      </c>
      <c r="Y220" s="29"/>
      <c r="Z220" s="19"/>
      <c r="AA220" s="19"/>
      <c r="AB220" s="19" t="s">
        <v>732</v>
      </c>
      <c r="AC220" s="19" t="s">
        <v>214</v>
      </c>
      <c r="AD220" s="19"/>
      <c r="AE220" s="24">
        <f t="shared" si="67"/>
        <v>395.79661198600002</v>
      </c>
      <c r="AF220" s="24">
        <f t="shared" si="67"/>
        <v>395.79661198600002</v>
      </c>
      <c r="AG220" s="19" t="s">
        <v>1417</v>
      </c>
      <c r="AH220" s="19"/>
      <c r="AI220" s="19"/>
      <c r="AJ220" s="19">
        <v>7.68</v>
      </c>
      <c r="AK220" s="19" t="s">
        <v>725</v>
      </c>
      <c r="AL220" s="19"/>
      <c r="AM220" s="19" t="s">
        <v>234</v>
      </c>
      <c r="AN220" s="19" t="s">
        <v>234</v>
      </c>
      <c r="AO220" s="19" t="s">
        <v>235</v>
      </c>
      <c r="AP220" s="94">
        <v>0.3</v>
      </c>
      <c r="AQ220" s="19" t="s">
        <v>101</v>
      </c>
      <c r="AR220" s="19" t="s">
        <v>241</v>
      </c>
      <c r="AS220" s="19"/>
      <c r="AT220" s="65" t="str">
        <f t="shared" si="59"/>
        <v>Y</v>
      </c>
      <c r="AU220" s="65" t="str">
        <f t="shared" si="63"/>
        <v>Y</v>
      </c>
      <c r="AV220" s="65" t="str">
        <f t="shared" si="54"/>
        <v>Y</v>
      </c>
      <c r="AW220" s="99"/>
      <c r="AX220" s="99"/>
      <c r="AY220" s="19"/>
      <c r="AZ220" s="96" t="str">
        <f t="shared" si="64"/>
        <v>LC50</v>
      </c>
      <c r="BA220" s="96">
        <f>IF(AZ220="n","n",VLOOKUP(AZ220,'Conversion factors'!$C$4:$D$24,2,FALSE))</f>
        <v>5</v>
      </c>
      <c r="BB220" s="96">
        <f t="shared" si="65"/>
        <v>372</v>
      </c>
      <c r="BC220" s="97"/>
      <c r="BD220" s="96" t="str">
        <f t="shared" si="60"/>
        <v>Chronic</v>
      </c>
      <c r="BE220" s="96" t="str">
        <f t="shared" si="66"/>
        <v>y</v>
      </c>
      <c r="BF220" s="98" t="str">
        <f t="shared" si="61"/>
        <v>LC50</v>
      </c>
      <c r="BG220" s="96" t="str">
        <f>IF(BF220="","",IF(ISNUMBER(VLOOKUP(BF220,'Conversion factors'!$B$35:$C$52,2,FALSE)),"y","n"))</f>
        <v>n</v>
      </c>
      <c r="BH220" s="99" t="s">
        <v>1466</v>
      </c>
    </row>
    <row r="221" spans="1:60" s="103" customFormat="1" ht="15.75" customHeight="1" x14ac:dyDescent="0.2">
      <c r="A221" s="18"/>
      <c r="B221" s="19">
        <v>253</v>
      </c>
      <c r="C221" s="19"/>
      <c r="D221" s="19">
        <v>84051</v>
      </c>
      <c r="E221" s="19" t="s">
        <v>1224</v>
      </c>
      <c r="F221" s="93">
        <v>2004</v>
      </c>
      <c r="G221" s="19" t="s">
        <v>711</v>
      </c>
      <c r="H221" s="19"/>
      <c r="I221" s="19" t="s">
        <v>41</v>
      </c>
      <c r="J221" s="19" t="s">
        <v>89</v>
      </c>
      <c r="K221" s="19" t="s">
        <v>161</v>
      </c>
      <c r="L221" s="19" t="s">
        <v>82</v>
      </c>
      <c r="M221" s="19" t="s">
        <v>82</v>
      </c>
      <c r="N221" s="19" t="s">
        <v>66</v>
      </c>
      <c r="O221" s="19" t="s">
        <v>160</v>
      </c>
      <c r="P221" s="19" t="s">
        <v>51</v>
      </c>
      <c r="Q221" s="19"/>
      <c r="R221" s="19" t="s">
        <v>237</v>
      </c>
      <c r="S221" s="19" t="s">
        <v>414</v>
      </c>
      <c r="T221" s="19" t="s">
        <v>55</v>
      </c>
      <c r="U221" s="19" t="s">
        <v>55</v>
      </c>
      <c r="V221" s="19" t="s">
        <v>78</v>
      </c>
      <c r="W221" s="19" t="s">
        <v>231</v>
      </c>
      <c r="X221" s="19" t="s">
        <v>46</v>
      </c>
      <c r="Y221" s="29"/>
      <c r="Z221" s="19"/>
      <c r="AA221" s="19"/>
      <c r="AB221" s="19" t="s">
        <v>755</v>
      </c>
      <c r="AC221" s="19" t="s">
        <v>214</v>
      </c>
      <c r="AD221" s="19"/>
      <c r="AE221" s="24">
        <f t="shared" si="67"/>
        <v>395.79661198600002</v>
      </c>
      <c r="AF221" s="24">
        <f t="shared" si="67"/>
        <v>395.79661198600002</v>
      </c>
      <c r="AG221" s="19" t="s">
        <v>1418</v>
      </c>
      <c r="AH221" s="19"/>
      <c r="AI221" s="19"/>
      <c r="AJ221" s="19">
        <v>7.68</v>
      </c>
      <c r="AK221" s="19" t="s">
        <v>725</v>
      </c>
      <c r="AL221" s="19"/>
      <c r="AM221" s="19" t="s">
        <v>234</v>
      </c>
      <c r="AN221" s="19" t="s">
        <v>234</v>
      </c>
      <c r="AO221" s="19" t="s">
        <v>235</v>
      </c>
      <c r="AP221" s="94">
        <v>0.3</v>
      </c>
      <c r="AQ221" s="19" t="s">
        <v>101</v>
      </c>
      <c r="AR221" s="19" t="s">
        <v>241</v>
      </c>
      <c r="AS221" s="19"/>
      <c r="AT221" s="65" t="str">
        <f t="shared" si="59"/>
        <v>Y</v>
      </c>
      <c r="AU221" s="65" t="str">
        <f t="shared" si="63"/>
        <v>Y</v>
      </c>
      <c r="AV221" s="65" t="str">
        <f t="shared" si="54"/>
        <v>Y</v>
      </c>
      <c r="AW221" s="99"/>
      <c r="AX221" s="99"/>
      <c r="AY221" s="19"/>
      <c r="AZ221" s="96" t="str">
        <f t="shared" si="64"/>
        <v>LOEC</v>
      </c>
      <c r="BA221" s="96">
        <f>IF(AZ221="n","n",VLOOKUP(AZ221,'Conversion factors'!$C$4:$D$24,2,FALSE))</f>
        <v>2.5</v>
      </c>
      <c r="BB221" s="96">
        <f t="shared" si="65"/>
        <v>668</v>
      </c>
      <c r="BC221" s="97"/>
      <c r="BD221" s="96" t="str">
        <f t="shared" si="60"/>
        <v>Chronic</v>
      </c>
      <c r="BE221" s="96" t="str">
        <f t="shared" si="66"/>
        <v>y</v>
      </c>
      <c r="BF221" s="98" t="str">
        <f t="shared" si="61"/>
        <v>LOEC</v>
      </c>
      <c r="BG221" s="96" t="str">
        <f>IF(BF221="","",IF(ISNUMBER(VLOOKUP(BF221,'Conversion factors'!$B$35:$C$52,2,FALSE)),"y","n"))</f>
        <v>n</v>
      </c>
      <c r="BH221" s="99" t="s">
        <v>1466</v>
      </c>
    </row>
    <row r="222" spans="1:60" s="103" customFormat="1" ht="15.75" customHeight="1" x14ac:dyDescent="0.2">
      <c r="A222" s="18"/>
      <c r="B222" s="19">
        <v>253</v>
      </c>
      <c r="C222" s="19"/>
      <c r="D222" s="19">
        <v>84051</v>
      </c>
      <c r="E222" s="19" t="s">
        <v>1224</v>
      </c>
      <c r="F222" s="93">
        <v>2004</v>
      </c>
      <c r="G222" s="19" t="s">
        <v>711</v>
      </c>
      <c r="H222" s="19"/>
      <c r="I222" s="19" t="s">
        <v>41</v>
      </c>
      <c r="J222" s="19" t="s">
        <v>89</v>
      </c>
      <c r="K222" s="19" t="s">
        <v>161</v>
      </c>
      <c r="L222" s="19" t="s">
        <v>82</v>
      </c>
      <c r="M222" s="19" t="s">
        <v>82</v>
      </c>
      <c r="N222" s="19" t="s">
        <v>66</v>
      </c>
      <c r="O222" s="19" t="s">
        <v>160</v>
      </c>
      <c r="P222" s="19" t="s">
        <v>51</v>
      </c>
      <c r="Q222" s="19"/>
      <c r="R222" s="19" t="s">
        <v>81</v>
      </c>
      <c r="S222" s="19" t="s">
        <v>749</v>
      </c>
      <c r="T222" s="19" t="s">
        <v>55</v>
      </c>
      <c r="U222" s="19" t="s">
        <v>55</v>
      </c>
      <c r="V222" s="19" t="s">
        <v>78</v>
      </c>
      <c r="W222" s="19" t="s">
        <v>231</v>
      </c>
      <c r="X222" s="19" t="s">
        <v>46</v>
      </c>
      <c r="Y222" s="29"/>
      <c r="Z222" s="19"/>
      <c r="AA222" s="19"/>
      <c r="AB222" s="19" t="s">
        <v>765</v>
      </c>
      <c r="AC222" s="19" t="s">
        <v>214</v>
      </c>
      <c r="AD222" s="19"/>
      <c r="AE222" s="24">
        <f t="shared" si="67"/>
        <v>395.79661198600002</v>
      </c>
      <c r="AF222" s="24">
        <f t="shared" si="67"/>
        <v>395.79661198600002</v>
      </c>
      <c r="AG222" s="19" t="s">
        <v>1444</v>
      </c>
      <c r="AH222" s="19"/>
      <c r="AI222" s="19"/>
      <c r="AJ222" s="19">
        <v>7.68</v>
      </c>
      <c r="AK222" s="19" t="s">
        <v>725</v>
      </c>
      <c r="AL222" s="19"/>
      <c r="AM222" s="19" t="s">
        <v>234</v>
      </c>
      <c r="AN222" s="19" t="s">
        <v>234</v>
      </c>
      <c r="AO222" s="19" t="s">
        <v>235</v>
      </c>
      <c r="AP222" s="94">
        <v>0.3</v>
      </c>
      <c r="AQ222" s="19" t="s">
        <v>101</v>
      </c>
      <c r="AR222" s="19" t="s">
        <v>241</v>
      </c>
      <c r="AS222" s="19"/>
      <c r="AT222" s="65" t="str">
        <f t="shared" si="59"/>
        <v>Y</v>
      </c>
      <c r="AU222" s="65" t="str">
        <f t="shared" si="63"/>
        <v>Y</v>
      </c>
      <c r="AV222" s="65" t="str">
        <f t="shared" si="54"/>
        <v>Y</v>
      </c>
      <c r="AW222" s="99"/>
      <c r="AX222" s="99"/>
      <c r="AY222" s="19"/>
      <c r="AZ222" s="96" t="str">
        <f t="shared" si="64"/>
        <v>LOEC</v>
      </c>
      <c r="BA222" s="96">
        <f>IF(AZ222="n","n",VLOOKUP(AZ222,'Conversion factors'!$C$4:$D$24,2,FALSE))</f>
        <v>2.5</v>
      </c>
      <c r="BB222" s="96" t="e">
        <f t="shared" si="65"/>
        <v>#VALUE!</v>
      </c>
      <c r="BC222" s="97"/>
      <c r="BD222" s="96" t="str">
        <f t="shared" si="60"/>
        <v>Chronic</v>
      </c>
      <c r="BE222" s="96" t="str">
        <f t="shared" si="66"/>
        <v>y</v>
      </c>
      <c r="BF222" s="98" t="str">
        <f t="shared" si="61"/>
        <v>LOEC</v>
      </c>
      <c r="BG222" s="96" t="str">
        <f>IF(BF222="","",IF(ISNUMBER(VLOOKUP(BF222,'Conversion factors'!$B$35:$C$52,2,FALSE)),"y","n"))</f>
        <v>n</v>
      </c>
      <c r="BH222" s="99" t="s">
        <v>1464</v>
      </c>
    </row>
    <row r="223" spans="1:60" s="103" customFormat="1" ht="15.75" customHeight="1" x14ac:dyDescent="0.2">
      <c r="A223" s="18"/>
      <c r="B223" s="19">
        <v>253</v>
      </c>
      <c r="C223" s="19"/>
      <c r="D223" s="19">
        <v>84051</v>
      </c>
      <c r="E223" s="19" t="s">
        <v>1224</v>
      </c>
      <c r="F223" s="93">
        <v>2004</v>
      </c>
      <c r="G223" s="19" t="s">
        <v>711</v>
      </c>
      <c r="H223" s="19"/>
      <c r="I223" s="19" t="s">
        <v>41</v>
      </c>
      <c r="J223" s="19" t="s">
        <v>89</v>
      </c>
      <c r="K223" s="19" t="s">
        <v>161</v>
      </c>
      <c r="L223" s="19" t="s">
        <v>82</v>
      </c>
      <c r="M223" s="19" t="s">
        <v>82</v>
      </c>
      <c r="N223" s="19" t="s">
        <v>66</v>
      </c>
      <c r="O223" s="19" t="s">
        <v>160</v>
      </c>
      <c r="P223" s="19" t="s">
        <v>51</v>
      </c>
      <c r="Q223" s="19"/>
      <c r="R223" s="19" t="s">
        <v>237</v>
      </c>
      <c r="S223" s="19" t="s">
        <v>414</v>
      </c>
      <c r="T223" s="19" t="s">
        <v>54</v>
      </c>
      <c r="U223" s="19" t="s">
        <v>54</v>
      </c>
      <c r="V223" s="19" t="s">
        <v>78</v>
      </c>
      <c r="W223" s="19" t="s">
        <v>231</v>
      </c>
      <c r="X223" s="19" t="s">
        <v>46</v>
      </c>
      <c r="Y223" s="29"/>
      <c r="Z223" s="19"/>
      <c r="AA223" s="19"/>
      <c r="AB223" s="19" t="s">
        <v>779</v>
      </c>
      <c r="AC223" s="19" t="s">
        <v>214</v>
      </c>
      <c r="AD223" s="19"/>
      <c r="AE223" s="24">
        <f t="shared" si="67"/>
        <v>395.79661198600002</v>
      </c>
      <c r="AF223" s="24">
        <f t="shared" si="67"/>
        <v>395.79661198600002</v>
      </c>
      <c r="AG223" s="19" t="s">
        <v>1419</v>
      </c>
      <c r="AH223" s="19"/>
      <c r="AI223" s="19"/>
      <c r="AJ223" s="19">
        <v>7.68</v>
      </c>
      <c r="AK223" s="19" t="s">
        <v>725</v>
      </c>
      <c r="AL223" s="19"/>
      <c r="AM223" s="19"/>
      <c r="AN223" s="19" t="s">
        <v>234</v>
      </c>
      <c r="AO223" s="19" t="s">
        <v>235</v>
      </c>
      <c r="AP223" s="94">
        <v>0.3</v>
      </c>
      <c r="AQ223" s="19" t="s">
        <v>101</v>
      </c>
      <c r="AR223" s="19" t="s">
        <v>241</v>
      </c>
      <c r="AS223" s="19"/>
      <c r="AT223" s="65" t="str">
        <f t="shared" si="59"/>
        <v>Y</v>
      </c>
      <c r="AU223" s="65" t="str">
        <f t="shared" si="63"/>
        <v>Y</v>
      </c>
      <c r="AV223" s="65" t="str">
        <f t="shared" si="54"/>
        <v>Y</v>
      </c>
      <c r="AW223" s="99"/>
      <c r="AX223" s="99"/>
      <c r="AY223" s="19"/>
      <c r="AZ223" s="96" t="str">
        <f t="shared" si="64"/>
        <v>NOEC</v>
      </c>
      <c r="BA223" s="96">
        <f>IF(AZ223="n","n",VLOOKUP(AZ223,'Conversion factors'!$C$4:$D$24,2,FALSE))</f>
        <v>1</v>
      </c>
      <c r="BB223" s="96">
        <f t="shared" si="65"/>
        <v>786</v>
      </c>
      <c r="BC223" s="97"/>
      <c r="BD223" s="96" t="str">
        <f t="shared" si="60"/>
        <v>Chronic</v>
      </c>
      <c r="BE223" s="96" t="str">
        <f t="shared" si="66"/>
        <v>y</v>
      </c>
      <c r="BF223" s="98" t="str">
        <f t="shared" si="61"/>
        <v>NOEC</v>
      </c>
      <c r="BG223" s="96" t="str">
        <f>IF(BF223="","",IF(ISNUMBER(VLOOKUP(BF223,'Conversion factors'!$B$35:$C$52,2,FALSE)),"y","n"))</f>
        <v>y</v>
      </c>
      <c r="BH223" s="99" t="s">
        <v>1466</v>
      </c>
    </row>
    <row r="224" spans="1:60" s="103" customFormat="1" ht="15.75" customHeight="1" x14ac:dyDescent="0.2">
      <c r="A224" s="18"/>
      <c r="B224" s="19">
        <v>253</v>
      </c>
      <c r="C224" s="19"/>
      <c r="D224" s="19">
        <v>84051</v>
      </c>
      <c r="E224" s="19" t="s">
        <v>1224</v>
      </c>
      <c r="F224" s="93">
        <v>2004</v>
      </c>
      <c r="G224" s="19" t="s">
        <v>711</v>
      </c>
      <c r="H224" s="19"/>
      <c r="I224" s="19" t="s">
        <v>41</v>
      </c>
      <c r="J224" s="19" t="s">
        <v>89</v>
      </c>
      <c r="K224" s="19" t="s">
        <v>161</v>
      </c>
      <c r="L224" s="99" t="s">
        <v>82</v>
      </c>
      <c r="M224" s="19" t="s">
        <v>82</v>
      </c>
      <c r="N224" s="19" t="s">
        <v>66</v>
      </c>
      <c r="O224" s="19" t="s">
        <v>160</v>
      </c>
      <c r="P224" s="19" t="s">
        <v>51</v>
      </c>
      <c r="Q224" s="19"/>
      <c r="R224" s="19" t="s">
        <v>237</v>
      </c>
      <c r="S224" s="19" t="s">
        <v>79</v>
      </c>
      <c r="T224" s="19" t="s">
        <v>174</v>
      </c>
      <c r="U224" s="19" t="s">
        <v>49</v>
      </c>
      <c r="V224" s="19" t="s">
        <v>78</v>
      </c>
      <c r="W224" s="19" t="s">
        <v>231</v>
      </c>
      <c r="X224" s="19" t="s">
        <v>46</v>
      </c>
      <c r="Y224" s="29"/>
      <c r="Z224" s="19"/>
      <c r="AA224" s="19"/>
      <c r="AB224" s="19" t="s">
        <v>712</v>
      </c>
      <c r="AC224" s="19" t="s">
        <v>214</v>
      </c>
      <c r="AD224" s="19"/>
      <c r="AE224" s="24">
        <f t="shared" ref="AE224:AF228" si="68">0.221*40.078*2.497+0.227*24.305*4.118</f>
        <v>44.836497016000003</v>
      </c>
      <c r="AF224" s="24">
        <f t="shared" si="68"/>
        <v>44.836497016000003</v>
      </c>
      <c r="AG224" s="19" t="s">
        <v>1411</v>
      </c>
      <c r="AH224" s="19"/>
      <c r="AI224" s="19"/>
      <c r="AJ224" s="101">
        <v>7.73</v>
      </c>
      <c r="AK224" s="19" t="s">
        <v>713</v>
      </c>
      <c r="AL224" s="19"/>
      <c r="AM224" s="19"/>
      <c r="AN224" s="19" t="s">
        <v>234</v>
      </c>
      <c r="AO224" s="19" t="s">
        <v>235</v>
      </c>
      <c r="AP224" s="94">
        <v>0.3</v>
      </c>
      <c r="AQ224" s="19" t="s">
        <v>101</v>
      </c>
      <c r="AR224" s="19" t="s">
        <v>241</v>
      </c>
      <c r="AS224" s="19"/>
      <c r="AT224" s="65" t="str">
        <f t="shared" si="59"/>
        <v>Y</v>
      </c>
      <c r="AU224" s="65" t="str">
        <f t="shared" si="63"/>
        <v>Y</v>
      </c>
      <c r="AV224" s="65" t="s">
        <v>162</v>
      </c>
      <c r="AW224" s="99" t="s">
        <v>1594</v>
      </c>
      <c r="AX224" s="99"/>
      <c r="AY224" s="19"/>
      <c r="AZ224" s="96" t="str">
        <f t="shared" si="64"/>
        <v>n</v>
      </c>
      <c r="BA224" s="96" t="str">
        <f>IF(AZ224="n","n",VLOOKUP(AZ224,'Conversion factors'!$C$4:$D$24,2,FALSE))</f>
        <v>n</v>
      </c>
      <c r="BB224" s="96" t="str">
        <f t="shared" si="65"/>
        <v>n</v>
      </c>
      <c r="BC224" s="97"/>
      <c r="BD224" s="96" t="str">
        <f t="shared" si="60"/>
        <v>n</v>
      </c>
      <c r="BE224" s="96" t="str">
        <f t="shared" si="66"/>
        <v>n</v>
      </c>
      <c r="BF224" s="98" t="str">
        <f t="shared" si="61"/>
        <v/>
      </c>
      <c r="BG224" s="96" t="str">
        <f>IF(BF224="","",IF(ISNUMBER(VLOOKUP(BF224,'Conversion factors'!$B$35:$C$52,2,FALSE)),"y","n"))</f>
        <v/>
      </c>
      <c r="BH224" s="99" t="s">
        <v>1594</v>
      </c>
    </row>
    <row r="225" spans="1:60" s="103" customFormat="1" ht="15.75" customHeight="1" x14ac:dyDescent="0.2">
      <c r="A225" s="18"/>
      <c r="B225" s="19">
        <v>253</v>
      </c>
      <c r="C225" s="19"/>
      <c r="D225" s="19">
        <v>84051</v>
      </c>
      <c r="E225" s="19" t="s">
        <v>1224</v>
      </c>
      <c r="F225" s="93">
        <v>2004</v>
      </c>
      <c r="G225" s="19" t="s">
        <v>711</v>
      </c>
      <c r="H225" s="19"/>
      <c r="I225" s="19" t="s">
        <v>41</v>
      </c>
      <c r="J225" s="19" t="s">
        <v>89</v>
      </c>
      <c r="K225" s="19" t="s">
        <v>161</v>
      </c>
      <c r="L225" s="19" t="s">
        <v>82</v>
      </c>
      <c r="M225" s="19" t="s">
        <v>82</v>
      </c>
      <c r="N225" s="19" t="s">
        <v>66</v>
      </c>
      <c r="O225" s="19" t="s">
        <v>160</v>
      </c>
      <c r="P225" s="19" t="s">
        <v>51</v>
      </c>
      <c r="Q225" s="19"/>
      <c r="R225" s="19" t="s">
        <v>237</v>
      </c>
      <c r="S225" s="19" t="s">
        <v>79</v>
      </c>
      <c r="T225" s="19" t="s">
        <v>56</v>
      </c>
      <c r="U225" s="19" t="s">
        <v>44</v>
      </c>
      <c r="V225" s="19" t="s">
        <v>78</v>
      </c>
      <c r="W225" s="19" t="s">
        <v>231</v>
      </c>
      <c r="X225" s="19" t="s">
        <v>46</v>
      </c>
      <c r="Y225" s="29"/>
      <c r="Z225" s="19"/>
      <c r="AA225" s="19"/>
      <c r="AB225" s="19" t="s">
        <v>738</v>
      </c>
      <c r="AC225" s="19" t="s">
        <v>214</v>
      </c>
      <c r="AD225" s="19"/>
      <c r="AE225" s="24">
        <f t="shared" si="68"/>
        <v>44.836497016000003</v>
      </c>
      <c r="AF225" s="24">
        <f t="shared" si="68"/>
        <v>44.836497016000003</v>
      </c>
      <c r="AG225" s="19" t="s">
        <v>1420</v>
      </c>
      <c r="AH225" s="19"/>
      <c r="AI225" s="19"/>
      <c r="AJ225" s="19">
        <v>7.73</v>
      </c>
      <c r="AK225" s="19" t="s">
        <v>713</v>
      </c>
      <c r="AL225" s="19"/>
      <c r="AM225" s="19" t="s">
        <v>234</v>
      </c>
      <c r="AN225" s="19" t="s">
        <v>234</v>
      </c>
      <c r="AO225" s="19" t="s">
        <v>235</v>
      </c>
      <c r="AP225" s="94">
        <v>0.3</v>
      </c>
      <c r="AQ225" s="19" t="s">
        <v>101</v>
      </c>
      <c r="AR225" s="19" t="s">
        <v>241</v>
      </c>
      <c r="AS225" s="19"/>
      <c r="AT225" s="65" t="str">
        <f t="shared" si="59"/>
        <v>Y</v>
      </c>
      <c r="AU225" s="65" t="str">
        <f t="shared" si="63"/>
        <v>Y</v>
      </c>
      <c r="AV225" s="65" t="str">
        <f t="shared" si="54"/>
        <v>Y</v>
      </c>
      <c r="AW225" s="99"/>
      <c r="AX225" s="99"/>
      <c r="AY225" s="19"/>
      <c r="AZ225" s="96" t="str">
        <f t="shared" si="64"/>
        <v>LC50</v>
      </c>
      <c r="BA225" s="96">
        <f>IF(AZ225="n","n",VLOOKUP(AZ225,'Conversion factors'!$C$4:$D$24,2,FALSE))</f>
        <v>5</v>
      </c>
      <c r="BB225" s="96">
        <f t="shared" si="65"/>
        <v>30.2</v>
      </c>
      <c r="BC225" s="97"/>
      <c r="BD225" s="96" t="str">
        <f t="shared" si="60"/>
        <v>Chronic</v>
      </c>
      <c r="BE225" s="96" t="str">
        <f t="shared" si="66"/>
        <v>y</v>
      </c>
      <c r="BF225" s="98" t="str">
        <f t="shared" si="61"/>
        <v>LC50</v>
      </c>
      <c r="BG225" s="96" t="str">
        <f>IF(BF225="","",IF(ISNUMBER(VLOOKUP(BF225,'Conversion factors'!$B$35:$C$52,2,FALSE)),"y","n"))</f>
        <v>n</v>
      </c>
      <c r="BH225" s="99" t="s">
        <v>1466</v>
      </c>
    </row>
    <row r="226" spans="1:60" s="103" customFormat="1" ht="15.75" customHeight="1" x14ac:dyDescent="0.2">
      <c r="A226" s="18"/>
      <c r="B226" s="19">
        <v>253</v>
      </c>
      <c r="C226" s="19"/>
      <c r="D226" s="19">
        <v>84051</v>
      </c>
      <c r="E226" s="19" t="s">
        <v>1224</v>
      </c>
      <c r="F226" s="93">
        <v>2004</v>
      </c>
      <c r="G226" s="19" t="s">
        <v>711</v>
      </c>
      <c r="H226" s="19"/>
      <c r="I226" s="19" t="s">
        <v>41</v>
      </c>
      <c r="J226" s="19" t="s">
        <v>89</v>
      </c>
      <c r="K226" s="19" t="s">
        <v>161</v>
      </c>
      <c r="L226" s="19" t="s">
        <v>82</v>
      </c>
      <c r="M226" s="19" t="s">
        <v>82</v>
      </c>
      <c r="N226" s="19" t="s">
        <v>66</v>
      </c>
      <c r="O226" s="19" t="s">
        <v>160</v>
      </c>
      <c r="P226" s="19" t="s">
        <v>51</v>
      </c>
      <c r="Q226" s="19"/>
      <c r="R226" s="19" t="s">
        <v>237</v>
      </c>
      <c r="S226" s="19" t="s">
        <v>414</v>
      </c>
      <c r="T226" s="19" t="s">
        <v>55</v>
      </c>
      <c r="U226" s="19" t="s">
        <v>55</v>
      </c>
      <c r="V226" s="19" t="s">
        <v>78</v>
      </c>
      <c r="W226" s="19" t="s">
        <v>231</v>
      </c>
      <c r="X226" s="19" t="s">
        <v>46</v>
      </c>
      <c r="Y226" s="29"/>
      <c r="Z226" s="19"/>
      <c r="AA226" s="19"/>
      <c r="AB226" s="19" t="s">
        <v>692</v>
      </c>
      <c r="AC226" s="19" t="s">
        <v>214</v>
      </c>
      <c r="AD226" s="19"/>
      <c r="AE226" s="24">
        <f t="shared" si="68"/>
        <v>44.836497016000003</v>
      </c>
      <c r="AF226" s="24">
        <f t="shared" si="68"/>
        <v>44.836497016000003</v>
      </c>
      <c r="AG226" s="19" t="s">
        <v>1421</v>
      </c>
      <c r="AH226" s="19"/>
      <c r="AI226" s="19"/>
      <c r="AJ226" s="19">
        <v>7.73</v>
      </c>
      <c r="AK226" s="19" t="s">
        <v>713</v>
      </c>
      <c r="AL226" s="19"/>
      <c r="AM226" s="19" t="s">
        <v>234</v>
      </c>
      <c r="AN226" s="19" t="s">
        <v>234</v>
      </c>
      <c r="AO226" s="19" t="s">
        <v>235</v>
      </c>
      <c r="AP226" s="94">
        <v>0.3</v>
      </c>
      <c r="AQ226" s="19" t="s">
        <v>101</v>
      </c>
      <c r="AR226" s="19" t="s">
        <v>241</v>
      </c>
      <c r="AS226" s="19"/>
      <c r="AT226" s="65" t="str">
        <f t="shared" si="59"/>
        <v>Y</v>
      </c>
      <c r="AU226" s="65" t="str">
        <f t="shared" si="63"/>
        <v>Y</v>
      </c>
      <c r="AV226" s="65" t="str">
        <f t="shared" si="54"/>
        <v>Y</v>
      </c>
      <c r="AW226" s="99"/>
      <c r="AX226" s="99"/>
      <c r="AY226" s="19"/>
      <c r="AZ226" s="96" t="str">
        <f t="shared" si="64"/>
        <v>LOEC</v>
      </c>
      <c r="BA226" s="96">
        <f>IF(AZ226="n","n",VLOOKUP(AZ226,'Conversion factors'!$C$4:$D$24,2,FALSE))</f>
        <v>2.5</v>
      </c>
      <c r="BB226" s="96">
        <f t="shared" si="65"/>
        <v>69.2</v>
      </c>
      <c r="BC226" s="97"/>
      <c r="BD226" s="96" t="str">
        <f t="shared" si="60"/>
        <v>Chronic</v>
      </c>
      <c r="BE226" s="96" t="str">
        <f t="shared" si="66"/>
        <v>y</v>
      </c>
      <c r="BF226" s="98" t="str">
        <f t="shared" si="61"/>
        <v>LOEC</v>
      </c>
      <c r="BG226" s="96" t="str">
        <f>IF(BF226="","",IF(ISNUMBER(VLOOKUP(BF226,'Conversion factors'!$B$35:$C$52,2,FALSE)),"y","n"))</f>
        <v>n</v>
      </c>
      <c r="BH226" s="99" t="s">
        <v>1466</v>
      </c>
    </row>
    <row r="227" spans="1:60" s="103" customFormat="1" ht="15.75" customHeight="1" x14ac:dyDescent="0.2">
      <c r="A227" s="18"/>
      <c r="B227" s="19">
        <v>253</v>
      </c>
      <c r="C227" s="19"/>
      <c r="D227" s="19">
        <v>84051</v>
      </c>
      <c r="E227" s="19" t="s">
        <v>1224</v>
      </c>
      <c r="F227" s="93">
        <v>2004</v>
      </c>
      <c r="G227" s="19" t="s">
        <v>711</v>
      </c>
      <c r="H227" s="19"/>
      <c r="I227" s="19" t="s">
        <v>41</v>
      </c>
      <c r="J227" s="19" t="s">
        <v>89</v>
      </c>
      <c r="K227" s="19" t="s">
        <v>161</v>
      </c>
      <c r="L227" s="19" t="s">
        <v>82</v>
      </c>
      <c r="M227" s="19" t="s">
        <v>82</v>
      </c>
      <c r="N227" s="19" t="s">
        <v>66</v>
      </c>
      <c r="O227" s="19" t="s">
        <v>160</v>
      </c>
      <c r="P227" s="19" t="s">
        <v>51</v>
      </c>
      <c r="Q227" s="19"/>
      <c r="R227" s="19" t="s">
        <v>81</v>
      </c>
      <c r="S227" s="19" t="s">
        <v>749</v>
      </c>
      <c r="T227" s="19" t="s">
        <v>55</v>
      </c>
      <c r="U227" s="19" t="s">
        <v>55</v>
      </c>
      <c r="V227" s="19" t="s">
        <v>78</v>
      </c>
      <c r="W227" s="19" t="s">
        <v>231</v>
      </c>
      <c r="X227" s="19" t="s">
        <v>46</v>
      </c>
      <c r="Y227" s="29"/>
      <c r="Z227" s="19"/>
      <c r="AA227" s="19"/>
      <c r="AB227" s="19" t="s">
        <v>768</v>
      </c>
      <c r="AC227" s="19" t="s">
        <v>214</v>
      </c>
      <c r="AD227" s="19"/>
      <c r="AE227" s="24">
        <f t="shared" si="68"/>
        <v>44.836497016000003</v>
      </c>
      <c r="AF227" s="24">
        <f t="shared" si="68"/>
        <v>44.836497016000003</v>
      </c>
      <c r="AG227" s="19" t="s">
        <v>1447</v>
      </c>
      <c r="AH227" s="19"/>
      <c r="AI227" s="19"/>
      <c r="AJ227" s="19">
        <v>7.73</v>
      </c>
      <c r="AK227" s="19" t="s">
        <v>713</v>
      </c>
      <c r="AL227" s="19"/>
      <c r="AM227" s="19" t="s">
        <v>234</v>
      </c>
      <c r="AN227" s="19" t="s">
        <v>234</v>
      </c>
      <c r="AO227" s="19" t="s">
        <v>235</v>
      </c>
      <c r="AP227" s="94">
        <v>0.3</v>
      </c>
      <c r="AQ227" s="19" t="s">
        <v>101</v>
      </c>
      <c r="AR227" s="19" t="s">
        <v>241</v>
      </c>
      <c r="AS227" s="19"/>
      <c r="AT227" s="65" t="str">
        <f t="shared" si="59"/>
        <v>Y</v>
      </c>
      <c r="AU227" s="65" t="str">
        <f t="shared" si="63"/>
        <v>Y</v>
      </c>
      <c r="AV227" s="65" t="str">
        <f t="shared" si="54"/>
        <v>Y</v>
      </c>
      <c r="AW227" s="99"/>
      <c r="AX227" s="99"/>
      <c r="AY227" s="19"/>
      <c r="AZ227" s="96" t="str">
        <f t="shared" si="64"/>
        <v>LOEC</v>
      </c>
      <c r="BA227" s="96">
        <f>IF(AZ227="n","n",VLOOKUP(AZ227,'Conversion factors'!$C$4:$D$24,2,FALSE))</f>
        <v>2.5</v>
      </c>
      <c r="BB227" s="96" t="e">
        <f t="shared" si="65"/>
        <v>#VALUE!</v>
      </c>
      <c r="BC227" s="97"/>
      <c r="BD227" s="96" t="str">
        <f t="shared" si="60"/>
        <v>Chronic</v>
      </c>
      <c r="BE227" s="96" t="str">
        <f t="shared" si="66"/>
        <v>y</v>
      </c>
      <c r="BF227" s="98" t="str">
        <f t="shared" si="61"/>
        <v>LOEC</v>
      </c>
      <c r="BG227" s="96" t="str">
        <f>IF(BF227="","",IF(ISNUMBER(VLOOKUP(BF227,'Conversion factors'!$B$35:$C$52,2,FALSE)),"y","n"))</f>
        <v>n</v>
      </c>
      <c r="BH227" s="99" t="s">
        <v>1466</v>
      </c>
    </row>
    <row r="228" spans="1:60" s="103" customFormat="1" ht="15.75" customHeight="1" x14ac:dyDescent="0.2">
      <c r="A228" s="18"/>
      <c r="B228" s="19">
        <v>253</v>
      </c>
      <c r="C228" s="19"/>
      <c r="D228" s="19">
        <v>84051</v>
      </c>
      <c r="E228" s="19" t="s">
        <v>1224</v>
      </c>
      <c r="F228" s="93">
        <v>2004</v>
      </c>
      <c r="G228" s="19" t="s">
        <v>711</v>
      </c>
      <c r="H228" s="19"/>
      <c r="I228" s="19" t="s">
        <v>41</v>
      </c>
      <c r="J228" s="19" t="s">
        <v>89</v>
      </c>
      <c r="K228" s="19" t="s">
        <v>161</v>
      </c>
      <c r="L228" s="19" t="s">
        <v>82</v>
      </c>
      <c r="M228" s="19" t="s">
        <v>82</v>
      </c>
      <c r="N228" s="19" t="s">
        <v>66</v>
      </c>
      <c r="O228" s="19" t="s">
        <v>160</v>
      </c>
      <c r="P228" s="19" t="s">
        <v>51</v>
      </c>
      <c r="Q228" s="19"/>
      <c r="R228" s="19" t="s">
        <v>237</v>
      </c>
      <c r="S228" s="19" t="s">
        <v>414</v>
      </c>
      <c r="T228" s="19" t="s">
        <v>54</v>
      </c>
      <c r="U228" s="19" t="s">
        <v>54</v>
      </c>
      <c r="V228" s="19" t="s">
        <v>78</v>
      </c>
      <c r="W228" s="19" t="s">
        <v>231</v>
      </c>
      <c r="X228" s="19" t="s">
        <v>46</v>
      </c>
      <c r="Y228" s="29"/>
      <c r="Z228" s="19"/>
      <c r="AA228" s="19"/>
      <c r="AB228" s="19" t="s">
        <v>777</v>
      </c>
      <c r="AC228" s="19" t="s">
        <v>214</v>
      </c>
      <c r="AD228" s="19"/>
      <c r="AE228" s="24">
        <f t="shared" si="68"/>
        <v>44.836497016000003</v>
      </c>
      <c r="AF228" s="24">
        <f t="shared" si="68"/>
        <v>44.836497016000003</v>
      </c>
      <c r="AG228" s="19" t="s">
        <v>1422</v>
      </c>
      <c r="AH228" s="19"/>
      <c r="AI228" s="19"/>
      <c r="AJ228" s="19">
        <v>7.73</v>
      </c>
      <c r="AK228" s="19" t="s">
        <v>713</v>
      </c>
      <c r="AL228" s="19"/>
      <c r="AM228" s="19"/>
      <c r="AN228" s="19" t="s">
        <v>234</v>
      </c>
      <c r="AO228" s="19" t="s">
        <v>235</v>
      </c>
      <c r="AP228" s="94">
        <v>0.3</v>
      </c>
      <c r="AQ228" s="19" t="s">
        <v>101</v>
      </c>
      <c r="AR228" s="19" t="s">
        <v>241</v>
      </c>
      <c r="AS228" s="19"/>
      <c r="AT228" s="65" t="str">
        <f t="shared" si="59"/>
        <v>Y</v>
      </c>
      <c r="AU228" s="65" t="str">
        <f t="shared" si="63"/>
        <v>Y</v>
      </c>
      <c r="AV228" s="65" t="str">
        <f t="shared" si="54"/>
        <v>Y</v>
      </c>
      <c r="AW228" s="99"/>
      <c r="AX228" s="99"/>
      <c r="AY228" s="19"/>
      <c r="AZ228" s="96" t="str">
        <f t="shared" si="64"/>
        <v>NOEC</v>
      </c>
      <c r="BA228" s="96">
        <f>IF(AZ228="n","n",VLOOKUP(AZ228,'Conversion factors'!$C$4:$D$24,2,FALSE))</f>
        <v>1</v>
      </c>
      <c r="BB228" s="96">
        <f t="shared" si="65"/>
        <v>45.4</v>
      </c>
      <c r="BC228" s="97"/>
      <c r="BD228" s="96" t="str">
        <f t="shared" si="60"/>
        <v>Chronic</v>
      </c>
      <c r="BE228" s="96" t="str">
        <f t="shared" si="66"/>
        <v>y</v>
      </c>
      <c r="BF228" s="98" t="str">
        <f t="shared" si="61"/>
        <v>NOEC</v>
      </c>
      <c r="BG228" s="96" t="str">
        <f>IF(BF228="","",IF(ISNUMBER(VLOOKUP(BF228,'Conversion factors'!$B$35:$C$52,2,FALSE)),"y","n"))</f>
        <v>y</v>
      </c>
      <c r="BH228" s="99" t="s">
        <v>1466</v>
      </c>
    </row>
    <row r="229" spans="1:60" s="103" customFormat="1" ht="15.75" customHeight="1" x14ac:dyDescent="0.2">
      <c r="A229" s="18"/>
      <c r="B229" s="19">
        <v>253</v>
      </c>
      <c r="C229" s="19"/>
      <c r="D229" s="19">
        <v>84051</v>
      </c>
      <c r="E229" s="19" t="s">
        <v>1224</v>
      </c>
      <c r="F229" s="93">
        <v>2004</v>
      </c>
      <c r="G229" s="19" t="s">
        <v>711</v>
      </c>
      <c r="H229" s="19"/>
      <c r="I229" s="19" t="s">
        <v>41</v>
      </c>
      <c r="J229" s="19" t="s">
        <v>89</v>
      </c>
      <c r="K229" s="19" t="s">
        <v>161</v>
      </c>
      <c r="L229" s="99" t="s">
        <v>82</v>
      </c>
      <c r="M229" s="19" t="s">
        <v>82</v>
      </c>
      <c r="N229" s="19" t="s">
        <v>66</v>
      </c>
      <c r="O229" s="19" t="s">
        <v>160</v>
      </c>
      <c r="P229" s="19" t="s">
        <v>51</v>
      </c>
      <c r="Q229" s="19"/>
      <c r="R229" s="19" t="s">
        <v>237</v>
      </c>
      <c r="S229" s="19" t="s">
        <v>79</v>
      </c>
      <c r="T229" s="19" t="s">
        <v>174</v>
      </c>
      <c r="U229" s="19" t="s">
        <v>49</v>
      </c>
      <c r="V229" s="19" t="s">
        <v>78</v>
      </c>
      <c r="W229" s="19" t="s">
        <v>231</v>
      </c>
      <c r="X229" s="19" t="s">
        <v>46</v>
      </c>
      <c r="Y229" s="29"/>
      <c r="Z229" s="19"/>
      <c r="AA229" s="19"/>
      <c r="AB229" s="19" t="s">
        <v>307</v>
      </c>
      <c r="AC229" s="19" t="s">
        <v>214</v>
      </c>
      <c r="AD229" s="19"/>
      <c r="AE229" s="24">
        <f t="shared" ref="AE229:AF233" si="69">0.241*40.078*2.497+1.152*24.305*4.118</f>
        <v>139.41938308599998</v>
      </c>
      <c r="AF229" s="24">
        <f t="shared" si="69"/>
        <v>139.41938308599998</v>
      </c>
      <c r="AG229" s="19" t="s">
        <v>1423</v>
      </c>
      <c r="AH229" s="19"/>
      <c r="AI229" s="19"/>
      <c r="AJ229" s="101">
        <v>7.74</v>
      </c>
      <c r="AK229" s="19" t="s">
        <v>728</v>
      </c>
      <c r="AL229" s="19"/>
      <c r="AM229" s="19"/>
      <c r="AN229" s="19" t="s">
        <v>234</v>
      </c>
      <c r="AO229" s="19" t="s">
        <v>235</v>
      </c>
      <c r="AP229" s="94">
        <v>0.3</v>
      </c>
      <c r="AQ229" s="19" t="s">
        <v>101</v>
      </c>
      <c r="AR229" s="19" t="s">
        <v>241</v>
      </c>
      <c r="AS229" s="19"/>
      <c r="AT229" s="65" t="str">
        <f t="shared" si="59"/>
        <v>Y</v>
      </c>
      <c r="AU229" s="65" t="str">
        <f t="shared" si="63"/>
        <v>Y</v>
      </c>
      <c r="AV229" s="65" t="s">
        <v>162</v>
      </c>
      <c r="AW229" s="99" t="s">
        <v>1594</v>
      </c>
      <c r="AX229" s="99"/>
      <c r="AY229" s="19"/>
      <c r="AZ229" s="96" t="str">
        <f t="shared" si="64"/>
        <v>n</v>
      </c>
      <c r="BA229" s="96" t="str">
        <f>IF(AZ229="n","n",VLOOKUP(AZ229,'Conversion factors'!$C$4:$D$24,2,FALSE))</f>
        <v>n</v>
      </c>
      <c r="BB229" s="96" t="str">
        <f t="shared" si="65"/>
        <v>n</v>
      </c>
      <c r="BC229" s="97"/>
      <c r="BD229" s="96" t="str">
        <f t="shared" si="60"/>
        <v>n</v>
      </c>
      <c r="BE229" s="96" t="str">
        <f t="shared" si="66"/>
        <v>n</v>
      </c>
      <c r="BF229" s="98" t="str">
        <f t="shared" si="61"/>
        <v/>
      </c>
      <c r="BG229" s="96" t="str">
        <f>IF(BF229="","",IF(ISNUMBER(VLOOKUP(BF229,'Conversion factors'!$B$35:$C$52,2,FALSE)),"y","n"))</f>
        <v/>
      </c>
      <c r="BH229" s="99" t="s">
        <v>1594</v>
      </c>
    </row>
    <row r="230" spans="1:60" s="103" customFormat="1" ht="15.75" customHeight="1" x14ac:dyDescent="0.2">
      <c r="A230" s="18"/>
      <c r="B230" s="19">
        <v>253</v>
      </c>
      <c r="C230" s="19"/>
      <c r="D230" s="19">
        <v>84051</v>
      </c>
      <c r="E230" s="19" t="s">
        <v>1224</v>
      </c>
      <c r="F230" s="93">
        <v>2004</v>
      </c>
      <c r="G230" s="19" t="s">
        <v>711</v>
      </c>
      <c r="H230" s="19"/>
      <c r="I230" s="19" t="s">
        <v>41</v>
      </c>
      <c r="J230" s="19" t="s">
        <v>89</v>
      </c>
      <c r="K230" s="19" t="s">
        <v>161</v>
      </c>
      <c r="L230" s="19" t="s">
        <v>82</v>
      </c>
      <c r="M230" s="19" t="s">
        <v>82</v>
      </c>
      <c r="N230" s="19" t="s">
        <v>66</v>
      </c>
      <c r="O230" s="19" t="s">
        <v>160</v>
      </c>
      <c r="P230" s="19" t="s">
        <v>51</v>
      </c>
      <c r="Q230" s="19"/>
      <c r="R230" s="19" t="s">
        <v>237</v>
      </c>
      <c r="S230" s="19" t="s">
        <v>79</v>
      </c>
      <c r="T230" s="19" t="s">
        <v>56</v>
      </c>
      <c r="U230" s="19" t="s">
        <v>44</v>
      </c>
      <c r="V230" s="19" t="s">
        <v>78</v>
      </c>
      <c r="W230" s="19" t="s">
        <v>231</v>
      </c>
      <c r="X230" s="19" t="s">
        <v>46</v>
      </c>
      <c r="Y230" s="29"/>
      <c r="Z230" s="19"/>
      <c r="AA230" s="19"/>
      <c r="AB230" s="19" t="s">
        <v>742</v>
      </c>
      <c r="AC230" s="19" t="s">
        <v>214</v>
      </c>
      <c r="AD230" s="19"/>
      <c r="AE230" s="24">
        <f t="shared" si="69"/>
        <v>139.41938308599998</v>
      </c>
      <c r="AF230" s="24">
        <f t="shared" si="69"/>
        <v>139.41938308599998</v>
      </c>
      <c r="AG230" s="19" t="s">
        <v>1424</v>
      </c>
      <c r="AH230" s="19"/>
      <c r="AI230" s="19"/>
      <c r="AJ230" s="19">
        <v>7.74</v>
      </c>
      <c r="AK230" s="19" t="s">
        <v>728</v>
      </c>
      <c r="AL230" s="19"/>
      <c r="AM230" s="19" t="s">
        <v>234</v>
      </c>
      <c r="AN230" s="19" t="s">
        <v>234</v>
      </c>
      <c r="AO230" s="19" t="s">
        <v>235</v>
      </c>
      <c r="AP230" s="94">
        <v>0.3</v>
      </c>
      <c r="AQ230" s="19" t="s">
        <v>101</v>
      </c>
      <c r="AR230" s="19" t="s">
        <v>241</v>
      </c>
      <c r="AS230" s="19"/>
      <c r="AT230" s="65" t="str">
        <f t="shared" si="59"/>
        <v>Y</v>
      </c>
      <c r="AU230" s="65" t="str">
        <f t="shared" si="63"/>
        <v>Y</v>
      </c>
      <c r="AV230" s="65" t="str">
        <f t="shared" si="54"/>
        <v>Y</v>
      </c>
      <c r="AW230" s="99"/>
      <c r="AX230" s="99"/>
      <c r="AY230" s="19"/>
      <c r="AZ230" s="96" t="str">
        <f t="shared" si="64"/>
        <v>LC50</v>
      </c>
      <c r="BA230" s="96">
        <f>IF(AZ230="n","n",VLOOKUP(AZ230,'Conversion factors'!$C$4:$D$24,2,FALSE))</f>
        <v>5</v>
      </c>
      <c r="BB230" s="96">
        <f t="shared" si="65"/>
        <v>42.4</v>
      </c>
      <c r="BC230" s="97"/>
      <c r="BD230" s="96" t="str">
        <f t="shared" si="60"/>
        <v>Chronic</v>
      </c>
      <c r="BE230" s="96" t="str">
        <f t="shared" si="66"/>
        <v>y</v>
      </c>
      <c r="BF230" s="98" t="str">
        <f t="shared" si="61"/>
        <v>LC50</v>
      </c>
      <c r="BG230" s="96" t="str">
        <f>IF(BF230="","",IF(ISNUMBER(VLOOKUP(BF230,'Conversion factors'!$B$35:$C$52,2,FALSE)),"y","n"))</f>
        <v>n</v>
      </c>
      <c r="BH230" s="99" t="s">
        <v>1466</v>
      </c>
    </row>
    <row r="231" spans="1:60" s="103" customFormat="1" ht="15.75" customHeight="1" x14ac:dyDescent="0.2">
      <c r="A231" s="18"/>
      <c r="B231" s="19">
        <v>253</v>
      </c>
      <c r="C231" s="19"/>
      <c r="D231" s="19">
        <v>84051</v>
      </c>
      <c r="E231" s="19" t="s">
        <v>1224</v>
      </c>
      <c r="F231" s="93">
        <v>2004</v>
      </c>
      <c r="G231" s="19" t="s">
        <v>711</v>
      </c>
      <c r="H231" s="19"/>
      <c r="I231" s="19" t="s">
        <v>41</v>
      </c>
      <c r="J231" s="19" t="s">
        <v>89</v>
      </c>
      <c r="K231" s="19" t="s">
        <v>161</v>
      </c>
      <c r="L231" s="19" t="s">
        <v>82</v>
      </c>
      <c r="M231" s="19" t="s">
        <v>82</v>
      </c>
      <c r="N231" s="19" t="s">
        <v>66</v>
      </c>
      <c r="O231" s="19" t="s">
        <v>160</v>
      </c>
      <c r="P231" s="19" t="s">
        <v>51</v>
      </c>
      <c r="Q231" s="19"/>
      <c r="R231" s="19" t="s">
        <v>237</v>
      </c>
      <c r="S231" s="19" t="s">
        <v>414</v>
      </c>
      <c r="T231" s="19" t="s">
        <v>55</v>
      </c>
      <c r="U231" s="19" t="s">
        <v>55</v>
      </c>
      <c r="V231" s="19" t="s">
        <v>78</v>
      </c>
      <c r="W231" s="19" t="s">
        <v>231</v>
      </c>
      <c r="X231" s="19" t="s">
        <v>46</v>
      </c>
      <c r="Y231" s="29"/>
      <c r="Z231" s="19"/>
      <c r="AA231" s="19"/>
      <c r="AB231" s="19" t="s">
        <v>757</v>
      </c>
      <c r="AC231" s="19" t="s">
        <v>214</v>
      </c>
      <c r="AD231" s="19"/>
      <c r="AE231" s="24">
        <f t="shared" si="69"/>
        <v>139.41938308599998</v>
      </c>
      <c r="AF231" s="24">
        <f t="shared" si="69"/>
        <v>139.41938308599998</v>
      </c>
      <c r="AG231" s="19" t="s">
        <v>1425</v>
      </c>
      <c r="AH231" s="19"/>
      <c r="AI231" s="19"/>
      <c r="AJ231" s="19">
        <v>7.74</v>
      </c>
      <c r="AK231" s="19" t="s">
        <v>728</v>
      </c>
      <c r="AL231" s="19"/>
      <c r="AM231" s="19" t="s">
        <v>234</v>
      </c>
      <c r="AN231" s="19" t="s">
        <v>234</v>
      </c>
      <c r="AO231" s="19" t="s">
        <v>235</v>
      </c>
      <c r="AP231" s="94">
        <v>0.3</v>
      </c>
      <c r="AQ231" s="19" t="s">
        <v>101</v>
      </c>
      <c r="AR231" s="19" t="s">
        <v>241</v>
      </c>
      <c r="AS231" s="19"/>
      <c r="AT231" s="65" t="str">
        <f t="shared" si="59"/>
        <v>Y</v>
      </c>
      <c r="AU231" s="65" t="str">
        <f t="shared" si="63"/>
        <v>Y</v>
      </c>
      <c r="AV231" s="65" t="str">
        <f t="shared" si="54"/>
        <v>Y</v>
      </c>
      <c r="AW231" s="99"/>
      <c r="AX231" s="99"/>
      <c r="AY231" s="19"/>
      <c r="AZ231" s="96" t="str">
        <f t="shared" si="64"/>
        <v>LOEC</v>
      </c>
      <c r="BA231" s="96">
        <f>IF(AZ231="n","n",VLOOKUP(AZ231,'Conversion factors'!$C$4:$D$24,2,FALSE))</f>
        <v>2.5</v>
      </c>
      <c r="BB231" s="96">
        <f t="shared" si="65"/>
        <v>135.19999999999999</v>
      </c>
      <c r="BC231" s="97"/>
      <c r="BD231" s="96" t="str">
        <f t="shared" si="60"/>
        <v>Chronic</v>
      </c>
      <c r="BE231" s="96" t="str">
        <f t="shared" si="66"/>
        <v>y</v>
      </c>
      <c r="BF231" s="98" t="str">
        <f t="shared" si="61"/>
        <v>LOEC</v>
      </c>
      <c r="BG231" s="96" t="str">
        <f>IF(BF231="","",IF(ISNUMBER(VLOOKUP(BF231,'Conversion factors'!$B$35:$C$52,2,FALSE)),"y","n"))</f>
        <v>n</v>
      </c>
      <c r="BH231" s="99" t="s">
        <v>1466</v>
      </c>
    </row>
    <row r="232" spans="1:60" s="103" customFormat="1" ht="15.75" customHeight="1" x14ac:dyDescent="0.2">
      <c r="A232" s="18"/>
      <c r="B232" s="19">
        <v>253</v>
      </c>
      <c r="C232" s="19"/>
      <c r="D232" s="19">
        <v>84051</v>
      </c>
      <c r="E232" s="19" t="s">
        <v>1224</v>
      </c>
      <c r="F232" s="93">
        <v>2004</v>
      </c>
      <c r="G232" s="19" t="s">
        <v>711</v>
      </c>
      <c r="H232" s="19"/>
      <c r="I232" s="19" t="s">
        <v>41</v>
      </c>
      <c r="J232" s="19" t="s">
        <v>89</v>
      </c>
      <c r="K232" s="19" t="s">
        <v>161</v>
      </c>
      <c r="L232" s="19" t="s">
        <v>82</v>
      </c>
      <c r="M232" s="19" t="s">
        <v>82</v>
      </c>
      <c r="N232" s="19" t="s">
        <v>66</v>
      </c>
      <c r="O232" s="19" t="s">
        <v>160</v>
      </c>
      <c r="P232" s="19" t="s">
        <v>51</v>
      </c>
      <c r="Q232" s="19"/>
      <c r="R232" s="19" t="s">
        <v>81</v>
      </c>
      <c r="S232" s="19" t="s">
        <v>749</v>
      </c>
      <c r="T232" s="19" t="s">
        <v>55</v>
      </c>
      <c r="U232" s="19" t="s">
        <v>55</v>
      </c>
      <c r="V232" s="19" t="s">
        <v>78</v>
      </c>
      <c r="W232" s="19" t="s">
        <v>231</v>
      </c>
      <c r="X232" s="19" t="s">
        <v>46</v>
      </c>
      <c r="Y232" s="29"/>
      <c r="Z232" s="19"/>
      <c r="AA232" s="19"/>
      <c r="AB232" s="19" t="s">
        <v>750</v>
      </c>
      <c r="AC232" s="19" t="s">
        <v>214</v>
      </c>
      <c r="AD232" s="19"/>
      <c r="AE232" s="24">
        <f t="shared" si="69"/>
        <v>139.41938308599998</v>
      </c>
      <c r="AF232" s="24">
        <f t="shared" si="69"/>
        <v>139.41938308599998</v>
      </c>
      <c r="AG232" s="19" t="s">
        <v>1435</v>
      </c>
      <c r="AH232" s="19"/>
      <c r="AI232" s="19"/>
      <c r="AJ232" s="19">
        <v>7.74</v>
      </c>
      <c r="AK232" s="19" t="s">
        <v>728</v>
      </c>
      <c r="AL232" s="19"/>
      <c r="AM232" s="19" t="s">
        <v>234</v>
      </c>
      <c r="AN232" s="19" t="s">
        <v>234</v>
      </c>
      <c r="AO232" s="19" t="s">
        <v>235</v>
      </c>
      <c r="AP232" s="94">
        <v>0.3</v>
      </c>
      <c r="AQ232" s="19" t="s">
        <v>101</v>
      </c>
      <c r="AR232" s="19" t="s">
        <v>241</v>
      </c>
      <c r="AS232" s="19"/>
      <c r="AT232" s="65" t="str">
        <f t="shared" si="59"/>
        <v>Y</v>
      </c>
      <c r="AU232" s="65" t="str">
        <f t="shared" si="63"/>
        <v>Y</v>
      </c>
      <c r="AV232" s="65" t="str">
        <f t="shared" si="54"/>
        <v>Y</v>
      </c>
      <c r="AW232" s="99"/>
      <c r="AX232" s="99"/>
      <c r="AY232" s="19"/>
      <c r="AZ232" s="96" t="str">
        <f t="shared" si="64"/>
        <v>LOEC</v>
      </c>
      <c r="BA232" s="96">
        <f>IF(AZ232="n","n",VLOOKUP(AZ232,'Conversion factors'!$C$4:$D$24,2,FALSE))</f>
        <v>2.5</v>
      </c>
      <c r="BB232" s="96" t="e">
        <f t="shared" si="65"/>
        <v>#VALUE!</v>
      </c>
      <c r="BC232" s="97"/>
      <c r="BD232" s="96" t="str">
        <f t="shared" si="60"/>
        <v>Chronic</v>
      </c>
      <c r="BE232" s="96" t="str">
        <f t="shared" si="66"/>
        <v>y</v>
      </c>
      <c r="BF232" s="98" t="str">
        <f t="shared" si="61"/>
        <v>LOEC</v>
      </c>
      <c r="BG232" s="96" t="str">
        <f>IF(BF232="","",IF(ISNUMBER(VLOOKUP(BF232,'Conversion factors'!$B$35:$C$52,2,FALSE)),"y","n"))</f>
        <v>n</v>
      </c>
      <c r="BH232" s="99" t="s">
        <v>1464</v>
      </c>
    </row>
    <row r="233" spans="1:60" s="103" customFormat="1" ht="15.75" customHeight="1" x14ac:dyDescent="0.2">
      <c r="A233" s="18"/>
      <c r="B233" s="19">
        <v>253</v>
      </c>
      <c r="C233" s="19"/>
      <c r="D233" s="19">
        <v>84051</v>
      </c>
      <c r="E233" s="19" t="s">
        <v>1224</v>
      </c>
      <c r="F233" s="93">
        <v>2004</v>
      </c>
      <c r="G233" s="19" t="s">
        <v>711</v>
      </c>
      <c r="H233" s="19"/>
      <c r="I233" s="19" t="s">
        <v>41</v>
      </c>
      <c r="J233" s="19" t="s">
        <v>89</v>
      </c>
      <c r="K233" s="19" t="s">
        <v>161</v>
      </c>
      <c r="L233" s="19" t="s">
        <v>82</v>
      </c>
      <c r="M233" s="19" t="s">
        <v>82</v>
      </c>
      <c r="N233" s="19" t="s">
        <v>66</v>
      </c>
      <c r="O233" s="19" t="s">
        <v>160</v>
      </c>
      <c r="P233" s="19" t="s">
        <v>51</v>
      </c>
      <c r="Q233" s="19"/>
      <c r="R233" s="19" t="s">
        <v>237</v>
      </c>
      <c r="S233" s="19" t="s">
        <v>414</v>
      </c>
      <c r="T233" s="19" t="s">
        <v>54</v>
      </c>
      <c r="U233" s="19" t="s">
        <v>54</v>
      </c>
      <c r="V233" s="19" t="s">
        <v>78</v>
      </c>
      <c r="W233" s="19" t="s">
        <v>231</v>
      </c>
      <c r="X233" s="19" t="s">
        <v>46</v>
      </c>
      <c r="Y233" s="29"/>
      <c r="Z233" s="19"/>
      <c r="AA233" s="19"/>
      <c r="AB233" s="19" t="s">
        <v>738</v>
      </c>
      <c r="AC233" s="19" t="s">
        <v>214</v>
      </c>
      <c r="AD233" s="19"/>
      <c r="AE233" s="24">
        <f t="shared" si="69"/>
        <v>139.41938308599998</v>
      </c>
      <c r="AF233" s="24">
        <f t="shared" si="69"/>
        <v>139.41938308599998</v>
      </c>
      <c r="AG233" s="19" t="s">
        <v>1426</v>
      </c>
      <c r="AH233" s="19"/>
      <c r="AI233" s="19"/>
      <c r="AJ233" s="19">
        <v>7.74</v>
      </c>
      <c r="AK233" s="19" t="s">
        <v>728</v>
      </c>
      <c r="AL233" s="19"/>
      <c r="AM233" s="19"/>
      <c r="AN233" s="19" t="s">
        <v>234</v>
      </c>
      <c r="AO233" s="19" t="s">
        <v>235</v>
      </c>
      <c r="AP233" s="94">
        <v>0.3</v>
      </c>
      <c r="AQ233" s="19" t="s">
        <v>101</v>
      </c>
      <c r="AR233" s="19" t="s">
        <v>241</v>
      </c>
      <c r="AS233" s="19"/>
      <c r="AT233" s="65" t="str">
        <f t="shared" si="59"/>
        <v>Y</v>
      </c>
      <c r="AU233" s="65" t="str">
        <f t="shared" si="63"/>
        <v>Y</v>
      </c>
      <c r="AV233" s="65" t="str">
        <f t="shared" si="54"/>
        <v>Y</v>
      </c>
      <c r="AW233" s="99"/>
      <c r="AX233" s="99"/>
      <c r="AY233" s="19"/>
      <c r="AZ233" s="96" t="str">
        <f t="shared" si="64"/>
        <v>NOEC</v>
      </c>
      <c r="BA233" s="96">
        <f>IF(AZ233="n","n",VLOOKUP(AZ233,'Conversion factors'!$C$4:$D$24,2,FALSE))</f>
        <v>1</v>
      </c>
      <c r="BB233" s="96">
        <f t="shared" si="65"/>
        <v>151</v>
      </c>
      <c r="BC233" s="97"/>
      <c r="BD233" s="96" t="str">
        <f t="shared" si="60"/>
        <v>Chronic</v>
      </c>
      <c r="BE233" s="96" t="str">
        <f t="shared" si="66"/>
        <v>y</v>
      </c>
      <c r="BF233" s="98" t="str">
        <f t="shared" si="61"/>
        <v>NOEC</v>
      </c>
      <c r="BG233" s="96" t="str">
        <f>IF(BF233="","",IF(ISNUMBER(VLOOKUP(BF233,'Conversion factors'!$B$35:$C$52,2,FALSE)),"y","n"))</f>
        <v>y</v>
      </c>
      <c r="BH233" s="99" t="s">
        <v>1466</v>
      </c>
    </row>
    <row r="234" spans="1:60" s="103" customFormat="1" ht="15.75" customHeight="1" x14ac:dyDescent="0.2">
      <c r="A234" s="18"/>
      <c r="B234" s="19">
        <v>253</v>
      </c>
      <c r="C234" s="19"/>
      <c r="D234" s="19">
        <v>84051</v>
      </c>
      <c r="E234" s="19" t="s">
        <v>1224</v>
      </c>
      <c r="F234" s="93">
        <v>2004</v>
      </c>
      <c r="G234" s="19" t="s">
        <v>711</v>
      </c>
      <c r="H234" s="19"/>
      <c r="I234" s="19" t="s">
        <v>41</v>
      </c>
      <c r="J234" s="19" t="s">
        <v>89</v>
      </c>
      <c r="K234" s="19" t="s">
        <v>161</v>
      </c>
      <c r="L234" s="99" t="s">
        <v>82</v>
      </c>
      <c r="M234" s="19" t="s">
        <v>82</v>
      </c>
      <c r="N234" s="19" t="s">
        <v>66</v>
      </c>
      <c r="O234" s="19" t="s">
        <v>160</v>
      </c>
      <c r="P234" s="19" t="s">
        <v>51</v>
      </c>
      <c r="Q234" s="19"/>
      <c r="R234" s="19" t="s">
        <v>237</v>
      </c>
      <c r="S234" s="19" t="s">
        <v>79</v>
      </c>
      <c r="T234" s="19" t="s">
        <v>174</v>
      </c>
      <c r="U234" s="19" t="s">
        <v>49</v>
      </c>
      <c r="V234" s="19" t="s">
        <v>78</v>
      </c>
      <c r="W234" s="19" t="s">
        <v>231</v>
      </c>
      <c r="X234" s="19" t="s">
        <v>46</v>
      </c>
      <c r="Y234" s="29"/>
      <c r="Z234" s="19"/>
      <c r="AA234" s="19"/>
      <c r="AB234" s="19" t="s">
        <v>118</v>
      </c>
      <c r="AC234" s="19" t="s">
        <v>214</v>
      </c>
      <c r="AD234" s="19"/>
      <c r="AE234" s="24">
        <f t="shared" ref="AE234:AF239" si="70">0.229*40.078*2.497+2.06*24.305*4.118</f>
        <v>229.09838081400002</v>
      </c>
      <c r="AF234" s="24">
        <f t="shared" si="70"/>
        <v>229.09838081400002</v>
      </c>
      <c r="AG234" s="19" t="s">
        <v>1427</v>
      </c>
      <c r="AH234" s="19"/>
      <c r="AI234" s="19"/>
      <c r="AJ234" s="101">
        <v>7.79</v>
      </c>
      <c r="AK234" s="19" t="s">
        <v>716</v>
      </c>
      <c r="AL234" s="19"/>
      <c r="AM234" s="19"/>
      <c r="AN234" s="19" t="s">
        <v>234</v>
      </c>
      <c r="AO234" s="19" t="s">
        <v>235</v>
      </c>
      <c r="AP234" s="94">
        <v>0.3</v>
      </c>
      <c r="AQ234" s="19" t="s">
        <v>101</v>
      </c>
      <c r="AR234" s="19" t="s">
        <v>241</v>
      </c>
      <c r="AS234" s="19"/>
      <c r="AT234" s="65" t="str">
        <f t="shared" si="59"/>
        <v>Y</v>
      </c>
      <c r="AU234" s="65" t="str">
        <f t="shared" si="63"/>
        <v>Y</v>
      </c>
      <c r="AV234" s="65" t="s">
        <v>162</v>
      </c>
      <c r="AW234" s="99" t="s">
        <v>1594</v>
      </c>
      <c r="AX234" s="99"/>
      <c r="AY234" s="19"/>
      <c r="AZ234" s="96" t="str">
        <f t="shared" si="64"/>
        <v>n</v>
      </c>
      <c r="BA234" s="96" t="str">
        <f>IF(AZ234="n","n",VLOOKUP(AZ234,'Conversion factors'!$C$4:$D$24,2,FALSE))</f>
        <v>n</v>
      </c>
      <c r="BB234" s="96" t="str">
        <f t="shared" si="65"/>
        <v>n</v>
      </c>
      <c r="BC234" s="97"/>
      <c r="BD234" s="96" t="str">
        <f t="shared" si="60"/>
        <v>n</v>
      </c>
      <c r="BE234" s="96" t="str">
        <f t="shared" si="66"/>
        <v>n</v>
      </c>
      <c r="BF234" s="98" t="str">
        <f t="shared" si="61"/>
        <v/>
      </c>
      <c r="BG234" s="96" t="str">
        <f>IF(BF234="","",IF(ISNUMBER(VLOOKUP(BF234,'Conversion factors'!$B$35:$C$52,2,FALSE)),"y","n"))</f>
        <v/>
      </c>
      <c r="BH234" s="99" t="s">
        <v>1594</v>
      </c>
    </row>
    <row r="235" spans="1:60" s="103" customFormat="1" ht="15.75" customHeight="1" x14ac:dyDescent="0.2">
      <c r="A235" s="18"/>
      <c r="B235" s="19">
        <v>253</v>
      </c>
      <c r="C235" s="19"/>
      <c r="D235" s="19">
        <v>84051</v>
      </c>
      <c r="E235" s="19" t="s">
        <v>1224</v>
      </c>
      <c r="F235" s="93">
        <v>2004</v>
      </c>
      <c r="G235" s="19" t="s">
        <v>711</v>
      </c>
      <c r="H235" s="19"/>
      <c r="I235" s="19" t="s">
        <v>41</v>
      </c>
      <c r="J235" s="19" t="s">
        <v>89</v>
      </c>
      <c r="K235" s="19" t="s">
        <v>161</v>
      </c>
      <c r="L235" s="19" t="s">
        <v>82</v>
      </c>
      <c r="M235" s="19" t="s">
        <v>82</v>
      </c>
      <c r="N235" s="19" t="s">
        <v>66</v>
      </c>
      <c r="O235" s="19" t="s">
        <v>160</v>
      </c>
      <c r="P235" s="19" t="s">
        <v>51</v>
      </c>
      <c r="Q235" s="19"/>
      <c r="R235" s="19" t="s">
        <v>237</v>
      </c>
      <c r="S235" s="19" t="s">
        <v>79</v>
      </c>
      <c r="T235" s="19" t="s">
        <v>56</v>
      </c>
      <c r="U235" s="19" t="s">
        <v>44</v>
      </c>
      <c r="V235" s="19" t="s">
        <v>78</v>
      </c>
      <c r="W235" s="19" t="s">
        <v>231</v>
      </c>
      <c r="X235" s="19" t="s">
        <v>46</v>
      </c>
      <c r="Y235" s="29"/>
      <c r="Z235" s="19"/>
      <c r="AA235" s="19"/>
      <c r="AB235" s="19" t="s">
        <v>745</v>
      </c>
      <c r="AC235" s="19" t="s">
        <v>214</v>
      </c>
      <c r="AD235" s="19"/>
      <c r="AE235" s="24">
        <f t="shared" si="70"/>
        <v>229.09838081400002</v>
      </c>
      <c r="AF235" s="24">
        <f t="shared" si="70"/>
        <v>229.09838081400002</v>
      </c>
      <c r="AG235" s="19" t="s">
        <v>1428</v>
      </c>
      <c r="AH235" s="19"/>
      <c r="AI235" s="19"/>
      <c r="AJ235" s="19">
        <v>7.79</v>
      </c>
      <c r="AK235" s="19" t="s">
        <v>716</v>
      </c>
      <c r="AL235" s="19"/>
      <c r="AM235" s="19" t="s">
        <v>234</v>
      </c>
      <c r="AN235" s="19" t="s">
        <v>234</v>
      </c>
      <c r="AO235" s="19" t="s">
        <v>235</v>
      </c>
      <c r="AP235" s="94">
        <v>0.3</v>
      </c>
      <c r="AQ235" s="19" t="s">
        <v>101</v>
      </c>
      <c r="AR235" s="19" t="s">
        <v>241</v>
      </c>
      <c r="AS235" s="19"/>
      <c r="AT235" s="65" t="str">
        <f t="shared" si="59"/>
        <v>Y</v>
      </c>
      <c r="AU235" s="65" t="str">
        <f t="shared" si="63"/>
        <v>Y</v>
      </c>
      <c r="AV235" s="65" t="str">
        <f t="shared" si="54"/>
        <v>Y</v>
      </c>
      <c r="AW235" s="99"/>
      <c r="AX235" s="99"/>
      <c r="AY235" s="19"/>
      <c r="AZ235" s="96" t="str">
        <f t="shared" si="64"/>
        <v>LC50</v>
      </c>
      <c r="BA235" s="96">
        <f>IF(AZ235="n","n",VLOOKUP(AZ235,'Conversion factors'!$C$4:$D$24,2,FALSE))</f>
        <v>5</v>
      </c>
      <c r="BB235" s="96">
        <f t="shared" si="65"/>
        <v>44.8</v>
      </c>
      <c r="BC235" s="97"/>
      <c r="BD235" s="96" t="str">
        <f t="shared" si="60"/>
        <v>Chronic</v>
      </c>
      <c r="BE235" s="96" t="str">
        <f t="shared" si="66"/>
        <v>y</v>
      </c>
      <c r="BF235" s="98" t="str">
        <f t="shared" si="61"/>
        <v>LC50</v>
      </c>
      <c r="BG235" s="96" t="str">
        <f>IF(BF235="","",IF(ISNUMBER(VLOOKUP(BF235,'Conversion factors'!$B$35:$C$52,2,FALSE)),"y","n"))</f>
        <v>n</v>
      </c>
      <c r="BH235" s="99" t="s">
        <v>1466</v>
      </c>
    </row>
    <row r="236" spans="1:60" s="103" customFormat="1" ht="15.75" customHeight="1" x14ac:dyDescent="0.2">
      <c r="A236" s="18"/>
      <c r="B236" s="19">
        <v>253</v>
      </c>
      <c r="C236" s="19"/>
      <c r="D236" s="19">
        <v>84051</v>
      </c>
      <c r="E236" s="19" t="s">
        <v>1224</v>
      </c>
      <c r="F236" s="93">
        <v>2004</v>
      </c>
      <c r="G236" s="19" t="s">
        <v>711</v>
      </c>
      <c r="H236" s="19"/>
      <c r="I236" s="19" t="s">
        <v>41</v>
      </c>
      <c r="J236" s="19" t="s">
        <v>89</v>
      </c>
      <c r="K236" s="19" t="s">
        <v>161</v>
      </c>
      <c r="L236" s="19" t="s">
        <v>82</v>
      </c>
      <c r="M236" s="19" t="s">
        <v>82</v>
      </c>
      <c r="N236" s="19" t="s">
        <v>66</v>
      </c>
      <c r="O236" s="19" t="s">
        <v>160</v>
      </c>
      <c r="P236" s="19" t="s">
        <v>51</v>
      </c>
      <c r="Q236" s="19"/>
      <c r="R236" s="19" t="s">
        <v>237</v>
      </c>
      <c r="S236" s="19" t="s">
        <v>414</v>
      </c>
      <c r="T236" s="19" t="s">
        <v>55</v>
      </c>
      <c r="U236" s="19" t="s">
        <v>55</v>
      </c>
      <c r="V236" s="19" t="s">
        <v>78</v>
      </c>
      <c r="W236" s="19" t="s">
        <v>231</v>
      </c>
      <c r="X236" s="19" t="s">
        <v>46</v>
      </c>
      <c r="Y236" s="29"/>
      <c r="Z236" s="19"/>
      <c r="AA236" s="19"/>
      <c r="AB236" s="19" t="s">
        <v>762</v>
      </c>
      <c r="AC236" s="19" t="s">
        <v>214</v>
      </c>
      <c r="AD236" s="19"/>
      <c r="AE236" s="24">
        <f t="shared" si="70"/>
        <v>229.09838081400002</v>
      </c>
      <c r="AF236" s="24">
        <f t="shared" si="70"/>
        <v>229.09838081400002</v>
      </c>
      <c r="AG236" s="19" t="s">
        <v>1429</v>
      </c>
      <c r="AH236" s="19"/>
      <c r="AI236" s="19"/>
      <c r="AJ236" s="19">
        <v>7.79</v>
      </c>
      <c r="AK236" s="19" t="s">
        <v>716</v>
      </c>
      <c r="AL236" s="19"/>
      <c r="AM236" s="19" t="s">
        <v>234</v>
      </c>
      <c r="AN236" s="19" t="s">
        <v>234</v>
      </c>
      <c r="AO236" s="19" t="s">
        <v>235</v>
      </c>
      <c r="AP236" s="94">
        <v>0.3</v>
      </c>
      <c r="AQ236" s="19" t="s">
        <v>101</v>
      </c>
      <c r="AR236" s="19" t="s">
        <v>241</v>
      </c>
      <c r="AS236" s="19"/>
      <c r="AT236" s="65" t="str">
        <f t="shared" si="59"/>
        <v>Y</v>
      </c>
      <c r="AU236" s="65" t="str">
        <f t="shared" si="63"/>
        <v>Y</v>
      </c>
      <c r="AV236" s="65" t="str">
        <f t="shared" ref="AV236:AV245" si="71">AU236</f>
        <v>Y</v>
      </c>
      <c r="AW236" s="99"/>
      <c r="AX236" s="99"/>
      <c r="AY236" s="19"/>
      <c r="AZ236" s="96" t="str">
        <f t="shared" si="64"/>
        <v>LOEC</v>
      </c>
      <c r="BA236" s="96">
        <f>IF(AZ236="n","n",VLOOKUP(AZ236,'Conversion factors'!$C$4:$D$24,2,FALSE))</f>
        <v>2.5</v>
      </c>
      <c r="BB236" s="96">
        <f t="shared" si="65"/>
        <v>140.4</v>
      </c>
      <c r="BC236" s="97"/>
      <c r="BD236" s="96" t="str">
        <f t="shared" si="60"/>
        <v>Chronic</v>
      </c>
      <c r="BE236" s="96" t="str">
        <f t="shared" si="66"/>
        <v>y</v>
      </c>
      <c r="BF236" s="98" t="str">
        <f t="shared" si="61"/>
        <v>LOEC</v>
      </c>
      <c r="BG236" s="96" t="str">
        <f>IF(BF236="","",IF(ISNUMBER(VLOOKUP(BF236,'Conversion factors'!$B$35:$C$52,2,FALSE)),"y","n"))</f>
        <v>n</v>
      </c>
      <c r="BH236" s="99" t="s">
        <v>1466</v>
      </c>
    </row>
    <row r="237" spans="1:60" s="103" customFormat="1" ht="15.75" customHeight="1" x14ac:dyDescent="0.2">
      <c r="A237" s="18"/>
      <c r="B237" s="19">
        <v>253</v>
      </c>
      <c r="C237" s="19"/>
      <c r="D237" s="19">
        <v>84051</v>
      </c>
      <c r="E237" s="19" t="s">
        <v>1224</v>
      </c>
      <c r="F237" s="93">
        <v>2004</v>
      </c>
      <c r="G237" s="19" t="s">
        <v>711</v>
      </c>
      <c r="H237" s="19"/>
      <c r="I237" s="19" t="s">
        <v>41</v>
      </c>
      <c r="J237" s="19" t="s">
        <v>89</v>
      </c>
      <c r="K237" s="19" t="s">
        <v>161</v>
      </c>
      <c r="L237" s="19" t="s">
        <v>82</v>
      </c>
      <c r="M237" s="19" t="s">
        <v>82</v>
      </c>
      <c r="N237" s="19" t="s">
        <v>66</v>
      </c>
      <c r="O237" s="19" t="s">
        <v>160</v>
      </c>
      <c r="P237" s="19" t="s">
        <v>51</v>
      </c>
      <c r="Q237" s="19"/>
      <c r="R237" s="19" t="s">
        <v>81</v>
      </c>
      <c r="S237" s="19" t="s">
        <v>749</v>
      </c>
      <c r="T237" s="19" t="s">
        <v>55</v>
      </c>
      <c r="U237" s="19" t="s">
        <v>55</v>
      </c>
      <c r="V237" s="19" t="s">
        <v>78</v>
      </c>
      <c r="W237" s="19" t="s">
        <v>231</v>
      </c>
      <c r="X237" s="19" t="s">
        <v>46</v>
      </c>
      <c r="Y237" s="29"/>
      <c r="Z237" s="19"/>
      <c r="AA237" s="19"/>
      <c r="AB237" s="19" t="s">
        <v>762</v>
      </c>
      <c r="AC237" s="19" t="s">
        <v>214</v>
      </c>
      <c r="AD237" s="19"/>
      <c r="AE237" s="24">
        <f t="shared" si="70"/>
        <v>229.09838081400002</v>
      </c>
      <c r="AF237" s="24">
        <f t="shared" si="70"/>
        <v>229.09838081400002</v>
      </c>
      <c r="AG237" s="19" t="s">
        <v>1442</v>
      </c>
      <c r="AH237" s="19"/>
      <c r="AI237" s="19"/>
      <c r="AJ237" s="19">
        <v>7.79</v>
      </c>
      <c r="AK237" s="19" t="s">
        <v>716</v>
      </c>
      <c r="AL237" s="19"/>
      <c r="AM237" s="19" t="s">
        <v>234</v>
      </c>
      <c r="AN237" s="19" t="s">
        <v>234</v>
      </c>
      <c r="AO237" s="19" t="s">
        <v>235</v>
      </c>
      <c r="AP237" s="94">
        <v>0.3</v>
      </c>
      <c r="AQ237" s="19" t="s">
        <v>101</v>
      </c>
      <c r="AR237" s="19" t="s">
        <v>241</v>
      </c>
      <c r="AS237" s="19"/>
      <c r="AT237" s="65" t="str">
        <f t="shared" si="59"/>
        <v>Y</v>
      </c>
      <c r="AU237" s="65" t="str">
        <f t="shared" si="63"/>
        <v>Y</v>
      </c>
      <c r="AV237" s="65" t="str">
        <f t="shared" si="71"/>
        <v>Y</v>
      </c>
      <c r="AW237" s="99"/>
      <c r="AX237" s="99"/>
      <c r="AY237" s="19"/>
      <c r="AZ237" s="96" t="str">
        <f t="shared" si="64"/>
        <v>LOEC</v>
      </c>
      <c r="BA237" s="96">
        <f>IF(AZ237="n","n",VLOOKUP(AZ237,'Conversion factors'!$C$4:$D$24,2,FALSE))</f>
        <v>2.5</v>
      </c>
      <c r="BB237" s="96">
        <f t="shared" si="65"/>
        <v>140.4</v>
      </c>
      <c r="BC237" s="97"/>
      <c r="BD237" s="96" t="str">
        <f t="shared" si="60"/>
        <v>Chronic</v>
      </c>
      <c r="BE237" s="96" t="str">
        <f t="shared" si="66"/>
        <v>y</v>
      </c>
      <c r="BF237" s="98" t="str">
        <f t="shared" si="61"/>
        <v>LOEC</v>
      </c>
      <c r="BG237" s="96" t="str">
        <f>IF(BF237="","",IF(ISNUMBER(VLOOKUP(BF237,'Conversion factors'!$B$35:$C$52,2,FALSE)),"y","n"))</f>
        <v>n</v>
      </c>
      <c r="BH237" s="99" t="s">
        <v>1466</v>
      </c>
    </row>
    <row r="238" spans="1:60" s="103" customFormat="1" ht="15.75" customHeight="1" x14ac:dyDescent="0.2">
      <c r="A238" s="18"/>
      <c r="B238" s="19">
        <v>253</v>
      </c>
      <c r="C238" s="19"/>
      <c r="D238" s="19">
        <v>84051</v>
      </c>
      <c r="E238" s="19" t="s">
        <v>1224</v>
      </c>
      <c r="F238" s="93">
        <v>2004</v>
      </c>
      <c r="G238" s="19" t="s">
        <v>711</v>
      </c>
      <c r="H238" s="19"/>
      <c r="I238" s="19" t="s">
        <v>41</v>
      </c>
      <c r="J238" s="19" t="s">
        <v>89</v>
      </c>
      <c r="K238" s="19" t="s">
        <v>161</v>
      </c>
      <c r="L238" s="19" t="s">
        <v>82</v>
      </c>
      <c r="M238" s="19" t="s">
        <v>82</v>
      </c>
      <c r="N238" s="19" t="s">
        <v>66</v>
      </c>
      <c r="O238" s="19" t="s">
        <v>160</v>
      </c>
      <c r="P238" s="19" t="s">
        <v>51</v>
      </c>
      <c r="Q238" s="19"/>
      <c r="R238" s="19" t="s">
        <v>237</v>
      </c>
      <c r="S238" s="19" t="s">
        <v>414</v>
      </c>
      <c r="T238" s="19" t="s">
        <v>54</v>
      </c>
      <c r="U238" s="19" t="s">
        <v>54</v>
      </c>
      <c r="V238" s="19" t="s">
        <v>78</v>
      </c>
      <c r="W238" s="19" t="s">
        <v>231</v>
      </c>
      <c r="X238" s="19" t="s">
        <v>46</v>
      </c>
      <c r="Y238" s="29"/>
      <c r="Z238" s="19"/>
      <c r="AA238" s="19"/>
      <c r="AB238" s="19" t="s">
        <v>744</v>
      </c>
      <c r="AC238" s="19" t="s">
        <v>214</v>
      </c>
      <c r="AD238" s="19"/>
      <c r="AE238" s="24">
        <f t="shared" si="70"/>
        <v>229.09838081400002</v>
      </c>
      <c r="AF238" s="24">
        <f t="shared" si="70"/>
        <v>229.09838081400002</v>
      </c>
      <c r="AG238" s="19" t="s">
        <v>1430</v>
      </c>
      <c r="AH238" s="19"/>
      <c r="AI238" s="19"/>
      <c r="AJ238" s="19">
        <v>7.79</v>
      </c>
      <c r="AK238" s="19" t="s">
        <v>716</v>
      </c>
      <c r="AL238" s="19"/>
      <c r="AM238" s="19"/>
      <c r="AN238" s="19" t="s">
        <v>234</v>
      </c>
      <c r="AO238" s="19" t="s">
        <v>235</v>
      </c>
      <c r="AP238" s="94">
        <v>0.3</v>
      </c>
      <c r="AQ238" s="19" t="s">
        <v>101</v>
      </c>
      <c r="AR238" s="19" t="s">
        <v>241</v>
      </c>
      <c r="AS238" s="19"/>
      <c r="AT238" s="65" t="str">
        <f t="shared" si="59"/>
        <v>Y</v>
      </c>
      <c r="AU238" s="65" t="str">
        <f t="shared" si="63"/>
        <v>Y</v>
      </c>
      <c r="AV238" s="65" t="str">
        <f t="shared" si="71"/>
        <v>Y</v>
      </c>
      <c r="AW238" s="99"/>
      <c r="AX238" s="99"/>
      <c r="AY238" s="19"/>
      <c r="AZ238" s="96" t="str">
        <f t="shared" si="64"/>
        <v>NOEC</v>
      </c>
      <c r="BA238" s="96">
        <f>IF(AZ238="n","n",VLOOKUP(AZ238,'Conversion factors'!$C$4:$D$24,2,FALSE))</f>
        <v>1</v>
      </c>
      <c r="BB238" s="96">
        <f t="shared" si="65"/>
        <v>159</v>
      </c>
      <c r="BC238" s="97"/>
      <c r="BD238" s="96" t="str">
        <f t="shared" si="60"/>
        <v>Chronic</v>
      </c>
      <c r="BE238" s="96" t="str">
        <f t="shared" si="66"/>
        <v>y</v>
      </c>
      <c r="BF238" s="98" t="str">
        <f t="shared" si="61"/>
        <v>NOEC</v>
      </c>
      <c r="BG238" s="96" t="str">
        <f>IF(BF238="","",IF(ISNUMBER(VLOOKUP(BF238,'Conversion factors'!$B$35:$C$52,2,FALSE)),"y","n"))</f>
        <v>y</v>
      </c>
      <c r="BH238" s="99" t="s">
        <v>1466</v>
      </c>
    </row>
    <row r="239" spans="1:60" s="103" customFormat="1" ht="15.75" customHeight="1" x14ac:dyDescent="0.2">
      <c r="A239" s="18"/>
      <c r="B239" s="19">
        <v>253</v>
      </c>
      <c r="C239" s="19"/>
      <c r="D239" s="19">
        <v>84051</v>
      </c>
      <c r="E239" s="19" t="s">
        <v>1224</v>
      </c>
      <c r="F239" s="93">
        <v>2004</v>
      </c>
      <c r="G239" s="19" t="s">
        <v>711</v>
      </c>
      <c r="H239" s="19"/>
      <c r="I239" s="19" t="s">
        <v>41</v>
      </c>
      <c r="J239" s="19" t="s">
        <v>89</v>
      </c>
      <c r="K239" s="19" t="s">
        <v>161</v>
      </c>
      <c r="L239" s="99" t="s">
        <v>82</v>
      </c>
      <c r="M239" s="19" t="s">
        <v>82</v>
      </c>
      <c r="N239" s="19" t="s">
        <v>66</v>
      </c>
      <c r="O239" s="19" t="s">
        <v>160</v>
      </c>
      <c r="P239" s="19" t="s">
        <v>51</v>
      </c>
      <c r="Q239" s="19"/>
      <c r="R239" s="19" t="s">
        <v>81</v>
      </c>
      <c r="S239" s="19" t="s">
        <v>749</v>
      </c>
      <c r="T239" s="19" t="s">
        <v>54</v>
      </c>
      <c r="U239" s="19" t="s">
        <v>54</v>
      </c>
      <c r="V239" s="19" t="s">
        <v>78</v>
      </c>
      <c r="W239" s="19" t="s">
        <v>231</v>
      </c>
      <c r="X239" s="19" t="s">
        <v>46</v>
      </c>
      <c r="Y239" s="29"/>
      <c r="Z239" s="19"/>
      <c r="AA239" s="19"/>
      <c r="AB239" s="19" t="s">
        <v>744</v>
      </c>
      <c r="AC239" s="19" t="s">
        <v>214</v>
      </c>
      <c r="AD239" s="19"/>
      <c r="AE239" s="24">
        <f t="shared" si="70"/>
        <v>229.09838081400002</v>
      </c>
      <c r="AF239" s="24">
        <f t="shared" si="70"/>
        <v>229.09838081400002</v>
      </c>
      <c r="AG239" s="19" t="s">
        <v>1452</v>
      </c>
      <c r="AH239" s="19"/>
      <c r="AI239" s="19"/>
      <c r="AJ239" s="19">
        <v>7.79</v>
      </c>
      <c r="AK239" s="19" t="s">
        <v>716</v>
      </c>
      <c r="AL239" s="19"/>
      <c r="AM239" s="19"/>
      <c r="AN239" s="19" t="s">
        <v>234</v>
      </c>
      <c r="AO239" s="19" t="s">
        <v>235</v>
      </c>
      <c r="AP239" s="94">
        <v>0.3</v>
      </c>
      <c r="AQ239" s="19" t="s">
        <v>101</v>
      </c>
      <c r="AR239" s="19" t="s">
        <v>241</v>
      </c>
      <c r="AS239" s="19"/>
      <c r="AT239" s="65" t="str">
        <f t="shared" si="59"/>
        <v>Y</v>
      </c>
      <c r="AU239" s="65" t="str">
        <f t="shared" si="63"/>
        <v>Y</v>
      </c>
      <c r="AV239" s="65" t="str">
        <f t="shared" si="71"/>
        <v>Y</v>
      </c>
      <c r="AW239" s="99"/>
      <c r="AX239" s="99"/>
      <c r="AY239" s="19"/>
      <c r="AZ239" s="96" t="str">
        <f t="shared" si="64"/>
        <v>NOEC</v>
      </c>
      <c r="BA239" s="96">
        <f>IF(AZ239="n","n",VLOOKUP(AZ239,'Conversion factors'!$C$4:$D$24,2,FALSE))</f>
        <v>1</v>
      </c>
      <c r="BB239" s="96">
        <f t="shared" si="65"/>
        <v>159</v>
      </c>
      <c r="BC239" s="97"/>
      <c r="BD239" s="96" t="str">
        <f t="shared" si="60"/>
        <v>Chronic</v>
      </c>
      <c r="BE239" s="96" t="str">
        <f t="shared" si="66"/>
        <v>y</v>
      </c>
      <c r="BF239" s="98" t="str">
        <f t="shared" si="61"/>
        <v>NOEC</v>
      </c>
      <c r="BG239" s="96" t="str">
        <f>IF(BF239="","",IF(ISNUMBER(VLOOKUP(BF239,'Conversion factors'!$B$35:$C$52,2,FALSE)),"y","n"))</f>
        <v>y</v>
      </c>
      <c r="BH239" s="99" t="s">
        <v>1466</v>
      </c>
    </row>
    <row r="240" spans="1:60" s="103" customFormat="1" ht="15.75" customHeight="1" x14ac:dyDescent="0.2">
      <c r="A240" s="18"/>
      <c r="B240" s="19">
        <v>253</v>
      </c>
      <c r="C240" s="19"/>
      <c r="D240" s="19">
        <v>84051</v>
      </c>
      <c r="E240" s="19" t="s">
        <v>1224</v>
      </c>
      <c r="F240" s="93">
        <v>2004</v>
      </c>
      <c r="G240" s="19" t="s">
        <v>711</v>
      </c>
      <c r="H240" s="19"/>
      <c r="I240" s="19" t="s">
        <v>41</v>
      </c>
      <c r="J240" s="19" t="s">
        <v>89</v>
      </c>
      <c r="K240" s="19" t="s">
        <v>161</v>
      </c>
      <c r="L240" s="99" t="s">
        <v>82</v>
      </c>
      <c r="M240" s="19" t="s">
        <v>82</v>
      </c>
      <c r="N240" s="19" t="s">
        <v>66</v>
      </c>
      <c r="O240" s="19" t="s">
        <v>160</v>
      </c>
      <c r="P240" s="19" t="s">
        <v>51</v>
      </c>
      <c r="Q240" s="19"/>
      <c r="R240" s="19" t="s">
        <v>237</v>
      </c>
      <c r="S240" s="19" t="s">
        <v>79</v>
      </c>
      <c r="T240" s="19" t="s">
        <v>174</v>
      </c>
      <c r="U240" s="19" t="s">
        <v>49</v>
      </c>
      <c r="V240" s="19" t="s">
        <v>78</v>
      </c>
      <c r="W240" s="19" t="s">
        <v>231</v>
      </c>
      <c r="X240" s="19" t="s">
        <v>46</v>
      </c>
      <c r="Y240" s="29"/>
      <c r="Z240" s="19"/>
      <c r="AA240" s="19"/>
      <c r="AB240" s="19" t="s">
        <v>312</v>
      </c>
      <c r="AC240" s="19" t="s">
        <v>214</v>
      </c>
      <c r="AD240" s="19"/>
      <c r="AE240" s="24">
        <f t="shared" ref="AE240:AF245" si="72">1.844*40.078*2.497+0.057*24.305*4.118</f>
        <v>190.24288393400002</v>
      </c>
      <c r="AF240" s="24">
        <f t="shared" si="72"/>
        <v>190.24288393400002</v>
      </c>
      <c r="AG240" s="19" t="s">
        <v>1431</v>
      </c>
      <c r="AH240" s="19"/>
      <c r="AI240" s="19"/>
      <c r="AJ240" s="101">
        <v>7.87</v>
      </c>
      <c r="AK240" s="19" t="s">
        <v>730</v>
      </c>
      <c r="AL240" s="19"/>
      <c r="AM240" s="19"/>
      <c r="AN240" s="19" t="s">
        <v>234</v>
      </c>
      <c r="AO240" s="19" t="s">
        <v>235</v>
      </c>
      <c r="AP240" s="94">
        <v>0.3</v>
      </c>
      <c r="AQ240" s="19" t="s">
        <v>101</v>
      </c>
      <c r="AR240" s="19" t="s">
        <v>241</v>
      </c>
      <c r="AS240" s="19"/>
      <c r="AT240" s="65" t="str">
        <f t="shared" si="59"/>
        <v>Y</v>
      </c>
      <c r="AU240" s="65" t="str">
        <f t="shared" si="63"/>
        <v>Y</v>
      </c>
      <c r="AV240" s="65" t="str">
        <f t="shared" si="71"/>
        <v>Y</v>
      </c>
      <c r="AW240" s="99"/>
      <c r="AX240" s="99"/>
      <c r="AY240" s="19"/>
      <c r="AZ240" s="96" t="str">
        <f t="shared" si="64"/>
        <v>LC10</v>
      </c>
      <c r="BA240" s="96">
        <f>IF(AZ240="n","n",VLOOKUP(AZ240,'Conversion factors'!$C$4:$D$24,2,FALSE))</f>
        <v>1</v>
      </c>
      <c r="BB240" s="96">
        <f t="shared" si="65"/>
        <v>290</v>
      </c>
      <c r="BC240" s="97"/>
      <c r="BD240" s="96" t="str">
        <f t="shared" si="60"/>
        <v>Chronic</v>
      </c>
      <c r="BE240" s="96" t="str">
        <f t="shared" si="66"/>
        <v>y</v>
      </c>
      <c r="BF240" s="98" t="str">
        <f t="shared" si="61"/>
        <v>LC10</v>
      </c>
      <c r="BG240" s="96" t="str">
        <f>IF(BF240="","",IF(ISNUMBER(VLOOKUP(BF240,'Conversion factors'!$B$35:$C$52,2,FALSE)),"y","n"))</f>
        <v>y</v>
      </c>
      <c r="BH240" s="99" t="s">
        <v>1592</v>
      </c>
    </row>
    <row r="241" spans="1:60" s="103" customFormat="1" ht="15.75" customHeight="1" x14ac:dyDescent="0.2">
      <c r="A241" s="18"/>
      <c r="B241" s="19">
        <v>253</v>
      </c>
      <c r="C241" s="19"/>
      <c r="D241" s="19">
        <v>84051</v>
      </c>
      <c r="E241" s="19" t="s">
        <v>1224</v>
      </c>
      <c r="F241" s="93">
        <v>2004</v>
      </c>
      <c r="G241" s="19" t="s">
        <v>711</v>
      </c>
      <c r="H241" s="19"/>
      <c r="I241" s="19" t="s">
        <v>41</v>
      </c>
      <c r="J241" s="19" t="s">
        <v>89</v>
      </c>
      <c r="K241" s="19" t="s">
        <v>161</v>
      </c>
      <c r="L241" s="19" t="s">
        <v>82</v>
      </c>
      <c r="M241" s="19" t="s">
        <v>82</v>
      </c>
      <c r="N241" s="19" t="s">
        <v>66</v>
      </c>
      <c r="O241" s="19" t="s">
        <v>160</v>
      </c>
      <c r="P241" s="19" t="s">
        <v>51</v>
      </c>
      <c r="Q241" s="19"/>
      <c r="R241" s="19" t="s">
        <v>237</v>
      </c>
      <c r="S241" s="19" t="s">
        <v>79</v>
      </c>
      <c r="T241" s="19" t="s">
        <v>56</v>
      </c>
      <c r="U241" s="19" t="s">
        <v>44</v>
      </c>
      <c r="V241" s="19" t="s">
        <v>78</v>
      </c>
      <c r="W241" s="19" t="s">
        <v>231</v>
      </c>
      <c r="X241" s="19" t="s">
        <v>46</v>
      </c>
      <c r="Y241" s="29"/>
      <c r="Z241" s="19"/>
      <c r="AA241" s="19"/>
      <c r="AB241" s="19" t="s">
        <v>734</v>
      </c>
      <c r="AC241" s="19" t="s">
        <v>214</v>
      </c>
      <c r="AD241" s="19"/>
      <c r="AE241" s="24">
        <f t="shared" si="72"/>
        <v>190.24288393400002</v>
      </c>
      <c r="AF241" s="24">
        <f t="shared" si="72"/>
        <v>190.24288393400002</v>
      </c>
      <c r="AG241" s="19" t="s">
        <v>1432</v>
      </c>
      <c r="AH241" s="19"/>
      <c r="AI241" s="19"/>
      <c r="AJ241" s="19">
        <v>7.87</v>
      </c>
      <c r="AK241" s="19" t="s">
        <v>730</v>
      </c>
      <c r="AL241" s="19"/>
      <c r="AM241" s="19" t="s">
        <v>234</v>
      </c>
      <c r="AN241" s="19" t="s">
        <v>234</v>
      </c>
      <c r="AO241" s="19" t="s">
        <v>235</v>
      </c>
      <c r="AP241" s="94">
        <v>0.3</v>
      </c>
      <c r="AQ241" s="19" t="s">
        <v>101</v>
      </c>
      <c r="AR241" s="19" t="s">
        <v>241</v>
      </c>
      <c r="AS241" s="19"/>
      <c r="AT241" s="65" t="str">
        <f t="shared" si="59"/>
        <v>Y</v>
      </c>
      <c r="AU241" s="65" t="str">
        <f t="shared" si="63"/>
        <v>Y</v>
      </c>
      <c r="AV241" s="65" t="str">
        <f t="shared" si="71"/>
        <v>Y</v>
      </c>
      <c r="AW241" s="99"/>
      <c r="AX241" s="99"/>
      <c r="AY241" s="19"/>
      <c r="AZ241" s="96" t="str">
        <f t="shared" si="64"/>
        <v>LC50</v>
      </c>
      <c r="BA241" s="96">
        <f>IF(AZ241="n","n",VLOOKUP(AZ241,'Conversion factors'!$C$4:$D$24,2,FALSE))</f>
        <v>5</v>
      </c>
      <c r="BB241" s="96">
        <f t="shared" si="65"/>
        <v>248</v>
      </c>
      <c r="BC241" s="97"/>
      <c r="BD241" s="96" t="str">
        <f t="shared" si="60"/>
        <v>Chronic</v>
      </c>
      <c r="BE241" s="96" t="str">
        <f t="shared" si="66"/>
        <v>y</v>
      </c>
      <c r="BF241" s="98" t="str">
        <f t="shared" si="61"/>
        <v>LC50</v>
      </c>
      <c r="BG241" s="96" t="str">
        <f>IF(BF241="","",IF(ISNUMBER(VLOOKUP(BF241,'Conversion factors'!$B$35:$C$52,2,FALSE)),"y","n"))</f>
        <v>n</v>
      </c>
      <c r="BH241" s="99" t="s">
        <v>1466</v>
      </c>
    </row>
    <row r="242" spans="1:60" s="103" customFormat="1" ht="15.75" customHeight="1" x14ac:dyDescent="0.2">
      <c r="A242" s="18"/>
      <c r="B242" s="19">
        <v>253</v>
      </c>
      <c r="C242" s="19"/>
      <c r="D242" s="19">
        <v>84051</v>
      </c>
      <c r="E242" s="19" t="s">
        <v>1224</v>
      </c>
      <c r="F242" s="93">
        <v>2004</v>
      </c>
      <c r="G242" s="19" t="s">
        <v>711</v>
      </c>
      <c r="H242" s="19"/>
      <c r="I242" s="19" t="s">
        <v>41</v>
      </c>
      <c r="J242" s="19" t="s">
        <v>89</v>
      </c>
      <c r="K242" s="19" t="s">
        <v>161</v>
      </c>
      <c r="L242" s="19" t="s">
        <v>82</v>
      </c>
      <c r="M242" s="19" t="s">
        <v>82</v>
      </c>
      <c r="N242" s="19" t="s">
        <v>66</v>
      </c>
      <c r="O242" s="19" t="s">
        <v>160</v>
      </c>
      <c r="P242" s="19" t="s">
        <v>51</v>
      </c>
      <c r="Q242" s="19"/>
      <c r="R242" s="19" t="s">
        <v>237</v>
      </c>
      <c r="S242" s="19" t="s">
        <v>414</v>
      </c>
      <c r="T242" s="19" t="s">
        <v>55</v>
      </c>
      <c r="U242" s="19" t="s">
        <v>55</v>
      </c>
      <c r="V242" s="19" t="s">
        <v>78</v>
      </c>
      <c r="W242" s="19" t="s">
        <v>231</v>
      </c>
      <c r="X242" s="19" t="s">
        <v>46</v>
      </c>
      <c r="Y242" s="29"/>
      <c r="Z242" s="19"/>
      <c r="AA242" s="19"/>
      <c r="AB242" s="19" t="s">
        <v>747</v>
      </c>
      <c r="AC242" s="19" t="s">
        <v>214</v>
      </c>
      <c r="AD242" s="19"/>
      <c r="AE242" s="24">
        <f t="shared" si="72"/>
        <v>190.24288393400002</v>
      </c>
      <c r="AF242" s="24">
        <f t="shared" si="72"/>
        <v>190.24288393400002</v>
      </c>
      <c r="AG242" s="19" t="s">
        <v>1433</v>
      </c>
      <c r="AH242" s="19"/>
      <c r="AI242" s="19"/>
      <c r="AJ242" s="19">
        <v>7.87</v>
      </c>
      <c r="AK242" s="19" t="s">
        <v>730</v>
      </c>
      <c r="AL242" s="19"/>
      <c r="AM242" s="19" t="s">
        <v>234</v>
      </c>
      <c r="AN242" s="19" t="s">
        <v>234</v>
      </c>
      <c r="AO242" s="19" t="s">
        <v>235</v>
      </c>
      <c r="AP242" s="94">
        <v>0.3</v>
      </c>
      <c r="AQ242" s="19" t="s">
        <v>101</v>
      </c>
      <c r="AR242" s="19" t="s">
        <v>241</v>
      </c>
      <c r="AS242" s="19"/>
      <c r="AT242" s="65" t="str">
        <f t="shared" si="59"/>
        <v>Y</v>
      </c>
      <c r="AU242" s="65" t="str">
        <f t="shared" si="63"/>
        <v>Y</v>
      </c>
      <c r="AV242" s="65" t="str">
        <f t="shared" si="71"/>
        <v>Y</v>
      </c>
      <c r="AW242" s="99"/>
      <c r="AX242" s="99"/>
      <c r="AY242" s="19"/>
      <c r="AZ242" s="96" t="str">
        <f t="shared" si="64"/>
        <v>LOEC</v>
      </c>
      <c r="BA242" s="96">
        <f>IF(AZ242="n","n",VLOOKUP(AZ242,'Conversion factors'!$C$4:$D$24,2,FALSE))</f>
        <v>2.5</v>
      </c>
      <c r="BB242" s="96">
        <f t="shared" si="65"/>
        <v>924</v>
      </c>
      <c r="BC242" s="97"/>
      <c r="BD242" s="96" t="str">
        <f t="shared" si="60"/>
        <v>Chronic</v>
      </c>
      <c r="BE242" s="96" t="str">
        <f t="shared" si="66"/>
        <v>y</v>
      </c>
      <c r="BF242" s="98" t="str">
        <f t="shared" si="61"/>
        <v>LOEC</v>
      </c>
      <c r="BG242" s="96" t="str">
        <f>IF(BF242="","",IF(ISNUMBER(VLOOKUP(BF242,'Conversion factors'!$B$35:$C$52,2,FALSE)),"y","n"))</f>
        <v>n</v>
      </c>
      <c r="BH242" s="99" t="s">
        <v>1466</v>
      </c>
    </row>
    <row r="243" spans="1:60" s="103" customFormat="1" ht="15.75" customHeight="1" x14ac:dyDescent="0.2">
      <c r="A243" s="18"/>
      <c r="B243" s="19">
        <v>253</v>
      </c>
      <c r="C243" s="19"/>
      <c r="D243" s="19">
        <v>84051</v>
      </c>
      <c r="E243" s="19" t="s">
        <v>1224</v>
      </c>
      <c r="F243" s="93">
        <v>2004</v>
      </c>
      <c r="G243" s="19" t="s">
        <v>711</v>
      </c>
      <c r="H243" s="19"/>
      <c r="I243" s="19" t="s">
        <v>41</v>
      </c>
      <c r="J243" s="19" t="s">
        <v>89</v>
      </c>
      <c r="K243" s="19" t="s">
        <v>161</v>
      </c>
      <c r="L243" s="19" t="s">
        <v>82</v>
      </c>
      <c r="M243" s="19" t="s">
        <v>82</v>
      </c>
      <c r="N243" s="19" t="s">
        <v>66</v>
      </c>
      <c r="O243" s="19" t="s">
        <v>160</v>
      </c>
      <c r="P243" s="19" t="s">
        <v>51</v>
      </c>
      <c r="Q243" s="19"/>
      <c r="R243" s="19" t="s">
        <v>81</v>
      </c>
      <c r="S243" s="19" t="s">
        <v>749</v>
      </c>
      <c r="T243" s="19" t="s">
        <v>55</v>
      </c>
      <c r="U243" s="19" t="s">
        <v>55</v>
      </c>
      <c r="V243" s="19" t="s">
        <v>78</v>
      </c>
      <c r="W243" s="19" t="s">
        <v>231</v>
      </c>
      <c r="X243" s="19" t="s">
        <v>46</v>
      </c>
      <c r="Y243" s="29"/>
      <c r="Z243" s="19"/>
      <c r="AA243" s="19"/>
      <c r="AB243" s="19" t="s">
        <v>747</v>
      </c>
      <c r="AC243" s="19" t="s">
        <v>214</v>
      </c>
      <c r="AD243" s="19"/>
      <c r="AE243" s="24">
        <f t="shared" si="72"/>
        <v>190.24288393400002</v>
      </c>
      <c r="AF243" s="24">
        <f t="shared" si="72"/>
        <v>190.24288393400002</v>
      </c>
      <c r="AG243" s="19" t="s">
        <v>1438</v>
      </c>
      <c r="AH243" s="19"/>
      <c r="AI243" s="19"/>
      <c r="AJ243" s="19">
        <v>7.87</v>
      </c>
      <c r="AK243" s="19" t="s">
        <v>730</v>
      </c>
      <c r="AL243" s="19"/>
      <c r="AM243" s="19" t="s">
        <v>234</v>
      </c>
      <c r="AN243" s="19" t="s">
        <v>234</v>
      </c>
      <c r="AO243" s="19" t="s">
        <v>235</v>
      </c>
      <c r="AP243" s="94">
        <v>0.3</v>
      </c>
      <c r="AQ243" s="19" t="s">
        <v>101</v>
      </c>
      <c r="AR243" s="19" t="s">
        <v>241</v>
      </c>
      <c r="AS243" s="19"/>
      <c r="AT243" s="65" t="str">
        <f t="shared" si="59"/>
        <v>Y</v>
      </c>
      <c r="AU243" s="65" t="str">
        <f t="shared" si="63"/>
        <v>Y</v>
      </c>
      <c r="AV243" s="65" t="str">
        <f t="shared" si="71"/>
        <v>Y</v>
      </c>
      <c r="AW243" s="99"/>
      <c r="AX243" s="99"/>
      <c r="AY243" s="19"/>
      <c r="AZ243" s="96" t="str">
        <f t="shared" si="64"/>
        <v>LOEC</v>
      </c>
      <c r="BA243" s="96">
        <f>IF(AZ243="n","n",VLOOKUP(AZ243,'Conversion factors'!$C$4:$D$24,2,FALSE))</f>
        <v>2.5</v>
      </c>
      <c r="BB243" s="96">
        <f t="shared" si="65"/>
        <v>924</v>
      </c>
      <c r="BC243" s="97"/>
      <c r="BD243" s="96" t="str">
        <f t="shared" si="60"/>
        <v>Chronic</v>
      </c>
      <c r="BE243" s="96" t="str">
        <f t="shared" si="66"/>
        <v>y</v>
      </c>
      <c r="BF243" s="98" t="str">
        <f t="shared" si="61"/>
        <v>LOEC</v>
      </c>
      <c r="BG243" s="96" t="str">
        <f>IF(BF243="","",IF(ISNUMBER(VLOOKUP(BF243,'Conversion factors'!$B$35:$C$52,2,FALSE)),"y","n"))</f>
        <v>n</v>
      </c>
      <c r="BH243" s="99" t="s">
        <v>1464</v>
      </c>
    </row>
    <row r="244" spans="1:60" s="103" customFormat="1" ht="15.75" customHeight="1" x14ac:dyDescent="0.2">
      <c r="A244" s="18"/>
      <c r="B244" s="19">
        <v>253</v>
      </c>
      <c r="C244" s="19"/>
      <c r="D244" s="19">
        <v>84051</v>
      </c>
      <c r="E244" s="19" t="s">
        <v>1224</v>
      </c>
      <c r="F244" s="93">
        <v>2004</v>
      </c>
      <c r="G244" s="19" t="s">
        <v>711</v>
      </c>
      <c r="H244" s="19"/>
      <c r="I244" s="19" t="s">
        <v>41</v>
      </c>
      <c r="J244" s="19" t="s">
        <v>89</v>
      </c>
      <c r="K244" s="19" t="s">
        <v>161</v>
      </c>
      <c r="L244" s="19" t="s">
        <v>82</v>
      </c>
      <c r="M244" s="19" t="s">
        <v>82</v>
      </c>
      <c r="N244" s="19" t="s">
        <v>66</v>
      </c>
      <c r="O244" s="19" t="s">
        <v>160</v>
      </c>
      <c r="P244" s="19" t="s">
        <v>51</v>
      </c>
      <c r="Q244" s="19"/>
      <c r="R244" s="19" t="s">
        <v>237</v>
      </c>
      <c r="S244" s="19" t="s">
        <v>414</v>
      </c>
      <c r="T244" s="19" t="s">
        <v>54</v>
      </c>
      <c r="U244" s="19" t="s">
        <v>54</v>
      </c>
      <c r="V244" s="19" t="s">
        <v>78</v>
      </c>
      <c r="W244" s="19" t="s">
        <v>231</v>
      </c>
      <c r="X244" s="19" t="s">
        <v>46</v>
      </c>
      <c r="Y244" s="29"/>
      <c r="Z244" s="19"/>
      <c r="AA244" s="19"/>
      <c r="AB244" s="19" t="s">
        <v>780</v>
      </c>
      <c r="AC244" s="19" t="s">
        <v>214</v>
      </c>
      <c r="AD244" s="19"/>
      <c r="AE244" s="24">
        <f t="shared" si="72"/>
        <v>190.24288393400002</v>
      </c>
      <c r="AF244" s="24">
        <f t="shared" si="72"/>
        <v>190.24288393400002</v>
      </c>
      <c r="AG244" s="19" t="s">
        <v>1434</v>
      </c>
      <c r="AH244" s="19"/>
      <c r="AI244" s="19"/>
      <c r="AJ244" s="19">
        <v>7.87</v>
      </c>
      <c r="AK244" s="19" t="s">
        <v>730</v>
      </c>
      <c r="AL244" s="19"/>
      <c r="AM244" s="19"/>
      <c r="AN244" s="19" t="s">
        <v>234</v>
      </c>
      <c r="AO244" s="19" t="s">
        <v>235</v>
      </c>
      <c r="AP244" s="94">
        <v>0.3</v>
      </c>
      <c r="AQ244" s="19" t="s">
        <v>101</v>
      </c>
      <c r="AR244" s="19" t="s">
        <v>241</v>
      </c>
      <c r="AS244" s="19"/>
      <c r="AT244" s="65" t="str">
        <f t="shared" si="59"/>
        <v>Y</v>
      </c>
      <c r="AU244" s="65" t="str">
        <f t="shared" si="63"/>
        <v>Y</v>
      </c>
      <c r="AV244" s="65" t="str">
        <f t="shared" si="71"/>
        <v>Y</v>
      </c>
      <c r="AW244" s="99"/>
      <c r="AX244" s="99"/>
      <c r="AY244" s="19"/>
      <c r="AZ244" s="96" t="str">
        <f t="shared" si="64"/>
        <v>NOEC</v>
      </c>
      <c r="BA244" s="96">
        <f>IF(AZ244="n","n",VLOOKUP(AZ244,'Conversion factors'!$C$4:$D$24,2,FALSE))</f>
        <v>1</v>
      </c>
      <c r="BB244" s="96">
        <f t="shared" si="65"/>
        <v>974</v>
      </c>
      <c r="BC244" s="97"/>
      <c r="BD244" s="96" t="str">
        <f t="shared" si="60"/>
        <v>Chronic</v>
      </c>
      <c r="BE244" s="96" t="str">
        <f t="shared" si="66"/>
        <v>y</v>
      </c>
      <c r="BF244" s="98" t="str">
        <f t="shared" si="61"/>
        <v>NOEC</v>
      </c>
      <c r="BG244" s="96" t="str">
        <f>IF(BF244="","",IF(ISNUMBER(VLOOKUP(BF244,'Conversion factors'!$B$35:$C$52,2,FALSE)),"y","n"))</f>
        <v>y</v>
      </c>
      <c r="BH244" s="99" t="s">
        <v>1466</v>
      </c>
    </row>
    <row r="245" spans="1:60" s="103" customFormat="1" ht="15.75" customHeight="1" x14ac:dyDescent="0.2">
      <c r="A245" s="18"/>
      <c r="B245" s="19">
        <v>253</v>
      </c>
      <c r="C245" s="19"/>
      <c r="D245" s="19">
        <v>84051</v>
      </c>
      <c r="E245" s="19" t="s">
        <v>1224</v>
      </c>
      <c r="F245" s="93">
        <v>2004</v>
      </c>
      <c r="G245" s="19" t="s">
        <v>711</v>
      </c>
      <c r="H245" s="19"/>
      <c r="I245" s="19" t="s">
        <v>41</v>
      </c>
      <c r="J245" s="19" t="s">
        <v>89</v>
      </c>
      <c r="K245" s="19" t="s">
        <v>161</v>
      </c>
      <c r="L245" s="99" t="s">
        <v>82</v>
      </c>
      <c r="M245" s="19" t="s">
        <v>82</v>
      </c>
      <c r="N245" s="19" t="s">
        <v>66</v>
      </c>
      <c r="O245" s="19" t="s">
        <v>160</v>
      </c>
      <c r="P245" s="19" t="s">
        <v>51</v>
      </c>
      <c r="Q245" s="19"/>
      <c r="R245" s="19" t="s">
        <v>81</v>
      </c>
      <c r="S245" s="19" t="s">
        <v>749</v>
      </c>
      <c r="T245" s="19" t="s">
        <v>54</v>
      </c>
      <c r="U245" s="19" t="s">
        <v>54</v>
      </c>
      <c r="V245" s="19" t="s">
        <v>78</v>
      </c>
      <c r="W245" s="19" t="s">
        <v>231</v>
      </c>
      <c r="X245" s="19" t="s">
        <v>46</v>
      </c>
      <c r="Y245" s="29"/>
      <c r="Z245" s="19"/>
      <c r="AA245" s="19"/>
      <c r="AB245" s="19" t="s">
        <v>780</v>
      </c>
      <c r="AC245" s="19" t="s">
        <v>214</v>
      </c>
      <c r="AD245" s="19"/>
      <c r="AE245" s="24">
        <f t="shared" si="72"/>
        <v>190.24288393400002</v>
      </c>
      <c r="AF245" s="24">
        <f t="shared" si="72"/>
        <v>190.24288393400002</v>
      </c>
      <c r="AG245" s="19" t="s">
        <v>1451</v>
      </c>
      <c r="AH245" s="19"/>
      <c r="AI245" s="19"/>
      <c r="AJ245" s="19">
        <v>7.87</v>
      </c>
      <c r="AK245" s="19" t="s">
        <v>730</v>
      </c>
      <c r="AL245" s="19"/>
      <c r="AM245" s="19"/>
      <c r="AN245" s="19" t="s">
        <v>234</v>
      </c>
      <c r="AO245" s="19" t="s">
        <v>235</v>
      </c>
      <c r="AP245" s="94">
        <v>0.3</v>
      </c>
      <c r="AQ245" s="19" t="s">
        <v>101</v>
      </c>
      <c r="AR245" s="19" t="s">
        <v>241</v>
      </c>
      <c r="AS245" s="19"/>
      <c r="AT245" s="65" t="str">
        <f t="shared" si="59"/>
        <v>Y</v>
      </c>
      <c r="AU245" s="65" t="str">
        <f t="shared" si="63"/>
        <v>Y</v>
      </c>
      <c r="AV245" s="65" t="str">
        <f t="shared" si="71"/>
        <v>Y</v>
      </c>
      <c r="AW245" s="99"/>
      <c r="AX245" s="99"/>
      <c r="AY245" s="19"/>
      <c r="AZ245" s="96" t="str">
        <f t="shared" si="64"/>
        <v>NOEC</v>
      </c>
      <c r="BA245" s="96">
        <f>IF(AZ245="n","n",VLOOKUP(AZ245,'Conversion factors'!$C$4:$D$24,2,FALSE))</f>
        <v>1</v>
      </c>
      <c r="BB245" s="96">
        <f t="shared" si="65"/>
        <v>974</v>
      </c>
      <c r="BC245" s="97"/>
      <c r="BD245" s="96" t="str">
        <f t="shared" si="60"/>
        <v>Chronic</v>
      </c>
      <c r="BE245" s="96" t="str">
        <f t="shared" si="66"/>
        <v>y</v>
      </c>
      <c r="BF245" s="98" t="str">
        <f t="shared" si="61"/>
        <v>NOEC</v>
      </c>
      <c r="BG245" s="96" t="str">
        <f>IF(BF245="","",IF(ISNUMBER(VLOOKUP(BF245,'Conversion factors'!$B$35:$C$52,2,FALSE)),"y","n"))</f>
        <v>y</v>
      </c>
      <c r="BH245" s="99" t="s">
        <v>1505</v>
      </c>
    </row>
    <row r="246" spans="1:60" s="103" customFormat="1" ht="15.75" customHeight="1" x14ac:dyDescent="0.2">
      <c r="A246" s="18"/>
      <c r="B246" s="19">
        <v>254</v>
      </c>
      <c r="C246" s="19"/>
      <c r="D246" s="19">
        <v>84052</v>
      </c>
      <c r="E246" s="19" t="s">
        <v>1224</v>
      </c>
      <c r="F246" s="93">
        <v>2005</v>
      </c>
      <c r="G246" s="19" t="s">
        <v>785</v>
      </c>
      <c r="H246" s="19"/>
      <c r="I246" s="19" t="s">
        <v>41</v>
      </c>
      <c r="J246" s="19" t="s">
        <v>89</v>
      </c>
      <c r="K246" s="19" t="s">
        <v>161</v>
      </c>
      <c r="L246" s="19" t="s">
        <v>82</v>
      </c>
      <c r="M246" s="19" t="s">
        <v>82</v>
      </c>
      <c r="N246" s="19" t="s">
        <v>66</v>
      </c>
      <c r="O246" s="19" t="s">
        <v>160</v>
      </c>
      <c r="P246" s="19" t="s">
        <v>51</v>
      </c>
      <c r="Q246" s="19"/>
      <c r="R246" s="19" t="s">
        <v>81</v>
      </c>
      <c r="S246" s="19" t="s">
        <v>858</v>
      </c>
      <c r="T246" s="19" t="s">
        <v>54</v>
      </c>
      <c r="U246" s="19" t="s">
        <v>54</v>
      </c>
      <c r="V246" s="19" t="s">
        <v>78</v>
      </c>
      <c r="W246" s="19" t="s">
        <v>231</v>
      </c>
      <c r="X246" s="19" t="s">
        <v>46</v>
      </c>
      <c r="Y246" s="29"/>
      <c r="Z246" s="19"/>
      <c r="AA246" s="19"/>
      <c r="AB246" s="19" t="s">
        <v>859</v>
      </c>
      <c r="AC246" s="19" t="s">
        <v>214</v>
      </c>
      <c r="AD246" s="19"/>
      <c r="AE246" s="24">
        <f>9.54*2.497+1.06*4.118</f>
        <v>28.186459999999997</v>
      </c>
      <c r="AF246" s="24">
        <f>9.54*2.497+1.06*4.118</f>
        <v>28.186459999999997</v>
      </c>
      <c r="AG246" s="19" t="s">
        <v>235</v>
      </c>
      <c r="AH246" s="19"/>
      <c r="AI246" s="19"/>
      <c r="AJ246" s="19">
        <v>6.8</v>
      </c>
      <c r="AK246" s="19" t="s">
        <v>543</v>
      </c>
      <c r="AL246" s="19"/>
      <c r="AM246" s="19" t="s">
        <v>234</v>
      </c>
      <c r="AN246" s="19" t="s">
        <v>850</v>
      </c>
      <c r="AO246" s="19" t="s">
        <v>270</v>
      </c>
      <c r="AP246" s="94">
        <v>3.92</v>
      </c>
      <c r="AQ246" s="19" t="s">
        <v>101</v>
      </c>
      <c r="AR246" s="19" t="s">
        <v>241</v>
      </c>
      <c r="AS246" s="19"/>
      <c r="AT246" s="65" t="str">
        <f t="shared" si="59"/>
        <v>Y</v>
      </c>
      <c r="AU246" s="65" t="str">
        <f t="shared" si="63"/>
        <v>Y</v>
      </c>
      <c r="AV246" s="65" t="s">
        <v>162</v>
      </c>
      <c r="AW246" s="99" t="s">
        <v>1406</v>
      </c>
      <c r="AX246" s="99"/>
      <c r="AY246" s="19"/>
      <c r="AZ246" s="96" t="str">
        <f t="shared" si="64"/>
        <v>n</v>
      </c>
      <c r="BA246" s="96" t="str">
        <f>IF(AZ246="n","n",VLOOKUP(AZ246,'Conversion factors'!$C$4:$D$24,2,FALSE))</f>
        <v>n</v>
      </c>
      <c r="BB246" s="96" t="str">
        <f t="shared" si="65"/>
        <v>n</v>
      </c>
      <c r="BC246" s="97"/>
      <c r="BD246" s="96" t="str">
        <f t="shared" si="60"/>
        <v>n</v>
      </c>
      <c r="BE246" s="96" t="str">
        <f t="shared" si="66"/>
        <v>n</v>
      </c>
      <c r="BF246" s="98" t="str">
        <f t="shared" si="61"/>
        <v/>
      </c>
      <c r="BG246" s="96" t="str">
        <f>IF(BF246="","",IF(ISNUMBER(VLOOKUP(BF246,'Conversion factors'!$B$35:$C$52,2,FALSE)),"y","n"))</f>
        <v/>
      </c>
      <c r="BH246" s="99" t="s">
        <v>1466</v>
      </c>
    </row>
    <row r="247" spans="1:60" s="103" customFormat="1" ht="15.75" customHeight="1" x14ac:dyDescent="0.2">
      <c r="A247" s="18"/>
      <c r="B247" s="19">
        <v>254</v>
      </c>
      <c r="C247" s="19"/>
      <c r="D247" s="19">
        <v>84052</v>
      </c>
      <c r="E247" s="19" t="s">
        <v>1224</v>
      </c>
      <c r="F247" s="93">
        <v>2005</v>
      </c>
      <c r="G247" s="19" t="s">
        <v>785</v>
      </c>
      <c r="H247" s="19"/>
      <c r="I247" s="19" t="s">
        <v>41</v>
      </c>
      <c r="J247" s="19" t="s">
        <v>89</v>
      </c>
      <c r="K247" s="19" t="s">
        <v>161</v>
      </c>
      <c r="L247" s="19" t="s">
        <v>82</v>
      </c>
      <c r="M247" s="19" t="s">
        <v>82</v>
      </c>
      <c r="N247" s="19" t="s">
        <v>66</v>
      </c>
      <c r="O247" s="19" t="s">
        <v>160</v>
      </c>
      <c r="P247" s="19" t="s">
        <v>51</v>
      </c>
      <c r="Q247" s="19"/>
      <c r="R247" s="19" t="s">
        <v>81</v>
      </c>
      <c r="S247" s="19" t="s">
        <v>749</v>
      </c>
      <c r="T247" s="19" t="s">
        <v>54</v>
      </c>
      <c r="U247" s="19" t="s">
        <v>54</v>
      </c>
      <c r="V247" s="19" t="s">
        <v>78</v>
      </c>
      <c r="W247" s="19" t="s">
        <v>231</v>
      </c>
      <c r="X247" s="19" t="s">
        <v>46</v>
      </c>
      <c r="Y247" s="29"/>
      <c r="Z247" s="19"/>
      <c r="AA247" s="19"/>
      <c r="AB247" s="19" t="s">
        <v>606</v>
      </c>
      <c r="AC247" s="19" t="s">
        <v>214</v>
      </c>
      <c r="AD247" s="19"/>
      <c r="AE247" s="24">
        <f>7.09*2.497+1.38*4.118</f>
        <v>23.386569999999999</v>
      </c>
      <c r="AF247" s="24">
        <f>7.09*2.497+1.38*4.118</f>
        <v>23.386569999999999</v>
      </c>
      <c r="AG247" s="19" t="s">
        <v>235</v>
      </c>
      <c r="AH247" s="19"/>
      <c r="AI247" s="19"/>
      <c r="AJ247" s="19">
        <v>6.15</v>
      </c>
      <c r="AK247" s="19" t="s">
        <v>841</v>
      </c>
      <c r="AL247" s="19"/>
      <c r="AM247" s="19" t="s">
        <v>234</v>
      </c>
      <c r="AN247" s="19" t="s">
        <v>842</v>
      </c>
      <c r="AO247" s="19" t="s">
        <v>270</v>
      </c>
      <c r="AP247" s="94">
        <v>4.25</v>
      </c>
      <c r="AQ247" s="19" t="s">
        <v>101</v>
      </c>
      <c r="AR247" s="19" t="s">
        <v>241</v>
      </c>
      <c r="AS247" s="19"/>
      <c r="AT247" s="65" t="str">
        <f t="shared" si="59"/>
        <v>Y</v>
      </c>
      <c r="AU247" s="65" t="str">
        <f t="shared" si="63"/>
        <v>Y</v>
      </c>
      <c r="AV247" s="65" t="s">
        <v>162</v>
      </c>
      <c r="AW247" s="99" t="s">
        <v>1405</v>
      </c>
      <c r="AX247" s="99"/>
      <c r="AY247" s="19"/>
      <c r="AZ247" s="96" t="str">
        <f t="shared" si="64"/>
        <v>n</v>
      </c>
      <c r="BA247" s="96" t="str">
        <f>IF(AZ247="n","n",VLOOKUP(AZ247,'Conversion factors'!$C$4:$D$24,2,FALSE))</f>
        <v>n</v>
      </c>
      <c r="BB247" s="96" t="str">
        <f t="shared" si="65"/>
        <v>n</v>
      </c>
      <c r="BC247" s="97"/>
      <c r="BD247" s="96" t="str">
        <f t="shared" si="60"/>
        <v>n</v>
      </c>
      <c r="BE247" s="96" t="str">
        <f t="shared" si="66"/>
        <v>n</v>
      </c>
      <c r="BF247" s="98" t="str">
        <f t="shared" si="61"/>
        <v/>
      </c>
      <c r="BG247" s="96" t="str">
        <f>IF(BF247="","",IF(ISNUMBER(VLOOKUP(BF247,'Conversion factors'!$B$35:$C$52,2,FALSE)),"y","n"))</f>
        <v/>
      </c>
      <c r="BH247" s="99" t="s">
        <v>1466</v>
      </c>
    </row>
    <row r="248" spans="1:60" s="103" customFormat="1" ht="15.75" customHeight="1" x14ac:dyDescent="0.2">
      <c r="A248" s="18"/>
      <c r="B248" s="19">
        <v>254</v>
      </c>
      <c r="C248" s="19"/>
      <c r="D248" s="19">
        <v>84052</v>
      </c>
      <c r="E248" s="19" t="s">
        <v>1224</v>
      </c>
      <c r="F248" s="93">
        <v>2005</v>
      </c>
      <c r="G248" s="19" t="s">
        <v>785</v>
      </c>
      <c r="H248" s="19"/>
      <c r="I248" s="19" t="s">
        <v>41</v>
      </c>
      <c r="J248" s="19" t="s">
        <v>89</v>
      </c>
      <c r="K248" s="19" t="s">
        <v>161</v>
      </c>
      <c r="L248" s="19" t="s">
        <v>82</v>
      </c>
      <c r="M248" s="19" t="s">
        <v>82</v>
      </c>
      <c r="N248" s="19" t="s">
        <v>66</v>
      </c>
      <c r="O248" s="19" t="s">
        <v>160</v>
      </c>
      <c r="P248" s="19" t="s">
        <v>51</v>
      </c>
      <c r="Q248" s="19"/>
      <c r="R248" s="19" t="s">
        <v>81</v>
      </c>
      <c r="S248" s="19" t="s">
        <v>749</v>
      </c>
      <c r="T248" s="19" t="s">
        <v>54</v>
      </c>
      <c r="U248" s="19" t="s">
        <v>54</v>
      </c>
      <c r="V248" s="19" t="s">
        <v>78</v>
      </c>
      <c r="W248" s="19" t="s">
        <v>231</v>
      </c>
      <c r="X248" s="19" t="s">
        <v>46</v>
      </c>
      <c r="Y248" s="29"/>
      <c r="Z248" s="19"/>
      <c r="AA248" s="19"/>
      <c r="AB248" s="19" t="s">
        <v>860</v>
      </c>
      <c r="AC248" s="19" t="s">
        <v>214</v>
      </c>
      <c r="AD248" s="19"/>
      <c r="AE248" s="24">
        <f>8.05*2.497+2.77*4.118</f>
        <v>31.507710000000003</v>
      </c>
      <c r="AF248" s="24">
        <f>8.05*2.497+2.77*4.118</f>
        <v>31.507710000000003</v>
      </c>
      <c r="AG248" s="19" t="s">
        <v>235</v>
      </c>
      <c r="AH248" s="19"/>
      <c r="AI248" s="19"/>
      <c r="AJ248" s="19">
        <v>7.08</v>
      </c>
      <c r="AK248" s="19" t="s">
        <v>852</v>
      </c>
      <c r="AL248" s="19"/>
      <c r="AM248" s="19" t="s">
        <v>234</v>
      </c>
      <c r="AN248" s="19" t="s">
        <v>853</v>
      </c>
      <c r="AO248" s="19" t="s">
        <v>270</v>
      </c>
      <c r="AP248" s="94">
        <v>2.84</v>
      </c>
      <c r="AQ248" s="19" t="s">
        <v>101</v>
      </c>
      <c r="AR248" s="19" t="s">
        <v>241</v>
      </c>
      <c r="AS248" s="19"/>
      <c r="AT248" s="65" t="str">
        <f t="shared" si="59"/>
        <v>Y</v>
      </c>
      <c r="AU248" s="65" t="str">
        <f t="shared" si="63"/>
        <v>Y</v>
      </c>
      <c r="AV248" s="65" t="s">
        <v>162</v>
      </c>
      <c r="AW248" s="99" t="s">
        <v>1406</v>
      </c>
      <c r="AX248" s="99"/>
      <c r="AY248" s="19"/>
      <c r="AZ248" s="96" t="str">
        <f t="shared" si="64"/>
        <v>n</v>
      </c>
      <c r="BA248" s="96" t="str">
        <f>IF(AZ248="n","n",VLOOKUP(AZ248,'Conversion factors'!$C$4:$D$24,2,FALSE))</f>
        <v>n</v>
      </c>
      <c r="BB248" s="96" t="str">
        <f t="shared" si="65"/>
        <v>n</v>
      </c>
      <c r="BC248" s="97"/>
      <c r="BD248" s="96" t="str">
        <f t="shared" si="60"/>
        <v>n</v>
      </c>
      <c r="BE248" s="96" t="str">
        <f t="shared" si="66"/>
        <v>n</v>
      </c>
      <c r="BF248" s="98" t="str">
        <f t="shared" si="61"/>
        <v/>
      </c>
      <c r="BG248" s="96" t="str">
        <f>IF(BF248="","",IF(ISNUMBER(VLOOKUP(BF248,'Conversion factors'!$B$35:$C$52,2,FALSE)),"y","n"))</f>
        <v/>
      </c>
      <c r="BH248" s="99" t="s">
        <v>1466</v>
      </c>
    </row>
    <row r="249" spans="1:60" s="103" customFormat="1" ht="15.75" customHeight="1" x14ac:dyDescent="0.2">
      <c r="A249" s="18"/>
      <c r="B249" s="19">
        <v>254</v>
      </c>
      <c r="C249" s="19"/>
      <c r="D249" s="19">
        <v>84052</v>
      </c>
      <c r="E249" s="19" t="s">
        <v>1224</v>
      </c>
      <c r="F249" s="93">
        <v>2005</v>
      </c>
      <c r="G249" s="19" t="s">
        <v>785</v>
      </c>
      <c r="H249" s="19"/>
      <c r="I249" s="19" t="s">
        <v>41</v>
      </c>
      <c r="J249" s="19" t="s">
        <v>89</v>
      </c>
      <c r="K249" s="19" t="s">
        <v>161</v>
      </c>
      <c r="L249" s="19" t="s">
        <v>82</v>
      </c>
      <c r="M249" s="19" t="s">
        <v>82</v>
      </c>
      <c r="N249" s="19" t="s">
        <v>66</v>
      </c>
      <c r="O249" s="19" t="s">
        <v>160</v>
      </c>
      <c r="P249" s="19" t="s">
        <v>51</v>
      </c>
      <c r="Q249" s="19"/>
      <c r="R249" s="19" t="s">
        <v>81</v>
      </c>
      <c r="S249" s="19" t="s">
        <v>749</v>
      </c>
      <c r="T249" s="19" t="s">
        <v>54</v>
      </c>
      <c r="U249" s="19" t="s">
        <v>54</v>
      </c>
      <c r="V249" s="19" t="s">
        <v>78</v>
      </c>
      <c r="W249" s="19" t="s">
        <v>231</v>
      </c>
      <c r="X249" s="19" t="s">
        <v>46</v>
      </c>
      <c r="Y249" s="29"/>
      <c r="Z249" s="19"/>
      <c r="AA249" s="19"/>
      <c r="AB249" s="19" t="s">
        <v>861</v>
      </c>
      <c r="AC249" s="19" t="s">
        <v>214</v>
      </c>
      <c r="AD249" s="19"/>
      <c r="AE249" s="24">
        <f>32*2.497+5.77*4.118</f>
        <v>103.66486</v>
      </c>
      <c r="AF249" s="24">
        <f>32*2.497+5.77*4.118</f>
        <v>103.66486</v>
      </c>
      <c r="AG249" s="19" t="s">
        <v>235</v>
      </c>
      <c r="AH249" s="19"/>
      <c r="AI249" s="19"/>
      <c r="AJ249" s="19">
        <v>7.76</v>
      </c>
      <c r="AK249" s="19" t="s">
        <v>844</v>
      </c>
      <c r="AL249" s="19"/>
      <c r="AM249" s="19" t="s">
        <v>234</v>
      </c>
      <c r="AN249" s="19" t="s">
        <v>845</v>
      </c>
      <c r="AO249" s="19" t="s">
        <v>270</v>
      </c>
      <c r="AP249" s="94">
        <v>22.9</v>
      </c>
      <c r="AQ249" s="19" t="s">
        <v>101</v>
      </c>
      <c r="AR249" s="19" t="s">
        <v>241</v>
      </c>
      <c r="AS249" s="19"/>
      <c r="AT249" s="65" t="str">
        <f t="shared" si="59"/>
        <v>Y</v>
      </c>
      <c r="AU249" s="65" t="str">
        <f t="shared" si="63"/>
        <v>Y</v>
      </c>
      <c r="AV249" s="65" t="s">
        <v>162</v>
      </c>
      <c r="AW249" s="99" t="s">
        <v>1406</v>
      </c>
      <c r="AX249" s="99"/>
      <c r="AY249" s="19"/>
      <c r="AZ249" s="96" t="str">
        <f t="shared" si="64"/>
        <v>n</v>
      </c>
      <c r="BA249" s="96" t="str">
        <f>IF(AZ249="n","n",VLOOKUP(AZ249,'Conversion factors'!$C$4:$D$24,2,FALSE))</f>
        <v>n</v>
      </c>
      <c r="BB249" s="96" t="str">
        <f t="shared" si="65"/>
        <v>n</v>
      </c>
      <c r="BC249" s="97"/>
      <c r="BD249" s="96" t="str">
        <f t="shared" si="60"/>
        <v>n</v>
      </c>
      <c r="BE249" s="96" t="str">
        <f t="shared" si="66"/>
        <v>n</v>
      </c>
      <c r="BF249" s="98" t="str">
        <f t="shared" si="61"/>
        <v/>
      </c>
      <c r="BG249" s="96" t="str">
        <f>IF(BF249="","",IF(ISNUMBER(VLOOKUP(BF249,'Conversion factors'!$B$35:$C$52,2,FALSE)),"y","n"))</f>
        <v/>
      </c>
      <c r="BH249" s="99" t="s">
        <v>1466</v>
      </c>
    </row>
    <row r="250" spans="1:60" s="103" customFormat="1" ht="15.75" customHeight="1" x14ac:dyDescent="0.2">
      <c r="A250" s="18"/>
      <c r="B250" s="19">
        <v>254</v>
      </c>
      <c r="C250" s="19"/>
      <c r="D250" s="19">
        <v>84052</v>
      </c>
      <c r="E250" s="19" t="s">
        <v>1224</v>
      </c>
      <c r="F250" s="93">
        <v>2005</v>
      </c>
      <c r="G250" s="19" t="s">
        <v>785</v>
      </c>
      <c r="H250" s="19"/>
      <c r="I250" s="19" t="s">
        <v>41</v>
      </c>
      <c r="J250" s="19" t="s">
        <v>89</v>
      </c>
      <c r="K250" s="19" t="s">
        <v>161</v>
      </c>
      <c r="L250" s="19" t="s">
        <v>82</v>
      </c>
      <c r="M250" s="19" t="s">
        <v>82</v>
      </c>
      <c r="N250" s="19" t="s">
        <v>66</v>
      </c>
      <c r="O250" s="19" t="s">
        <v>160</v>
      </c>
      <c r="P250" s="19" t="s">
        <v>51</v>
      </c>
      <c r="Q250" s="19"/>
      <c r="R250" s="19" t="s">
        <v>81</v>
      </c>
      <c r="S250" s="19" t="s">
        <v>749</v>
      </c>
      <c r="T250" s="19" t="s">
        <v>54</v>
      </c>
      <c r="U250" s="19" t="s">
        <v>54</v>
      </c>
      <c r="V250" s="19" t="s">
        <v>78</v>
      </c>
      <c r="W250" s="19" t="s">
        <v>231</v>
      </c>
      <c r="X250" s="19" t="s">
        <v>46</v>
      </c>
      <c r="Y250" s="29"/>
      <c r="Z250" s="19"/>
      <c r="AA250" s="19"/>
      <c r="AB250" s="19" t="s">
        <v>862</v>
      </c>
      <c r="AC250" s="19" t="s">
        <v>214</v>
      </c>
      <c r="AD250" s="19"/>
      <c r="AE250" s="24">
        <f>49*2.497+13.1*4.118</f>
        <v>176.2988</v>
      </c>
      <c r="AF250" s="24">
        <f>49*2.497+13.1*4.118</f>
        <v>176.2988</v>
      </c>
      <c r="AG250" s="19" t="s">
        <v>235</v>
      </c>
      <c r="AH250" s="19"/>
      <c r="AI250" s="19"/>
      <c r="AJ250" s="19">
        <v>8.1300000000000008</v>
      </c>
      <c r="AK250" s="19" t="s">
        <v>847</v>
      </c>
      <c r="AL250" s="19"/>
      <c r="AM250" s="19" t="s">
        <v>234</v>
      </c>
      <c r="AN250" s="19" t="s">
        <v>848</v>
      </c>
      <c r="AO250" s="19" t="s">
        <v>270</v>
      </c>
      <c r="AP250" s="94">
        <v>6.22</v>
      </c>
      <c r="AQ250" s="19" t="s">
        <v>101</v>
      </c>
      <c r="AR250" s="19" t="s">
        <v>241</v>
      </c>
      <c r="AS250" s="19"/>
      <c r="AT250" s="65" t="str">
        <f t="shared" si="59"/>
        <v>Y</v>
      </c>
      <c r="AU250" s="65" t="str">
        <f t="shared" si="63"/>
        <v>Y</v>
      </c>
      <c r="AV250" s="65" t="s">
        <v>162</v>
      </c>
      <c r="AW250" s="99" t="s">
        <v>1405</v>
      </c>
      <c r="AX250" s="99"/>
      <c r="AY250" s="19"/>
      <c r="AZ250" s="96" t="str">
        <f t="shared" si="64"/>
        <v>n</v>
      </c>
      <c r="BA250" s="96" t="str">
        <f>IF(AZ250="n","n",VLOOKUP(AZ250,'Conversion factors'!$C$4:$D$24,2,FALSE))</f>
        <v>n</v>
      </c>
      <c r="BB250" s="96" t="str">
        <f t="shared" si="65"/>
        <v>n</v>
      </c>
      <c r="BC250" s="97"/>
      <c r="BD250" s="96" t="str">
        <f t="shared" si="60"/>
        <v>n</v>
      </c>
      <c r="BE250" s="96" t="str">
        <f t="shared" si="66"/>
        <v>n</v>
      </c>
      <c r="BF250" s="98" t="str">
        <f t="shared" si="61"/>
        <v/>
      </c>
      <c r="BG250" s="96" t="str">
        <f>IF(BF250="","",IF(ISNUMBER(VLOOKUP(BF250,'Conversion factors'!$B$35:$C$52,2,FALSE)),"y","n"))</f>
        <v/>
      </c>
      <c r="BH250" s="99" t="s">
        <v>1466</v>
      </c>
    </row>
    <row r="251" spans="1:60" s="103" customFormat="1" ht="15.75" customHeight="1" x14ac:dyDescent="0.2">
      <c r="A251" s="18"/>
      <c r="B251" s="19">
        <v>254</v>
      </c>
      <c r="C251" s="19"/>
      <c r="D251" s="19">
        <v>84052</v>
      </c>
      <c r="E251" s="19" t="s">
        <v>1224</v>
      </c>
      <c r="F251" s="93">
        <v>2005</v>
      </c>
      <c r="G251" s="19" t="s">
        <v>785</v>
      </c>
      <c r="H251" s="19"/>
      <c r="I251" s="19" t="s">
        <v>41</v>
      </c>
      <c r="J251" s="19" t="s">
        <v>89</v>
      </c>
      <c r="K251" s="19" t="s">
        <v>161</v>
      </c>
      <c r="L251" s="19" t="s">
        <v>82</v>
      </c>
      <c r="M251" s="19" t="s">
        <v>82</v>
      </c>
      <c r="N251" s="19" t="s">
        <v>66</v>
      </c>
      <c r="O251" s="19" t="s">
        <v>160</v>
      </c>
      <c r="P251" s="19" t="s">
        <v>51</v>
      </c>
      <c r="Q251" s="19"/>
      <c r="R251" s="19" t="s">
        <v>237</v>
      </c>
      <c r="S251" s="19" t="s">
        <v>79</v>
      </c>
      <c r="T251" s="19" t="s">
        <v>174</v>
      </c>
      <c r="U251" s="19" t="s">
        <v>49</v>
      </c>
      <c r="V251" s="19" t="s">
        <v>78</v>
      </c>
      <c r="W251" s="19" t="s">
        <v>231</v>
      </c>
      <c r="X251" s="19" t="s">
        <v>46</v>
      </c>
      <c r="Y251" s="29"/>
      <c r="Z251" s="19"/>
      <c r="AA251" s="19"/>
      <c r="AB251" s="19" t="s">
        <v>840</v>
      </c>
      <c r="AC251" s="19" t="s">
        <v>214</v>
      </c>
      <c r="AD251" s="19"/>
      <c r="AE251" s="24">
        <f>7.09*2.497+1.38*4.118</f>
        <v>23.386569999999999</v>
      </c>
      <c r="AF251" s="24">
        <f>7.09*2.497+1.38*4.118</f>
        <v>23.386569999999999</v>
      </c>
      <c r="AG251" s="19" t="s">
        <v>235</v>
      </c>
      <c r="AH251" s="19"/>
      <c r="AI251" s="19"/>
      <c r="AJ251" s="19">
        <v>6.15</v>
      </c>
      <c r="AK251" s="19" t="s">
        <v>841</v>
      </c>
      <c r="AL251" s="19"/>
      <c r="AM251" s="19"/>
      <c r="AN251" s="19" t="s">
        <v>842</v>
      </c>
      <c r="AO251" s="19" t="s">
        <v>270</v>
      </c>
      <c r="AP251" s="94">
        <v>4.25</v>
      </c>
      <c r="AQ251" s="19" t="s">
        <v>101</v>
      </c>
      <c r="AR251" s="19" t="s">
        <v>241</v>
      </c>
      <c r="AS251" s="19"/>
      <c r="AT251" s="65" t="str">
        <f t="shared" si="59"/>
        <v>Y</v>
      </c>
      <c r="AU251" s="65" t="str">
        <f t="shared" si="63"/>
        <v>Y</v>
      </c>
      <c r="AV251" s="65" t="str">
        <f>AU251</f>
        <v>Y</v>
      </c>
      <c r="AW251" s="99"/>
      <c r="AX251" s="99"/>
      <c r="AY251" s="19"/>
      <c r="AZ251" s="96" t="str">
        <f t="shared" si="64"/>
        <v>LC10</v>
      </c>
      <c r="BA251" s="96">
        <f>IF(AZ251="n","n",VLOOKUP(AZ251,'Conversion factors'!$C$4:$D$24,2,FALSE))</f>
        <v>1</v>
      </c>
      <c r="BB251" s="96">
        <f t="shared" si="65"/>
        <v>259</v>
      </c>
      <c r="BC251" s="97"/>
      <c r="BD251" s="96" t="str">
        <f t="shared" si="60"/>
        <v>Chronic</v>
      </c>
      <c r="BE251" s="96" t="str">
        <f t="shared" si="66"/>
        <v>y</v>
      </c>
      <c r="BF251" s="98" t="str">
        <f t="shared" si="61"/>
        <v>LC10</v>
      </c>
      <c r="BG251" s="96" t="str">
        <f>IF(BF251="","",IF(ISNUMBER(VLOOKUP(BF251,'Conversion factors'!$B$35:$C$52,2,FALSE)),"y","n"))</f>
        <v>y</v>
      </c>
      <c r="BH251" s="99"/>
    </row>
    <row r="252" spans="1:60" s="103" customFormat="1" ht="15.75" customHeight="1" x14ac:dyDescent="0.2">
      <c r="A252" s="18"/>
      <c r="B252" s="19">
        <v>254</v>
      </c>
      <c r="C252" s="19"/>
      <c r="D252" s="19">
        <v>84052</v>
      </c>
      <c r="E252" s="19" t="s">
        <v>1224</v>
      </c>
      <c r="F252" s="93">
        <v>2005</v>
      </c>
      <c r="G252" s="19" t="s">
        <v>785</v>
      </c>
      <c r="H252" s="19"/>
      <c r="I252" s="19" t="s">
        <v>41</v>
      </c>
      <c r="J252" s="19" t="s">
        <v>89</v>
      </c>
      <c r="K252" s="19" t="s">
        <v>161</v>
      </c>
      <c r="L252" s="19" t="s">
        <v>82</v>
      </c>
      <c r="M252" s="19" t="s">
        <v>82</v>
      </c>
      <c r="N252" s="19" t="s">
        <v>66</v>
      </c>
      <c r="O252" s="19" t="s">
        <v>160</v>
      </c>
      <c r="P252" s="19" t="s">
        <v>51</v>
      </c>
      <c r="Q252" s="19"/>
      <c r="R252" s="19" t="s">
        <v>237</v>
      </c>
      <c r="S252" s="19" t="s">
        <v>79</v>
      </c>
      <c r="T252" s="19" t="s">
        <v>174</v>
      </c>
      <c r="U252" s="19" t="s">
        <v>49</v>
      </c>
      <c r="V252" s="19" t="s">
        <v>78</v>
      </c>
      <c r="W252" s="19" t="s">
        <v>231</v>
      </c>
      <c r="X252" s="19" t="s">
        <v>46</v>
      </c>
      <c r="Y252" s="29"/>
      <c r="Z252" s="19"/>
      <c r="AA252" s="19"/>
      <c r="AB252" s="19" t="s">
        <v>843</v>
      </c>
      <c r="AC252" s="19" t="s">
        <v>214</v>
      </c>
      <c r="AD252" s="19"/>
      <c r="AE252" s="24">
        <f>32*2.497+5.77*4.118</f>
        <v>103.66486</v>
      </c>
      <c r="AF252" s="24">
        <f>32*2.497+5.77*4.118</f>
        <v>103.66486</v>
      </c>
      <c r="AG252" s="19" t="s">
        <v>235</v>
      </c>
      <c r="AH252" s="19"/>
      <c r="AI252" s="19"/>
      <c r="AJ252" s="19">
        <v>7.76</v>
      </c>
      <c r="AK252" s="19" t="s">
        <v>844</v>
      </c>
      <c r="AL252" s="19"/>
      <c r="AM252" s="19"/>
      <c r="AN252" s="19" t="s">
        <v>845</v>
      </c>
      <c r="AO252" s="19" t="s">
        <v>270</v>
      </c>
      <c r="AP252" s="94">
        <v>22.9</v>
      </c>
      <c r="AQ252" s="19" t="s">
        <v>101</v>
      </c>
      <c r="AR252" s="19" t="s">
        <v>241</v>
      </c>
      <c r="AS252" s="19"/>
      <c r="AT252" s="65" t="str">
        <f t="shared" si="59"/>
        <v>Y</v>
      </c>
      <c r="AU252" s="65" t="str">
        <f t="shared" si="63"/>
        <v>Y</v>
      </c>
      <c r="AV252" s="65" t="str">
        <f t="shared" ref="AV252:AV255" si="73">AU252</f>
        <v>Y</v>
      </c>
      <c r="AW252" s="99"/>
      <c r="AX252" s="99"/>
      <c r="AY252" s="19"/>
      <c r="AZ252" s="96" t="str">
        <f t="shared" si="64"/>
        <v>LC10</v>
      </c>
      <c r="BA252" s="96">
        <f>IF(AZ252="n","n",VLOOKUP(AZ252,'Conversion factors'!$C$4:$D$24,2,FALSE))</f>
        <v>1</v>
      </c>
      <c r="BB252" s="96">
        <f t="shared" si="65"/>
        <v>902</v>
      </c>
      <c r="BC252" s="97"/>
      <c r="BD252" s="96" t="str">
        <f t="shared" si="60"/>
        <v>Chronic</v>
      </c>
      <c r="BE252" s="96" t="str">
        <f t="shared" si="66"/>
        <v>y</v>
      </c>
      <c r="BF252" s="98" t="str">
        <f t="shared" si="61"/>
        <v>LC10</v>
      </c>
      <c r="BG252" s="96" t="str">
        <f>IF(BF252="","",IF(ISNUMBER(VLOOKUP(BF252,'Conversion factors'!$B$35:$C$52,2,FALSE)),"y","n"))</f>
        <v>y</v>
      </c>
      <c r="BH252" s="99"/>
    </row>
    <row r="253" spans="1:60" s="103" customFormat="1" ht="15.75" customHeight="1" x14ac:dyDescent="0.2">
      <c r="A253" s="18"/>
      <c r="B253" s="19">
        <v>254</v>
      </c>
      <c r="C253" s="19"/>
      <c r="D253" s="19">
        <v>84052</v>
      </c>
      <c r="E253" s="19" t="s">
        <v>1224</v>
      </c>
      <c r="F253" s="93">
        <v>2005</v>
      </c>
      <c r="G253" s="19" t="s">
        <v>785</v>
      </c>
      <c r="H253" s="19"/>
      <c r="I253" s="19" t="s">
        <v>41</v>
      </c>
      <c r="J253" s="19" t="s">
        <v>89</v>
      </c>
      <c r="K253" s="19" t="s">
        <v>161</v>
      </c>
      <c r="L253" s="19" t="s">
        <v>82</v>
      </c>
      <c r="M253" s="19" t="s">
        <v>82</v>
      </c>
      <c r="N253" s="19" t="s">
        <v>66</v>
      </c>
      <c r="O253" s="19" t="s">
        <v>160</v>
      </c>
      <c r="P253" s="19" t="s">
        <v>51</v>
      </c>
      <c r="Q253" s="19"/>
      <c r="R253" s="19" t="s">
        <v>237</v>
      </c>
      <c r="S253" s="19" t="s">
        <v>79</v>
      </c>
      <c r="T253" s="19" t="s">
        <v>174</v>
      </c>
      <c r="U253" s="19" t="s">
        <v>49</v>
      </c>
      <c r="V253" s="19" t="s">
        <v>78</v>
      </c>
      <c r="W253" s="19" t="s">
        <v>231</v>
      </c>
      <c r="X253" s="19" t="s">
        <v>46</v>
      </c>
      <c r="Y253" s="29"/>
      <c r="Z253" s="19"/>
      <c r="AA253" s="19"/>
      <c r="AB253" s="19" t="s">
        <v>846</v>
      </c>
      <c r="AC253" s="19" t="s">
        <v>214</v>
      </c>
      <c r="AD253" s="19"/>
      <c r="AE253" s="24">
        <f>49*2.497+13.1*4.118</f>
        <v>176.2988</v>
      </c>
      <c r="AF253" s="24">
        <f>49*2.497+13.1*4.118</f>
        <v>176.2988</v>
      </c>
      <c r="AG253" s="19" t="s">
        <v>235</v>
      </c>
      <c r="AH253" s="19"/>
      <c r="AI253" s="19"/>
      <c r="AJ253" s="19">
        <v>8.1300000000000008</v>
      </c>
      <c r="AK253" s="19" t="s">
        <v>847</v>
      </c>
      <c r="AL253" s="19"/>
      <c r="AM253" s="19"/>
      <c r="AN253" s="19" t="s">
        <v>848</v>
      </c>
      <c r="AO253" s="19" t="s">
        <v>270</v>
      </c>
      <c r="AP253" s="94">
        <v>6.22</v>
      </c>
      <c r="AQ253" s="19" t="s">
        <v>101</v>
      </c>
      <c r="AR253" s="19" t="s">
        <v>241</v>
      </c>
      <c r="AS253" s="19"/>
      <c r="AT253" s="65" t="str">
        <f t="shared" si="59"/>
        <v>Y</v>
      </c>
      <c r="AU253" s="65" t="str">
        <f t="shared" si="63"/>
        <v>Y</v>
      </c>
      <c r="AV253" s="65" t="str">
        <f t="shared" si="73"/>
        <v>Y</v>
      </c>
      <c r="AW253" s="99"/>
      <c r="AX253" s="99"/>
      <c r="AY253" s="19"/>
      <c r="AZ253" s="96" t="str">
        <f t="shared" si="64"/>
        <v>LC10</v>
      </c>
      <c r="BA253" s="96">
        <f>IF(AZ253="n","n",VLOOKUP(AZ253,'Conversion factors'!$C$4:$D$24,2,FALSE))</f>
        <v>1</v>
      </c>
      <c r="BB253" s="96">
        <f t="shared" si="65"/>
        <v>578</v>
      </c>
      <c r="BC253" s="97"/>
      <c r="BD253" s="96" t="str">
        <f t="shared" si="60"/>
        <v>Chronic</v>
      </c>
      <c r="BE253" s="96" t="str">
        <f t="shared" si="66"/>
        <v>y</v>
      </c>
      <c r="BF253" s="98" t="str">
        <f t="shared" si="61"/>
        <v>LC10</v>
      </c>
      <c r="BG253" s="96" t="str">
        <f>IF(BF253="","",IF(ISNUMBER(VLOOKUP(BF253,'Conversion factors'!$B$35:$C$52,2,FALSE)),"y","n"))</f>
        <v>y</v>
      </c>
      <c r="BH253" s="99"/>
    </row>
    <row r="254" spans="1:60" s="103" customFormat="1" ht="15.75" customHeight="1" x14ac:dyDescent="0.2">
      <c r="A254" s="18"/>
      <c r="B254" s="19">
        <v>254</v>
      </c>
      <c r="C254" s="19"/>
      <c r="D254" s="19">
        <v>84052</v>
      </c>
      <c r="E254" s="19" t="s">
        <v>1224</v>
      </c>
      <c r="F254" s="93">
        <v>2005</v>
      </c>
      <c r="G254" s="19" t="s">
        <v>785</v>
      </c>
      <c r="H254" s="19"/>
      <c r="I254" s="19" t="s">
        <v>41</v>
      </c>
      <c r="J254" s="19" t="s">
        <v>89</v>
      </c>
      <c r="K254" s="19" t="s">
        <v>161</v>
      </c>
      <c r="L254" s="19" t="s">
        <v>82</v>
      </c>
      <c r="M254" s="19" t="s">
        <v>82</v>
      </c>
      <c r="N254" s="19" t="s">
        <v>66</v>
      </c>
      <c r="O254" s="19" t="s">
        <v>160</v>
      </c>
      <c r="P254" s="19" t="s">
        <v>51</v>
      </c>
      <c r="Q254" s="19"/>
      <c r="R254" s="19" t="s">
        <v>237</v>
      </c>
      <c r="S254" s="19" t="s">
        <v>79</v>
      </c>
      <c r="T254" s="19" t="s">
        <v>174</v>
      </c>
      <c r="U254" s="19" t="s">
        <v>49</v>
      </c>
      <c r="V254" s="19" t="s">
        <v>78</v>
      </c>
      <c r="W254" s="19" t="s">
        <v>231</v>
      </c>
      <c r="X254" s="19" t="s">
        <v>46</v>
      </c>
      <c r="Y254" s="29"/>
      <c r="Z254" s="19"/>
      <c r="AA254" s="19"/>
      <c r="AB254" s="19" t="s">
        <v>849</v>
      </c>
      <c r="AC254" s="19" t="s">
        <v>214</v>
      </c>
      <c r="AD254" s="19"/>
      <c r="AE254" s="24">
        <f>9.54*2.497+1.06*4.118</f>
        <v>28.186459999999997</v>
      </c>
      <c r="AF254" s="24">
        <f>9.54*2.497+1.06*4.118</f>
        <v>28.186459999999997</v>
      </c>
      <c r="AG254" s="19" t="s">
        <v>235</v>
      </c>
      <c r="AH254" s="19"/>
      <c r="AI254" s="19"/>
      <c r="AJ254" s="19">
        <v>6.8</v>
      </c>
      <c r="AK254" s="19" t="s">
        <v>543</v>
      </c>
      <c r="AL254" s="19"/>
      <c r="AM254" s="19"/>
      <c r="AN254" s="19" t="s">
        <v>850</v>
      </c>
      <c r="AO254" s="19" t="s">
        <v>270</v>
      </c>
      <c r="AP254" s="94">
        <v>3.92</v>
      </c>
      <c r="AQ254" s="19" t="s">
        <v>101</v>
      </c>
      <c r="AR254" s="19" t="s">
        <v>241</v>
      </c>
      <c r="AS254" s="19"/>
      <c r="AT254" s="65" t="str">
        <f t="shared" si="59"/>
        <v>Y</v>
      </c>
      <c r="AU254" s="65" t="str">
        <f t="shared" si="63"/>
        <v>Y</v>
      </c>
      <c r="AV254" s="65" t="str">
        <f t="shared" si="73"/>
        <v>Y</v>
      </c>
      <c r="AW254" s="99"/>
      <c r="AX254" s="99"/>
      <c r="AY254" s="19"/>
      <c r="AZ254" s="96" t="str">
        <f t="shared" si="64"/>
        <v>LC10</v>
      </c>
      <c r="BA254" s="96">
        <f>IF(AZ254="n","n",VLOOKUP(AZ254,'Conversion factors'!$C$4:$D$24,2,FALSE))</f>
        <v>1</v>
      </c>
      <c r="BB254" s="96">
        <f t="shared" si="65"/>
        <v>185</v>
      </c>
      <c r="BC254" s="97"/>
      <c r="BD254" s="96" t="str">
        <f t="shared" si="60"/>
        <v>Chronic</v>
      </c>
      <c r="BE254" s="96" t="str">
        <f t="shared" si="66"/>
        <v>y</v>
      </c>
      <c r="BF254" s="98" t="str">
        <f t="shared" si="61"/>
        <v>LC10</v>
      </c>
      <c r="BG254" s="96" t="str">
        <f>IF(BF254="","",IF(ISNUMBER(VLOOKUP(BF254,'Conversion factors'!$B$35:$C$52,2,FALSE)),"y","n"))</f>
        <v>y</v>
      </c>
      <c r="BH254" s="99"/>
    </row>
    <row r="255" spans="1:60" s="103" customFormat="1" ht="15.75" customHeight="1" x14ac:dyDescent="0.2">
      <c r="A255" s="18"/>
      <c r="B255" s="19">
        <v>254</v>
      </c>
      <c r="C255" s="19"/>
      <c r="D255" s="19">
        <v>84052</v>
      </c>
      <c r="E255" s="19" t="s">
        <v>1224</v>
      </c>
      <c r="F255" s="93">
        <v>2005</v>
      </c>
      <c r="G255" s="19" t="s">
        <v>785</v>
      </c>
      <c r="H255" s="19"/>
      <c r="I255" s="19" t="s">
        <v>41</v>
      </c>
      <c r="J255" s="19" t="s">
        <v>89</v>
      </c>
      <c r="K255" s="19" t="s">
        <v>161</v>
      </c>
      <c r="L255" s="19" t="s">
        <v>82</v>
      </c>
      <c r="M255" s="19" t="s">
        <v>82</v>
      </c>
      <c r="N255" s="19" t="s">
        <v>66</v>
      </c>
      <c r="O255" s="19" t="s">
        <v>160</v>
      </c>
      <c r="P255" s="19" t="s">
        <v>51</v>
      </c>
      <c r="Q255" s="19"/>
      <c r="R255" s="19" t="s">
        <v>237</v>
      </c>
      <c r="S255" s="19" t="s">
        <v>79</v>
      </c>
      <c r="T255" s="19" t="s">
        <v>174</v>
      </c>
      <c r="U255" s="19" t="s">
        <v>49</v>
      </c>
      <c r="V255" s="19" t="s">
        <v>78</v>
      </c>
      <c r="W255" s="19" t="s">
        <v>231</v>
      </c>
      <c r="X255" s="19" t="s">
        <v>46</v>
      </c>
      <c r="Y255" s="29"/>
      <c r="Z255" s="19"/>
      <c r="AA255" s="19"/>
      <c r="AB255" s="19" t="s">
        <v>851</v>
      </c>
      <c r="AC255" s="19" t="s">
        <v>214</v>
      </c>
      <c r="AD255" s="19"/>
      <c r="AE255" s="24">
        <f>8.05*2.497+2.77*4.118</f>
        <v>31.507710000000003</v>
      </c>
      <c r="AF255" s="24">
        <f>8.05*2.497+2.77*4.118</f>
        <v>31.507710000000003</v>
      </c>
      <c r="AG255" s="19" t="s">
        <v>235</v>
      </c>
      <c r="AH255" s="19"/>
      <c r="AI255" s="19"/>
      <c r="AJ255" s="19">
        <v>7.08</v>
      </c>
      <c r="AK255" s="19" t="s">
        <v>852</v>
      </c>
      <c r="AL255" s="19"/>
      <c r="AM255" s="19"/>
      <c r="AN255" s="19" t="s">
        <v>853</v>
      </c>
      <c r="AO255" s="19" t="s">
        <v>270</v>
      </c>
      <c r="AP255" s="94">
        <v>2.84</v>
      </c>
      <c r="AQ255" s="19" t="s">
        <v>101</v>
      </c>
      <c r="AR255" s="19" t="s">
        <v>241</v>
      </c>
      <c r="AS255" s="19"/>
      <c r="AT255" s="65" t="str">
        <f t="shared" si="59"/>
        <v>Y</v>
      </c>
      <c r="AU255" s="65" t="str">
        <f t="shared" si="63"/>
        <v>Y</v>
      </c>
      <c r="AV255" s="65" t="str">
        <f t="shared" si="73"/>
        <v>Y</v>
      </c>
      <c r="AW255" s="99"/>
      <c r="AX255" s="99"/>
      <c r="AY255" s="19"/>
      <c r="AZ255" s="96" t="str">
        <f t="shared" si="64"/>
        <v>LC10</v>
      </c>
      <c r="BA255" s="96">
        <f>IF(AZ255="n","n",VLOOKUP(AZ255,'Conversion factors'!$C$4:$D$24,2,FALSE))</f>
        <v>1</v>
      </c>
      <c r="BB255" s="96">
        <f t="shared" si="65"/>
        <v>219</v>
      </c>
      <c r="BC255" s="97"/>
      <c r="BD255" s="96" t="str">
        <f t="shared" si="60"/>
        <v>Chronic</v>
      </c>
      <c r="BE255" s="96" t="str">
        <f t="shared" si="66"/>
        <v>y</v>
      </c>
      <c r="BF255" s="98" t="str">
        <f t="shared" si="61"/>
        <v>LC10</v>
      </c>
      <c r="BG255" s="96" t="str">
        <f>IF(BF255="","",IF(ISNUMBER(VLOOKUP(BF255,'Conversion factors'!$B$35:$C$52,2,FALSE)),"y","n"))</f>
        <v>y</v>
      </c>
      <c r="BH255" s="99"/>
    </row>
    <row r="256" spans="1:60" s="103" customFormat="1" ht="15.75" customHeight="1" x14ac:dyDescent="0.2">
      <c r="A256" s="18"/>
      <c r="B256" s="19">
        <v>254</v>
      </c>
      <c r="C256" s="19"/>
      <c r="D256" s="19">
        <v>84052</v>
      </c>
      <c r="E256" s="19" t="s">
        <v>1224</v>
      </c>
      <c r="F256" s="93">
        <v>2005</v>
      </c>
      <c r="G256" s="19" t="s">
        <v>785</v>
      </c>
      <c r="H256" s="19"/>
      <c r="I256" s="19" t="s">
        <v>41</v>
      </c>
      <c r="J256" s="19" t="s">
        <v>89</v>
      </c>
      <c r="K256" s="19" t="s">
        <v>161</v>
      </c>
      <c r="L256" s="19" t="s">
        <v>82</v>
      </c>
      <c r="M256" s="19" t="s">
        <v>82</v>
      </c>
      <c r="N256" s="19" t="s">
        <v>66</v>
      </c>
      <c r="O256" s="19" t="s">
        <v>160</v>
      </c>
      <c r="P256" s="19" t="s">
        <v>51</v>
      </c>
      <c r="Q256" s="19"/>
      <c r="R256" s="19" t="s">
        <v>237</v>
      </c>
      <c r="S256" s="19" t="s">
        <v>79</v>
      </c>
      <c r="T256" s="19" t="s">
        <v>56</v>
      </c>
      <c r="U256" s="19" t="s">
        <v>44</v>
      </c>
      <c r="V256" s="19" t="s">
        <v>78</v>
      </c>
      <c r="W256" s="19" t="s">
        <v>231</v>
      </c>
      <c r="X256" s="19" t="s">
        <v>46</v>
      </c>
      <c r="Y256" s="29"/>
      <c r="Z256" s="19"/>
      <c r="AA256" s="19"/>
      <c r="AB256" s="19" t="s">
        <v>724</v>
      </c>
      <c r="AC256" s="19" t="s">
        <v>214</v>
      </c>
      <c r="AD256" s="19"/>
      <c r="AE256" s="24">
        <f>8.05*2.497+2.77*4.118</f>
        <v>31.507710000000003</v>
      </c>
      <c r="AF256" s="24">
        <f>8.05*2.497+2.77*4.118</f>
        <v>31.507710000000003</v>
      </c>
      <c r="AG256" s="19" t="s">
        <v>235</v>
      </c>
      <c r="AH256" s="19"/>
      <c r="AI256" s="19"/>
      <c r="AJ256" s="19">
        <v>7.08</v>
      </c>
      <c r="AK256" s="19" t="s">
        <v>852</v>
      </c>
      <c r="AL256" s="19"/>
      <c r="AM256" s="19" t="s">
        <v>234</v>
      </c>
      <c r="AN256" s="19" t="s">
        <v>853</v>
      </c>
      <c r="AO256" s="19" t="s">
        <v>270</v>
      </c>
      <c r="AP256" s="94">
        <v>2.84</v>
      </c>
      <c r="AQ256" s="19" t="s">
        <v>101</v>
      </c>
      <c r="AR256" s="19" t="s">
        <v>241</v>
      </c>
      <c r="AS256" s="19"/>
      <c r="AT256" s="65" t="str">
        <f t="shared" si="59"/>
        <v>Y</v>
      </c>
      <c r="AU256" s="65" t="str">
        <f t="shared" si="63"/>
        <v>Y</v>
      </c>
      <c r="AV256" s="65" t="s">
        <v>162</v>
      </c>
      <c r="AW256" s="99" t="s">
        <v>1406</v>
      </c>
      <c r="AX256" s="99"/>
      <c r="AY256" s="19"/>
      <c r="AZ256" s="96" t="str">
        <f t="shared" si="64"/>
        <v>n</v>
      </c>
      <c r="BA256" s="96" t="str">
        <f>IF(AZ256="n","n",VLOOKUP(AZ256,'Conversion factors'!$C$4:$D$24,2,FALSE))</f>
        <v>n</v>
      </c>
      <c r="BB256" s="96" t="str">
        <f t="shared" si="65"/>
        <v>n</v>
      </c>
      <c r="BC256" s="97"/>
      <c r="BD256" s="96" t="str">
        <f t="shared" si="60"/>
        <v>n</v>
      </c>
      <c r="BE256" s="96" t="str">
        <f t="shared" si="66"/>
        <v>n</v>
      </c>
      <c r="BF256" s="98" t="str">
        <f t="shared" si="61"/>
        <v/>
      </c>
      <c r="BG256" s="96" t="str">
        <f>IF(BF256="","",IF(ISNUMBER(VLOOKUP(BF256,'Conversion factors'!$B$35:$C$52,2,FALSE)),"y","n"))</f>
        <v/>
      </c>
      <c r="BH256" s="99" t="s">
        <v>1466</v>
      </c>
    </row>
    <row r="257" spans="1:60" s="103" customFormat="1" ht="15.75" customHeight="1" x14ac:dyDescent="0.2">
      <c r="A257" s="18"/>
      <c r="B257" s="19">
        <v>254</v>
      </c>
      <c r="C257" s="19"/>
      <c r="D257" s="19">
        <v>84052</v>
      </c>
      <c r="E257" s="19" t="s">
        <v>1224</v>
      </c>
      <c r="F257" s="93">
        <v>2005</v>
      </c>
      <c r="G257" s="19" t="s">
        <v>785</v>
      </c>
      <c r="H257" s="19"/>
      <c r="I257" s="19" t="s">
        <v>41</v>
      </c>
      <c r="J257" s="19" t="s">
        <v>89</v>
      </c>
      <c r="K257" s="19" t="s">
        <v>161</v>
      </c>
      <c r="L257" s="19" t="s">
        <v>82</v>
      </c>
      <c r="M257" s="19" t="s">
        <v>82</v>
      </c>
      <c r="N257" s="19" t="s">
        <v>66</v>
      </c>
      <c r="O257" s="19" t="s">
        <v>160</v>
      </c>
      <c r="P257" s="19" t="s">
        <v>51</v>
      </c>
      <c r="Q257" s="19"/>
      <c r="R257" s="19" t="s">
        <v>237</v>
      </c>
      <c r="S257" s="19" t="s">
        <v>79</v>
      </c>
      <c r="T257" s="19" t="s">
        <v>56</v>
      </c>
      <c r="U257" s="19" t="s">
        <v>44</v>
      </c>
      <c r="V257" s="19" t="s">
        <v>78</v>
      </c>
      <c r="W257" s="19" t="s">
        <v>231</v>
      </c>
      <c r="X257" s="19" t="s">
        <v>46</v>
      </c>
      <c r="Y257" s="29"/>
      <c r="Z257" s="19"/>
      <c r="AA257" s="19"/>
      <c r="AB257" s="19" t="s">
        <v>854</v>
      </c>
      <c r="AC257" s="19" t="s">
        <v>214</v>
      </c>
      <c r="AD257" s="19"/>
      <c r="AE257" s="24">
        <f>32*2.497+5.77*4.118</f>
        <v>103.66486</v>
      </c>
      <c r="AF257" s="24">
        <f>32*2.497+5.77*4.118</f>
        <v>103.66486</v>
      </c>
      <c r="AG257" s="19" t="s">
        <v>235</v>
      </c>
      <c r="AH257" s="19"/>
      <c r="AI257" s="19"/>
      <c r="AJ257" s="19">
        <v>7.76</v>
      </c>
      <c r="AK257" s="19" t="s">
        <v>844</v>
      </c>
      <c r="AL257" s="19"/>
      <c r="AM257" s="19" t="s">
        <v>234</v>
      </c>
      <c r="AN257" s="19" t="s">
        <v>845</v>
      </c>
      <c r="AO257" s="19" t="s">
        <v>270</v>
      </c>
      <c r="AP257" s="94">
        <v>22.9</v>
      </c>
      <c r="AQ257" s="19" t="s">
        <v>101</v>
      </c>
      <c r="AR257" s="19" t="s">
        <v>241</v>
      </c>
      <c r="AS257" s="19"/>
      <c r="AT257" s="65" t="str">
        <f t="shared" si="59"/>
        <v>Y</v>
      </c>
      <c r="AU257" s="65" t="str">
        <f t="shared" si="63"/>
        <v>Y</v>
      </c>
      <c r="AV257" s="65" t="s">
        <v>162</v>
      </c>
      <c r="AW257" s="99" t="s">
        <v>1406</v>
      </c>
      <c r="AX257" s="99"/>
      <c r="AY257" s="19"/>
      <c r="AZ257" s="96" t="str">
        <f t="shared" si="64"/>
        <v>n</v>
      </c>
      <c r="BA257" s="96" t="str">
        <f>IF(AZ257="n","n",VLOOKUP(AZ257,'Conversion factors'!$C$4:$D$24,2,FALSE))</f>
        <v>n</v>
      </c>
      <c r="BB257" s="96" t="str">
        <f t="shared" si="65"/>
        <v>n</v>
      </c>
      <c r="BC257" s="97"/>
      <c r="BD257" s="96" t="str">
        <f t="shared" si="60"/>
        <v>n</v>
      </c>
      <c r="BE257" s="96" t="str">
        <f t="shared" si="66"/>
        <v>n</v>
      </c>
      <c r="BF257" s="98" t="str">
        <f t="shared" si="61"/>
        <v/>
      </c>
      <c r="BG257" s="96" t="str">
        <f>IF(BF257="","",IF(ISNUMBER(VLOOKUP(BF257,'Conversion factors'!$B$35:$C$52,2,FALSE)),"y","n"))</f>
        <v/>
      </c>
      <c r="BH257" s="99" t="s">
        <v>1466</v>
      </c>
    </row>
    <row r="258" spans="1:60" s="103" customFormat="1" ht="15.75" customHeight="1" x14ac:dyDescent="0.2">
      <c r="A258" s="18"/>
      <c r="B258" s="19">
        <v>254</v>
      </c>
      <c r="C258" s="19"/>
      <c r="D258" s="19">
        <v>84052</v>
      </c>
      <c r="E258" s="19" t="s">
        <v>1224</v>
      </c>
      <c r="F258" s="93">
        <v>2005</v>
      </c>
      <c r="G258" s="19" t="s">
        <v>785</v>
      </c>
      <c r="H258" s="19"/>
      <c r="I258" s="19" t="s">
        <v>41</v>
      </c>
      <c r="J258" s="19" t="s">
        <v>89</v>
      </c>
      <c r="K258" s="19" t="s">
        <v>161</v>
      </c>
      <c r="L258" s="19" t="s">
        <v>82</v>
      </c>
      <c r="M258" s="19" t="s">
        <v>82</v>
      </c>
      <c r="N258" s="19" t="s">
        <v>66</v>
      </c>
      <c r="O258" s="19" t="s">
        <v>160</v>
      </c>
      <c r="P258" s="19" t="s">
        <v>51</v>
      </c>
      <c r="Q258" s="19"/>
      <c r="R258" s="19" t="s">
        <v>237</v>
      </c>
      <c r="S258" s="19" t="s">
        <v>79</v>
      </c>
      <c r="T258" s="19" t="s">
        <v>56</v>
      </c>
      <c r="U258" s="19" t="s">
        <v>44</v>
      </c>
      <c r="V258" s="19" t="s">
        <v>78</v>
      </c>
      <c r="W258" s="19" t="s">
        <v>231</v>
      </c>
      <c r="X258" s="19" t="s">
        <v>46</v>
      </c>
      <c r="Y258" s="29"/>
      <c r="Z258" s="19"/>
      <c r="AA258" s="19"/>
      <c r="AB258" s="19" t="s">
        <v>855</v>
      </c>
      <c r="AC258" s="19" t="s">
        <v>214</v>
      </c>
      <c r="AD258" s="19"/>
      <c r="AE258" s="24">
        <f>49*2.497+13.1*4.118</f>
        <v>176.2988</v>
      </c>
      <c r="AF258" s="24">
        <f>49*2.497+13.1*4.118</f>
        <v>176.2988</v>
      </c>
      <c r="AG258" s="19" t="s">
        <v>235</v>
      </c>
      <c r="AH258" s="19"/>
      <c r="AI258" s="19"/>
      <c r="AJ258" s="19">
        <v>8.1300000000000008</v>
      </c>
      <c r="AK258" s="19" t="s">
        <v>847</v>
      </c>
      <c r="AL258" s="19"/>
      <c r="AM258" s="19" t="s">
        <v>234</v>
      </c>
      <c r="AN258" s="19" t="s">
        <v>848</v>
      </c>
      <c r="AO258" s="19" t="s">
        <v>270</v>
      </c>
      <c r="AP258" s="94">
        <v>6.22</v>
      </c>
      <c r="AQ258" s="19" t="s">
        <v>101</v>
      </c>
      <c r="AR258" s="19" t="s">
        <v>241</v>
      </c>
      <c r="AS258" s="19"/>
      <c r="AT258" s="65" t="str">
        <f t="shared" si="59"/>
        <v>Y</v>
      </c>
      <c r="AU258" s="65" t="str">
        <f t="shared" si="63"/>
        <v>Y</v>
      </c>
      <c r="AV258" s="65" t="s">
        <v>162</v>
      </c>
      <c r="AW258" s="99" t="s">
        <v>1405</v>
      </c>
      <c r="AX258" s="99"/>
      <c r="AY258" s="19"/>
      <c r="AZ258" s="96" t="str">
        <f t="shared" si="64"/>
        <v>n</v>
      </c>
      <c r="BA258" s="96" t="str">
        <f>IF(AZ258="n","n",VLOOKUP(AZ258,'Conversion factors'!$C$4:$D$24,2,FALSE))</f>
        <v>n</v>
      </c>
      <c r="BB258" s="96" t="str">
        <f t="shared" si="65"/>
        <v>n</v>
      </c>
      <c r="BC258" s="97"/>
      <c r="BD258" s="96" t="str">
        <f t="shared" si="60"/>
        <v>n</v>
      </c>
      <c r="BE258" s="96" t="str">
        <f t="shared" si="66"/>
        <v>n</v>
      </c>
      <c r="BF258" s="98" t="str">
        <f t="shared" si="61"/>
        <v/>
      </c>
      <c r="BG258" s="96" t="str">
        <f>IF(BF258="","",IF(ISNUMBER(VLOOKUP(BF258,'Conversion factors'!$B$35:$C$52,2,FALSE)),"y","n"))</f>
        <v/>
      </c>
      <c r="BH258" s="99" t="s">
        <v>1466</v>
      </c>
    </row>
    <row r="259" spans="1:60" s="103" customFormat="1" ht="15.75" customHeight="1" x14ac:dyDescent="0.2">
      <c r="A259" s="18"/>
      <c r="B259" s="19">
        <v>254</v>
      </c>
      <c r="C259" s="19"/>
      <c r="D259" s="19">
        <v>84052</v>
      </c>
      <c r="E259" s="19" t="s">
        <v>1224</v>
      </c>
      <c r="F259" s="93">
        <v>2005</v>
      </c>
      <c r="G259" s="19" t="s">
        <v>785</v>
      </c>
      <c r="H259" s="19"/>
      <c r="I259" s="19" t="s">
        <v>41</v>
      </c>
      <c r="J259" s="19" t="s">
        <v>89</v>
      </c>
      <c r="K259" s="19" t="s">
        <v>161</v>
      </c>
      <c r="L259" s="19" t="s">
        <v>82</v>
      </c>
      <c r="M259" s="19" t="s">
        <v>82</v>
      </c>
      <c r="N259" s="19" t="s">
        <v>66</v>
      </c>
      <c r="O259" s="19" t="s">
        <v>160</v>
      </c>
      <c r="P259" s="19" t="s">
        <v>51</v>
      </c>
      <c r="Q259" s="19"/>
      <c r="R259" s="19" t="s">
        <v>237</v>
      </c>
      <c r="S259" s="19" t="s">
        <v>79</v>
      </c>
      <c r="T259" s="19" t="s">
        <v>56</v>
      </c>
      <c r="U259" s="19" t="s">
        <v>44</v>
      </c>
      <c r="V259" s="19" t="s">
        <v>78</v>
      </c>
      <c r="W259" s="19" t="s">
        <v>231</v>
      </c>
      <c r="X259" s="19" t="s">
        <v>46</v>
      </c>
      <c r="Y259" s="29"/>
      <c r="Z259" s="19"/>
      <c r="AA259" s="19"/>
      <c r="AB259" s="19" t="s">
        <v>856</v>
      </c>
      <c r="AC259" s="19" t="s">
        <v>214</v>
      </c>
      <c r="AD259" s="19"/>
      <c r="AE259" s="24">
        <f>7.09*2.497+1.38*4.118</f>
        <v>23.386569999999999</v>
      </c>
      <c r="AF259" s="24">
        <f>7.09*2.497+1.38*4.118</f>
        <v>23.386569999999999</v>
      </c>
      <c r="AG259" s="19" t="s">
        <v>235</v>
      </c>
      <c r="AH259" s="19"/>
      <c r="AI259" s="19"/>
      <c r="AJ259" s="19">
        <v>6.15</v>
      </c>
      <c r="AK259" s="19" t="s">
        <v>841</v>
      </c>
      <c r="AL259" s="19"/>
      <c r="AM259" s="19" t="s">
        <v>234</v>
      </c>
      <c r="AN259" s="19" t="s">
        <v>842</v>
      </c>
      <c r="AO259" s="19" t="s">
        <v>270</v>
      </c>
      <c r="AP259" s="94">
        <v>4.25</v>
      </c>
      <c r="AQ259" s="19" t="s">
        <v>101</v>
      </c>
      <c r="AR259" s="19" t="s">
        <v>241</v>
      </c>
      <c r="AS259" s="19"/>
      <c r="AT259" s="65" t="str">
        <f t="shared" si="59"/>
        <v>Y</v>
      </c>
      <c r="AU259" s="65" t="str">
        <f t="shared" si="63"/>
        <v>Y</v>
      </c>
      <c r="AV259" s="65" t="s">
        <v>162</v>
      </c>
      <c r="AW259" s="99" t="s">
        <v>1405</v>
      </c>
      <c r="AX259" s="99"/>
      <c r="AY259" s="19"/>
      <c r="AZ259" s="96" t="str">
        <f t="shared" si="64"/>
        <v>n</v>
      </c>
      <c r="BA259" s="96" t="str">
        <f>IF(AZ259="n","n",VLOOKUP(AZ259,'Conversion factors'!$C$4:$D$24,2,FALSE))</f>
        <v>n</v>
      </c>
      <c r="BB259" s="96" t="str">
        <f t="shared" si="65"/>
        <v>n</v>
      </c>
      <c r="BC259" s="97"/>
      <c r="BD259" s="96" t="str">
        <f t="shared" si="60"/>
        <v>n</v>
      </c>
      <c r="BE259" s="96" t="str">
        <f t="shared" si="66"/>
        <v>n</v>
      </c>
      <c r="BF259" s="98" t="str">
        <f t="shared" si="61"/>
        <v/>
      </c>
      <c r="BG259" s="96" t="str">
        <f>IF(BF259="","",IF(ISNUMBER(VLOOKUP(BF259,'Conversion factors'!$B$35:$C$52,2,FALSE)),"y","n"))</f>
        <v/>
      </c>
      <c r="BH259" s="99" t="s">
        <v>1466</v>
      </c>
    </row>
    <row r="260" spans="1:60" s="103" customFormat="1" ht="15.75" customHeight="1" x14ac:dyDescent="0.2">
      <c r="A260" s="18"/>
      <c r="B260" s="19">
        <v>254</v>
      </c>
      <c r="C260" s="19"/>
      <c r="D260" s="19">
        <v>84052</v>
      </c>
      <c r="E260" s="19" t="s">
        <v>1224</v>
      </c>
      <c r="F260" s="93">
        <v>2005</v>
      </c>
      <c r="G260" s="19" t="s">
        <v>785</v>
      </c>
      <c r="H260" s="19"/>
      <c r="I260" s="19" t="s">
        <v>41</v>
      </c>
      <c r="J260" s="19" t="s">
        <v>89</v>
      </c>
      <c r="K260" s="19" t="s">
        <v>161</v>
      </c>
      <c r="L260" s="19" t="s">
        <v>82</v>
      </c>
      <c r="M260" s="19" t="s">
        <v>82</v>
      </c>
      <c r="N260" s="19" t="s">
        <v>66</v>
      </c>
      <c r="O260" s="19" t="s">
        <v>160</v>
      </c>
      <c r="P260" s="19" t="s">
        <v>51</v>
      </c>
      <c r="Q260" s="19"/>
      <c r="R260" s="19" t="s">
        <v>237</v>
      </c>
      <c r="S260" s="19" t="s">
        <v>79</v>
      </c>
      <c r="T260" s="19" t="s">
        <v>56</v>
      </c>
      <c r="U260" s="19" t="s">
        <v>44</v>
      </c>
      <c r="V260" s="19" t="s">
        <v>78</v>
      </c>
      <c r="W260" s="19" t="s">
        <v>231</v>
      </c>
      <c r="X260" s="19" t="s">
        <v>46</v>
      </c>
      <c r="Y260" s="29"/>
      <c r="Z260" s="19"/>
      <c r="AA260" s="19"/>
      <c r="AB260" s="19" t="s">
        <v>857</v>
      </c>
      <c r="AC260" s="19" t="s">
        <v>214</v>
      </c>
      <c r="AD260" s="19"/>
      <c r="AE260" s="24">
        <f>9.54*2.497+1.06*4.118</f>
        <v>28.186459999999997</v>
      </c>
      <c r="AF260" s="24">
        <f>9.54*2.497+1.06*4.118</f>
        <v>28.186459999999997</v>
      </c>
      <c r="AG260" s="19" t="s">
        <v>235</v>
      </c>
      <c r="AH260" s="19"/>
      <c r="AI260" s="19"/>
      <c r="AJ260" s="19">
        <v>6.8</v>
      </c>
      <c r="AK260" s="19" t="s">
        <v>543</v>
      </c>
      <c r="AL260" s="19"/>
      <c r="AM260" s="19" t="s">
        <v>234</v>
      </c>
      <c r="AN260" s="19" t="s">
        <v>850</v>
      </c>
      <c r="AO260" s="19" t="s">
        <v>270</v>
      </c>
      <c r="AP260" s="94">
        <v>3.92</v>
      </c>
      <c r="AQ260" s="19" t="s">
        <v>101</v>
      </c>
      <c r="AR260" s="19" t="s">
        <v>241</v>
      </c>
      <c r="AS260" s="19"/>
      <c r="AT260" s="65" t="str">
        <f t="shared" ref="AT260:AT323" si="74">IF(F260&lt;1980,"N",IF(AC260="M","Y",IF(AC260="SM","Y","N")))</f>
        <v>Y</v>
      </c>
      <c r="AU260" s="65" t="str">
        <f t="shared" si="63"/>
        <v>Y</v>
      </c>
      <c r="AV260" s="65" t="s">
        <v>162</v>
      </c>
      <c r="AW260" s="99" t="s">
        <v>1406</v>
      </c>
      <c r="AX260" s="99"/>
      <c r="AY260" s="19"/>
      <c r="AZ260" s="96" t="str">
        <f t="shared" si="64"/>
        <v>n</v>
      </c>
      <c r="BA260" s="96" t="str">
        <f>IF(AZ260="n","n",VLOOKUP(AZ260,'Conversion factors'!$C$4:$D$24,2,FALSE))</f>
        <v>n</v>
      </c>
      <c r="BB260" s="96" t="str">
        <f t="shared" si="65"/>
        <v>n</v>
      </c>
      <c r="BC260" s="97"/>
      <c r="BD260" s="96" t="str">
        <f t="shared" ref="BD260:BD323" si="75">IF(AV260="N","n",X260)</f>
        <v>n</v>
      </c>
      <c r="BE260" s="96" t="str">
        <f t="shared" si="66"/>
        <v>n</v>
      </c>
      <c r="BF260" s="98" t="str">
        <f t="shared" si="61"/>
        <v/>
      </c>
      <c r="BG260" s="96" t="str">
        <f>IF(BF260="","",IF(ISNUMBER(VLOOKUP(BF260,'Conversion factors'!$B$35:$C$52,2,FALSE)),"y","n"))</f>
        <v/>
      </c>
      <c r="BH260" s="99" t="s">
        <v>1466</v>
      </c>
    </row>
    <row r="261" spans="1:60" s="103" customFormat="1" ht="15.75" customHeight="1" x14ac:dyDescent="0.2">
      <c r="A261" s="18"/>
      <c r="B261" s="19">
        <v>273</v>
      </c>
      <c r="C261" s="19"/>
      <c r="D261" s="19">
        <v>100026</v>
      </c>
      <c r="E261" s="19" t="s">
        <v>1224</v>
      </c>
      <c r="F261" s="93">
        <v>2007</v>
      </c>
      <c r="G261" s="19" t="s">
        <v>943</v>
      </c>
      <c r="H261" s="19"/>
      <c r="I261" s="19" t="s">
        <v>41</v>
      </c>
      <c r="J261" s="19" t="s">
        <v>89</v>
      </c>
      <c r="K261" s="19" t="s">
        <v>161</v>
      </c>
      <c r="L261" s="19" t="s">
        <v>82</v>
      </c>
      <c r="M261" s="19" t="s">
        <v>82</v>
      </c>
      <c r="N261" s="19" t="s">
        <v>66</v>
      </c>
      <c r="O261" s="19" t="s">
        <v>909</v>
      </c>
      <c r="P261" s="19" t="s">
        <v>51</v>
      </c>
      <c r="Q261" s="19"/>
      <c r="R261" s="19" t="s">
        <v>81</v>
      </c>
      <c r="S261" s="19" t="s">
        <v>483</v>
      </c>
      <c r="T261" s="19" t="s">
        <v>346</v>
      </c>
      <c r="U261" s="19" t="s">
        <v>346</v>
      </c>
      <c r="V261" s="19" t="s">
        <v>85</v>
      </c>
      <c r="W261" s="19" t="s">
        <v>231</v>
      </c>
      <c r="X261" s="19" t="s">
        <v>46</v>
      </c>
      <c r="Y261" s="29"/>
      <c r="Z261" s="19"/>
      <c r="AA261" s="19"/>
      <c r="AB261" s="19" t="s">
        <v>953</v>
      </c>
      <c r="AC261" s="19" t="s">
        <v>1322</v>
      </c>
      <c r="AD261" s="19"/>
      <c r="AE261" s="19"/>
      <c r="AF261" s="19"/>
      <c r="AG261" s="19" t="s">
        <v>235</v>
      </c>
      <c r="AH261" s="19"/>
      <c r="AI261" s="19"/>
      <c r="AJ261" s="19" t="s">
        <v>1503</v>
      </c>
      <c r="AK261" s="19" t="s">
        <v>234</v>
      </c>
      <c r="AL261" s="19"/>
      <c r="AM261" s="19" t="s">
        <v>234</v>
      </c>
      <c r="AN261" s="19" t="s">
        <v>234</v>
      </c>
      <c r="AO261" s="19" t="s">
        <v>235</v>
      </c>
      <c r="AP261" s="94"/>
      <c r="AQ261" s="19" t="s">
        <v>101</v>
      </c>
      <c r="AR261" s="19" t="s">
        <v>946</v>
      </c>
      <c r="AS261" s="19"/>
      <c r="AT261" s="65" t="str">
        <f t="shared" si="74"/>
        <v>N</v>
      </c>
      <c r="AU261" s="65" t="str">
        <f t="shared" si="63"/>
        <v>N</v>
      </c>
      <c r="AV261" s="65" t="str">
        <f t="shared" ref="AV261:AV274" si="76">AU261</f>
        <v>N</v>
      </c>
      <c r="AW261" s="99"/>
      <c r="AX261" s="99"/>
      <c r="AY261" s="19"/>
      <c r="AZ261" s="96" t="str">
        <f t="shared" si="64"/>
        <v>n</v>
      </c>
      <c r="BA261" s="96" t="str">
        <f>IF(AZ261="n","n",VLOOKUP(AZ261,'Conversion factors'!$C$4:$D$24,2,FALSE))</f>
        <v>n</v>
      </c>
      <c r="BB261" s="96" t="str">
        <f t="shared" si="65"/>
        <v>n</v>
      </c>
      <c r="BC261" s="97"/>
      <c r="BD261" s="96" t="str">
        <f t="shared" si="75"/>
        <v>n</v>
      </c>
      <c r="BE261" s="96" t="str">
        <f t="shared" si="66"/>
        <v>n</v>
      </c>
      <c r="BF261" s="98" t="str">
        <f t="shared" ref="BF261:BF324" si="77">IF(BE261="n","",AZ261)</f>
        <v/>
      </c>
      <c r="BG261" s="96" t="str">
        <f>IF(BF261="","",IF(ISNUMBER(VLOOKUP(BF261,'Conversion factors'!$B$35:$C$52,2,FALSE)),"y","n"))</f>
        <v/>
      </c>
      <c r="BH261" s="99"/>
    </row>
    <row r="262" spans="1:60" s="103" customFormat="1" ht="15.75" customHeight="1" x14ac:dyDescent="0.2">
      <c r="A262" s="18"/>
      <c r="B262" s="19">
        <v>273</v>
      </c>
      <c r="C262" s="19"/>
      <c r="D262" s="19">
        <v>100026</v>
      </c>
      <c r="E262" s="19" t="s">
        <v>1224</v>
      </c>
      <c r="F262" s="93">
        <v>2007</v>
      </c>
      <c r="G262" s="19" t="s">
        <v>943</v>
      </c>
      <c r="H262" s="19"/>
      <c r="I262" s="19" t="s">
        <v>41</v>
      </c>
      <c r="J262" s="19" t="s">
        <v>89</v>
      </c>
      <c r="K262" s="19" t="s">
        <v>161</v>
      </c>
      <c r="L262" s="19" t="s">
        <v>82</v>
      </c>
      <c r="M262" s="19" t="s">
        <v>82</v>
      </c>
      <c r="N262" s="19" t="s">
        <v>66</v>
      </c>
      <c r="O262" s="19" t="s">
        <v>909</v>
      </c>
      <c r="P262" s="19" t="s">
        <v>51</v>
      </c>
      <c r="Q262" s="19"/>
      <c r="R262" s="19" t="s">
        <v>81</v>
      </c>
      <c r="S262" s="19" t="s">
        <v>483</v>
      </c>
      <c r="T262" s="19" t="s">
        <v>346</v>
      </c>
      <c r="U262" s="19" t="s">
        <v>346</v>
      </c>
      <c r="V262" s="19" t="s">
        <v>85</v>
      </c>
      <c r="W262" s="19" t="s">
        <v>231</v>
      </c>
      <c r="X262" s="19" t="s">
        <v>46</v>
      </c>
      <c r="Y262" s="29"/>
      <c r="Z262" s="19"/>
      <c r="AA262" s="19"/>
      <c r="AB262" s="19" t="s">
        <v>954</v>
      </c>
      <c r="AC262" s="19" t="s">
        <v>1322</v>
      </c>
      <c r="AD262" s="19"/>
      <c r="AE262" s="19"/>
      <c r="AF262" s="19"/>
      <c r="AG262" s="19" t="s">
        <v>235</v>
      </c>
      <c r="AH262" s="19"/>
      <c r="AI262" s="19"/>
      <c r="AJ262" s="19" t="s">
        <v>1503</v>
      </c>
      <c r="AK262" s="19" t="s">
        <v>234</v>
      </c>
      <c r="AL262" s="19"/>
      <c r="AM262" s="19" t="s">
        <v>234</v>
      </c>
      <c r="AN262" s="19" t="s">
        <v>234</v>
      </c>
      <c r="AO262" s="19" t="s">
        <v>235</v>
      </c>
      <c r="AP262" s="94"/>
      <c r="AQ262" s="19" t="s">
        <v>101</v>
      </c>
      <c r="AR262" s="19" t="s">
        <v>946</v>
      </c>
      <c r="AS262" s="19"/>
      <c r="AT262" s="65" t="str">
        <f t="shared" si="74"/>
        <v>N</v>
      </c>
      <c r="AU262" s="65" t="str">
        <f t="shared" si="63"/>
        <v>N</v>
      </c>
      <c r="AV262" s="65" t="str">
        <f t="shared" si="76"/>
        <v>N</v>
      </c>
      <c r="AW262" s="99"/>
      <c r="AX262" s="99"/>
      <c r="AY262" s="19"/>
      <c r="AZ262" s="96" t="str">
        <f t="shared" si="64"/>
        <v>n</v>
      </c>
      <c r="BA262" s="96" t="str">
        <f>IF(AZ262="n","n",VLOOKUP(AZ262,'Conversion factors'!$C$4:$D$24,2,FALSE))</f>
        <v>n</v>
      </c>
      <c r="BB262" s="96" t="str">
        <f t="shared" si="65"/>
        <v>n</v>
      </c>
      <c r="BC262" s="97"/>
      <c r="BD262" s="96" t="str">
        <f t="shared" si="75"/>
        <v>n</v>
      </c>
      <c r="BE262" s="96" t="str">
        <f t="shared" si="66"/>
        <v>n</v>
      </c>
      <c r="BF262" s="98" t="str">
        <f t="shared" si="77"/>
        <v/>
      </c>
      <c r="BG262" s="96" t="str">
        <f>IF(BF262="","",IF(ISNUMBER(VLOOKUP(BF262,'Conversion factors'!$B$35:$C$52,2,FALSE)),"y","n"))</f>
        <v/>
      </c>
      <c r="BH262" s="99"/>
    </row>
    <row r="263" spans="1:60" s="103" customFormat="1" ht="15.75" customHeight="1" x14ac:dyDescent="0.2">
      <c r="A263" s="18"/>
      <c r="B263" s="19">
        <v>273</v>
      </c>
      <c r="C263" s="19"/>
      <c r="D263" s="19">
        <v>100026</v>
      </c>
      <c r="E263" s="19" t="s">
        <v>1224</v>
      </c>
      <c r="F263" s="93">
        <v>2007</v>
      </c>
      <c r="G263" s="19" t="s">
        <v>943</v>
      </c>
      <c r="H263" s="19"/>
      <c r="I263" s="19" t="s">
        <v>41</v>
      </c>
      <c r="J263" s="19" t="s">
        <v>89</v>
      </c>
      <c r="K263" s="19" t="s">
        <v>161</v>
      </c>
      <c r="L263" s="19" t="s">
        <v>82</v>
      </c>
      <c r="M263" s="19" t="s">
        <v>82</v>
      </c>
      <c r="N263" s="19" t="s">
        <v>66</v>
      </c>
      <c r="O263" s="19" t="s">
        <v>909</v>
      </c>
      <c r="P263" s="19" t="s">
        <v>51</v>
      </c>
      <c r="Q263" s="19"/>
      <c r="R263" s="19" t="s">
        <v>81</v>
      </c>
      <c r="S263" s="19" t="s">
        <v>483</v>
      </c>
      <c r="T263" s="19" t="s">
        <v>55</v>
      </c>
      <c r="U263" s="19" t="s">
        <v>55</v>
      </c>
      <c r="V263" s="19" t="s">
        <v>85</v>
      </c>
      <c r="W263" s="19" t="s">
        <v>231</v>
      </c>
      <c r="X263" s="19" t="s">
        <v>46</v>
      </c>
      <c r="Y263" s="29"/>
      <c r="Z263" s="19"/>
      <c r="AA263" s="19"/>
      <c r="AB263" s="19" t="s">
        <v>957</v>
      </c>
      <c r="AC263" s="19" t="s">
        <v>1322</v>
      </c>
      <c r="AD263" s="19"/>
      <c r="AE263" s="19"/>
      <c r="AF263" s="19"/>
      <c r="AG263" s="19" t="s">
        <v>235</v>
      </c>
      <c r="AH263" s="19"/>
      <c r="AI263" s="19"/>
      <c r="AJ263" s="19" t="s">
        <v>1503</v>
      </c>
      <c r="AK263" s="19" t="s">
        <v>234</v>
      </c>
      <c r="AL263" s="19"/>
      <c r="AM263" s="19" t="s">
        <v>234</v>
      </c>
      <c r="AN263" s="19" t="s">
        <v>234</v>
      </c>
      <c r="AO263" s="19" t="s">
        <v>235</v>
      </c>
      <c r="AP263" s="94"/>
      <c r="AQ263" s="19" t="s">
        <v>101</v>
      </c>
      <c r="AR263" s="19" t="s">
        <v>946</v>
      </c>
      <c r="AS263" s="19"/>
      <c r="AT263" s="65" t="str">
        <f t="shared" si="74"/>
        <v>N</v>
      </c>
      <c r="AU263" s="65" t="str">
        <f t="shared" si="63"/>
        <v>N</v>
      </c>
      <c r="AV263" s="65" t="str">
        <f t="shared" si="76"/>
        <v>N</v>
      </c>
      <c r="AW263" s="99"/>
      <c r="AX263" s="99"/>
      <c r="AY263" s="19"/>
      <c r="AZ263" s="96" t="str">
        <f t="shared" si="64"/>
        <v>n</v>
      </c>
      <c r="BA263" s="96" t="str">
        <f>IF(AZ263="n","n",VLOOKUP(AZ263,'Conversion factors'!$C$4:$D$24,2,FALSE))</f>
        <v>n</v>
      </c>
      <c r="BB263" s="96" t="str">
        <f t="shared" si="65"/>
        <v>n</v>
      </c>
      <c r="BC263" s="97"/>
      <c r="BD263" s="96" t="str">
        <f t="shared" si="75"/>
        <v>n</v>
      </c>
      <c r="BE263" s="96" t="str">
        <f t="shared" si="66"/>
        <v>n</v>
      </c>
      <c r="BF263" s="98" t="str">
        <f t="shared" si="77"/>
        <v/>
      </c>
      <c r="BG263" s="96" t="str">
        <f>IF(BF263="","",IF(ISNUMBER(VLOOKUP(BF263,'Conversion factors'!$B$35:$C$52,2,FALSE)),"y","n"))</f>
        <v/>
      </c>
      <c r="BH263" s="99" t="s">
        <v>1506</v>
      </c>
    </row>
    <row r="264" spans="1:60" s="103" customFormat="1" ht="15.75" customHeight="1" x14ac:dyDescent="0.2">
      <c r="A264" s="18"/>
      <c r="B264" s="19">
        <v>273</v>
      </c>
      <c r="C264" s="19"/>
      <c r="D264" s="19">
        <v>100026</v>
      </c>
      <c r="E264" s="19" t="s">
        <v>1224</v>
      </c>
      <c r="F264" s="93">
        <v>2007</v>
      </c>
      <c r="G264" s="19" t="s">
        <v>943</v>
      </c>
      <c r="H264" s="19"/>
      <c r="I264" s="19" t="s">
        <v>41</v>
      </c>
      <c r="J264" s="19" t="s">
        <v>89</v>
      </c>
      <c r="K264" s="19" t="s">
        <v>161</v>
      </c>
      <c r="L264" s="19" t="s">
        <v>82</v>
      </c>
      <c r="M264" s="19" t="s">
        <v>82</v>
      </c>
      <c r="N264" s="19" t="s">
        <v>66</v>
      </c>
      <c r="O264" s="19" t="s">
        <v>909</v>
      </c>
      <c r="P264" s="19" t="s">
        <v>51</v>
      </c>
      <c r="Q264" s="19"/>
      <c r="R264" s="19" t="s">
        <v>81</v>
      </c>
      <c r="S264" s="19" t="s">
        <v>483</v>
      </c>
      <c r="T264" s="19" t="s">
        <v>55</v>
      </c>
      <c r="U264" s="19" t="s">
        <v>55</v>
      </c>
      <c r="V264" s="19" t="s">
        <v>85</v>
      </c>
      <c r="W264" s="19" t="s">
        <v>231</v>
      </c>
      <c r="X264" s="19" t="s">
        <v>46</v>
      </c>
      <c r="Y264" s="29"/>
      <c r="Z264" s="19"/>
      <c r="AA264" s="19"/>
      <c r="AB264" s="19" t="s">
        <v>262</v>
      </c>
      <c r="AC264" s="19" t="s">
        <v>1322</v>
      </c>
      <c r="AD264" s="19"/>
      <c r="AE264" s="19"/>
      <c r="AF264" s="19"/>
      <c r="AG264" s="19" t="s">
        <v>235</v>
      </c>
      <c r="AH264" s="19"/>
      <c r="AI264" s="19"/>
      <c r="AJ264" s="19" t="s">
        <v>1503</v>
      </c>
      <c r="AK264" s="19" t="s">
        <v>234</v>
      </c>
      <c r="AL264" s="19"/>
      <c r="AM264" s="19" t="s">
        <v>234</v>
      </c>
      <c r="AN264" s="19" t="s">
        <v>234</v>
      </c>
      <c r="AO264" s="19" t="s">
        <v>235</v>
      </c>
      <c r="AP264" s="94"/>
      <c r="AQ264" s="19" t="s">
        <v>101</v>
      </c>
      <c r="AR264" s="19" t="s">
        <v>946</v>
      </c>
      <c r="AS264" s="19"/>
      <c r="AT264" s="65" t="str">
        <f t="shared" si="74"/>
        <v>N</v>
      </c>
      <c r="AU264" s="65" t="str">
        <f t="shared" si="63"/>
        <v>N</v>
      </c>
      <c r="AV264" s="65" t="str">
        <f t="shared" si="76"/>
        <v>N</v>
      </c>
      <c r="AW264" s="99"/>
      <c r="AX264" s="99"/>
      <c r="AY264" s="19"/>
      <c r="AZ264" s="96" t="str">
        <f t="shared" si="64"/>
        <v>n</v>
      </c>
      <c r="BA264" s="96" t="str">
        <f>IF(AZ264="n","n",VLOOKUP(AZ264,'Conversion factors'!$C$4:$D$24,2,FALSE))</f>
        <v>n</v>
      </c>
      <c r="BB264" s="96" t="str">
        <f t="shared" si="65"/>
        <v>n</v>
      </c>
      <c r="BC264" s="97"/>
      <c r="BD264" s="96" t="str">
        <f t="shared" si="75"/>
        <v>n</v>
      </c>
      <c r="BE264" s="96" t="str">
        <f t="shared" si="66"/>
        <v>n</v>
      </c>
      <c r="BF264" s="98" t="str">
        <f t="shared" si="77"/>
        <v/>
      </c>
      <c r="BG264" s="96" t="str">
        <f>IF(BF264="","",IF(ISNUMBER(VLOOKUP(BF264,'Conversion factors'!$B$35:$C$52,2,FALSE)),"y","n"))</f>
        <v/>
      </c>
      <c r="BH264" s="99" t="s">
        <v>1506</v>
      </c>
    </row>
    <row r="265" spans="1:60" s="103" customFormat="1" ht="15.75" customHeight="1" x14ac:dyDescent="0.2">
      <c r="A265" s="18"/>
      <c r="B265" s="19">
        <v>273</v>
      </c>
      <c r="C265" s="19"/>
      <c r="D265" s="19">
        <v>100026</v>
      </c>
      <c r="E265" s="19" t="s">
        <v>1224</v>
      </c>
      <c r="F265" s="93">
        <v>2007</v>
      </c>
      <c r="G265" s="19" t="s">
        <v>943</v>
      </c>
      <c r="H265" s="19"/>
      <c r="I265" s="19" t="s">
        <v>41</v>
      </c>
      <c r="J265" s="19" t="s">
        <v>89</v>
      </c>
      <c r="K265" s="19" t="s">
        <v>161</v>
      </c>
      <c r="L265" s="19" t="s">
        <v>82</v>
      </c>
      <c r="M265" s="19" t="s">
        <v>82</v>
      </c>
      <c r="N265" s="19" t="s">
        <v>66</v>
      </c>
      <c r="O265" s="19" t="s">
        <v>909</v>
      </c>
      <c r="P265" s="19" t="s">
        <v>51</v>
      </c>
      <c r="Q265" s="19"/>
      <c r="R265" s="19" t="s">
        <v>81</v>
      </c>
      <c r="S265" s="19" t="s">
        <v>483</v>
      </c>
      <c r="T265" s="19" t="s">
        <v>54</v>
      </c>
      <c r="U265" s="19" t="s">
        <v>54</v>
      </c>
      <c r="V265" s="19" t="s">
        <v>85</v>
      </c>
      <c r="W265" s="19" t="s">
        <v>231</v>
      </c>
      <c r="X265" s="19" t="s">
        <v>46</v>
      </c>
      <c r="Y265" s="29"/>
      <c r="Z265" s="19"/>
      <c r="AA265" s="19"/>
      <c r="AB265" s="19" t="s">
        <v>959</v>
      </c>
      <c r="AC265" s="19" t="s">
        <v>1322</v>
      </c>
      <c r="AD265" s="19"/>
      <c r="AE265" s="19"/>
      <c r="AF265" s="19"/>
      <c r="AG265" s="19" t="s">
        <v>235</v>
      </c>
      <c r="AH265" s="19"/>
      <c r="AI265" s="19"/>
      <c r="AJ265" s="19" t="s">
        <v>1503</v>
      </c>
      <c r="AK265" s="19" t="s">
        <v>234</v>
      </c>
      <c r="AL265" s="19"/>
      <c r="AM265" s="19" t="s">
        <v>234</v>
      </c>
      <c r="AN265" s="19" t="s">
        <v>234</v>
      </c>
      <c r="AO265" s="19" t="s">
        <v>235</v>
      </c>
      <c r="AP265" s="94"/>
      <c r="AQ265" s="19" t="s">
        <v>101</v>
      </c>
      <c r="AR265" s="19" t="s">
        <v>946</v>
      </c>
      <c r="AS265" s="19"/>
      <c r="AT265" s="65" t="str">
        <f t="shared" si="74"/>
        <v>N</v>
      </c>
      <c r="AU265" s="65" t="str">
        <f t="shared" si="63"/>
        <v>N</v>
      </c>
      <c r="AV265" s="65" t="str">
        <f t="shared" si="76"/>
        <v>N</v>
      </c>
      <c r="AW265" s="99"/>
      <c r="AX265" s="99"/>
      <c r="AY265" s="19"/>
      <c r="AZ265" s="96" t="str">
        <f t="shared" si="64"/>
        <v>n</v>
      </c>
      <c r="BA265" s="96" t="str">
        <f>IF(AZ265="n","n",VLOOKUP(AZ265,'Conversion factors'!$C$4:$D$24,2,FALSE))</f>
        <v>n</v>
      </c>
      <c r="BB265" s="96" t="str">
        <f t="shared" si="65"/>
        <v>n</v>
      </c>
      <c r="BC265" s="97"/>
      <c r="BD265" s="96" t="str">
        <f t="shared" si="75"/>
        <v>n</v>
      </c>
      <c r="BE265" s="96" t="str">
        <f t="shared" si="66"/>
        <v>n</v>
      </c>
      <c r="BF265" s="98" t="str">
        <f t="shared" si="77"/>
        <v/>
      </c>
      <c r="BG265" s="96" t="str">
        <f>IF(BF265="","",IF(ISNUMBER(VLOOKUP(BF265,'Conversion factors'!$B$35:$C$52,2,FALSE)),"y","n"))</f>
        <v/>
      </c>
      <c r="BH265" s="99" t="s">
        <v>1506</v>
      </c>
    </row>
    <row r="266" spans="1:60" s="103" customFormat="1" ht="15.75" customHeight="1" x14ac:dyDescent="0.2">
      <c r="A266" s="18"/>
      <c r="B266" s="19">
        <v>273</v>
      </c>
      <c r="C266" s="19"/>
      <c r="D266" s="19">
        <v>100026</v>
      </c>
      <c r="E266" s="19" t="s">
        <v>1224</v>
      </c>
      <c r="F266" s="93">
        <v>2007</v>
      </c>
      <c r="G266" s="19" t="s">
        <v>943</v>
      </c>
      <c r="H266" s="19"/>
      <c r="I266" s="19" t="s">
        <v>41</v>
      </c>
      <c r="J266" s="19" t="s">
        <v>89</v>
      </c>
      <c r="K266" s="19" t="s">
        <v>161</v>
      </c>
      <c r="L266" s="19" t="s">
        <v>82</v>
      </c>
      <c r="M266" s="19" t="s">
        <v>82</v>
      </c>
      <c r="N266" s="19" t="s">
        <v>66</v>
      </c>
      <c r="O266" s="19" t="s">
        <v>909</v>
      </c>
      <c r="P266" s="19" t="s">
        <v>51</v>
      </c>
      <c r="Q266" s="19"/>
      <c r="R266" s="19" t="s">
        <v>81</v>
      </c>
      <c r="S266" s="19" t="s">
        <v>483</v>
      </c>
      <c r="T266" s="19" t="s">
        <v>54</v>
      </c>
      <c r="U266" s="19" t="s">
        <v>54</v>
      </c>
      <c r="V266" s="19" t="s">
        <v>85</v>
      </c>
      <c r="W266" s="19" t="s">
        <v>231</v>
      </c>
      <c r="X266" s="19" t="s">
        <v>46</v>
      </c>
      <c r="Y266" s="29"/>
      <c r="Z266" s="19"/>
      <c r="AA266" s="19"/>
      <c r="AB266" s="19" t="s">
        <v>818</v>
      </c>
      <c r="AC266" s="19" t="s">
        <v>1322</v>
      </c>
      <c r="AD266" s="19"/>
      <c r="AE266" s="19"/>
      <c r="AF266" s="19"/>
      <c r="AG266" s="19" t="s">
        <v>235</v>
      </c>
      <c r="AH266" s="19"/>
      <c r="AI266" s="19"/>
      <c r="AJ266" s="19" t="s">
        <v>1503</v>
      </c>
      <c r="AK266" s="19" t="s">
        <v>234</v>
      </c>
      <c r="AL266" s="19"/>
      <c r="AM266" s="19" t="s">
        <v>234</v>
      </c>
      <c r="AN266" s="19" t="s">
        <v>234</v>
      </c>
      <c r="AO266" s="19" t="s">
        <v>235</v>
      </c>
      <c r="AP266" s="94"/>
      <c r="AQ266" s="19" t="s">
        <v>101</v>
      </c>
      <c r="AR266" s="19" t="s">
        <v>946</v>
      </c>
      <c r="AS266" s="19"/>
      <c r="AT266" s="65" t="str">
        <f t="shared" si="74"/>
        <v>N</v>
      </c>
      <c r="AU266" s="65" t="str">
        <f t="shared" si="63"/>
        <v>N</v>
      </c>
      <c r="AV266" s="65" t="str">
        <f t="shared" si="76"/>
        <v>N</v>
      </c>
      <c r="AW266" s="99"/>
      <c r="AX266" s="99"/>
      <c r="AY266" s="19"/>
      <c r="AZ266" s="96" t="str">
        <f t="shared" si="64"/>
        <v>n</v>
      </c>
      <c r="BA266" s="96" t="str">
        <f>IF(AZ266="n","n",VLOOKUP(AZ266,'Conversion factors'!$C$4:$D$24,2,FALSE))</f>
        <v>n</v>
      </c>
      <c r="BB266" s="96" t="str">
        <f t="shared" si="65"/>
        <v>n</v>
      </c>
      <c r="BC266" s="97"/>
      <c r="BD266" s="96" t="str">
        <f t="shared" si="75"/>
        <v>n</v>
      </c>
      <c r="BE266" s="96" t="str">
        <f t="shared" si="66"/>
        <v>n</v>
      </c>
      <c r="BF266" s="98" t="str">
        <f t="shared" si="77"/>
        <v/>
      </c>
      <c r="BG266" s="96" t="str">
        <f>IF(BF266="","",IF(ISNUMBER(VLOOKUP(BF266,'Conversion factors'!$B$35:$C$52,2,FALSE)),"y","n"))</f>
        <v/>
      </c>
      <c r="BH266" s="99" t="s">
        <v>1506</v>
      </c>
    </row>
    <row r="267" spans="1:60" s="103" customFormat="1" ht="15.75" customHeight="1" x14ac:dyDescent="0.2">
      <c r="A267" s="18"/>
      <c r="B267" s="19">
        <v>273</v>
      </c>
      <c r="C267" s="19"/>
      <c r="D267" s="19">
        <v>100026</v>
      </c>
      <c r="E267" s="19" t="s">
        <v>1224</v>
      </c>
      <c r="F267" s="93">
        <v>2007</v>
      </c>
      <c r="G267" s="19" t="s">
        <v>943</v>
      </c>
      <c r="H267" s="19"/>
      <c r="I267" s="19" t="s">
        <v>41</v>
      </c>
      <c r="J267" s="19" t="s">
        <v>89</v>
      </c>
      <c r="K267" s="19" t="s">
        <v>161</v>
      </c>
      <c r="L267" s="19" t="s">
        <v>82</v>
      </c>
      <c r="M267" s="19" t="s">
        <v>82</v>
      </c>
      <c r="N267" s="19" t="s">
        <v>66</v>
      </c>
      <c r="O267" s="19" t="s">
        <v>909</v>
      </c>
      <c r="P267" s="19" t="s">
        <v>51</v>
      </c>
      <c r="Q267" s="19"/>
      <c r="R267" s="19" t="s">
        <v>237</v>
      </c>
      <c r="S267" s="19" t="s">
        <v>79</v>
      </c>
      <c r="T267" s="19" t="s">
        <v>56</v>
      </c>
      <c r="U267" s="19" t="s">
        <v>44</v>
      </c>
      <c r="V267" s="19" t="s">
        <v>85</v>
      </c>
      <c r="W267" s="19" t="s">
        <v>231</v>
      </c>
      <c r="X267" s="19" t="s">
        <v>46</v>
      </c>
      <c r="Y267" s="29"/>
      <c r="Z267" s="19"/>
      <c r="AA267" s="19"/>
      <c r="AB267" s="19" t="s">
        <v>955</v>
      </c>
      <c r="AC267" s="19" t="s">
        <v>1322</v>
      </c>
      <c r="AD267" s="19"/>
      <c r="AE267" s="19"/>
      <c r="AF267" s="19"/>
      <c r="AG267" s="19" t="s">
        <v>235</v>
      </c>
      <c r="AH267" s="19"/>
      <c r="AI267" s="19"/>
      <c r="AJ267" s="19" t="s">
        <v>1503</v>
      </c>
      <c r="AK267" s="19" t="s">
        <v>234</v>
      </c>
      <c r="AL267" s="19"/>
      <c r="AM267" s="19" t="s">
        <v>234</v>
      </c>
      <c r="AN267" s="19" t="s">
        <v>234</v>
      </c>
      <c r="AO267" s="19" t="s">
        <v>235</v>
      </c>
      <c r="AP267" s="94"/>
      <c r="AQ267" s="19" t="s">
        <v>101</v>
      </c>
      <c r="AR267" s="19" t="s">
        <v>946</v>
      </c>
      <c r="AS267" s="19"/>
      <c r="AT267" s="65" t="str">
        <f t="shared" si="74"/>
        <v>N</v>
      </c>
      <c r="AU267" s="65" t="str">
        <f t="shared" si="63"/>
        <v>N</v>
      </c>
      <c r="AV267" s="65" t="str">
        <f t="shared" si="76"/>
        <v>N</v>
      </c>
      <c r="AW267" s="99"/>
      <c r="AX267" s="99"/>
      <c r="AY267" s="19"/>
      <c r="AZ267" s="96" t="str">
        <f t="shared" si="64"/>
        <v>n</v>
      </c>
      <c r="BA267" s="96" t="str">
        <f>IF(AZ267="n","n",VLOOKUP(AZ267,'Conversion factors'!$C$4:$D$24,2,FALSE))</f>
        <v>n</v>
      </c>
      <c r="BB267" s="96" t="str">
        <f t="shared" si="65"/>
        <v>n</v>
      </c>
      <c r="BC267" s="97"/>
      <c r="BD267" s="96" t="str">
        <f t="shared" si="75"/>
        <v>n</v>
      </c>
      <c r="BE267" s="96" t="str">
        <f t="shared" si="66"/>
        <v>n</v>
      </c>
      <c r="BF267" s="98" t="str">
        <f t="shared" si="77"/>
        <v/>
      </c>
      <c r="BG267" s="96" t="str">
        <f>IF(BF267="","",IF(ISNUMBER(VLOOKUP(BF267,'Conversion factors'!$B$35:$C$52,2,FALSE)),"y","n"))</f>
        <v/>
      </c>
      <c r="BH267" s="99" t="s">
        <v>1506</v>
      </c>
    </row>
    <row r="268" spans="1:60" s="103" customFormat="1" ht="15.75" customHeight="1" x14ac:dyDescent="0.2">
      <c r="A268" s="18"/>
      <c r="B268" s="19">
        <v>273</v>
      </c>
      <c r="C268" s="19"/>
      <c r="D268" s="19">
        <v>100026</v>
      </c>
      <c r="E268" s="19" t="s">
        <v>1224</v>
      </c>
      <c r="F268" s="93">
        <v>2007</v>
      </c>
      <c r="G268" s="19" t="s">
        <v>943</v>
      </c>
      <c r="H268" s="19"/>
      <c r="I268" s="19" t="s">
        <v>41</v>
      </c>
      <c r="J268" s="19" t="s">
        <v>89</v>
      </c>
      <c r="K268" s="19" t="s">
        <v>161</v>
      </c>
      <c r="L268" s="19" t="s">
        <v>82</v>
      </c>
      <c r="M268" s="19" t="s">
        <v>82</v>
      </c>
      <c r="N268" s="19" t="s">
        <v>66</v>
      </c>
      <c r="O268" s="19" t="s">
        <v>909</v>
      </c>
      <c r="P268" s="19" t="s">
        <v>51</v>
      </c>
      <c r="Q268" s="19"/>
      <c r="R268" s="19" t="s">
        <v>237</v>
      </c>
      <c r="S268" s="19" t="s">
        <v>79</v>
      </c>
      <c r="T268" s="19" t="s">
        <v>56</v>
      </c>
      <c r="U268" s="19" t="s">
        <v>44</v>
      </c>
      <c r="V268" s="19" t="s">
        <v>85</v>
      </c>
      <c r="W268" s="19" t="s">
        <v>231</v>
      </c>
      <c r="X268" s="19" t="s">
        <v>46</v>
      </c>
      <c r="Y268" s="29"/>
      <c r="Z268" s="19"/>
      <c r="AA268" s="19"/>
      <c r="AB268" s="19" t="s">
        <v>956</v>
      </c>
      <c r="AC268" s="19" t="s">
        <v>1322</v>
      </c>
      <c r="AD268" s="19"/>
      <c r="AE268" s="19"/>
      <c r="AF268" s="19"/>
      <c r="AG268" s="19" t="s">
        <v>235</v>
      </c>
      <c r="AH268" s="19"/>
      <c r="AI268" s="19"/>
      <c r="AJ268" s="19" t="s">
        <v>1503</v>
      </c>
      <c r="AK268" s="19" t="s">
        <v>234</v>
      </c>
      <c r="AL268" s="19"/>
      <c r="AM268" s="19" t="s">
        <v>234</v>
      </c>
      <c r="AN268" s="19" t="s">
        <v>234</v>
      </c>
      <c r="AO268" s="19" t="s">
        <v>235</v>
      </c>
      <c r="AP268" s="94"/>
      <c r="AQ268" s="19" t="s">
        <v>101</v>
      </c>
      <c r="AR268" s="19" t="s">
        <v>946</v>
      </c>
      <c r="AS268" s="19"/>
      <c r="AT268" s="65" t="str">
        <f t="shared" si="74"/>
        <v>N</v>
      </c>
      <c r="AU268" s="65" t="str">
        <f t="shared" ref="AU268:AU331" si="78">IF(AT268="N","N",IF(AJ268&lt;6,"N",IF(AJ268&gt;8.5,"N","Y")))</f>
        <v>N</v>
      </c>
      <c r="AV268" s="65" t="str">
        <f t="shared" si="76"/>
        <v>N</v>
      </c>
      <c r="AW268" s="99"/>
      <c r="AX268" s="99"/>
      <c r="AY268" s="19"/>
      <c r="AZ268" s="96" t="str">
        <f t="shared" si="64"/>
        <v>n</v>
      </c>
      <c r="BA268" s="96" t="str">
        <f>IF(AZ268="n","n",VLOOKUP(AZ268,'Conversion factors'!$C$4:$D$24,2,FALSE))</f>
        <v>n</v>
      </c>
      <c r="BB268" s="96" t="str">
        <f t="shared" si="65"/>
        <v>n</v>
      </c>
      <c r="BC268" s="97"/>
      <c r="BD268" s="96" t="str">
        <f t="shared" si="75"/>
        <v>n</v>
      </c>
      <c r="BE268" s="96" t="str">
        <f t="shared" si="66"/>
        <v>n</v>
      </c>
      <c r="BF268" s="98" t="str">
        <f t="shared" si="77"/>
        <v/>
      </c>
      <c r="BG268" s="96" t="str">
        <f>IF(BF268="","",IF(ISNUMBER(VLOOKUP(BF268,'Conversion factors'!$B$35:$C$52,2,FALSE)),"y","n"))</f>
        <v/>
      </c>
      <c r="BH268" s="99" t="s">
        <v>1506</v>
      </c>
    </row>
    <row r="269" spans="1:60" s="103" customFormat="1" ht="15.75" customHeight="1" x14ac:dyDescent="0.2">
      <c r="A269" s="18"/>
      <c r="B269" s="19">
        <v>273</v>
      </c>
      <c r="C269" s="19"/>
      <c r="D269" s="19">
        <v>100026</v>
      </c>
      <c r="E269" s="19" t="s">
        <v>1224</v>
      </c>
      <c r="F269" s="93">
        <v>2007</v>
      </c>
      <c r="G269" s="19" t="s">
        <v>943</v>
      </c>
      <c r="H269" s="19"/>
      <c r="I269" s="19" t="s">
        <v>41</v>
      </c>
      <c r="J269" s="19" t="s">
        <v>89</v>
      </c>
      <c r="K269" s="19" t="s">
        <v>161</v>
      </c>
      <c r="L269" s="19" t="s">
        <v>82</v>
      </c>
      <c r="M269" s="19" t="s">
        <v>82</v>
      </c>
      <c r="N269" s="19" t="s">
        <v>66</v>
      </c>
      <c r="O269" s="19" t="s">
        <v>909</v>
      </c>
      <c r="P269" s="19" t="s">
        <v>51</v>
      </c>
      <c r="Q269" s="19"/>
      <c r="R269" s="19" t="s">
        <v>237</v>
      </c>
      <c r="S269" s="19" t="s">
        <v>414</v>
      </c>
      <c r="T269" s="19" t="s">
        <v>55</v>
      </c>
      <c r="U269" s="19" t="s">
        <v>55</v>
      </c>
      <c r="V269" s="19" t="s">
        <v>85</v>
      </c>
      <c r="W269" s="19" t="s">
        <v>231</v>
      </c>
      <c r="X269" s="19" t="s">
        <v>46</v>
      </c>
      <c r="Y269" s="29"/>
      <c r="Z269" s="19"/>
      <c r="AA269" s="19"/>
      <c r="AB269" s="19" t="s">
        <v>952</v>
      </c>
      <c r="AC269" s="19" t="s">
        <v>1322</v>
      </c>
      <c r="AD269" s="19"/>
      <c r="AE269" s="19"/>
      <c r="AF269" s="19"/>
      <c r="AG269" s="19" t="s">
        <v>235</v>
      </c>
      <c r="AH269" s="19"/>
      <c r="AI269" s="19"/>
      <c r="AJ269" s="19" t="s">
        <v>1503</v>
      </c>
      <c r="AK269" s="19" t="s">
        <v>234</v>
      </c>
      <c r="AL269" s="19"/>
      <c r="AM269" s="19" t="s">
        <v>234</v>
      </c>
      <c r="AN269" s="19" t="s">
        <v>234</v>
      </c>
      <c r="AO269" s="19" t="s">
        <v>235</v>
      </c>
      <c r="AP269" s="94"/>
      <c r="AQ269" s="19" t="s">
        <v>101</v>
      </c>
      <c r="AR269" s="19" t="s">
        <v>946</v>
      </c>
      <c r="AS269" s="19"/>
      <c r="AT269" s="65" t="str">
        <f t="shared" si="74"/>
        <v>N</v>
      </c>
      <c r="AU269" s="65" t="str">
        <f t="shared" si="78"/>
        <v>N</v>
      </c>
      <c r="AV269" s="65" t="str">
        <f t="shared" si="76"/>
        <v>N</v>
      </c>
      <c r="AW269" s="99"/>
      <c r="AX269" s="99"/>
      <c r="AY269" s="19"/>
      <c r="AZ269" s="96" t="str">
        <f t="shared" ref="AZ269:AZ332" si="79">IF(AV269="N","n",T269)</f>
        <v>n</v>
      </c>
      <c r="BA269" s="96" t="str">
        <f>IF(AZ269="n","n",VLOOKUP(AZ269,'Conversion factors'!$C$4:$D$24,2,FALSE))</f>
        <v>n</v>
      </c>
      <c r="BB269" s="96" t="str">
        <f t="shared" ref="BB269:BB332" si="80">IF(BA269="n","n",AB269/BA269)</f>
        <v>n</v>
      </c>
      <c r="BC269" s="97"/>
      <c r="BD269" s="96" t="str">
        <f t="shared" si="75"/>
        <v>n</v>
      </c>
      <c r="BE269" s="96" t="str">
        <f t="shared" ref="BE269:BE332" si="81">IF(BD269="chronic","y","n")</f>
        <v>n</v>
      </c>
      <c r="BF269" s="98" t="str">
        <f t="shared" si="77"/>
        <v/>
      </c>
      <c r="BG269" s="96" t="str">
        <f>IF(BF269="","",IF(ISNUMBER(VLOOKUP(BF269,'Conversion factors'!$B$35:$C$52,2,FALSE)),"y","n"))</f>
        <v/>
      </c>
      <c r="BH269" s="99" t="s">
        <v>1506</v>
      </c>
    </row>
    <row r="270" spans="1:60" s="103" customFormat="1" ht="15.75" customHeight="1" x14ac:dyDescent="0.2">
      <c r="A270" s="18"/>
      <c r="B270" s="19">
        <v>273</v>
      </c>
      <c r="C270" s="19"/>
      <c r="D270" s="19">
        <v>100026</v>
      </c>
      <c r="E270" s="19" t="s">
        <v>1224</v>
      </c>
      <c r="F270" s="93">
        <v>2007</v>
      </c>
      <c r="G270" s="19" t="s">
        <v>943</v>
      </c>
      <c r="H270" s="19"/>
      <c r="I270" s="19" t="s">
        <v>41</v>
      </c>
      <c r="J270" s="19" t="s">
        <v>89</v>
      </c>
      <c r="K270" s="19" t="s">
        <v>161</v>
      </c>
      <c r="L270" s="19" t="s">
        <v>82</v>
      </c>
      <c r="M270" s="19" t="s">
        <v>82</v>
      </c>
      <c r="N270" s="19" t="s">
        <v>66</v>
      </c>
      <c r="O270" s="19" t="s">
        <v>909</v>
      </c>
      <c r="P270" s="19" t="s">
        <v>51</v>
      </c>
      <c r="Q270" s="19"/>
      <c r="R270" s="19" t="s">
        <v>237</v>
      </c>
      <c r="S270" s="19" t="s">
        <v>414</v>
      </c>
      <c r="T270" s="19" t="s">
        <v>55</v>
      </c>
      <c r="U270" s="19" t="s">
        <v>55</v>
      </c>
      <c r="V270" s="19" t="s">
        <v>85</v>
      </c>
      <c r="W270" s="19" t="s">
        <v>231</v>
      </c>
      <c r="X270" s="19" t="s">
        <v>46</v>
      </c>
      <c r="Y270" s="29"/>
      <c r="Z270" s="19"/>
      <c r="AA270" s="19"/>
      <c r="AB270" s="19" t="s">
        <v>381</v>
      </c>
      <c r="AC270" s="19" t="s">
        <v>1322</v>
      </c>
      <c r="AD270" s="19"/>
      <c r="AE270" s="19"/>
      <c r="AF270" s="19"/>
      <c r="AG270" s="19" t="s">
        <v>235</v>
      </c>
      <c r="AH270" s="19"/>
      <c r="AI270" s="19"/>
      <c r="AJ270" s="19" t="s">
        <v>1503</v>
      </c>
      <c r="AK270" s="19" t="s">
        <v>234</v>
      </c>
      <c r="AL270" s="19"/>
      <c r="AM270" s="19" t="s">
        <v>234</v>
      </c>
      <c r="AN270" s="19" t="s">
        <v>234</v>
      </c>
      <c r="AO270" s="19" t="s">
        <v>235</v>
      </c>
      <c r="AP270" s="94"/>
      <c r="AQ270" s="19" t="s">
        <v>101</v>
      </c>
      <c r="AR270" s="19" t="s">
        <v>946</v>
      </c>
      <c r="AS270" s="19"/>
      <c r="AT270" s="65" t="str">
        <f t="shared" si="74"/>
        <v>N</v>
      </c>
      <c r="AU270" s="65" t="str">
        <f t="shared" si="78"/>
        <v>N</v>
      </c>
      <c r="AV270" s="65" t="str">
        <f t="shared" si="76"/>
        <v>N</v>
      </c>
      <c r="AW270" s="99"/>
      <c r="AX270" s="99"/>
      <c r="AY270" s="19"/>
      <c r="AZ270" s="96" t="str">
        <f t="shared" si="79"/>
        <v>n</v>
      </c>
      <c r="BA270" s="96" t="str">
        <f>IF(AZ270="n","n",VLOOKUP(AZ270,'Conversion factors'!$C$4:$D$24,2,FALSE))</f>
        <v>n</v>
      </c>
      <c r="BB270" s="96" t="str">
        <f t="shared" si="80"/>
        <v>n</v>
      </c>
      <c r="BC270" s="97"/>
      <c r="BD270" s="96" t="str">
        <f t="shared" si="75"/>
        <v>n</v>
      </c>
      <c r="BE270" s="96" t="str">
        <f t="shared" si="81"/>
        <v>n</v>
      </c>
      <c r="BF270" s="98" t="str">
        <f t="shared" si="77"/>
        <v/>
      </c>
      <c r="BG270" s="96" t="str">
        <f>IF(BF270="","",IF(ISNUMBER(VLOOKUP(BF270,'Conversion factors'!$B$35:$C$52,2,FALSE)),"y","n"))</f>
        <v/>
      </c>
      <c r="BH270" s="99" t="s">
        <v>1506</v>
      </c>
    </row>
    <row r="271" spans="1:60" s="103" customFormat="1" ht="15.75" customHeight="1" x14ac:dyDescent="0.2">
      <c r="A271" s="18"/>
      <c r="B271" s="19">
        <v>273</v>
      </c>
      <c r="C271" s="19"/>
      <c r="D271" s="19">
        <v>100026</v>
      </c>
      <c r="E271" s="19" t="s">
        <v>1224</v>
      </c>
      <c r="F271" s="93">
        <v>2007</v>
      </c>
      <c r="G271" s="19" t="s">
        <v>943</v>
      </c>
      <c r="H271" s="19"/>
      <c r="I271" s="19" t="s">
        <v>41</v>
      </c>
      <c r="J271" s="19" t="s">
        <v>89</v>
      </c>
      <c r="K271" s="19" t="s">
        <v>161</v>
      </c>
      <c r="L271" s="19" t="s">
        <v>82</v>
      </c>
      <c r="M271" s="19" t="s">
        <v>82</v>
      </c>
      <c r="N271" s="19" t="s">
        <v>66</v>
      </c>
      <c r="O271" s="19" t="s">
        <v>909</v>
      </c>
      <c r="P271" s="19" t="s">
        <v>51</v>
      </c>
      <c r="Q271" s="19"/>
      <c r="R271" s="19" t="s">
        <v>237</v>
      </c>
      <c r="S271" s="19" t="s">
        <v>414</v>
      </c>
      <c r="T271" s="19" t="s">
        <v>54</v>
      </c>
      <c r="U271" s="19" t="s">
        <v>54</v>
      </c>
      <c r="V271" s="19" t="s">
        <v>85</v>
      </c>
      <c r="W271" s="19" t="s">
        <v>231</v>
      </c>
      <c r="X271" s="19" t="s">
        <v>46</v>
      </c>
      <c r="Y271" s="29"/>
      <c r="Z271" s="19"/>
      <c r="AA271" s="19"/>
      <c r="AB271" s="19" t="s">
        <v>958</v>
      </c>
      <c r="AC271" s="19" t="s">
        <v>1322</v>
      </c>
      <c r="AD271" s="19"/>
      <c r="AE271" s="19"/>
      <c r="AF271" s="19"/>
      <c r="AG271" s="19" t="s">
        <v>235</v>
      </c>
      <c r="AH271" s="19"/>
      <c r="AI271" s="19"/>
      <c r="AJ271" s="19" t="s">
        <v>1503</v>
      </c>
      <c r="AK271" s="19" t="s">
        <v>234</v>
      </c>
      <c r="AL271" s="19"/>
      <c r="AM271" s="19" t="s">
        <v>234</v>
      </c>
      <c r="AN271" s="19" t="s">
        <v>234</v>
      </c>
      <c r="AO271" s="19" t="s">
        <v>235</v>
      </c>
      <c r="AP271" s="94"/>
      <c r="AQ271" s="19" t="s">
        <v>101</v>
      </c>
      <c r="AR271" s="19" t="s">
        <v>946</v>
      </c>
      <c r="AS271" s="19"/>
      <c r="AT271" s="65" t="str">
        <f t="shared" si="74"/>
        <v>N</v>
      </c>
      <c r="AU271" s="65" t="str">
        <f t="shared" si="78"/>
        <v>N</v>
      </c>
      <c r="AV271" s="65" t="str">
        <f t="shared" si="76"/>
        <v>N</v>
      </c>
      <c r="AW271" s="99"/>
      <c r="AX271" s="99"/>
      <c r="AY271" s="19"/>
      <c r="AZ271" s="96" t="str">
        <f t="shared" si="79"/>
        <v>n</v>
      </c>
      <c r="BA271" s="96" t="str">
        <f>IF(AZ271="n","n",VLOOKUP(AZ271,'Conversion factors'!$C$4:$D$24,2,FALSE))</f>
        <v>n</v>
      </c>
      <c r="BB271" s="96" t="str">
        <f t="shared" si="80"/>
        <v>n</v>
      </c>
      <c r="BC271" s="97"/>
      <c r="BD271" s="96" t="str">
        <f t="shared" si="75"/>
        <v>n</v>
      </c>
      <c r="BE271" s="96" t="str">
        <f t="shared" si="81"/>
        <v>n</v>
      </c>
      <c r="BF271" s="98" t="str">
        <f t="shared" si="77"/>
        <v/>
      </c>
      <c r="BG271" s="96" t="str">
        <f>IF(BF271="","",IF(ISNUMBER(VLOOKUP(BF271,'Conversion factors'!$B$35:$C$52,2,FALSE)),"y","n"))</f>
        <v/>
      </c>
      <c r="BH271" s="99" t="s">
        <v>1506</v>
      </c>
    </row>
    <row r="272" spans="1:60" s="103" customFormat="1" ht="15.75" customHeight="1" x14ac:dyDescent="0.2">
      <c r="A272" s="18"/>
      <c r="B272" s="19">
        <v>273</v>
      </c>
      <c r="C272" s="19"/>
      <c r="D272" s="19">
        <v>100026</v>
      </c>
      <c r="E272" s="19" t="s">
        <v>1224</v>
      </c>
      <c r="F272" s="93">
        <v>2007</v>
      </c>
      <c r="G272" s="19" t="s">
        <v>943</v>
      </c>
      <c r="H272" s="19"/>
      <c r="I272" s="19" t="s">
        <v>41</v>
      </c>
      <c r="J272" s="19" t="s">
        <v>89</v>
      </c>
      <c r="K272" s="19" t="s">
        <v>161</v>
      </c>
      <c r="L272" s="19" t="s">
        <v>82</v>
      </c>
      <c r="M272" s="19" t="s">
        <v>82</v>
      </c>
      <c r="N272" s="19" t="s">
        <v>66</v>
      </c>
      <c r="O272" s="19" t="s">
        <v>909</v>
      </c>
      <c r="P272" s="19" t="s">
        <v>51</v>
      </c>
      <c r="Q272" s="19"/>
      <c r="R272" s="19" t="s">
        <v>237</v>
      </c>
      <c r="S272" s="19" t="s">
        <v>414</v>
      </c>
      <c r="T272" s="19" t="s">
        <v>54</v>
      </c>
      <c r="U272" s="19" t="s">
        <v>54</v>
      </c>
      <c r="V272" s="19" t="s">
        <v>85</v>
      </c>
      <c r="W272" s="19" t="s">
        <v>231</v>
      </c>
      <c r="X272" s="19" t="s">
        <v>46</v>
      </c>
      <c r="Y272" s="29"/>
      <c r="Z272" s="19"/>
      <c r="AA272" s="19"/>
      <c r="AB272" s="19" t="s">
        <v>262</v>
      </c>
      <c r="AC272" s="19" t="s">
        <v>1322</v>
      </c>
      <c r="AD272" s="19"/>
      <c r="AE272" s="19"/>
      <c r="AF272" s="19"/>
      <c r="AG272" s="19" t="s">
        <v>235</v>
      </c>
      <c r="AH272" s="19"/>
      <c r="AI272" s="19"/>
      <c r="AJ272" s="19" t="s">
        <v>1503</v>
      </c>
      <c r="AK272" s="19" t="s">
        <v>234</v>
      </c>
      <c r="AL272" s="19"/>
      <c r="AM272" s="19" t="s">
        <v>234</v>
      </c>
      <c r="AN272" s="19" t="s">
        <v>234</v>
      </c>
      <c r="AO272" s="19" t="s">
        <v>235</v>
      </c>
      <c r="AP272" s="94"/>
      <c r="AQ272" s="19" t="s">
        <v>101</v>
      </c>
      <c r="AR272" s="19" t="s">
        <v>946</v>
      </c>
      <c r="AS272" s="19"/>
      <c r="AT272" s="65" t="str">
        <f t="shared" si="74"/>
        <v>N</v>
      </c>
      <c r="AU272" s="65" t="str">
        <f t="shared" si="78"/>
        <v>N</v>
      </c>
      <c r="AV272" s="65" t="str">
        <f t="shared" si="76"/>
        <v>N</v>
      </c>
      <c r="AW272" s="99"/>
      <c r="AX272" s="99"/>
      <c r="AY272" s="19"/>
      <c r="AZ272" s="96" t="str">
        <f t="shared" si="79"/>
        <v>n</v>
      </c>
      <c r="BA272" s="96" t="str">
        <f>IF(AZ272="n","n",VLOOKUP(AZ272,'Conversion factors'!$C$4:$D$24,2,FALSE))</f>
        <v>n</v>
      </c>
      <c r="BB272" s="96" t="str">
        <f t="shared" si="80"/>
        <v>n</v>
      </c>
      <c r="BC272" s="97"/>
      <c r="BD272" s="96" t="str">
        <f t="shared" si="75"/>
        <v>n</v>
      </c>
      <c r="BE272" s="96" t="str">
        <f t="shared" si="81"/>
        <v>n</v>
      </c>
      <c r="BF272" s="98" t="str">
        <f t="shared" si="77"/>
        <v/>
      </c>
      <c r="BG272" s="96" t="str">
        <f>IF(BF272="","",IF(ISNUMBER(VLOOKUP(BF272,'Conversion factors'!$B$35:$C$52,2,FALSE)),"y","n"))</f>
        <v/>
      </c>
      <c r="BH272" s="99" t="s">
        <v>1506</v>
      </c>
    </row>
    <row r="273" spans="1:60" s="103" customFormat="1" ht="15.75" customHeight="1" x14ac:dyDescent="0.2">
      <c r="A273" s="18"/>
      <c r="B273" s="19">
        <v>274</v>
      </c>
      <c r="C273" s="19"/>
      <c r="D273" s="19">
        <v>100037</v>
      </c>
      <c r="E273" s="19" t="s">
        <v>1224</v>
      </c>
      <c r="F273" s="93">
        <v>2007</v>
      </c>
      <c r="G273" s="19" t="s">
        <v>960</v>
      </c>
      <c r="H273" s="19"/>
      <c r="I273" s="19" t="s">
        <v>41</v>
      </c>
      <c r="J273" s="19" t="s">
        <v>89</v>
      </c>
      <c r="K273" s="19" t="s">
        <v>161</v>
      </c>
      <c r="L273" s="19" t="s">
        <v>82</v>
      </c>
      <c r="M273" s="19" t="s">
        <v>82</v>
      </c>
      <c r="N273" s="19" t="s">
        <v>66</v>
      </c>
      <c r="O273" s="19" t="s">
        <v>974</v>
      </c>
      <c r="P273" s="19" t="s">
        <v>51</v>
      </c>
      <c r="Q273" s="19"/>
      <c r="R273" s="19" t="s">
        <v>81</v>
      </c>
      <c r="S273" s="19" t="s">
        <v>302</v>
      </c>
      <c r="T273" s="19" t="s">
        <v>55</v>
      </c>
      <c r="U273" s="19" t="s">
        <v>55</v>
      </c>
      <c r="V273" s="19" t="s">
        <v>252</v>
      </c>
      <c r="W273" s="19" t="s">
        <v>231</v>
      </c>
      <c r="X273" s="19" t="s">
        <v>46</v>
      </c>
      <c r="Y273" s="29"/>
      <c r="Z273" s="19"/>
      <c r="AA273" s="19"/>
      <c r="AB273" s="19" t="s">
        <v>645</v>
      </c>
      <c r="AC273" s="19" t="s">
        <v>214</v>
      </c>
      <c r="AD273" s="19"/>
      <c r="AE273" s="19">
        <v>101</v>
      </c>
      <c r="AF273" s="19" t="s">
        <v>963</v>
      </c>
      <c r="AG273" s="19" t="s">
        <v>270</v>
      </c>
      <c r="AH273" s="19"/>
      <c r="AI273" s="19"/>
      <c r="AJ273" s="19">
        <f t="shared" ref="AJ273:AJ279" si="82">MEDIAN(7.89,8.78)</f>
        <v>8.3349999999999991</v>
      </c>
      <c r="AK273" s="19" t="s">
        <v>962</v>
      </c>
      <c r="AL273" s="19"/>
      <c r="AM273" s="19" t="s">
        <v>234</v>
      </c>
      <c r="AN273" s="19" t="s">
        <v>964</v>
      </c>
      <c r="AO273" s="19" t="s">
        <v>270</v>
      </c>
      <c r="AP273" s="94" t="s">
        <v>73</v>
      </c>
      <c r="AQ273" s="19" t="s">
        <v>965</v>
      </c>
      <c r="AR273" s="19" t="s">
        <v>966</v>
      </c>
      <c r="AS273" s="19"/>
      <c r="AT273" s="65" t="str">
        <f t="shared" si="74"/>
        <v>Y</v>
      </c>
      <c r="AU273" s="65" t="str">
        <f t="shared" si="78"/>
        <v>Y</v>
      </c>
      <c r="AV273" s="65" t="str">
        <f t="shared" si="76"/>
        <v>Y</v>
      </c>
      <c r="AW273" s="99"/>
      <c r="AX273" s="99"/>
      <c r="AY273" s="19"/>
      <c r="AZ273" s="96" t="str">
        <f t="shared" si="79"/>
        <v>LOEC</v>
      </c>
      <c r="BA273" s="96">
        <f>IF(AZ273="n","n",VLOOKUP(AZ273,'Conversion factors'!$C$4:$D$24,2,FALSE))</f>
        <v>2.5</v>
      </c>
      <c r="BB273" s="96">
        <f t="shared" si="80"/>
        <v>128</v>
      </c>
      <c r="BC273" s="97"/>
      <c r="BD273" s="96" t="str">
        <f t="shared" si="75"/>
        <v>Chronic</v>
      </c>
      <c r="BE273" s="96" t="str">
        <f t="shared" si="81"/>
        <v>y</v>
      </c>
      <c r="BF273" s="98" t="str">
        <f t="shared" si="77"/>
        <v>LOEC</v>
      </c>
      <c r="BG273" s="96" t="str">
        <f>IF(BF273="","",IF(ISNUMBER(VLOOKUP(BF273,'Conversion factors'!$B$35:$C$52,2,FALSE)),"y","n"))</f>
        <v>n</v>
      </c>
      <c r="BH273" s="99" t="s">
        <v>1506</v>
      </c>
    </row>
    <row r="274" spans="1:60" s="103" customFormat="1" ht="15.75" customHeight="1" x14ac:dyDescent="0.2">
      <c r="A274" s="18"/>
      <c r="B274" s="19">
        <v>274</v>
      </c>
      <c r="C274" s="19"/>
      <c r="D274" s="19">
        <v>100037</v>
      </c>
      <c r="E274" s="19" t="s">
        <v>1224</v>
      </c>
      <c r="F274" s="93">
        <v>2007</v>
      </c>
      <c r="G274" s="19" t="s">
        <v>960</v>
      </c>
      <c r="H274" s="19"/>
      <c r="I274" s="19" t="s">
        <v>41</v>
      </c>
      <c r="J274" s="19" t="s">
        <v>89</v>
      </c>
      <c r="K274" s="19" t="s">
        <v>161</v>
      </c>
      <c r="L274" s="19" t="s">
        <v>82</v>
      </c>
      <c r="M274" s="19" t="s">
        <v>82</v>
      </c>
      <c r="N274" s="19" t="s">
        <v>66</v>
      </c>
      <c r="O274" s="19" t="s">
        <v>974</v>
      </c>
      <c r="P274" s="19" t="s">
        <v>51</v>
      </c>
      <c r="Q274" s="19"/>
      <c r="R274" s="19" t="s">
        <v>81</v>
      </c>
      <c r="S274" s="19" t="s">
        <v>302</v>
      </c>
      <c r="T274" s="19" t="s">
        <v>77</v>
      </c>
      <c r="U274" s="19" t="s">
        <v>77</v>
      </c>
      <c r="V274" s="19" t="s">
        <v>252</v>
      </c>
      <c r="W274" s="19" t="s">
        <v>231</v>
      </c>
      <c r="X274" s="19" t="s">
        <v>46</v>
      </c>
      <c r="Y274" s="29"/>
      <c r="Z274" s="19"/>
      <c r="AA274" s="19"/>
      <c r="AB274" s="19" t="s">
        <v>851</v>
      </c>
      <c r="AC274" s="19" t="s">
        <v>214</v>
      </c>
      <c r="AD274" s="19"/>
      <c r="AE274" s="19">
        <v>101</v>
      </c>
      <c r="AF274" s="19" t="s">
        <v>963</v>
      </c>
      <c r="AG274" s="19" t="s">
        <v>270</v>
      </c>
      <c r="AH274" s="19"/>
      <c r="AI274" s="19"/>
      <c r="AJ274" s="19">
        <f t="shared" si="82"/>
        <v>8.3349999999999991</v>
      </c>
      <c r="AK274" s="19" t="s">
        <v>962</v>
      </c>
      <c r="AL274" s="19"/>
      <c r="AM274" s="19" t="s">
        <v>234</v>
      </c>
      <c r="AN274" s="19" t="s">
        <v>964</v>
      </c>
      <c r="AO274" s="19" t="s">
        <v>270</v>
      </c>
      <c r="AP274" s="94" t="s">
        <v>73</v>
      </c>
      <c r="AQ274" s="19" t="s">
        <v>965</v>
      </c>
      <c r="AR274" s="19" t="s">
        <v>966</v>
      </c>
      <c r="AS274" s="19"/>
      <c r="AT274" s="65" t="str">
        <f t="shared" si="74"/>
        <v>Y</v>
      </c>
      <c r="AU274" s="65" t="str">
        <f t="shared" si="78"/>
        <v>Y</v>
      </c>
      <c r="AV274" s="65" t="str">
        <f t="shared" si="76"/>
        <v>Y</v>
      </c>
      <c r="AW274" s="99"/>
      <c r="AX274" s="99"/>
      <c r="AY274" s="19"/>
      <c r="AZ274" s="96" t="str">
        <f t="shared" si="79"/>
        <v>MATC</v>
      </c>
      <c r="BA274" s="96">
        <f>IF(AZ274="n","n",VLOOKUP(AZ274,'Conversion factors'!$C$4:$D$24,2,FALSE))</f>
        <v>2</v>
      </c>
      <c r="BB274" s="96">
        <f t="shared" si="80"/>
        <v>109.5</v>
      </c>
      <c r="BC274" s="97"/>
      <c r="BD274" s="96" t="str">
        <f t="shared" si="75"/>
        <v>Chronic</v>
      </c>
      <c r="BE274" s="96" t="str">
        <f t="shared" si="81"/>
        <v>y</v>
      </c>
      <c r="BF274" s="98" t="str">
        <f t="shared" si="77"/>
        <v>MATC</v>
      </c>
      <c r="BG274" s="96" t="str">
        <f>IF(BF274="","",IF(ISNUMBER(VLOOKUP(BF274,'Conversion factors'!$B$35:$C$52,2,FALSE)),"y","n"))</f>
        <v>n</v>
      </c>
      <c r="BH274" s="99" t="s">
        <v>1506</v>
      </c>
    </row>
    <row r="275" spans="1:60" s="103" customFormat="1" ht="15.75" customHeight="1" x14ac:dyDescent="0.2">
      <c r="A275" s="18"/>
      <c r="B275" s="19">
        <v>274</v>
      </c>
      <c r="C275" s="19"/>
      <c r="D275" s="19">
        <v>100037</v>
      </c>
      <c r="E275" s="19" t="s">
        <v>1224</v>
      </c>
      <c r="F275" s="93">
        <v>2007</v>
      </c>
      <c r="G275" s="19" t="s">
        <v>960</v>
      </c>
      <c r="H275" s="19"/>
      <c r="I275" s="19" t="s">
        <v>41</v>
      </c>
      <c r="J275" s="19" t="s">
        <v>89</v>
      </c>
      <c r="K275" s="19" t="s">
        <v>161</v>
      </c>
      <c r="L275" s="99" t="s">
        <v>82</v>
      </c>
      <c r="M275" s="19" t="s">
        <v>82</v>
      </c>
      <c r="N275" s="19" t="s">
        <v>66</v>
      </c>
      <c r="O275" s="19" t="s">
        <v>974</v>
      </c>
      <c r="P275" s="19" t="s">
        <v>51</v>
      </c>
      <c r="Q275" s="19"/>
      <c r="R275" s="19" t="s">
        <v>81</v>
      </c>
      <c r="S275" s="19" t="s">
        <v>302</v>
      </c>
      <c r="T275" s="19" t="s">
        <v>54</v>
      </c>
      <c r="U275" s="19" t="s">
        <v>54</v>
      </c>
      <c r="V275" s="19" t="s">
        <v>252</v>
      </c>
      <c r="W275" s="19" t="s">
        <v>231</v>
      </c>
      <c r="X275" s="19" t="s">
        <v>46</v>
      </c>
      <c r="Y275" s="29"/>
      <c r="Z275" s="19"/>
      <c r="AA275" s="19"/>
      <c r="AB275" s="19" t="s">
        <v>289</v>
      </c>
      <c r="AC275" s="19" t="s">
        <v>214</v>
      </c>
      <c r="AD275" s="19"/>
      <c r="AE275" s="19">
        <v>101</v>
      </c>
      <c r="AF275" s="19" t="s">
        <v>963</v>
      </c>
      <c r="AG275" s="19" t="s">
        <v>270</v>
      </c>
      <c r="AH275" s="19"/>
      <c r="AI275" s="19"/>
      <c r="AJ275" s="19">
        <f t="shared" si="82"/>
        <v>8.3349999999999991</v>
      </c>
      <c r="AK275" s="19" t="s">
        <v>962</v>
      </c>
      <c r="AL275" s="19"/>
      <c r="AM275" s="19" t="s">
        <v>234</v>
      </c>
      <c r="AN275" s="19" t="s">
        <v>964</v>
      </c>
      <c r="AO275" s="19" t="s">
        <v>270</v>
      </c>
      <c r="AP275" s="94" t="s">
        <v>73</v>
      </c>
      <c r="AQ275" s="19" t="s">
        <v>965</v>
      </c>
      <c r="AR275" s="19" t="s">
        <v>966</v>
      </c>
      <c r="AS275" s="19"/>
      <c r="AT275" s="65" t="str">
        <f t="shared" si="74"/>
        <v>Y</v>
      </c>
      <c r="AU275" s="65" t="str">
        <f t="shared" si="78"/>
        <v>Y</v>
      </c>
      <c r="AV275" s="65" t="s">
        <v>162</v>
      </c>
      <c r="AW275" s="99" t="s">
        <v>1483</v>
      </c>
      <c r="AX275" s="99"/>
      <c r="AY275" s="19"/>
      <c r="AZ275" s="96" t="str">
        <f t="shared" si="79"/>
        <v>n</v>
      </c>
      <c r="BA275" s="96" t="str">
        <f>IF(AZ275="n","n",VLOOKUP(AZ275,'Conversion factors'!$C$4:$D$24,2,FALSE))</f>
        <v>n</v>
      </c>
      <c r="BB275" s="96" t="str">
        <f t="shared" si="80"/>
        <v>n</v>
      </c>
      <c r="BC275" s="97"/>
      <c r="BD275" s="96" t="str">
        <f t="shared" si="75"/>
        <v>n</v>
      </c>
      <c r="BE275" s="96" t="str">
        <f t="shared" si="81"/>
        <v>n</v>
      </c>
      <c r="BF275" s="98" t="str">
        <f t="shared" si="77"/>
        <v/>
      </c>
      <c r="BG275" s="96" t="str">
        <f>IF(BF275="","",IF(ISNUMBER(VLOOKUP(BF275,'Conversion factors'!$B$35:$C$52,2,FALSE)),"y","n"))</f>
        <v/>
      </c>
      <c r="BH275" s="99" t="s">
        <v>1506</v>
      </c>
    </row>
    <row r="276" spans="1:60" s="103" customFormat="1" ht="15.75" customHeight="1" x14ac:dyDescent="0.2">
      <c r="A276" s="18"/>
      <c r="B276" s="19">
        <v>274</v>
      </c>
      <c r="C276" s="19"/>
      <c r="D276" s="19">
        <v>100037</v>
      </c>
      <c r="E276" s="19" t="s">
        <v>1224</v>
      </c>
      <c r="F276" s="93">
        <v>2007</v>
      </c>
      <c r="G276" s="19" t="s">
        <v>960</v>
      </c>
      <c r="H276" s="19"/>
      <c r="I276" s="19" t="s">
        <v>41</v>
      </c>
      <c r="J276" s="19" t="s">
        <v>89</v>
      </c>
      <c r="K276" s="19" t="s">
        <v>161</v>
      </c>
      <c r="L276" s="19" t="s">
        <v>82</v>
      </c>
      <c r="M276" s="19" t="s">
        <v>82</v>
      </c>
      <c r="N276" s="19" t="s">
        <v>66</v>
      </c>
      <c r="O276" s="19" t="s">
        <v>974</v>
      </c>
      <c r="P276" s="19" t="s">
        <v>51</v>
      </c>
      <c r="Q276" s="19"/>
      <c r="R276" s="19" t="s">
        <v>237</v>
      </c>
      <c r="S276" s="19" t="s">
        <v>79</v>
      </c>
      <c r="T276" s="19" t="s">
        <v>56</v>
      </c>
      <c r="U276" s="19" t="s">
        <v>44</v>
      </c>
      <c r="V276" s="19" t="s">
        <v>252</v>
      </c>
      <c r="W276" s="19" t="s">
        <v>231</v>
      </c>
      <c r="X276" s="19" t="s">
        <v>46</v>
      </c>
      <c r="Y276" s="29"/>
      <c r="Z276" s="19"/>
      <c r="AA276" s="19"/>
      <c r="AB276" s="19" t="s">
        <v>975</v>
      </c>
      <c r="AC276" s="19" t="s">
        <v>214</v>
      </c>
      <c r="AD276" s="19"/>
      <c r="AE276" s="19">
        <v>101</v>
      </c>
      <c r="AF276" s="19" t="s">
        <v>963</v>
      </c>
      <c r="AG276" s="19" t="s">
        <v>270</v>
      </c>
      <c r="AH276" s="19"/>
      <c r="AI276" s="19"/>
      <c r="AJ276" s="19">
        <f t="shared" si="82"/>
        <v>8.3349999999999991</v>
      </c>
      <c r="AK276" s="19" t="s">
        <v>962</v>
      </c>
      <c r="AL276" s="19"/>
      <c r="AM276" s="19" t="s">
        <v>234</v>
      </c>
      <c r="AN276" s="19" t="s">
        <v>964</v>
      </c>
      <c r="AO276" s="19" t="s">
        <v>270</v>
      </c>
      <c r="AP276" s="94" t="s">
        <v>73</v>
      </c>
      <c r="AQ276" s="19" t="s">
        <v>965</v>
      </c>
      <c r="AR276" s="19" t="s">
        <v>966</v>
      </c>
      <c r="AS276" s="19"/>
      <c r="AT276" s="65" t="str">
        <f t="shared" si="74"/>
        <v>Y</v>
      </c>
      <c r="AU276" s="65" t="str">
        <f t="shared" si="78"/>
        <v>Y</v>
      </c>
      <c r="AV276" s="65" t="str">
        <f>AU276</f>
        <v>Y</v>
      </c>
      <c r="AW276" s="99"/>
      <c r="AX276" s="99"/>
      <c r="AY276" s="19"/>
      <c r="AZ276" s="96" t="str">
        <f t="shared" si="79"/>
        <v>LC50</v>
      </c>
      <c r="BA276" s="96">
        <f>IF(AZ276="n","n",VLOOKUP(AZ276,'Conversion factors'!$C$4:$D$24,2,FALSE))</f>
        <v>5</v>
      </c>
      <c r="BB276" s="96">
        <f t="shared" si="80"/>
        <v>100.8</v>
      </c>
      <c r="BC276" s="97"/>
      <c r="BD276" s="96" t="str">
        <f t="shared" si="75"/>
        <v>Chronic</v>
      </c>
      <c r="BE276" s="96" t="str">
        <f t="shared" si="81"/>
        <v>y</v>
      </c>
      <c r="BF276" s="98" t="str">
        <f t="shared" si="77"/>
        <v>LC50</v>
      </c>
      <c r="BG276" s="96" t="str">
        <f>IF(BF276="","",IF(ISNUMBER(VLOOKUP(BF276,'Conversion factors'!$B$35:$C$52,2,FALSE)),"y","n"))</f>
        <v>n</v>
      </c>
      <c r="BH276" s="99" t="s">
        <v>1506</v>
      </c>
    </row>
    <row r="277" spans="1:60" s="103" customFormat="1" ht="15.75" customHeight="1" x14ac:dyDescent="0.2">
      <c r="A277" s="18"/>
      <c r="B277" s="19">
        <v>274</v>
      </c>
      <c r="C277" s="19"/>
      <c r="D277" s="19">
        <v>100037</v>
      </c>
      <c r="E277" s="19" t="s">
        <v>1224</v>
      </c>
      <c r="F277" s="93">
        <v>2007</v>
      </c>
      <c r="G277" s="19" t="s">
        <v>960</v>
      </c>
      <c r="H277" s="19"/>
      <c r="I277" s="19" t="s">
        <v>41</v>
      </c>
      <c r="J277" s="19" t="s">
        <v>89</v>
      </c>
      <c r="K277" s="19" t="s">
        <v>161</v>
      </c>
      <c r="L277" s="19" t="s">
        <v>82</v>
      </c>
      <c r="M277" s="19" t="s">
        <v>82</v>
      </c>
      <c r="N277" s="19" t="s">
        <v>66</v>
      </c>
      <c r="O277" s="19" t="s">
        <v>974</v>
      </c>
      <c r="P277" s="19" t="s">
        <v>51</v>
      </c>
      <c r="Q277" s="19"/>
      <c r="R277" s="19" t="s">
        <v>237</v>
      </c>
      <c r="S277" s="19" t="s">
        <v>414</v>
      </c>
      <c r="T277" s="19" t="s">
        <v>55</v>
      </c>
      <c r="U277" s="19" t="s">
        <v>55</v>
      </c>
      <c r="V277" s="19" t="s">
        <v>252</v>
      </c>
      <c r="W277" s="19" t="s">
        <v>231</v>
      </c>
      <c r="X277" s="19" t="s">
        <v>46</v>
      </c>
      <c r="Y277" s="29"/>
      <c r="Z277" s="19"/>
      <c r="AA277" s="19"/>
      <c r="AB277" s="19" t="s">
        <v>645</v>
      </c>
      <c r="AC277" s="19" t="s">
        <v>214</v>
      </c>
      <c r="AD277" s="19"/>
      <c r="AE277" s="19">
        <v>101</v>
      </c>
      <c r="AF277" s="19" t="s">
        <v>963</v>
      </c>
      <c r="AG277" s="19" t="s">
        <v>270</v>
      </c>
      <c r="AH277" s="19"/>
      <c r="AI277" s="19"/>
      <c r="AJ277" s="19">
        <f t="shared" si="82"/>
        <v>8.3349999999999991</v>
      </c>
      <c r="AK277" s="19" t="s">
        <v>962</v>
      </c>
      <c r="AL277" s="19"/>
      <c r="AM277" s="19" t="s">
        <v>234</v>
      </c>
      <c r="AN277" s="19" t="s">
        <v>964</v>
      </c>
      <c r="AO277" s="19" t="s">
        <v>270</v>
      </c>
      <c r="AP277" s="94" t="s">
        <v>73</v>
      </c>
      <c r="AQ277" s="19" t="s">
        <v>965</v>
      </c>
      <c r="AR277" s="19" t="s">
        <v>966</v>
      </c>
      <c r="AS277" s="19"/>
      <c r="AT277" s="65" t="str">
        <f t="shared" si="74"/>
        <v>Y</v>
      </c>
      <c r="AU277" s="65" t="str">
        <f t="shared" si="78"/>
        <v>Y</v>
      </c>
      <c r="AV277" s="65" t="str">
        <f>AU277</f>
        <v>Y</v>
      </c>
      <c r="AW277" s="99"/>
      <c r="AX277" s="99"/>
      <c r="AY277" s="19"/>
      <c r="AZ277" s="96" t="str">
        <f t="shared" si="79"/>
        <v>LOEC</v>
      </c>
      <c r="BA277" s="96">
        <f>IF(AZ277="n","n",VLOOKUP(AZ277,'Conversion factors'!$C$4:$D$24,2,FALSE))</f>
        <v>2.5</v>
      </c>
      <c r="BB277" s="96">
        <f t="shared" si="80"/>
        <v>128</v>
      </c>
      <c r="BC277" s="97"/>
      <c r="BD277" s="96" t="str">
        <f t="shared" si="75"/>
        <v>Chronic</v>
      </c>
      <c r="BE277" s="96" t="str">
        <f t="shared" si="81"/>
        <v>y</v>
      </c>
      <c r="BF277" s="98" t="str">
        <f t="shared" si="77"/>
        <v>LOEC</v>
      </c>
      <c r="BG277" s="96" t="str">
        <f>IF(BF277="","",IF(ISNUMBER(VLOOKUP(BF277,'Conversion factors'!$B$35:$C$52,2,FALSE)),"y","n"))</f>
        <v>n</v>
      </c>
      <c r="BH277" s="99" t="s">
        <v>1506</v>
      </c>
    </row>
    <row r="278" spans="1:60" s="103" customFormat="1" ht="15.75" customHeight="1" x14ac:dyDescent="0.2">
      <c r="A278" s="18"/>
      <c r="B278" s="19">
        <v>274</v>
      </c>
      <c r="C278" s="19"/>
      <c r="D278" s="19">
        <v>100037</v>
      </c>
      <c r="E278" s="19" t="s">
        <v>1224</v>
      </c>
      <c r="F278" s="93">
        <v>2007</v>
      </c>
      <c r="G278" s="19" t="s">
        <v>960</v>
      </c>
      <c r="H278" s="19"/>
      <c r="I278" s="19" t="s">
        <v>41</v>
      </c>
      <c r="J278" s="19" t="s">
        <v>89</v>
      </c>
      <c r="K278" s="19" t="s">
        <v>161</v>
      </c>
      <c r="L278" s="19" t="s">
        <v>82</v>
      </c>
      <c r="M278" s="19" t="s">
        <v>82</v>
      </c>
      <c r="N278" s="19" t="s">
        <v>66</v>
      </c>
      <c r="O278" s="19" t="s">
        <v>974</v>
      </c>
      <c r="P278" s="19" t="s">
        <v>51</v>
      </c>
      <c r="Q278" s="19"/>
      <c r="R278" s="19" t="s">
        <v>237</v>
      </c>
      <c r="S278" s="19" t="s">
        <v>414</v>
      </c>
      <c r="T278" s="19" t="s">
        <v>77</v>
      </c>
      <c r="U278" s="19" t="s">
        <v>77</v>
      </c>
      <c r="V278" s="19" t="s">
        <v>252</v>
      </c>
      <c r="W278" s="19" t="s">
        <v>231</v>
      </c>
      <c r="X278" s="19" t="s">
        <v>46</v>
      </c>
      <c r="Y278" s="29"/>
      <c r="Z278" s="19"/>
      <c r="AA278" s="19"/>
      <c r="AB278" s="19" t="s">
        <v>851</v>
      </c>
      <c r="AC278" s="19" t="s">
        <v>214</v>
      </c>
      <c r="AD278" s="19"/>
      <c r="AE278" s="19">
        <v>101</v>
      </c>
      <c r="AF278" s="19" t="s">
        <v>963</v>
      </c>
      <c r="AG278" s="19" t="s">
        <v>270</v>
      </c>
      <c r="AH278" s="19"/>
      <c r="AI278" s="19"/>
      <c r="AJ278" s="19">
        <f t="shared" si="82"/>
        <v>8.3349999999999991</v>
      </c>
      <c r="AK278" s="19" t="s">
        <v>962</v>
      </c>
      <c r="AL278" s="19"/>
      <c r="AM278" s="19" t="s">
        <v>234</v>
      </c>
      <c r="AN278" s="19" t="s">
        <v>964</v>
      </c>
      <c r="AO278" s="19" t="s">
        <v>270</v>
      </c>
      <c r="AP278" s="94" t="s">
        <v>73</v>
      </c>
      <c r="AQ278" s="19" t="s">
        <v>965</v>
      </c>
      <c r="AR278" s="19" t="s">
        <v>966</v>
      </c>
      <c r="AS278" s="19"/>
      <c r="AT278" s="65" t="str">
        <f t="shared" si="74"/>
        <v>Y</v>
      </c>
      <c r="AU278" s="65" t="str">
        <f t="shared" si="78"/>
        <v>Y</v>
      </c>
      <c r="AV278" s="65" t="str">
        <f>AU278</f>
        <v>Y</v>
      </c>
      <c r="AW278" s="99"/>
      <c r="AX278" s="99"/>
      <c r="AY278" s="19"/>
      <c r="AZ278" s="96" t="str">
        <f t="shared" si="79"/>
        <v>MATC</v>
      </c>
      <c r="BA278" s="96">
        <f>IF(AZ278="n","n",VLOOKUP(AZ278,'Conversion factors'!$C$4:$D$24,2,FALSE))</f>
        <v>2</v>
      </c>
      <c r="BB278" s="96">
        <f t="shared" si="80"/>
        <v>109.5</v>
      </c>
      <c r="BC278" s="97"/>
      <c r="BD278" s="96" t="str">
        <f t="shared" si="75"/>
        <v>Chronic</v>
      </c>
      <c r="BE278" s="96" t="str">
        <f t="shared" si="81"/>
        <v>y</v>
      </c>
      <c r="BF278" s="98" t="str">
        <f t="shared" si="77"/>
        <v>MATC</v>
      </c>
      <c r="BG278" s="96" t="str">
        <f>IF(BF278="","",IF(ISNUMBER(VLOOKUP(BF278,'Conversion factors'!$B$35:$C$52,2,FALSE)),"y","n"))</f>
        <v>n</v>
      </c>
      <c r="BH278" s="99" t="s">
        <v>1506</v>
      </c>
    </row>
    <row r="279" spans="1:60" s="103" customFormat="1" ht="15.75" customHeight="1" x14ac:dyDescent="0.2">
      <c r="A279" s="18"/>
      <c r="B279" s="19">
        <v>274</v>
      </c>
      <c r="C279" s="19"/>
      <c r="D279" s="19">
        <v>100037</v>
      </c>
      <c r="E279" s="19" t="s">
        <v>1224</v>
      </c>
      <c r="F279" s="93">
        <v>2007</v>
      </c>
      <c r="G279" s="19" t="s">
        <v>960</v>
      </c>
      <c r="H279" s="19"/>
      <c r="I279" s="19" t="s">
        <v>41</v>
      </c>
      <c r="J279" s="19" t="s">
        <v>89</v>
      </c>
      <c r="K279" s="19" t="s">
        <v>161</v>
      </c>
      <c r="L279" s="99" t="s">
        <v>82</v>
      </c>
      <c r="M279" s="19" t="s">
        <v>82</v>
      </c>
      <c r="N279" s="19" t="s">
        <v>66</v>
      </c>
      <c r="O279" s="19" t="s">
        <v>974</v>
      </c>
      <c r="P279" s="19" t="s">
        <v>51</v>
      </c>
      <c r="Q279" s="19"/>
      <c r="R279" s="19" t="s">
        <v>237</v>
      </c>
      <c r="S279" s="19" t="s">
        <v>414</v>
      </c>
      <c r="T279" s="19" t="s">
        <v>54</v>
      </c>
      <c r="U279" s="19" t="s">
        <v>54</v>
      </c>
      <c r="V279" s="19" t="s">
        <v>252</v>
      </c>
      <c r="W279" s="19" t="s">
        <v>231</v>
      </c>
      <c r="X279" s="19" t="s">
        <v>46</v>
      </c>
      <c r="Y279" s="29"/>
      <c r="Z279" s="19"/>
      <c r="AA279" s="19"/>
      <c r="AB279" s="19" t="s">
        <v>289</v>
      </c>
      <c r="AC279" s="19" t="s">
        <v>214</v>
      </c>
      <c r="AD279" s="19"/>
      <c r="AE279" s="19">
        <v>101</v>
      </c>
      <c r="AF279" s="19" t="s">
        <v>963</v>
      </c>
      <c r="AG279" s="19" t="s">
        <v>270</v>
      </c>
      <c r="AH279" s="19"/>
      <c r="AI279" s="19"/>
      <c r="AJ279" s="19">
        <f t="shared" si="82"/>
        <v>8.3349999999999991</v>
      </c>
      <c r="AK279" s="19" t="s">
        <v>962</v>
      </c>
      <c r="AL279" s="19"/>
      <c r="AM279" s="19" t="s">
        <v>234</v>
      </c>
      <c r="AN279" s="19" t="s">
        <v>964</v>
      </c>
      <c r="AO279" s="19" t="s">
        <v>270</v>
      </c>
      <c r="AP279" s="94" t="s">
        <v>73</v>
      </c>
      <c r="AQ279" s="19" t="s">
        <v>965</v>
      </c>
      <c r="AR279" s="19" t="s">
        <v>966</v>
      </c>
      <c r="AS279" s="19"/>
      <c r="AT279" s="65" t="str">
        <f t="shared" si="74"/>
        <v>Y</v>
      </c>
      <c r="AU279" s="65" t="str">
        <f t="shared" si="78"/>
        <v>Y</v>
      </c>
      <c r="AV279" s="65" t="s">
        <v>162</v>
      </c>
      <c r="AW279" s="99" t="s">
        <v>1483</v>
      </c>
      <c r="AX279" s="99"/>
      <c r="AY279" s="19"/>
      <c r="AZ279" s="96" t="str">
        <f t="shared" si="79"/>
        <v>n</v>
      </c>
      <c r="BA279" s="96" t="str">
        <f>IF(AZ279="n","n",VLOOKUP(AZ279,'Conversion factors'!$C$4:$D$24,2,FALSE))</f>
        <v>n</v>
      </c>
      <c r="BB279" s="96" t="str">
        <f t="shared" si="80"/>
        <v>n</v>
      </c>
      <c r="BC279" s="97"/>
      <c r="BD279" s="96" t="str">
        <f t="shared" si="75"/>
        <v>n</v>
      </c>
      <c r="BE279" s="96" t="str">
        <f t="shared" si="81"/>
        <v>n</v>
      </c>
      <c r="BF279" s="98" t="str">
        <f t="shared" si="77"/>
        <v/>
      </c>
      <c r="BG279" s="96" t="str">
        <f>IF(BF279="","",IF(ISNUMBER(VLOOKUP(BF279,'Conversion factors'!$B$35:$C$52,2,FALSE)),"y","n"))</f>
        <v/>
      </c>
      <c r="BH279" s="99" t="s">
        <v>1506</v>
      </c>
    </row>
    <row r="280" spans="1:60" s="103" customFormat="1" ht="15.75" customHeight="1" x14ac:dyDescent="0.2">
      <c r="A280" s="18"/>
      <c r="B280" s="19">
        <v>302</v>
      </c>
      <c r="C280" s="19"/>
      <c r="D280" s="19">
        <v>111766</v>
      </c>
      <c r="E280" s="19" t="s">
        <v>1224</v>
      </c>
      <c r="F280" s="93">
        <v>2008</v>
      </c>
      <c r="G280" s="19" t="s">
        <v>920</v>
      </c>
      <c r="H280" s="19"/>
      <c r="I280" s="19" t="s">
        <v>41</v>
      </c>
      <c r="J280" s="19" t="s">
        <v>89</v>
      </c>
      <c r="K280" s="19" t="s">
        <v>161</v>
      </c>
      <c r="L280" s="99" t="s">
        <v>82</v>
      </c>
      <c r="M280" s="19" t="s">
        <v>82</v>
      </c>
      <c r="N280" s="19" t="s">
        <v>66</v>
      </c>
      <c r="O280" s="19" t="s">
        <v>1046</v>
      </c>
      <c r="P280" s="19" t="s">
        <v>51</v>
      </c>
      <c r="Q280" s="19"/>
      <c r="R280" s="19" t="s">
        <v>81</v>
      </c>
      <c r="S280" s="19" t="s">
        <v>483</v>
      </c>
      <c r="T280" s="19" t="s">
        <v>49</v>
      </c>
      <c r="U280" s="19" t="s">
        <v>49</v>
      </c>
      <c r="V280" s="19" t="s">
        <v>1020</v>
      </c>
      <c r="W280" s="19" t="s">
        <v>45</v>
      </c>
      <c r="X280" s="19" t="s">
        <v>46</v>
      </c>
      <c r="Y280" s="29"/>
      <c r="Z280" s="19"/>
      <c r="AA280" s="19"/>
      <c r="AB280" s="19" t="s">
        <v>860</v>
      </c>
      <c r="AC280" s="19" t="s">
        <v>214</v>
      </c>
      <c r="AD280" s="19"/>
      <c r="AE280" s="19">
        <v>19.7</v>
      </c>
      <c r="AF280" s="19">
        <v>19.7</v>
      </c>
      <c r="AG280" s="19" t="s">
        <v>270</v>
      </c>
      <c r="AH280" s="19"/>
      <c r="AI280" s="19"/>
      <c r="AJ280" s="101">
        <v>6.75</v>
      </c>
      <c r="AK280" s="19" t="s">
        <v>922</v>
      </c>
      <c r="AL280" s="19"/>
      <c r="AM280" s="19"/>
      <c r="AN280" s="19" t="s">
        <v>923</v>
      </c>
      <c r="AO280" s="19" t="s">
        <v>270</v>
      </c>
      <c r="AP280" s="94"/>
      <c r="AQ280" s="19" t="s">
        <v>924</v>
      </c>
      <c r="AR280" s="19" t="s">
        <v>925</v>
      </c>
      <c r="AS280" s="19"/>
      <c r="AT280" s="65" t="str">
        <f t="shared" si="74"/>
        <v>Y</v>
      </c>
      <c r="AU280" s="65" t="str">
        <f t="shared" si="78"/>
        <v>Y</v>
      </c>
      <c r="AV280" s="65" t="str">
        <f t="shared" ref="AV280" si="83">AU280</f>
        <v>Y</v>
      </c>
      <c r="AW280" s="99"/>
      <c r="AX280" s="99"/>
      <c r="AY280" s="19"/>
      <c r="AZ280" s="96" t="str">
        <f t="shared" si="79"/>
        <v>EC10</v>
      </c>
      <c r="BA280" s="96">
        <f>IF(AZ280="n","n",VLOOKUP(AZ280,'Conversion factors'!$C$4:$D$24,2,FALSE))</f>
        <v>1</v>
      </c>
      <c r="BB280" s="96">
        <f t="shared" si="80"/>
        <v>199</v>
      </c>
      <c r="BC280" s="97"/>
      <c r="BD280" s="96" t="str">
        <f t="shared" si="75"/>
        <v>Chronic</v>
      </c>
      <c r="BE280" s="96" t="str">
        <f t="shared" si="81"/>
        <v>y</v>
      </c>
      <c r="BF280" s="98" t="str">
        <f t="shared" si="77"/>
        <v>EC10</v>
      </c>
      <c r="BG280" s="96" t="str">
        <f>IF(BF280="","",IF(ISNUMBER(VLOOKUP(BF280,'Conversion factors'!$B$35:$C$52,2,FALSE)),"y","n"))</f>
        <v>y</v>
      </c>
      <c r="BH280" s="99"/>
    </row>
    <row r="281" spans="1:60" s="103" customFormat="1" ht="15.75" customHeight="1" x14ac:dyDescent="0.2">
      <c r="A281" s="18"/>
      <c r="B281" s="19">
        <v>302</v>
      </c>
      <c r="C281" s="19"/>
      <c r="D281" s="19">
        <v>111766</v>
      </c>
      <c r="E281" s="19" t="s">
        <v>1224</v>
      </c>
      <c r="F281" s="93">
        <v>2008</v>
      </c>
      <c r="G281" s="19" t="s">
        <v>920</v>
      </c>
      <c r="H281" s="19"/>
      <c r="I281" s="19" t="s">
        <v>41</v>
      </c>
      <c r="J281" s="19" t="s">
        <v>89</v>
      </c>
      <c r="K281" s="19" t="s">
        <v>161</v>
      </c>
      <c r="L281" s="99" t="s">
        <v>82</v>
      </c>
      <c r="M281" s="19" t="s">
        <v>82</v>
      </c>
      <c r="N281" s="19" t="s">
        <v>66</v>
      </c>
      <c r="O281" s="19" t="s">
        <v>1046</v>
      </c>
      <c r="P281" s="19" t="s">
        <v>51</v>
      </c>
      <c r="Q281" s="19"/>
      <c r="R281" s="19" t="s">
        <v>81</v>
      </c>
      <c r="S281" s="19" t="s">
        <v>402</v>
      </c>
      <c r="T281" s="19" t="s">
        <v>49</v>
      </c>
      <c r="U281" s="19" t="s">
        <v>49</v>
      </c>
      <c r="V281" s="19" t="s">
        <v>1020</v>
      </c>
      <c r="W281" s="19" t="s">
        <v>45</v>
      </c>
      <c r="X281" s="19" t="s">
        <v>46</v>
      </c>
      <c r="Y281" s="29"/>
      <c r="Z281" s="19"/>
      <c r="AA281" s="19"/>
      <c r="AB281" s="19" t="s">
        <v>538</v>
      </c>
      <c r="AC281" s="19" t="s">
        <v>214</v>
      </c>
      <c r="AD281" s="19"/>
      <c r="AE281" s="19">
        <v>19.7</v>
      </c>
      <c r="AF281" s="19">
        <v>19.7</v>
      </c>
      <c r="AG281" s="19" t="s">
        <v>270</v>
      </c>
      <c r="AH281" s="19"/>
      <c r="AI281" s="19"/>
      <c r="AJ281" s="19">
        <v>6.75</v>
      </c>
      <c r="AK281" s="19" t="s">
        <v>922</v>
      </c>
      <c r="AL281" s="19"/>
      <c r="AM281" s="19" t="s">
        <v>234</v>
      </c>
      <c r="AN281" s="19" t="s">
        <v>923</v>
      </c>
      <c r="AO281" s="19" t="s">
        <v>270</v>
      </c>
      <c r="AP281" s="94"/>
      <c r="AQ281" s="19" t="s">
        <v>924</v>
      </c>
      <c r="AR281" s="19" t="s">
        <v>925</v>
      </c>
      <c r="AS281" s="19"/>
      <c r="AT281" s="65" t="str">
        <f t="shared" si="74"/>
        <v>Y</v>
      </c>
      <c r="AU281" s="65" t="str">
        <f t="shared" si="78"/>
        <v>Y</v>
      </c>
      <c r="AV281" s="65" t="s">
        <v>162</v>
      </c>
      <c r="AW281" s="99" t="s">
        <v>1514</v>
      </c>
      <c r="AX281" s="99"/>
      <c r="AY281" s="19"/>
      <c r="AZ281" s="96" t="str">
        <f t="shared" si="79"/>
        <v>n</v>
      </c>
      <c r="BA281" s="96" t="str">
        <f>IF(AZ281="n","n",VLOOKUP(AZ281,'Conversion factors'!$C$4:$D$24,2,FALSE))</f>
        <v>n</v>
      </c>
      <c r="BB281" s="96" t="str">
        <f t="shared" si="80"/>
        <v>n</v>
      </c>
      <c r="BC281" s="97"/>
      <c r="BD281" s="96" t="str">
        <f t="shared" si="75"/>
        <v>n</v>
      </c>
      <c r="BE281" s="96" t="str">
        <f t="shared" si="81"/>
        <v>n</v>
      </c>
      <c r="BF281" s="98" t="str">
        <f t="shared" si="77"/>
        <v/>
      </c>
      <c r="BG281" s="96" t="str">
        <f>IF(BF281="","",IF(ISNUMBER(VLOOKUP(BF281,'Conversion factors'!$B$35:$C$52,2,FALSE)),"y","n"))</f>
        <v/>
      </c>
      <c r="BH281" s="99"/>
    </row>
    <row r="282" spans="1:60" s="103" customFormat="1" ht="15.75" customHeight="1" x14ac:dyDescent="0.2">
      <c r="A282" s="18"/>
      <c r="B282" s="19">
        <v>302</v>
      </c>
      <c r="C282" s="19"/>
      <c r="D282" s="19">
        <v>111766</v>
      </c>
      <c r="E282" s="19" t="s">
        <v>1224</v>
      </c>
      <c r="F282" s="93">
        <v>2008</v>
      </c>
      <c r="G282" s="19" t="s">
        <v>920</v>
      </c>
      <c r="H282" s="19"/>
      <c r="I282" s="19" t="s">
        <v>41</v>
      </c>
      <c r="J282" s="19" t="s">
        <v>89</v>
      </c>
      <c r="K282" s="19" t="s">
        <v>161</v>
      </c>
      <c r="L282" s="19" t="s">
        <v>82</v>
      </c>
      <c r="M282" s="19" t="s">
        <v>82</v>
      </c>
      <c r="N282" s="19" t="s">
        <v>66</v>
      </c>
      <c r="O282" s="19" t="s">
        <v>1046</v>
      </c>
      <c r="P282" s="19" t="s">
        <v>51</v>
      </c>
      <c r="Q282" s="19"/>
      <c r="R282" s="19" t="s">
        <v>81</v>
      </c>
      <c r="S282" s="19" t="s">
        <v>483</v>
      </c>
      <c r="T282" s="19" t="s">
        <v>927</v>
      </c>
      <c r="U282" s="19" t="s">
        <v>927</v>
      </c>
      <c r="V282" s="19" t="s">
        <v>1020</v>
      </c>
      <c r="W282" s="19" t="s">
        <v>45</v>
      </c>
      <c r="X282" s="19" t="s">
        <v>46</v>
      </c>
      <c r="Y282" s="29"/>
      <c r="Z282" s="19"/>
      <c r="AA282" s="19"/>
      <c r="AB282" s="19" t="s">
        <v>819</v>
      </c>
      <c r="AC282" s="19" t="s">
        <v>214</v>
      </c>
      <c r="AD282" s="19"/>
      <c r="AE282" s="19">
        <v>19.7</v>
      </c>
      <c r="AF282" s="19">
        <v>19.7</v>
      </c>
      <c r="AG282" s="19" t="s">
        <v>270</v>
      </c>
      <c r="AH282" s="19"/>
      <c r="AI282" s="19"/>
      <c r="AJ282" s="19">
        <v>6.75</v>
      </c>
      <c r="AK282" s="19" t="s">
        <v>922</v>
      </c>
      <c r="AL282" s="19"/>
      <c r="AM282" s="19"/>
      <c r="AN282" s="19" t="s">
        <v>923</v>
      </c>
      <c r="AO282" s="19" t="s">
        <v>270</v>
      </c>
      <c r="AP282" s="94"/>
      <c r="AQ282" s="19" t="s">
        <v>924</v>
      </c>
      <c r="AR282" s="19" t="s">
        <v>925</v>
      </c>
      <c r="AS282" s="19"/>
      <c r="AT282" s="65" t="str">
        <f t="shared" si="74"/>
        <v>Y</v>
      </c>
      <c r="AU282" s="65" t="str">
        <f t="shared" si="78"/>
        <v>Y</v>
      </c>
      <c r="AV282" s="65" t="str">
        <f t="shared" ref="AV282:AV296" si="84">AU282</f>
        <v>Y</v>
      </c>
      <c r="AW282" s="99"/>
      <c r="AX282" s="99"/>
      <c r="AY282" s="19"/>
      <c r="AZ282" s="96" t="str">
        <f t="shared" si="79"/>
        <v>EC20</v>
      </c>
      <c r="BA282" s="96">
        <f>IF(AZ282="n","n",VLOOKUP(AZ282,'Conversion factors'!$C$4:$D$24,2,FALSE))</f>
        <v>1</v>
      </c>
      <c r="BB282" s="96">
        <f t="shared" si="80"/>
        <v>387</v>
      </c>
      <c r="BC282" s="97"/>
      <c r="BD282" s="96" t="str">
        <f t="shared" si="75"/>
        <v>Chronic</v>
      </c>
      <c r="BE282" s="96" t="str">
        <f t="shared" si="81"/>
        <v>y</v>
      </c>
      <c r="BF282" s="98" t="str">
        <f t="shared" si="77"/>
        <v>EC20</v>
      </c>
      <c r="BG282" s="96" t="str">
        <f>IF(BF282="","",IF(ISNUMBER(VLOOKUP(BF282,'Conversion factors'!$B$35:$C$52,2,FALSE)),"y","n"))</f>
        <v>y</v>
      </c>
      <c r="BH282" s="99" t="s">
        <v>1467</v>
      </c>
    </row>
    <row r="283" spans="1:60" s="103" customFormat="1" ht="15.75" customHeight="1" x14ac:dyDescent="0.2">
      <c r="A283" s="18"/>
      <c r="B283" s="19">
        <v>302</v>
      </c>
      <c r="C283" s="19"/>
      <c r="D283" s="19">
        <v>111766</v>
      </c>
      <c r="E283" s="19" t="s">
        <v>1224</v>
      </c>
      <c r="F283" s="93">
        <v>2008</v>
      </c>
      <c r="G283" s="19" t="s">
        <v>920</v>
      </c>
      <c r="H283" s="19"/>
      <c r="I283" s="19" t="s">
        <v>41</v>
      </c>
      <c r="J283" s="19" t="s">
        <v>89</v>
      </c>
      <c r="K283" s="19" t="s">
        <v>161</v>
      </c>
      <c r="L283" s="19" t="s">
        <v>82</v>
      </c>
      <c r="M283" s="19" t="s">
        <v>82</v>
      </c>
      <c r="N283" s="19" t="s">
        <v>66</v>
      </c>
      <c r="O283" s="19" t="s">
        <v>1046</v>
      </c>
      <c r="P283" s="19" t="s">
        <v>51</v>
      </c>
      <c r="Q283" s="19"/>
      <c r="R283" s="19" t="s">
        <v>81</v>
      </c>
      <c r="S283" s="19" t="s">
        <v>402</v>
      </c>
      <c r="T283" s="19" t="s">
        <v>927</v>
      </c>
      <c r="U283" s="19" t="s">
        <v>927</v>
      </c>
      <c r="V283" s="19" t="s">
        <v>1020</v>
      </c>
      <c r="W283" s="19" t="s">
        <v>45</v>
      </c>
      <c r="X283" s="19" t="s">
        <v>46</v>
      </c>
      <c r="Y283" s="29"/>
      <c r="Z283" s="19"/>
      <c r="AA283" s="19"/>
      <c r="AB283" s="19" t="s">
        <v>928</v>
      </c>
      <c r="AC283" s="19" t="s">
        <v>214</v>
      </c>
      <c r="AD283" s="19"/>
      <c r="AE283" s="19">
        <v>19.7</v>
      </c>
      <c r="AF283" s="19">
        <v>19.7</v>
      </c>
      <c r="AG283" s="19" t="s">
        <v>270</v>
      </c>
      <c r="AH283" s="19"/>
      <c r="AI283" s="19"/>
      <c r="AJ283" s="19">
        <v>6.75</v>
      </c>
      <c r="AK283" s="19" t="s">
        <v>922</v>
      </c>
      <c r="AL283" s="19"/>
      <c r="AM283" s="19"/>
      <c r="AN283" s="19" t="s">
        <v>923</v>
      </c>
      <c r="AO283" s="19" t="s">
        <v>270</v>
      </c>
      <c r="AP283" s="94"/>
      <c r="AQ283" s="19" t="s">
        <v>924</v>
      </c>
      <c r="AR283" s="19" t="s">
        <v>925</v>
      </c>
      <c r="AS283" s="19"/>
      <c r="AT283" s="65" t="str">
        <f t="shared" si="74"/>
        <v>Y</v>
      </c>
      <c r="AU283" s="65" t="str">
        <f t="shared" si="78"/>
        <v>Y</v>
      </c>
      <c r="AV283" s="65" t="str">
        <f t="shared" si="84"/>
        <v>Y</v>
      </c>
      <c r="AW283" s="99"/>
      <c r="AX283" s="99"/>
      <c r="AY283" s="19"/>
      <c r="AZ283" s="96" t="str">
        <f t="shared" si="79"/>
        <v>EC20</v>
      </c>
      <c r="BA283" s="96">
        <f>IF(AZ283="n","n",VLOOKUP(AZ283,'Conversion factors'!$C$4:$D$24,2,FALSE))</f>
        <v>1</v>
      </c>
      <c r="BB283" s="96" t="e">
        <f t="shared" si="80"/>
        <v>#VALUE!</v>
      </c>
      <c r="BC283" s="97"/>
      <c r="BD283" s="96" t="str">
        <f t="shared" si="75"/>
        <v>Chronic</v>
      </c>
      <c r="BE283" s="96" t="str">
        <f t="shared" si="81"/>
        <v>y</v>
      </c>
      <c r="BF283" s="98" t="str">
        <f t="shared" si="77"/>
        <v>EC20</v>
      </c>
      <c r="BG283" s="96" t="str">
        <f>IF(BF283="","",IF(ISNUMBER(VLOOKUP(BF283,'Conversion factors'!$B$35:$C$52,2,FALSE)),"y","n"))</f>
        <v>y</v>
      </c>
      <c r="BH283" s="99" t="s">
        <v>1467</v>
      </c>
    </row>
    <row r="284" spans="1:60" s="103" customFormat="1" ht="15.75" customHeight="1" x14ac:dyDescent="0.2">
      <c r="A284" s="18"/>
      <c r="B284" s="19">
        <v>302</v>
      </c>
      <c r="C284" s="19"/>
      <c r="D284" s="19">
        <v>111766</v>
      </c>
      <c r="E284" s="19" t="s">
        <v>1224</v>
      </c>
      <c r="F284" s="93">
        <v>2008</v>
      </c>
      <c r="G284" s="19" t="s">
        <v>920</v>
      </c>
      <c r="H284" s="19"/>
      <c r="I284" s="19" t="s">
        <v>41</v>
      </c>
      <c r="J284" s="19" t="s">
        <v>89</v>
      </c>
      <c r="K284" s="19" t="s">
        <v>161</v>
      </c>
      <c r="L284" s="19" t="s">
        <v>82</v>
      </c>
      <c r="M284" s="19" t="s">
        <v>82</v>
      </c>
      <c r="N284" s="19" t="s">
        <v>66</v>
      </c>
      <c r="O284" s="19" t="s">
        <v>1046</v>
      </c>
      <c r="P284" s="19" t="s">
        <v>51</v>
      </c>
      <c r="Q284" s="19"/>
      <c r="R284" s="19" t="s">
        <v>81</v>
      </c>
      <c r="S284" s="19" t="s">
        <v>483</v>
      </c>
      <c r="T284" s="19" t="s">
        <v>55</v>
      </c>
      <c r="U284" s="19" t="s">
        <v>55</v>
      </c>
      <c r="V284" s="19" t="s">
        <v>1020</v>
      </c>
      <c r="W284" s="19" t="s">
        <v>45</v>
      </c>
      <c r="X284" s="19" t="s">
        <v>46</v>
      </c>
      <c r="Y284" s="29"/>
      <c r="Z284" s="19"/>
      <c r="AA284" s="19"/>
      <c r="AB284" s="19" t="s">
        <v>929</v>
      </c>
      <c r="AC284" s="19" t="s">
        <v>214</v>
      </c>
      <c r="AD284" s="19"/>
      <c r="AE284" s="19">
        <v>19.7</v>
      </c>
      <c r="AF284" s="19">
        <v>19.7</v>
      </c>
      <c r="AG284" s="19" t="s">
        <v>270</v>
      </c>
      <c r="AH284" s="19"/>
      <c r="AI284" s="19"/>
      <c r="AJ284" s="19">
        <v>6.75</v>
      </c>
      <c r="AK284" s="19" t="s">
        <v>922</v>
      </c>
      <c r="AL284" s="19"/>
      <c r="AM284" s="19" t="s">
        <v>234</v>
      </c>
      <c r="AN284" s="19" t="s">
        <v>923</v>
      </c>
      <c r="AO284" s="19" t="s">
        <v>270</v>
      </c>
      <c r="AP284" s="94"/>
      <c r="AQ284" s="19" t="s">
        <v>924</v>
      </c>
      <c r="AR284" s="19" t="s">
        <v>925</v>
      </c>
      <c r="AS284" s="19"/>
      <c r="AT284" s="65" t="str">
        <f t="shared" si="74"/>
        <v>Y</v>
      </c>
      <c r="AU284" s="65" t="str">
        <f t="shared" si="78"/>
        <v>Y</v>
      </c>
      <c r="AV284" s="65" t="str">
        <f t="shared" si="84"/>
        <v>Y</v>
      </c>
      <c r="AW284" s="99"/>
      <c r="AX284" s="99"/>
      <c r="AY284" s="19"/>
      <c r="AZ284" s="96" t="str">
        <f t="shared" si="79"/>
        <v>LOEC</v>
      </c>
      <c r="BA284" s="96">
        <f>IF(AZ284="n","n",VLOOKUP(AZ284,'Conversion factors'!$C$4:$D$24,2,FALSE))</f>
        <v>2.5</v>
      </c>
      <c r="BB284" s="96">
        <f t="shared" si="80"/>
        <v>146</v>
      </c>
      <c r="BC284" s="97"/>
      <c r="BD284" s="96" t="str">
        <f t="shared" si="75"/>
        <v>Chronic</v>
      </c>
      <c r="BE284" s="96" t="str">
        <f t="shared" si="81"/>
        <v>y</v>
      </c>
      <c r="BF284" s="98" t="str">
        <f t="shared" si="77"/>
        <v>LOEC</v>
      </c>
      <c r="BG284" s="96" t="str">
        <f>IF(BF284="","",IF(ISNUMBER(VLOOKUP(BF284,'Conversion factors'!$B$35:$C$52,2,FALSE)),"y","n"))</f>
        <v>n</v>
      </c>
      <c r="BH284" s="99" t="s">
        <v>1467</v>
      </c>
    </row>
    <row r="285" spans="1:60" s="103" customFormat="1" ht="15.75" customHeight="1" x14ac:dyDescent="0.2">
      <c r="A285" s="18"/>
      <c r="B285" s="19">
        <v>302</v>
      </c>
      <c r="C285" s="19"/>
      <c r="D285" s="19">
        <v>111766</v>
      </c>
      <c r="E285" s="19" t="s">
        <v>1224</v>
      </c>
      <c r="F285" s="93">
        <v>2008</v>
      </c>
      <c r="G285" s="19" t="s">
        <v>920</v>
      </c>
      <c r="H285" s="19"/>
      <c r="I285" s="19" t="s">
        <v>41</v>
      </c>
      <c r="J285" s="19" t="s">
        <v>89</v>
      </c>
      <c r="K285" s="19" t="s">
        <v>161</v>
      </c>
      <c r="L285" s="19" t="s">
        <v>82</v>
      </c>
      <c r="M285" s="19" t="s">
        <v>82</v>
      </c>
      <c r="N285" s="19" t="s">
        <v>66</v>
      </c>
      <c r="O285" s="19" t="s">
        <v>1046</v>
      </c>
      <c r="P285" s="19" t="s">
        <v>51</v>
      </c>
      <c r="Q285" s="19"/>
      <c r="R285" s="19" t="s">
        <v>81</v>
      </c>
      <c r="S285" s="19" t="s">
        <v>402</v>
      </c>
      <c r="T285" s="19" t="s">
        <v>55</v>
      </c>
      <c r="U285" s="19" t="s">
        <v>55</v>
      </c>
      <c r="V285" s="19" t="s">
        <v>1020</v>
      </c>
      <c r="W285" s="19" t="s">
        <v>45</v>
      </c>
      <c r="X285" s="19" t="s">
        <v>46</v>
      </c>
      <c r="Y285" s="29"/>
      <c r="Z285" s="19"/>
      <c r="AA285" s="19"/>
      <c r="AB285" s="19" t="s">
        <v>929</v>
      </c>
      <c r="AC285" s="19" t="s">
        <v>214</v>
      </c>
      <c r="AD285" s="19"/>
      <c r="AE285" s="19">
        <v>19.7</v>
      </c>
      <c r="AF285" s="19">
        <v>19.7</v>
      </c>
      <c r="AG285" s="19" t="s">
        <v>270</v>
      </c>
      <c r="AH285" s="19"/>
      <c r="AI285" s="19"/>
      <c r="AJ285" s="19">
        <v>6.75</v>
      </c>
      <c r="AK285" s="19" t="s">
        <v>922</v>
      </c>
      <c r="AL285" s="19"/>
      <c r="AM285" s="19" t="s">
        <v>234</v>
      </c>
      <c r="AN285" s="19" t="s">
        <v>923</v>
      </c>
      <c r="AO285" s="19" t="s">
        <v>270</v>
      </c>
      <c r="AP285" s="94"/>
      <c r="AQ285" s="19" t="s">
        <v>924</v>
      </c>
      <c r="AR285" s="19" t="s">
        <v>925</v>
      </c>
      <c r="AS285" s="19"/>
      <c r="AT285" s="65" t="str">
        <f t="shared" si="74"/>
        <v>Y</v>
      </c>
      <c r="AU285" s="65" t="str">
        <f t="shared" si="78"/>
        <v>Y</v>
      </c>
      <c r="AV285" s="65" t="str">
        <f t="shared" si="84"/>
        <v>Y</v>
      </c>
      <c r="AW285" s="99"/>
      <c r="AX285" s="99"/>
      <c r="AY285" s="19"/>
      <c r="AZ285" s="96" t="str">
        <f t="shared" si="79"/>
        <v>LOEC</v>
      </c>
      <c r="BA285" s="96">
        <f>IF(AZ285="n","n",VLOOKUP(AZ285,'Conversion factors'!$C$4:$D$24,2,FALSE))</f>
        <v>2.5</v>
      </c>
      <c r="BB285" s="96">
        <f t="shared" si="80"/>
        <v>146</v>
      </c>
      <c r="BC285" s="97"/>
      <c r="BD285" s="96" t="str">
        <f t="shared" si="75"/>
        <v>Chronic</v>
      </c>
      <c r="BE285" s="96" t="str">
        <f t="shared" si="81"/>
        <v>y</v>
      </c>
      <c r="BF285" s="98" t="str">
        <f t="shared" si="77"/>
        <v>LOEC</v>
      </c>
      <c r="BG285" s="96" t="str">
        <f>IF(BF285="","",IF(ISNUMBER(VLOOKUP(BF285,'Conversion factors'!$B$35:$C$52,2,FALSE)),"y","n"))</f>
        <v>n</v>
      </c>
      <c r="BH285" s="99" t="s">
        <v>1467</v>
      </c>
    </row>
    <row r="286" spans="1:60" s="103" customFormat="1" ht="15.75" customHeight="1" x14ac:dyDescent="0.2">
      <c r="A286" s="18"/>
      <c r="B286" s="19">
        <v>302</v>
      </c>
      <c r="C286" s="19"/>
      <c r="D286" s="19">
        <v>111766</v>
      </c>
      <c r="E286" s="19" t="s">
        <v>1224</v>
      </c>
      <c r="F286" s="93">
        <v>2008</v>
      </c>
      <c r="G286" s="19" t="s">
        <v>920</v>
      </c>
      <c r="H286" s="19"/>
      <c r="I286" s="19" t="s">
        <v>41</v>
      </c>
      <c r="J286" s="19" t="s">
        <v>89</v>
      </c>
      <c r="K286" s="19" t="s">
        <v>161</v>
      </c>
      <c r="L286" s="19" t="s">
        <v>82</v>
      </c>
      <c r="M286" s="19" t="s">
        <v>82</v>
      </c>
      <c r="N286" s="19" t="s">
        <v>66</v>
      </c>
      <c r="O286" s="19" t="s">
        <v>1046</v>
      </c>
      <c r="P286" s="19" t="s">
        <v>51</v>
      </c>
      <c r="Q286" s="19"/>
      <c r="R286" s="19" t="s">
        <v>81</v>
      </c>
      <c r="S286" s="19" t="s">
        <v>483</v>
      </c>
      <c r="T286" s="19" t="s">
        <v>77</v>
      </c>
      <c r="U286" s="19" t="s">
        <v>77</v>
      </c>
      <c r="V286" s="19" t="s">
        <v>1020</v>
      </c>
      <c r="W286" s="19" t="s">
        <v>45</v>
      </c>
      <c r="X286" s="19" t="s">
        <v>46</v>
      </c>
      <c r="Y286" s="29"/>
      <c r="Z286" s="19"/>
      <c r="AA286" s="19"/>
      <c r="AB286" s="19" t="s">
        <v>930</v>
      </c>
      <c r="AC286" s="19" t="s">
        <v>214</v>
      </c>
      <c r="AD286" s="19"/>
      <c r="AE286" s="19">
        <v>19.7</v>
      </c>
      <c r="AF286" s="19">
        <v>19.7</v>
      </c>
      <c r="AG286" s="19" t="s">
        <v>270</v>
      </c>
      <c r="AH286" s="19"/>
      <c r="AI286" s="19"/>
      <c r="AJ286" s="19">
        <v>6.75</v>
      </c>
      <c r="AK286" s="19" t="s">
        <v>922</v>
      </c>
      <c r="AL286" s="19"/>
      <c r="AM286" s="19" t="s">
        <v>234</v>
      </c>
      <c r="AN286" s="19" t="s">
        <v>923</v>
      </c>
      <c r="AO286" s="19" t="s">
        <v>270</v>
      </c>
      <c r="AP286" s="94"/>
      <c r="AQ286" s="19" t="s">
        <v>924</v>
      </c>
      <c r="AR286" s="19" t="s">
        <v>925</v>
      </c>
      <c r="AS286" s="19"/>
      <c r="AT286" s="65" t="str">
        <f t="shared" si="74"/>
        <v>Y</v>
      </c>
      <c r="AU286" s="65" t="str">
        <f t="shared" si="78"/>
        <v>Y</v>
      </c>
      <c r="AV286" s="65" t="str">
        <f t="shared" si="84"/>
        <v>Y</v>
      </c>
      <c r="AW286" s="99"/>
      <c r="AX286" s="99"/>
      <c r="AY286" s="19"/>
      <c r="AZ286" s="96" t="str">
        <f t="shared" si="79"/>
        <v>MATC</v>
      </c>
      <c r="BA286" s="96">
        <f>IF(AZ286="n","n",VLOOKUP(AZ286,'Conversion factors'!$C$4:$D$24,2,FALSE))</f>
        <v>2</v>
      </c>
      <c r="BB286" s="96">
        <f t="shared" si="80"/>
        <v>139.5</v>
      </c>
      <c r="BC286" s="97"/>
      <c r="BD286" s="96" t="str">
        <f t="shared" si="75"/>
        <v>Chronic</v>
      </c>
      <c r="BE286" s="96" t="str">
        <f t="shared" si="81"/>
        <v>y</v>
      </c>
      <c r="BF286" s="98" t="str">
        <f t="shared" si="77"/>
        <v>MATC</v>
      </c>
      <c r="BG286" s="96" t="str">
        <f>IF(BF286="","",IF(ISNUMBER(VLOOKUP(BF286,'Conversion factors'!$B$35:$C$52,2,FALSE)),"y","n"))</f>
        <v>n</v>
      </c>
      <c r="BH286" s="99" t="s">
        <v>1467</v>
      </c>
    </row>
    <row r="287" spans="1:60" s="103" customFormat="1" ht="15.75" customHeight="1" x14ac:dyDescent="0.2">
      <c r="A287" s="18"/>
      <c r="B287" s="19">
        <v>302</v>
      </c>
      <c r="C287" s="19"/>
      <c r="D287" s="19">
        <v>111766</v>
      </c>
      <c r="E287" s="19" t="s">
        <v>1224</v>
      </c>
      <c r="F287" s="93">
        <v>2008</v>
      </c>
      <c r="G287" s="19" t="s">
        <v>920</v>
      </c>
      <c r="H287" s="19"/>
      <c r="I287" s="19" t="s">
        <v>41</v>
      </c>
      <c r="J287" s="19" t="s">
        <v>89</v>
      </c>
      <c r="K287" s="19" t="s">
        <v>161</v>
      </c>
      <c r="L287" s="19" t="s">
        <v>82</v>
      </c>
      <c r="M287" s="19" t="s">
        <v>82</v>
      </c>
      <c r="N287" s="19" t="s">
        <v>66</v>
      </c>
      <c r="O287" s="19" t="s">
        <v>1046</v>
      </c>
      <c r="P287" s="19" t="s">
        <v>51</v>
      </c>
      <c r="Q287" s="19"/>
      <c r="R287" s="19" t="s">
        <v>81</v>
      </c>
      <c r="S287" s="19" t="s">
        <v>402</v>
      </c>
      <c r="T287" s="19" t="s">
        <v>77</v>
      </c>
      <c r="U287" s="19" t="s">
        <v>77</v>
      </c>
      <c r="V287" s="19" t="s">
        <v>1020</v>
      </c>
      <c r="W287" s="19" t="s">
        <v>45</v>
      </c>
      <c r="X287" s="19" t="s">
        <v>46</v>
      </c>
      <c r="Y287" s="29"/>
      <c r="Z287" s="19"/>
      <c r="AA287" s="19"/>
      <c r="AB287" s="19" t="s">
        <v>930</v>
      </c>
      <c r="AC287" s="19" t="s">
        <v>214</v>
      </c>
      <c r="AD287" s="19"/>
      <c r="AE287" s="19">
        <v>19.7</v>
      </c>
      <c r="AF287" s="19">
        <v>19.7</v>
      </c>
      <c r="AG287" s="19" t="s">
        <v>270</v>
      </c>
      <c r="AH287" s="19"/>
      <c r="AI287" s="19"/>
      <c r="AJ287" s="19">
        <v>6.75</v>
      </c>
      <c r="AK287" s="19" t="s">
        <v>922</v>
      </c>
      <c r="AL287" s="19"/>
      <c r="AM287" s="19" t="s">
        <v>234</v>
      </c>
      <c r="AN287" s="19" t="s">
        <v>923</v>
      </c>
      <c r="AO287" s="19" t="s">
        <v>270</v>
      </c>
      <c r="AP287" s="94"/>
      <c r="AQ287" s="19" t="s">
        <v>924</v>
      </c>
      <c r="AR287" s="19" t="s">
        <v>925</v>
      </c>
      <c r="AS287" s="19"/>
      <c r="AT287" s="65" t="str">
        <f t="shared" si="74"/>
        <v>Y</v>
      </c>
      <c r="AU287" s="65" t="str">
        <f t="shared" si="78"/>
        <v>Y</v>
      </c>
      <c r="AV287" s="65" t="str">
        <f t="shared" si="84"/>
        <v>Y</v>
      </c>
      <c r="AW287" s="99"/>
      <c r="AX287" s="99"/>
      <c r="AY287" s="19"/>
      <c r="AZ287" s="96" t="str">
        <f t="shared" si="79"/>
        <v>MATC</v>
      </c>
      <c r="BA287" s="96">
        <f>IF(AZ287="n","n",VLOOKUP(AZ287,'Conversion factors'!$C$4:$D$24,2,FALSE))</f>
        <v>2</v>
      </c>
      <c r="BB287" s="96">
        <f t="shared" si="80"/>
        <v>139.5</v>
      </c>
      <c r="BC287" s="97"/>
      <c r="BD287" s="96" t="str">
        <f t="shared" si="75"/>
        <v>Chronic</v>
      </c>
      <c r="BE287" s="96" t="str">
        <f t="shared" si="81"/>
        <v>y</v>
      </c>
      <c r="BF287" s="98" t="str">
        <f t="shared" si="77"/>
        <v>MATC</v>
      </c>
      <c r="BG287" s="96" t="str">
        <f>IF(BF287="","",IF(ISNUMBER(VLOOKUP(BF287,'Conversion factors'!$B$35:$C$52,2,FALSE)),"y","n"))</f>
        <v>n</v>
      </c>
      <c r="BH287" s="99" t="s">
        <v>1467</v>
      </c>
    </row>
    <row r="288" spans="1:60" s="103" customFormat="1" ht="15.75" customHeight="1" x14ac:dyDescent="0.2">
      <c r="A288" s="18"/>
      <c r="B288" s="19">
        <v>302</v>
      </c>
      <c r="C288" s="19"/>
      <c r="D288" s="19">
        <v>111766</v>
      </c>
      <c r="E288" s="19" t="s">
        <v>1224</v>
      </c>
      <c r="F288" s="93">
        <v>2008</v>
      </c>
      <c r="G288" s="19" t="s">
        <v>920</v>
      </c>
      <c r="H288" s="19"/>
      <c r="I288" s="19" t="s">
        <v>41</v>
      </c>
      <c r="J288" s="19" t="s">
        <v>89</v>
      </c>
      <c r="K288" s="19" t="s">
        <v>161</v>
      </c>
      <c r="L288" s="19" t="s">
        <v>82</v>
      </c>
      <c r="M288" s="19" t="s">
        <v>82</v>
      </c>
      <c r="N288" s="19" t="s">
        <v>66</v>
      </c>
      <c r="O288" s="19" t="s">
        <v>1046</v>
      </c>
      <c r="P288" s="19" t="s">
        <v>51</v>
      </c>
      <c r="Q288" s="19"/>
      <c r="R288" s="19" t="s">
        <v>81</v>
      </c>
      <c r="S288" s="19" t="s">
        <v>483</v>
      </c>
      <c r="T288" s="19" t="s">
        <v>54</v>
      </c>
      <c r="U288" s="19" t="s">
        <v>54</v>
      </c>
      <c r="V288" s="19" t="s">
        <v>1020</v>
      </c>
      <c r="W288" s="19" t="s">
        <v>45</v>
      </c>
      <c r="X288" s="19" t="s">
        <v>46</v>
      </c>
      <c r="Y288" s="29"/>
      <c r="Z288" s="19"/>
      <c r="AA288" s="19"/>
      <c r="AB288" s="19" t="s">
        <v>932</v>
      </c>
      <c r="AC288" s="19" t="s">
        <v>214</v>
      </c>
      <c r="AD288" s="19"/>
      <c r="AE288" s="19">
        <v>19.7</v>
      </c>
      <c r="AF288" s="19">
        <v>19.7</v>
      </c>
      <c r="AG288" s="19" t="s">
        <v>270</v>
      </c>
      <c r="AH288" s="19"/>
      <c r="AI288" s="19"/>
      <c r="AJ288" s="19">
        <v>6.75</v>
      </c>
      <c r="AK288" s="19" t="s">
        <v>922</v>
      </c>
      <c r="AL288" s="19"/>
      <c r="AM288" s="19"/>
      <c r="AN288" s="19" t="s">
        <v>923</v>
      </c>
      <c r="AO288" s="19" t="s">
        <v>270</v>
      </c>
      <c r="AP288" s="94"/>
      <c r="AQ288" s="19" t="s">
        <v>924</v>
      </c>
      <c r="AR288" s="19" t="s">
        <v>925</v>
      </c>
      <c r="AS288" s="19"/>
      <c r="AT288" s="65" t="str">
        <f t="shared" si="74"/>
        <v>Y</v>
      </c>
      <c r="AU288" s="65" t="str">
        <f t="shared" si="78"/>
        <v>Y</v>
      </c>
      <c r="AV288" s="65" t="str">
        <f t="shared" si="84"/>
        <v>Y</v>
      </c>
      <c r="AW288" s="99"/>
      <c r="AX288" s="99"/>
      <c r="AY288" s="19"/>
      <c r="AZ288" s="96" t="str">
        <f t="shared" si="79"/>
        <v>NOEC</v>
      </c>
      <c r="BA288" s="96">
        <f>IF(AZ288="n","n",VLOOKUP(AZ288,'Conversion factors'!$C$4:$D$24,2,FALSE))</f>
        <v>1</v>
      </c>
      <c r="BB288" s="96">
        <f t="shared" si="80"/>
        <v>214</v>
      </c>
      <c r="BC288" s="97"/>
      <c r="BD288" s="96" t="str">
        <f t="shared" si="75"/>
        <v>Chronic</v>
      </c>
      <c r="BE288" s="96" t="str">
        <f t="shared" si="81"/>
        <v>y</v>
      </c>
      <c r="BF288" s="98" t="str">
        <f t="shared" si="77"/>
        <v>NOEC</v>
      </c>
      <c r="BG288" s="96" t="str">
        <f>IF(BF288="","",IF(ISNUMBER(VLOOKUP(BF288,'Conversion factors'!$B$35:$C$52,2,FALSE)),"y","n"))</f>
        <v>y</v>
      </c>
      <c r="BH288" s="99" t="s">
        <v>1467</v>
      </c>
    </row>
    <row r="289" spans="1:62" s="103" customFormat="1" ht="15.75" customHeight="1" x14ac:dyDescent="0.2">
      <c r="A289" s="18"/>
      <c r="B289" s="19">
        <v>302</v>
      </c>
      <c r="C289" s="19"/>
      <c r="D289" s="19">
        <v>111766</v>
      </c>
      <c r="E289" s="19" t="s">
        <v>1224</v>
      </c>
      <c r="F289" s="93">
        <v>2008</v>
      </c>
      <c r="G289" s="19" t="s">
        <v>920</v>
      </c>
      <c r="H289" s="19"/>
      <c r="I289" s="19" t="s">
        <v>41</v>
      </c>
      <c r="J289" s="19" t="s">
        <v>89</v>
      </c>
      <c r="K289" s="19" t="s">
        <v>161</v>
      </c>
      <c r="L289" s="19" t="s">
        <v>82</v>
      </c>
      <c r="M289" s="19" t="s">
        <v>82</v>
      </c>
      <c r="N289" s="19" t="s">
        <v>66</v>
      </c>
      <c r="O289" s="19" t="s">
        <v>1046</v>
      </c>
      <c r="P289" s="19" t="s">
        <v>51</v>
      </c>
      <c r="Q289" s="19"/>
      <c r="R289" s="19" t="s">
        <v>81</v>
      </c>
      <c r="S289" s="19" t="s">
        <v>402</v>
      </c>
      <c r="T289" s="19" t="s">
        <v>54</v>
      </c>
      <c r="U289" s="19" t="s">
        <v>54</v>
      </c>
      <c r="V289" s="19" t="s">
        <v>1020</v>
      </c>
      <c r="W289" s="19" t="s">
        <v>45</v>
      </c>
      <c r="X289" s="19" t="s">
        <v>46</v>
      </c>
      <c r="Y289" s="29"/>
      <c r="Z289" s="19"/>
      <c r="AA289" s="19"/>
      <c r="AB289" s="19" t="s">
        <v>932</v>
      </c>
      <c r="AC289" s="19" t="s">
        <v>214</v>
      </c>
      <c r="AD289" s="19"/>
      <c r="AE289" s="19">
        <v>19.7</v>
      </c>
      <c r="AF289" s="19">
        <v>19.7</v>
      </c>
      <c r="AG289" s="19" t="s">
        <v>270</v>
      </c>
      <c r="AH289" s="19"/>
      <c r="AI289" s="19"/>
      <c r="AJ289" s="19">
        <v>6.75</v>
      </c>
      <c r="AK289" s="19" t="s">
        <v>922</v>
      </c>
      <c r="AL289" s="19"/>
      <c r="AM289" s="19"/>
      <c r="AN289" s="19" t="s">
        <v>923</v>
      </c>
      <c r="AO289" s="19" t="s">
        <v>270</v>
      </c>
      <c r="AP289" s="94"/>
      <c r="AQ289" s="19" t="s">
        <v>924</v>
      </c>
      <c r="AR289" s="19" t="s">
        <v>925</v>
      </c>
      <c r="AS289" s="19"/>
      <c r="AT289" s="65" t="str">
        <f t="shared" si="74"/>
        <v>Y</v>
      </c>
      <c r="AU289" s="65" t="str">
        <f t="shared" si="78"/>
        <v>Y</v>
      </c>
      <c r="AV289" s="65" t="str">
        <f t="shared" si="84"/>
        <v>Y</v>
      </c>
      <c r="AW289" s="99"/>
      <c r="AX289" s="99"/>
      <c r="AY289" s="19"/>
      <c r="AZ289" s="96" t="str">
        <f t="shared" si="79"/>
        <v>NOEC</v>
      </c>
      <c r="BA289" s="96">
        <f>IF(AZ289="n","n",VLOOKUP(AZ289,'Conversion factors'!$C$4:$D$24,2,FALSE))</f>
        <v>1</v>
      </c>
      <c r="BB289" s="96">
        <f t="shared" si="80"/>
        <v>214</v>
      </c>
      <c r="BC289" s="97"/>
      <c r="BD289" s="96" t="str">
        <f t="shared" si="75"/>
        <v>Chronic</v>
      </c>
      <c r="BE289" s="96" t="str">
        <f t="shared" si="81"/>
        <v>y</v>
      </c>
      <c r="BF289" s="98" t="str">
        <f t="shared" si="77"/>
        <v>NOEC</v>
      </c>
      <c r="BG289" s="96" t="str">
        <f>IF(BF289="","",IF(ISNUMBER(VLOOKUP(BF289,'Conversion factors'!$B$35:$C$52,2,FALSE)),"y","n"))</f>
        <v>y</v>
      </c>
      <c r="BH289" s="99" t="s">
        <v>1467</v>
      </c>
    </row>
    <row r="290" spans="1:62" s="103" customFormat="1" ht="15.75" customHeight="1" x14ac:dyDescent="0.2">
      <c r="A290" s="18"/>
      <c r="B290" s="19">
        <v>302</v>
      </c>
      <c r="C290" s="19"/>
      <c r="D290" s="19">
        <v>111766</v>
      </c>
      <c r="E290" s="19" t="s">
        <v>1224</v>
      </c>
      <c r="F290" s="93">
        <v>2008</v>
      </c>
      <c r="G290" s="19" t="s">
        <v>920</v>
      </c>
      <c r="H290" s="19"/>
      <c r="I290" s="19" t="s">
        <v>41</v>
      </c>
      <c r="J290" s="19" t="s">
        <v>89</v>
      </c>
      <c r="K290" s="19" t="s">
        <v>161</v>
      </c>
      <c r="L290" s="99" t="s">
        <v>82</v>
      </c>
      <c r="M290" s="19" t="s">
        <v>82</v>
      </c>
      <c r="N290" s="19" t="s">
        <v>66</v>
      </c>
      <c r="O290" s="19" t="s">
        <v>1046</v>
      </c>
      <c r="P290" s="19" t="s">
        <v>51</v>
      </c>
      <c r="Q290" s="19"/>
      <c r="R290" s="19" t="s">
        <v>237</v>
      </c>
      <c r="S290" s="19" t="s">
        <v>414</v>
      </c>
      <c r="T290" s="19" t="s">
        <v>49</v>
      </c>
      <c r="U290" s="19" t="s">
        <v>49</v>
      </c>
      <c r="V290" s="19" t="s">
        <v>1020</v>
      </c>
      <c r="W290" s="19" t="s">
        <v>45</v>
      </c>
      <c r="X290" s="19" t="s">
        <v>46</v>
      </c>
      <c r="Y290" s="29"/>
      <c r="Z290" s="19"/>
      <c r="AA290" s="19"/>
      <c r="AB290" s="19" t="s">
        <v>1047</v>
      </c>
      <c r="AC290" s="19" t="s">
        <v>214</v>
      </c>
      <c r="AD290" s="19"/>
      <c r="AE290" s="19">
        <v>19.7</v>
      </c>
      <c r="AF290" s="19">
        <v>19.7</v>
      </c>
      <c r="AG290" s="19" t="s">
        <v>270</v>
      </c>
      <c r="AH290" s="19"/>
      <c r="AI290" s="19"/>
      <c r="AJ290" s="101">
        <v>6.75</v>
      </c>
      <c r="AK290" s="19" t="s">
        <v>922</v>
      </c>
      <c r="AL290" s="19"/>
      <c r="AM290" s="19"/>
      <c r="AN290" s="19" t="s">
        <v>923</v>
      </c>
      <c r="AO290" s="19" t="s">
        <v>270</v>
      </c>
      <c r="AP290" s="94"/>
      <c r="AQ290" s="19" t="s">
        <v>924</v>
      </c>
      <c r="AR290" s="19" t="s">
        <v>925</v>
      </c>
      <c r="AS290" s="19"/>
      <c r="AT290" s="65" t="str">
        <f t="shared" si="74"/>
        <v>Y</v>
      </c>
      <c r="AU290" s="65" t="str">
        <f t="shared" si="78"/>
        <v>Y</v>
      </c>
      <c r="AV290" s="65" t="str">
        <f t="shared" si="84"/>
        <v>Y</v>
      </c>
      <c r="AW290" s="99"/>
      <c r="AX290" s="99"/>
      <c r="AY290" s="19"/>
      <c r="AZ290" s="96" t="str">
        <f t="shared" si="79"/>
        <v>EC10</v>
      </c>
      <c r="BA290" s="96">
        <f>IF(AZ290="n","n",VLOOKUP(AZ290,'Conversion factors'!$C$4:$D$24,2,FALSE))</f>
        <v>1</v>
      </c>
      <c r="BB290" s="96">
        <f t="shared" si="80"/>
        <v>191</v>
      </c>
      <c r="BC290" s="97"/>
      <c r="BD290" s="96" t="str">
        <f t="shared" si="75"/>
        <v>Chronic</v>
      </c>
      <c r="BE290" s="96" t="str">
        <f t="shared" si="81"/>
        <v>y</v>
      </c>
      <c r="BF290" s="98" t="str">
        <f t="shared" si="77"/>
        <v>EC10</v>
      </c>
      <c r="BG290" s="96" t="str">
        <f>IF(BF290="","",IF(ISNUMBER(VLOOKUP(BF290,'Conversion factors'!$B$35:$C$52,2,FALSE)),"y","n"))</f>
        <v>y</v>
      </c>
      <c r="BH290" s="99"/>
    </row>
    <row r="291" spans="1:62" s="103" customFormat="1" ht="15.75" customHeight="1" x14ac:dyDescent="0.2">
      <c r="A291" s="18"/>
      <c r="B291" s="19">
        <v>302</v>
      </c>
      <c r="C291" s="19"/>
      <c r="D291" s="19">
        <v>111766</v>
      </c>
      <c r="E291" s="19" t="s">
        <v>1224</v>
      </c>
      <c r="F291" s="93">
        <v>2008</v>
      </c>
      <c r="G291" s="19" t="s">
        <v>920</v>
      </c>
      <c r="H291" s="19"/>
      <c r="I291" s="19" t="s">
        <v>41</v>
      </c>
      <c r="J291" s="19" t="s">
        <v>89</v>
      </c>
      <c r="K291" s="19" t="s">
        <v>161</v>
      </c>
      <c r="L291" s="99" t="s">
        <v>82</v>
      </c>
      <c r="M291" s="19" t="s">
        <v>82</v>
      </c>
      <c r="N291" s="19" t="s">
        <v>66</v>
      </c>
      <c r="O291" s="19" t="s">
        <v>1046</v>
      </c>
      <c r="P291" s="19" t="s">
        <v>51</v>
      </c>
      <c r="Q291" s="19"/>
      <c r="R291" s="19" t="s">
        <v>237</v>
      </c>
      <c r="S291" s="19" t="s">
        <v>414</v>
      </c>
      <c r="T291" s="19" t="s">
        <v>49</v>
      </c>
      <c r="U291" s="19" t="s">
        <v>49</v>
      </c>
      <c r="V291" s="19" t="s">
        <v>1020</v>
      </c>
      <c r="W291" s="19" t="s">
        <v>45</v>
      </c>
      <c r="X291" s="19" t="s">
        <v>46</v>
      </c>
      <c r="Y291" s="29"/>
      <c r="Z291" s="19"/>
      <c r="AA291" s="19"/>
      <c r="AB291" s="19" t="s">
        <v>926</v>
      </c>
      <c r="AC291" s="19" t="s">
        <v>214</v>
      </c>
      <c r="AD291" s="19"/>
      <c r="AE291" s="19">
        <v>19.7</v>
      </c>
      <c r="AF291" s="19">
        <v>19.7</v>
      </c>
      <c r="AG291" s="19" t="s">
        <v>270</v>
      </c>
      <c r="AH291" s="19"/>
      <c r="AI291" s="19"/>
      <c r="AJ291" s="101">
        <v>6.75</v>
      </c>
      <c r="AK291" s="19" t="s">
        <v>922</v>
      </c>
      <c r="AL291" s="19"/>
      <c r="AM291" s="19"/>
      <c r="AN291" s="19" t="s">
        <v>923</v>
      </c>
      <c r="AO291" s="19" t="s">
        <v>270</v>
      </c>
      <c r="AP291" s="94"/>
      <c r="AQ291" s="19" t="s">
        <v>924</v>
      </c>
      <c r="AR291" s="19" t="s">
        <v>925</v>
      </c>
      <c r="AS291" s="19"/>
      <c r="AT291" s="65" t="str">
        <f t="shared" si="74"/>
        <v>Y</v>
      </c>
      <c r="AU291" s="65" t="str">
        <f t="shared" si="78"/>
        <v>Y</v>
      </c>
      <c r="AV291" s="65" t="str">
        <f t="shared" si="84"/>
        <v>Y</v>
      </c>
      <c r="AW291" s="99"/>
      <c r="AX291" s="99"/>
      <c r="AY291" s="19"/>
      <c r="AZ291" s="96" t="str">
        <f t="shared" si="79"/>
        <v>EC10</v>
      </c>
      <c r="BA291" s="96">
        <f>IF(AZ291="n","n",VLOOKUP(AZ291,'Conversion factors'!$C$4:$D$24,2,FALSE))</f>
        <v>1</v>
      </c>
      <c r="BB291" s="96">
        <f t="shared" si="80"/>
        <v>88</v>
      </c>
      <c r="BC291" s="97"/>
      <c r="BD291" s="96" t="str">
        <f t="shared" si="75"/>
        <v>Chronic</v>
      </c>
      <c r="BE291" s="96" t="str">
        <f t="shared" si="81"/>
        <v>y</v>
      </c>
      <c r="BF291" s="98" t="str">
        <f t="shared" si="77"/>
        <v>EC10</v>
      </c>
      <c r="BG291" s="96" t="str">
        <f>IF(BF291="","",IF(ISNUMBER(VLOOKUP(BF291,'Conversion factors'!$B$35:$C$52,2,FALSE)),"y","n"))</f>
        <v>y</v>
      </c>
      <c r="BH291" s="99"/>
    </row>
    <row r="292" spans="1:62" s="103" customFormat="1" ht="15.75" customHeight="1" x14ac:dyDescent="0.2">
      <c r="A292" s="18"/>
      <c r="B292" s="19">
        <v>302</v>
      </c>
      <c r="C292" s="19"/>
      <c r="D292" s="19">
        <v>111766</v>
      </c>
      <c r="E292" s="19" t="s">
        <v>1224</v>
      </c>
      <c r="F292" s="93">
        <v>2008</v>
      </c>
      <c r="G292" s="19" t="s">
        <v>920</v>
      </c>
      <c r="H292" s="19"/>
      <c r="I292" s="19" t="s">
        <v>41</v>
      </c>
      <c r="J292" s="19" t="s">
        <v>89</v>
      </c>
      <c r="K292" s="19" t="s">
        <v>161</v>
      </c>
      <c r="L292" s="19" t="s">
        <v>82</v>
      </c>
      <c r="M292" s="19" t="s">
        <v>82</v>
      </c>
      <c r="N292" s="19" t="s">
        <v>66</v>
      </c>
      <c r="O292" s="19" t="s">
        <v>1046</v>
      </c>
      <c r="P292" s="19" t="s">
        <v>51</v>
      </c>
      <c r="Q292" s="19"/>
      <c r="R292" s="19" t="s">
        <v>237</v>
      </c>
      <c r="S292" s="19" t="s">
        <v>414</v>
      </c>
      <c r="T292" s="19" t="s">
        <v>927</v>
      </c>
      <c r="U292" s="19" t="s">
        <v>927</v>
      </c>
      <c r="V292" s="19" t="s">
        <v>1020</v>
      </c>
      <c r="W292" s="19" t="s">
        <v>45</v>
      </c>
      <c r="X292" s="19" t="s">
        <v>46</v>
      </c>
      <c r="Y292" s="29"/>
      <c r="Z292" s="19"/>
      <c r="AA292" s="19"/>
      <c r="AB292" s="19" t="s">
        <v>921</v>
      </c>
      <c r="AC292" s="19" t="s">
        <v>214</v>
      </c>
      <c r="AD292" s="19"/>
      <c r="AE292" s="19">
        <v>19.7</v>
      </c>
      <c r="AF292" s="19">
        <v>19.7</v>
      </c>
      <c r="AG292" s="19" t="s">
        <v>270</v>
      </c>
      <c r="AH292" s="19"/>
      <c r="AI292" s="19"/>
      <c r="AJ292" s="19">
        <v>6.75</v>
      </c>
      <c r="AK292" s="19" t="s">
        <v>922</v>
      </c>
      <c r="AL292" s="19"/>
      <c r="AM292" s="19"/>
      <c r="AN292" s="19" t="s">
        <v>923</v>
      </c>
      <c r="AO292" s="19" t="s">
        <v>270</v>
      </c>
      <c r="AP292" s="94"/>
      <c r="AQ292" s="19" t="s">
        <v>924</v>
      </c>
      <c r="AR292" s="19" t="s">
        <v>925</v>
      </c>
      <c r="AS292" s="19"/>
      <c r="AT292" s="65" t="str">
        <f t="shared" si="74"/>
        <v>Y</v>
      </c>
      <c r="AU292" s="65" t="str">
        <f t="shared" si="78"/>
        <v>Y</v>
      </c>
      <c r="AV292" s="65" t="str">
        <f t="shared" si="84"/>
        <v>Y</v>
      </c>
      <c r="AW292" s="99"/>
      <c r="AX292" s="99"/>
      <c r="AY292" s="19"/>
      <c r="AZ292" s="96" t="str">
        <f t="shared" si="79"/>
        <v>EC20</v>
      </c>
      <c r="BA292" s="96">
        <f>IF(AZ292="n","n",VLOOKUP(AZ292,'Conversion factors'!$C$4:$D$24,2,FALSE))</f>
        <v>1</v>
      </c>
      <c r="BB292" s="96">
        <f t="shared" si="80"/>
        <v>147</v>
      </c>
      <c r="BC292" s="97"/>
      <c r="BD292" s="96" t="str">
        <f t="shared" si="75"/>
        <v>Chronic</v>
      </c>
      <c r="BE292" s="96" t="str">
        <f t="shared" si="81"/>
        <v>y</v>
      </c>
      <c r="BF292" s="98" t="str">
        <f t="shared" si="77"/>
        <v>EC20</v>
      </c>
      <c r="BG292" s="96" t="str">
        <f>IF(BF292="","",IF(ISNUMBER(VLOOKUP(BF292,'Conversion factors'!$B$35:$C$52,2,FALSE)),"y","n"))</f>
        <v>y</v>
      </c>
      <c r="BH292" s="99" t="s">
        <v>1467</v>
      </c>
    </row>
    <row r="293" spans="1:62" s="103" customFormat="1" ht="15.75" customHeight="1" x14ac:dyDescent="0.2">
      <c r="A293" s="18"/>
      <c r="B293" s="19">
        <v>302</v>
      </c>
      <c r="C293" s="19"/>
      <c r="D293" s="19">
        <v>111766</v>
      </c>
      <c r="E293" s="19" t="s">
        <v>1224</v>
      </c>
      <c r="F293" s="93">
        <v>2008</v>
      </c>
      <c r="G293" s="19" t="s">
        <v>920</v>
      </c>
      <c r="H293" s="19"/>
      <c r="I293" s="19" t="s">
        <v>41</v>
      </c>
      <c r="J293" s="19" t="s">
        <v>89</v>
      </c>
      <c r="K293" s="19" t="s">
        <v>161</v>
      </c>
      <c r="L293" s="19" t="s">
        <v>82</v>
      </c>
      <c r="M293" s="19" t="s">
        <v>82</v>
      </c>
      <c r="N293" s="19" t="s">
        <v>66</v>
      </c>
      <c r="O293" s="19" t="s">
        <v>1046</v>
      </c>
      <c r="P293" s="19" t="s">
        <v>51</v>
      </c>
      <c r="Q293" s="19"/>
      <c r="R293" s="19" t="s">
        <v>237</v>
      </c>
      <c r="S293" s="19" t="s">
        <v>414</v>
      </c>
      <c r="T293" s="19" t="s">
        <v>55</v>
      </c>
      <c r="U293" s="19" t="s">
        <v>55</v>
      </c>
      <c r="V293" s="19" t="s">
        <v>1020</v>
      </c>
      <c r="W293" s="19" t="s">
        <v>45</v>
      </c>
      <c r="X293" s="19" t="s">
        <v>46</v>
      </c>
      <c r="Y293" s="29"/>
      <c r="Z293" s="19"/>
      <c r="AA293" s="19"/>
      <c r="AB293" s="19" t="s">
        <v>764</v>
      </c>
      <c r="AC293" s="19" t="s">
        <v>214</v>
      </c>
      <c r="AD293" s="19"/>
      <c r="AE293" s="19">
        <v>19.7</v>
      </c>
      <c r="AF293" s="19">
        <v>19.7</v>
      </c>
      <c r="AG293" s="19" t="s">
        <v>270</v>
      </c>
      <c r="AH293" s="19"/>
      <c r="AI293" s="19"/>
      <c r="AJ293" s="19">
        <v>6.75</v>
      </c>
      <c r="AK293" s="19" t="s">
        <v>922</v>
      </c>
      <c r="AL293" s="19"/>
      <c r="AM293" s="19" t="s">
        <v>234</v>
      </c>
      <c r="AN293" s="19" t="s">
        <v>923</v>
      </c>
      <c r="AO293" s="19" t="s">
        <v>270</v>
      </c>
      <c r="AP293" s="94"/>
      <c r="AQ293" s="19" t="s">
        <v>924</v>
      </c>
      <c r="AR293" s="19" t="s">
        <v>925</v>
      </c>
      <c r="AS293" s="19"/>
      <c r="AT293" s="65" t="str">
        <f t="shared" si="74"/>
        <v>Y</v>
      </c>
      <c r="AU293" s="65" t="str">
        <f t="shared" si="78"/>
        <v>Y</v>
      </c>
      <c r="AV293" s="65" t="str">
        <f t="shared" si="84"/>
        <v>Y</v>
      </c>
      <c r="AW293" s="99"/>
      <c r="AX293" s="99"/>
      <c r="AY293" s="19"/>
      <c r="AZ293" s="96" t="str">
        <f t="shared" si="79"/>
        <v>LOEC</v>
      </c>
      <c r="BA293" s="96">
        <f>IF(AZ293="n","n",VLOOKUP(AZ293,'Conversion factors'!$C$4:$D$24,2,FALSE))</f>
        <v>2.5</v>
      </c>
      <c r="BB293" s="96">
        <f t="shared" si="80"/>
        <v>46.8</v>
      </c>
      <c r="BC293" s="97"/>
      <c r="BD293" s="96" t="str">
        <f t="shared" si="75"/>
        <v>Chronic</v>
      </c>
      <c r="BE293" s="96" t="str">
        <f t="shared" si="81"/>
        <v>y</v>
      </c>
      <c r="BF293" s="98" t="str">
        <f t="shared" si="77"/>
        <v>LOEC</v>
      </c>
      <c r="BG293" s="96" t="str">
        <f>IF(BF293="","",IF(ISNUMBER(VLOOKUP(BF293,'Conversion factors'!$B$35:$C$52,2,FALSE)),"y","n"))</f>
        <v>n</v>
      </c>
      <c r="BH293" s="99" t="s">
        <v>1467</v>
      </c>
    </row>
    <row r="294" spans="1:62" s="103" customFormat="1" ht="15.75" customHeight="1" x14ac:dyDescent="0.2">
      <c r="A294" s="18"/>
      <c r="B294" s="19">
        <v>302</v>
      </c>
      <c r="C294" s="19"/>
      <c r="D294" s="19">
        <v>111766</v>
      </c>
      <c r="E294" s="19" t="s">
        <v>1224</v>
      </c>
      <c r="F294" s="93">
        <v>2008</v>
      </c>
      <c r="G294" s="19" t="s">
        <v>920</v>
      </c>
      <c r="H294" s="19"/>
      <c r="I294" s="19" t="s">
        <v>41</v>
      </c>
      <c r="J294" s="19" t="s">
        <v>89</v>
      </c>
      <c r="K294" s="19" t="s">
        <v>161</v>
      </c>
      <c r="L294" s="19" t="s">
        <v>82</v>
      </c>
      <c r="M294" s="19" t="s">
        <v>82</v>
      </c>
      <c r="N294" s="19" t="s">
        <v>66</v>
      </c>
      <c r="O294" s="19" t="s">
        <v>1046</v>
      </c>
      <c r="P294" s="19" t="s">
        <v>51</v>
      </c>
      <c r="Q294" s="19"/>
      <c r="R294" s="19" t="s">
        <v>237</v>
      </c>
      <c r="S294" s="19" t="s">
        <v>414</v>
      </c>
      <c r="T294" s="19" t="s">
        <v>77</v>
      </c>
      <c r="U294" s="19" t="s">
        <v>77</v>
      </c>
      <c r="V294" s="19" t="s">
        <v>1020</v>
      </c>
      <c r="W294" s="19" t="s">
        <v>45</v>
      </c>
      <c r="X294" s="19" t="s">
        <v>46</v>
      </c>
      <c r="Y294" s="29"/>
      <c r="Z294" s="19"/>
      <c r="AA294" s="19"/>
      <c r="AB294" s="19" t="s">
        <v>931</v>
      </c>
      <c r="AC294" s="19" t="s">
        <v>214</v>
      </c>
      <c r="AD294" s="19"/>
      <c r="AE294" s="19">
        <v>19.7</v>
      </c>
      <c r="AF294" s="19">
        <v>19.7</v>
      </c>
      <c r="AG294" s="19" t="s">
        <v>270</v>
      </c>
      <c r="AH294" s="19"/>
      <c r="AI294" s="19"/>
      <c r="AJ294" s="19">
        <v>6.75</v>
      </c>
      <c r="AK294" s="19" t="s">
        <v>922</v>
      </c>
      <c r="AL294" s="19"/>
      <c r="AM294" s="19" t="s">
        <v>234</v>
      </c>
      <c r="AN294" s="19" t="s">
        <v>923</v>
      </c>
      <c r="AO294" s="19" t="s">
        <v>270</v>
      </c>
      <c r="AP294" s="94"/>
      <c r="AQ294" s="19" t="s">
        <v>924</v>
      </c>
      <c r="AR294" s="19" t="s">
        <v>925</v>
      </c>
      <c r="AS294" s="19"/>
      <c r="AT294" s="65" t="str">
        <f t="shared" si="74"/>
        <v>Y</v>
      </c>
      <c r="AU294" s="65" t="str">
        <f t="shared" si="78"/>
        <v>Y</v>
      </c>
      <c r="AV294" s="65" t="str">
        <f t="shared" si="84"/>
        <v>Y</v>
      </c>
      <c r="AW294" s="99"/>
      <c r="AX294" s="99"/>
      <c r="AY294" s="19"/>
      <c r="AZ294" s="96" t="str">
        <f t="shared" si="79"/>
        <v>MATC</v>
      </c>
      <c r="BA294" s="96">
        <f>IF(AZ294="n","n",VLOOKUP(AZ294,'Conversion factors'!$C$4:$D$24,2,FALSE))</f>
        <v>2</v>
      </c>
      <c r="BB294" s="96" t="e">
        <f t="shared" si="80"/>
        <v>#VALUE!</v>
      </c>
      <c r="BC294" s="97"/>
      <c r="BD294" s="96" t="str">
        <f t="shared" si="75"/>
        <v>Chronic</v>
      </c>
      <c r="BE294" s="96" t="str">
        <f t="shared" si="81"/>
        <v>y</v>
      </c>
      <c r="BF294" s="98" t="str">
        <f t="shared" si="77"/>
        <v>MATC</v>
      </c>
      <c r="BG294" s="96" t="str">
        <f>IF(BF294="","",IF(ISNUMBER(VLOOKUP(BF294,'Conversion factors'!$B$35:$C$52,2,FALSE)),"y","n"))</f>
        <v>n</v>
      </c>
      <c r="BH294" s="99" t="s">
        <v>1467</v>
      </c>
    </row>
    <row r="295" spans="1:62" s="103" customFormat="1" ht="15.75" customHeight="1" x14ac:dyDescent="0.2">
      <c r="A295" s="18"/>
      <c r="B295" s="19">
        <v>302</v>
      </c>
      <c r="C295" s="19"/>
      <c r="D295" s="19">
        <v>111766</v>
      </c>
      <c r="E295" s="19" t="s">
        <v>1224</v>
      </c>
      <c r="F295" s="93">
        <v>2008</v>
      </c>
      <c r="G295" s="19" t="s">
        <v>920</v>
      </c>
      <c r="H295" s="19"/>
      <c r="I295" s="19" t="s">
        <v>41</v>
      </c>
      <c r="J295" s="19" t="s">
        <v>89</v>
      </c>
      <c r="K295" s="19" t="s">
        <v>161</v>
      </c>
      <c r="L295" s="19" t="s">
        <v>82</v>
      </c>
      <c r="M295" s="19" t="s">
        <v>82</v>
      </c>
      <c r="N295" s="19" t="s">
        <v>66</v>
      </c>
      <c r="O295" s="19" t="s">
        <v>1046</v>
      </c>
      <c r="P295" s="19" t="s">
        <v>51</v>
      </c>
      <c r="Q295" s="19"/>
      <c r="R295" s="19" t="s">
        <v>237</v>
      </c>
      <c r="S295" s="19" t="s">
        <v>414</v>
      </c>
      <c r="T295" s="19" t="s">
        <v>54</v>
      </c>
      <c r="U295" s="19" t="s">
        <v>54</v>
      </c>
      <c r="V295" s="19" t="s">
        <v>1020</v>
      </c>
      <c r="W295" s="19" t="s">
        <v>45</v>
      </c>
      <c r="X295" s="19" t="s">
        <v>46</v>
      </c>
      <c r="Y295" s="29"/>
      <c r="Z295" s="19"/>
      <c r="AA295" s="19"/>
      <c r="AB295" s="19" t="s">
        <v>931</v>
      </c>
      <c r="AC295" s="19" t="s">
        <v>214</v>
      </c>
      <c r="AD295" s="19"/>
      <c r="AE295" s="19">
        <v>19.7</v>
      </c>
      <c r="AF295" s="19">
        <v>19.7</v>
      </c>
      <c r="AG295" s="19" t="s">
        <v>270</v>
      </c>
      <c r="AH295" s="19"/>
      <c r="AI295" s="19"/>
      <c r="AJ295" s="19">
        <v>6.75</v>
      </c>
      <c r="AK295" s="19" t="s">
        <v>922</v>
      </c>
      <c r="AL295" s="19"/>
      <c r="AM295" s="19"/>
      <c r="AN295" s="19" t="s">
        <v>923</v>
      </c>
      <c r="AO295" s="19" t="s">
        <v>270</v>
      </c>
      <c r="AP295" s="94"/>
      <c r="AQ295" s="19" t="s">
        <v>924</v>
      </c>
      <c r="AR295" s="19" t="s">
        <v>925</v>
      </c>
      <c r="AS295" s="19"/>
      <c r="AT295" s="65" t="str">
        <f t="shared" si="74"/>
        <v>Y</v>
      </c>
      <c r="AU295" s="65" t="str">
        <f t="shared" si="78"/>
        <v>Y</v>
      </c>
      <c r="AV295" s="65" t="str">
        <f t="shared" si="84"/>
        <v>Y</v>
      </c>
      <c r="AW295" s="99"/>
      <c r="AX295" s="99"/>
      <c r="AY295" s="19"/>
      <c r="AZ295" s="96" t="str">
        <f t="shared" si="79"/>
        <v>NOEC</v>
      </c>
      <c r="BA295" s="96">
        <f>IF(AZ295="n","n",VLOOKUP(AZ295,'Conversion factors'!$C$4:$D$24,2,FALSE))</f>
        <v>1</v>
      </c>
      <c r="BB295" s="96" t="e">
        <f t="shared" si="80"/>
        <v>#VALUE!</v>
      </c>
      <c r="BC295" s="97"/>
      <c r="BD295" s="96" t="str">
        <f t="shared" si="75"/>
        <v>Chronic</v>
      </c>
      <c r="BE295" s="96" t="str">
        <f t="shared" si="81"/>
        <v>y</v>
      </c>
      <c r="BF295" s="98" t="str">
        <f t="shared" si="77"/>
        <v>NOEC</v>
      </c>
      <c r="BG295" s="96" t="str">
        <f>IF(BF295="","",IF(ISNUMBER(VLOOKUP(BF295,'Conversion factors'!$B$35:$C$52,2,FALSE)),"y","n"))</f>
        <v>y</v>
      </c>
      <c r="BH295" s="99" t="s">
        <v>1467</v>
      </c>
    </row>
    <row r="296" spans="1:62" s="103" customFormat="1" ht="15.75" customHeight="1" x14ac:dyDescent="0.2">
      <c r="A296" s="18"/>
      <c r="B296" s="19">
        <v>125</v>
      </c>
      <c r="C296" s="20"/>
      <c r="D296" s="36"/>
      <c r="E296" s="93" t="s">
        <v>1235</v>
      </c>
      <c r="F296" s="93">
        <v>1980</v>
      </c>
      <c r="G296" s="19" t="s">
        <v>1227</v>
      </c>
      <c r="H296" s="19" t="s">
        <v>51</v>
      </c>
      <c r="I296" s="19" t="s">
        <v>41</v>
      </c>
      <c r="J296" s="19" t="s">
        <v>89</v>
      </c>
      <c r="K296" s="19" t="s">
        <v>161</v>
      </c>
      <c r="L296" s="19" t="s">
        <v>82</v>
      </c>
      <c r="M296" s="19" t="s">
        <v>82</v>
      </c>
      <c r="N296" s="19" t="s">
        <v>66</v>
      </c>
      <c r="O296" s="19" t="s">
        <v>1237</v>
      </c>
      <c r="P296" s="19" t="s">
        <v>51</v>
      </c>
      <c r="Q296" s="19"/>
      <c r="R296" s="19" t="s">
        <v>156</v>
      </c>
      <c r="S296" s="19" t="s">
        <v>156</v>
      </c>
      <c r="T296" s="19" t="s">
        <v>169</v>
      </c>
      <c r="U296" s="19" t="s">
        <v>169</v>
      </c>
      <c r="V296" s="93">
        <v>28</v>
      </c>
      <c r="W296" s="93" t="s">
        <v>45</v>
      </c>
      <c r="X296" s="19" t="s">
        <v>46</v>
      </c>
      <c r="Y296" s="29"/>
      <c r="Z296" s="93"/>
      <c r="AA296" s="93"/>
      <c r="AB296" s="93">
        <v>216</v>
      </c>
      <c r="AC296" s="19" t="s">
        <v>1325</v>
      </c>
      <c r="AD296" s="93"/>
      <c r="AE296" s="19">
        <v>101</v>
      </c>
      <c r="AF296" s="19" t="s">
        <v>963</v>
      </c>
      <c r="AG296" s="19"/>
      <c r="AH296" s="19"/>
      <c r="AI296" s="19"/>
      <c r="AJ296" s="19">
        <f>MEDIAN(6.9,7.8)</f>
        <v>7.35</v>
      </c>
      <c r="AK296" s="19" t="s">
        <v>1238</v>
      </c>
      <c r="AL296" s="19"/>
      <c r="AM296" s="19"/>
      <c r="AN296" s="19"/>
      <c r="AO296" s="19"/>
      <c r="AP296" s="94"/>
      <c r="AQ296" s="19" t="s">
        <v>1240</v>
      </c>
      <c r="AR296" s="19" t="s">
        <v>1239</v>
      </c>
      <c r="AS296" s="19"/>
      <c r="AT296" s="65" t="str">
        <f t="shared" si="74"/>
        <v>Y</v>
      </c>
      <c r="AU296" s="65" t="str">
        <f t="shared" si="78"/>
        <v>Y</v>
      </c>
      <c r="AV296" s="65" t="str">
        <f t="shared" si="84"/>
        <v>Y</v>
      </c>
      <c r="AW296" s="99" t="s">
        <v>1465</v>
      </c>
      <c r="AX296" s="99"/>
      <c r="AY296" s="93"/>
      <c r="AZ296" s="96" t="str">
        <f t="shared" si="79"/>
        <v>LC1</v>
      </c>
      <c r="BA296" s="96" t="e">
        <f>IF(AZ296="n","n",VLOOKUP(AZ296,'Conversion factors'!$C$4:$D$24,2,FALSE))</f>
        <v>#N/A</v>
      </c>
      <c r="BB296" s="96" t="e">
        <f t="shared" si="80"/>
        <v>#N/A</v>
      </c>
      <c r="BC296" s="97"/>
      <c r="BD296" s="96" t="str">
        <f t="shared" si="75"/>
        <v>Chronic</v>
      </c>
      <c r="BE296" s="96" t="str">
        <f t="shared" si="81"/>
        <v>y</v>
      </c>
      <c r="BF296" s="98" t="str">
        <f t="shared" si="77"/>
        <v>LC1</v>
      </c>
      <c r="BG296" s="96" t="str">
        <f>IF(BF296="","",IF(ISNUMBER(VLOOKUP(BF296,'Conversion factors'!$B$35:$C$52,2,FALSE)),"y","n"))</f>
        <v>y</v>
      </c>
      <c r="BH296" s="99" t="s">
        <v>1466</v>
      </c>
      <c r="BI296" s="100"/>
      <c r="BJ296" s="100"/>
    </row>
    <row r="297" spans="1:62" s="103" customFormat="1" ht="15.75" customHeight="1" x14ac:dyDescent="0.2">
      <c r="A297" s="18"/>
      <c r="B297" s="19">
        <v>125</v>
      </c>
      <c r="C297" s="20"/>
      <c r="D297" s="36"/>
      <c r="E297" s="93" t="s">
        <v>1235</v>
      </c>
      <c r="F297" s="93">
        <v>1980</v>
      </c>
      <c r="G297" s="19" t="s">
        <v>1227</v>
      </c>
      <c r="H297" s="19" t="s">
        <v>51</v>
      </c>
      <c r="I297" s="19" t="s">
        <v>41</v>
      </c>
      <c r="J297" s="19" t="s">
        <v>89</v>
      </c>
      <c r="K297" s="19" t="s">
        <v>161</v>
      </c>
      <c r="L297" s="99" t="s">
        <v>82</v>
      </c>
      <c r="M297" s="19" t="s">
        <v>82</v>
      </c>
      <c r="N297" s="19" t="s">
        <v>66</v>
      </c>
      <c r="O297" s="19" t="s">
        <v>1237</v>
      </c>
      <c r="P297" s="19" t="s">
        <v>51</v>
      </c>
      <c r="Q297" s="19"/>
      <c r="R297" s="19" t="s">
        <v>156</v>
      </c>
      <c r="S297" s="19" t="s">
        <v>156</v>
      </c>
      <c r="T297" s="19" t="s">
        <v>174</v>
      </c>
      <c r="U297" s="19" t="s">
        <v>49</v>
      </c>
      <c r="V297" s="93">
        <v>28</v>
      </c>
      <c r="W297" s="93" t="s">
        <v>45</v>
      </c>
      <c r="X297" s="19" t="s">
        <v>46</v>
      </c>
      <c r="Y297" s="29"/>
      <c r="Z297" s="93"/>
      <c r="AA297" s="93"/>
      <c r="AB297" s="93">
        <v>451</v>
      </c>
      <c r="AC297" s="19" t="s">
        <v>1325</v>
      </c>
      <c r="AD297" s="93"/>
      <c r="AE297" s="19">
        <v>101</v>
      </c>
      <c r="AF297" s="19" t="s">
        <v>963</v>
      </c>
      <c r="AG297" s="19"/>
      <c r="AH297" s="19"/>
      <c r="AI297" s="19"/>
      <c r="AJ297" s="101">
        <f>MEDIAN(6.9,7.8)</f>
        <v>7.35</v>
      </c>
      <c r="AK297" s="19" t="s">
        <v>1238</v>
      </c>
      <c r="AL297" s="19"/>
      <c r="AM297" s="19"/>
      <c r="AN297" s="19"/>
      <c r="AO297" s="19"/>
      <c r="AP297" s="94"/>
      <c r="AQ297" s="19" t="s">
        <v>1240</v>
      </c>
      <c r="AR297" s="19" t="s">
        <v>1239</v>
      </c>
      <c r="AS297" s="19"/>
      <c r="AT297" s="65" t="str">
        <f t="shared" si="74"/>
        <v>Y</v>
      </c>
      <c r="AU297" s="65" t="str">
        <f t="shared" si="78"/>
        <v>Y</v>
      </c>
      <c r="AV297" s="65" t="s">
        <v>162</v>
      </c>
      <c r="AW297" s="99" t="s">
        <v>1465</v>
      </c>
      <c r="AX297" s="99"/>
      <c r="AY297" s="93"/>
      <c r="AZ297" s="96" t="str">
        <f t="shared" si="79"/>
        <v>n</v>
      </c>
      <c r="BA297" s="96" t="str">
        <f>IF(AZ297="n","n",VLOOKUP(AZ297,'Conversion factors'!$C$4:$D$24,2,FALSE))</f>
        <v>n</v>
      </c>
      <c r="BB297" s="96" t="str">
        <f t="shared" si="80"/>
        <v>n</v>
      </c>
      <c r="BC297" s="97"/>
      <c r="BD297" s="96" t="str">
        <f t="shared" si="75"/>
        <v>n</v>
      </c>
      <c r="BE297" s="96" t="str">
        <f t="shared" si="81"/>
        <v>n</v>
      </c>
      <c r="BF297" s="98" t="str">
        <f t="shared" si="77"/>
        <v/>
      </c>
      <c r="BG297" s="96" t="str">
        <f>IF(BF297="","",IF(ISNUMBER(VLOOKUP(BF297,'Conversion factors'!$B$35:$C$52,2,FALSE)),"y","n"))</f>
        <v/>
      </c>
      <c r="BH297" s="99"/>
      <c r="BI297" s="100"/>
      <c r="BJ297" s="100"/>
    </row>
    <row r="298" spans="1:62" s="103" customFormat="1" ht="15.75" customHeight="1" x14ac:dyDescent="0.2">
      <c r="A298" s="18"/>
      <c r="B298" s="19">
        <v>127</v>
      </c>
      <c r="C298" s="20"/>
      <c r="D298" s="36"/>
      <c r="E298" s="93" t="s">
        <v>1235</v>
      </c>
      <c r="F298" s="93">
        <v>1976</v>
      </c>
      <c r="G298" s="19" t="s">
        <v>1229</v>
      </c>
      <c r="H298" s="19" t="s">
        <v>51</v>
      </c>
      <c r="I298" s="19" t="s">
        <v>41</v>
      </c>
      <c r="J298" s="19" t="s">
        <v>89</v>
      </c>
      <c r="K298" s="19" t="s">
        <v>161</v>
      </c>
      <c r="L298" s="19" t="s">
        <v>82</v>
      </c>
      <c r="M298" s="19" t="s">
        <v>82</v>
      </c>
      <c r="N298" s="19" t="s">
        <v>66</v>
      </c>
      <c r="O298" s="19" t="s">
        <v>1247</v>
      </c>
      <c r="P298" s="19" t="s">
        <v>51</v>
      </c>
      <c r="Q298" s="19"/>
      <c r="R298" s="19" t="s">
        <v>156</v>
      </c>
      <c r="S298" s="19" t="s">
        <v>156</v>
      </c>
      <c r="T298" s="19" t="s">
        <v>54</v>
      </c>
      <c r="U298" s="19" t="s">
        <v>54</v>
      </c>
      <c r="V298" s="93">
        <v>30</v>
      </c>
      <c r="W298" s="93" t="s">
        <v>45</v>
      </c>
      <c r="X298" s="19" t="s">
        <v>46</v>
      </c>
      <c r="Y298" s="29"/>
      <c r="Z298" s="93"/>
      <c r="AA298" s="93"/>
      <c r="AB298" s="93">
        <v>320</v>
      </c>
      <c r="AC298" s="19" t="s">
        <v>1322</v>
      </c>
      <c r="AD298" s="93"/>
      <c r="AE298" s="19">
        <v>353.2</v>
      </c>
      <c r="AF298" s="19">
        <v>353.2</v>
      </c>
      <c r="AG298" s="19"/>
      <c r="AH298" s="19"/>
      <c r="AI298" s="19"/>
      <c r="AJ298" s="19">
        <f>MEDIAN(7.64,8.25)</f>
        <v>7.9450000000000003</v>
      </c>
      <c r="AK298" s="19" t="s">
        <v>1245</v>
      </c>
      <c r="AL298" s="19"/>
      <c r="AM298" s="19"/>
      <c r="AN298" s="19">
        <v>242.8</v>
      </c>
      <c r="AO298" s="19"/>
      <c r="AP298" s="94"/>
      <c r="AQ298" s="19">
        <v>14.5</v>
      </c>
      <c r="AR298" s="19">
        <v>6.9</v>
      </c>
      <c r="AS298" s="19"/>
      <c r="AT298" s="65" t="str">
        <f t="shared" si="74"/>
        <v>N</v>
      </c>
      <c r="AU298" s="65" t="str">
        <f t="shared" si="78"/>
        <v>N</v>
      </c>
      <c r="AV298" s="65" t="str">
        <f t="shared" ref="AV298:AV301" si="85">AU298</f>
        <v>N</v>
      </c>
      <c r="AW298" s="104" t="s">
        <v>1264</v>
      </c>
      <c r="AX298" s="104"/>
      <c r="AY298" s="93"/>
      <c r="AZ298" s="96" t="str">
        <f t="shared" si="79"/>
        <v>n</v>
      </c>
      <c r="BA298" s="96" t="str">
        <f>IF(AZ298="n","n",VLOOKUP(AZ298,'Conversion factors'!$C$4:$D$24,2,FALSE))</f>
        <v>n</v>
      </c>
      <c r="BB298" s="96" t="str">
        <f t="shared" si="80"/>
        <v>n</v>
      </c>
      <c r="BC298" s="97"/>
      <c r="BD298" s="96" t="str">
        <f t="shared" si="75"/>
        <v>n</v>
      </c>
      <c r="BE298" s="96" t="str">
        <f t="shared" si="81"/>
        <v>n</v>
      </c>
      <c r="BF298" s="98" t="str">
        <f t="shared" si="77"/>
        <v/>
      </c>
      <c r="BG298" s="96" t="str">
        <f>IF(BF298="","",IF(ISNUMBER(VLOOKUP(BF298,'Conversion factors'!$B$35:$C$52,2,FALSE)),"y","n"))</f>
        <v/>
      </c>
      <c r="BH298" s="99" t="s">
        <v>1506</v>
      </c>
      <c r="BI298" s="100"/>
      <c r="BJ298" s="100"/>
    </row>
    <row r="299" spans="1:62" s="103" customFormat="1" ht="15.75" customHeight="1" x14ac:dyDescent="0.2">
      <c r="A299" s="18"/>
      <c r="B299" s="19">
        <v>127</v>
      </c>
      <c r="C299" s="20"/>
      <c r="D299" s="36"/>
      <c r="E299" s="93" t="s">
        <v>1235</v>
      </c>
      <c r="F299" s="93">
        <v>1976</v>
      </c>
      <c r="G299" s="19" t="s">
        <v>1229</v>
      </c>
      <c r="H299" s="19" t="s">
        <v>51</v>
      </c>
      <c r="I299" s="19" t="s">
        <v>41</v>
      </c>
      <c r="J299" s="19" t="s">
        <v>89</v>
      </c>
      <c r="K299" s="19" t="s">
        <v>161</v>
      </c>
      <c r="L299" s="19" t="s">
        <v>82</v>
      </c>
      <c r="M299" s="19" t="s">
        <v>82</v>
      </c>
      <c r="N299" s="19" t="s">
        <v>66</v>
      </c>
      <c r="O299" s="19" t="s">
        <v>1247</v>
      </c>
      <c r="P299" s="19" t="s">
        <v>51</v>
      </c>
      <c r="Q299" s="19"/>
      <c r="R299" s="19" t="s">
        <v>156</v>
      </c>
      <c r="S299" s="19" t="s">
        <v>156</v>
      </c>
      <c r="T299" s="19" t="s">
        <v>54</v>
      </c>
      <c r="U299" s="19" t="s">
        <v>54</v>
      </c>
      <c r="V299" s="93">
        <f>27*30</f>
        <v>810</v>
      </c>
      <c r="W299" s="93" t="s">
        <v>45</v>
      </c>
      <c r="X299" s="19" t="s">
        <v>46</v>
      </c>
      <c r="Y299" s="29"/>
      <c r="Z299" s="93"/>
      <c r="AA299" s="93"/>
      <c r="AB299" s="93">
        <v>36</v>
      </c>
      <c r="AC299" s="19" t="s">
        <v>1322</v>
      </c>
      <c r="AD299" s="93"/>
      <c r="AE299" s="19">
        <v>27.7</v>
      </c>
      <c r="AF299" s="19">
        <v>27.7</v>
      </c>
      <c r="AG299" s="19"/>
      <c r="AH299" s="19"/>
      <c r="AI299" s="19"/>
      <c r="AJ299" s="19">
        <f>MEDIAN(6.65,7.34)</f>
        <v>6.9950000000000001</v>
      </c>
      <c r="AK299" s="19" t="s">
        <v>1246</v>
      </c>
      <c r="AL299" s="19"/>
      <c r="AM299" s="19"/>
      <c r="AN299" s="19">
        <v>25.5</v>
      </c>
      <c r="AO299" s="19"/>
      <c r="AP299" s="94"/>
      <c r="AQ299" s="19">
        <v>11.1</v>
      </c>
      <c r="AR299" s="19">
        <v>8.3000000000000007</v>
      </c>
      <c r="AS299" s="19"/>
      <c r="AT299" s="65" t="str">
        <f t="shared" si="74"/>
        <v>N</v>
      </c>
      <c r="AU299" s="65" t="str">
        <f t="shared" si="78"/>
        <v>N</v>
      </c>
      <c r="AV299" s="65" t="str">
        <f t="shared" si="85"/>
        <v>N</v>
      </c>
      <c r="AW299" s="104" t="s">
        <v>1264</v>
      </c>
      <c r="AX299" s="104"/>
      <c r="AY299" s="93"/>
      <c r="AZ299" s="96" t="str">
        <f t="shared" si="79"/>
        <v>n</v>
      </c>
      <c r="BA299" s="96" t="str">
        <f>IF(AZ299="n","n",VLOOKUP(AZ299,'Conversion factors'!$C$4:$D$24,2,FALSE))</f>
        <v>n</v>
      </c>
      <c r="BB299" s="96" t="str">
        <f t="shared" si="80"/>
        <v>n</v>
      </c>
      <c r="BC299" s="97"/>
      <c r="BD299" s="96" t="str">
        <f t="shared" si="75"/>
        <v>n</v>
      </c>
      <c r="BE299" s="96" t="str">
        <f t="shared" si="81"/>
        <v>n</v>
      </c>
      <c r="BF299" s="98" t="str">
        <f t="shared" si="77"/>
        <v/>
      </c>
      <c r="BG299" s="96" t="str">
        <f>IF(BF299="","",IF(ISNUMBER(VLOOKUP(BF299,'Conversion factors'!$B$35:$C$52,2,FALSE)),"y","n"))</f>
        <v/>
      </c>
      <c r="BH299" s="99" t="s">
        <v>1506</v>
      </c>
      <c r="BI299" s="100"/>
      <c r="BJ299" s="100"/>
    </row>
    <row r="300" spans="1:62" s="103" customFormat="1" ht="15.75" customHeight="1" x14ac:dyDescent="0.2">
      <c r="A300" s="18"/>
      <c r="B300" s="19">
        <v>134</v>
      </c>
      <c r="C300" s="20"/>
      <c r="D300" s="36"/>
      <c r="E300" s="93" t="s">
        <v>1235</v>
      </c>
      <c r="F300" s="93">
        <v>1974</v>
      </c>
      <c r="G300" s="19" t="s">
        <v>1234</v>
      </c>
      <c r="H300" s="19" t="s">
        <v>51</v>
      </c>
      <c r="I300" s="19" t="s">
        <v>41</v>
      </c>
      <c r="J300" s="19" t="s">
        <v>89</v>
      </c>
      <c r="K300" s="19" t="s">
        <v>161</v>
      </c>
      <c r="L300" s="19" t="s">
        <v>82</v>
      </c>
      <c r="M300" s="19" t="s">
        <v>82</v>
      </c>
      <c r="N300" s="19" t="s">
        <v>66</v>
      </c>
      <c r="O300" s="19" t="s">
        <v>1260</v>
      </c>
      <c r="P300" s="19" t="s">
        <v>51</v>
      </c>
      <c r="Q300" s="19"/>
      <c r="R300" s="19" t="s">
        <v>156</v>
      </c>
      <c r="S300" s="19" t="s">
        <v>156</v>
      </c>
      <c r="T300" s="19" t="s">
        <v>54</v>
      </c>
      <c r="U300" s="19" t="s">
        <v>54</v>
      </c>
      <c r="V300" s="93">
        <v>25</v>
      </c>
      <c r="W300" s="93" t="s">
        <v>45</v>
      </c>
      <c r="X300" s="19" t="s">
        <v>46</v>
      </c>
      <c r="Y300" s="29"/>
      <c r="Z300" s="93"/>
      <c r="AA300" s="93"/>
      <c r="AB300" s="93">
        <v>140</v>
      </c>
      <c r="AC300" s="19" t="s">
        <v>214</v>
      </c>
      <c r="AD300" s="93"/>
      <c r="AE300" s="19">
        <v>26</v>
      </c>
      <c r="AF300" s="19">
        <v>26</v>
      </c>
      <c r="AG300" s="19"/>
      <c r="AH300" s="19"/>
      <c r="AI300" s="19"/>
      <c r="AJ300" s="19">
        <v>6.8</v>
      </c>
      <c r="AK300" s="19">
        <v>6.8</v>
      </c>
      <c r="AL300" s="19"/>
      <c r="AM300" s="19"/>
      <c r="AN300" s="19">
        <v>25</v>
      </c>
      <c r="AO300" s="19"/>
      <c r="AP300" s="94"/>
      <c r="AQ300" s="19">
        <v>12.7</v>
      </c>
      <c r="AR300" s="19">
        <v>6.8</v>
      </c>
      <c r="AS300" s="19"/>
      <c r="AT300" s="65" t="str">
        <f t="shared" si="74"/>
        <v>N</v>
      </c>
      <c r="AU300" s="65" t="str">
        <f t="shared" si="78"/>
        <v>N</v>
      </c>
      <c r="AV300" s="65" t="str">
        <f t="shared" si="85"/>
        <v>N</v>
      </c>
      <c r="AW300" s="99" t="s">
        <v>1465</v>
      </c>
      <c r="AX300" s="99"/>
      <c r="AY300" s="93"/>
      <c r="AZ300" s="96" t="str">
        <f t="shared" si="79"/>
        <v>n</v>
      </c>
      <c r="BA300" s="96" t="str">
        <f>IF(AZ300="n","n",VLOOKUP(AZ300,'Conversion factors'!$C$4:$D$24,2,FALSE))</f>
        <v>n</v>
      </c>
      <c r="BB300" s="96" t="str">
        <f t="shared" si="80"/>
        <v>n</v>
      </c>
      <c r="BC300" s="97"/>
      <c r="BD300" s="96" t="str">
        <f t="shared" si="75"/>
        <v>n</v>
      </c>
      <c r="BE300" s="96" t="str">
        <f t="shared" si="81"/>
        <v>n</v>
      </c>
      <c r="BF300" s="98" t="str">
        <f t="shared" si="77"/>
        <v/>
      </c>
      <c r="BG300" s="96" t="str">
        <f>IF(BF300="","",IF(ISNUMBER(VLOOKUP(BF300,'Conversion factors'!$B$35:$C$52,2,FALSE)),"y","n"))</f>
        <v/>
      </c>
      <c r="BH300" s="99" t="s">
        <v>1506</v>
      </c>
      <c r="BI300" s="100"/>
      <c r="BJ300" s="100"/>
    </row>
    <row r="301" spans="1:62" s="103" customFormat="1" ht="15.75" customHeight="1" x14ac:dyDescent="0.2">
      <c r="A301" s="18"/>
      <c r="B301" s="19">
        <v>134</v>
      </c>
      <c r="C301" s="20"/>
      <c r="D301" s="36"/>
      <c r="E301" s="93" t="s">
        <v>1235</v>
      </c>
      <c r="F301" s="93">
        <v>1974</v>
      </c>
      <c r="G301" s="19" t="s">
        <v>1234</v>
      </c>
      <c r="H301" s="19" t="s">
        <v>51</v>
      </c>
      <c r="I301" s="19" t="s">
        <v>41</v>
      </c>
      <c r="J301" s="19" t="s">
        <v>89</v>
      </c>
      <c r="K301" s="19" t="s">
        <v>161</v>
      </c>
      <c r="L301" s="19" t="s">
        <v>82</v>
      </c>
      <c r="M301" s="19" t="s">
        <v>82</v>
      </c>
      <c r="N301" s="19" t="s">
        <v>66</v>
      </c>
      <c r="O301" s="19" t="s">
        <v>160</v>
      </c>
      <c r="P301" s="19" t="s">
        <v>51</v>
      </c>
      <c r="Q301" s="19"/>
      <c r="R301" s="19" t="s">
        <v>156</v>
      </c>
      <c r="S301" s="19" t="s">
        <v>156</v>
      </c>
      <c r="T301" s="19" t="s">
        <v>54</v>
      </c>
      <c r="U301" s="19" t="s">
        <v>54</v>
      </c>
      <c r="V301" s="93">
        <f>22*30</f>
        <v>660</v>
      </c>
      <c r="W301" s="93" t="s">
        <v>45</v>
      </c>
      <c r="X301" s="19" t="s">
        <v>46</v>
      </c>
      <c r="Y301" s="29"/>
      <c r="Z301" s="93"/>
      <c r="AA301" s="93"/>
      <c r="AB301" s="93">
        <v>320</v>
      </c>
      <c r="AC301" s="19" t="s">
        <v>214</v>
      </c>
      <c r="AD301" s="93"/>
      <c r="AE301" s="19">
        <v>333</v>
      </c>
      <c r="AF301" s="19">
        <v>333</v>
      </c>
      <c r="AG301" s="19"/>
      <c r="AH301" s="19"/>
      <c r="AI301" s="19"/>
      <c r="AJ301" s="19">
        <v>7.81</v>
      </c>
      <c r="AK301" s="19">
        <v>7.81</v>
      </c>
      <c r="AL301" s="19"/>
      <c r="AM301" s="19"/>
      <c r="AN301" s="19">
        <v>238</v>
      </c>
      <c r="AO301" s="19"/>
      <c r="AP301" s="94"/>
      <c r="AQ301" s="19">
        <v>16.2</v>
      </c>
      <c r="AR301" s="19">
        <v>6.8</v>
      </c>
      <c r="AS301" s="19"/>
      <c r="AT301" s="65" t="str">
        <f t="shared" si="74"/>
        <v>N</v>
      </c>
      <c r="AU301" s="65" t="str">
        <f t="shared" si="78"/>
        <v>N</v>
      </c>
      <c r="AV301" s="65" t="str">
        <f t="shared" si="85"/>
        <v>N</v>
      </c>
      <c r="AW301" s="99" t="s">
        <v>1465</v>
      </c>
      <c r="AX301" s="99"/>
      <c r="AY301" s="93"/>
      <c r="AZ301" s="96" t="str">
        <f t="shared" si="79"/>
        <v>n</v>
      </c>
      <c r="BA301" s="96" t="str">
        <f>IF(AZ301="n","n",VLOOKUP(AZ301,'Conversion factors'!$C$4:$D$24,2,FALSE))</f>
        <v>n</v>
      </c>
      <c r="BB301" s="96" t="str">
        <f t="shared" si="80"/>
        <v>n</v>
      </c>
      <c r="BC301" s="97"/>
      <c r="BD301" s="96" t="str">
        <f t="shared" si="75"/>
        <v>n</v>
      </c>
      <c r="BE301" s="96" t="str">
        <f t="shared" si="81"/>
        <v>n</v>
      </c>
      <c r="BF301" s="98" t="str">
        <f t="shared" si="77"/>
        <v/>
      </c>
      <c r="BG301" s="96" t="str">
        <f>IF(BF301="","",IF(ISNUMBER(VLOOKUP(BF301,'Conversion factors'!$B$35:$C$52,2,FALSE)),"y","n"))</f>
        <v/>
      </c>
      <c r="BH301" s="99" t="s">
        <v>1506</v>
      </c>
      <c r="BI301" s="100"/>
      <c r="BJ301" s="100"/>
    </row>
    <row r="302" spans="1:62" s="103" customFormat="1" ht="15.75" customHeight="1" x14ac:dyDescent="0.2">
      <c r="A302" s="18"/>
      <c r="B302" s="19">
        <v>311</v>
      </c>
      <c r="C302" s="19"/>
      <c r="D302" s="19">
        <v>116817</v>
      </c>
      <c r="E302" s="19" t="s">
        <v>1224</v>
      </c>
      <c r="F302" s="93">
        <v>1998</v>
      </c>
      <c r="G302" s="19" t="s">
        <v>1075</v>
      </c>
      <c r="H302" s="19"/>
      <c r="I302" s="19" t="s">
        <v>41</v>
      </c>
      <c r="J302" s="19" t="s">
        <v>1077</v>
      </c>
      <c r="K302" s="19" t="s">
        <v>161</v>
      </c>
      <c r="L302" s="19" t="s">
        <v>82</v>
      </c>
      <c r="M302" s="19" t="s">
        <v>82</v>
      </c>
      <c r="N302" s="19" t="s">
        <v>66</v>
      </c>
      <c r="O302" s="19" t="s">
        <v>227</v>
      </c>
      <c r="P302" s="19" t="s">
        <v>51</v>
      </c>
      <c r="Q302" s="19"/>
      <c r="R302" s="19" t="s">
        <v>76</v>
      </c>
      <c r="S302" s="19" t="s">
        <v>1078</v>
      </c>
      <c r="T302" s="19" t="s">
        <v>44</v>
      </c>
      <c r="U302" s="19" t="s">
        <v>44</v>
      </c>
      <c r="V302" s="19" t="s">
        <v>85</v>
      </c>
      <c r="W302" s="19" t="s">
        <v>231</v>
      </c>
      <c r="X302" s="19" t="s">
        <v>46</v>
      </c>
      <c r="Y302" s="29"/>
      <c r="Z302" s="19"/>
      <c r="AA302" s="19"/>
      <c r="AB302" s="19">
        <v>300</v>
      </c>
      <c r="AC302" s="19" t="s">
        <v>214</v>
      </c>
      <c r="AD302" s="19"/>
      <c r="AE302" s="19">
        <v>20</v>
      </c>
      <c r="AF302" s="19">
        <v>20</v>
      </c>
      <c r="AG302" s="19" t="s">
        <v>270</v>
      </c>
      <c r="AH302" s="19"/>
      <c r="AI302" s="19"/>
      <c r="AJ302" s="19" t="s">
        <v>1503</v>
      </c>
      <c r="AK302" s="19" t="s">
        <v>234</v>
      </c>
      <c r="AL302" s="19"/>
      <c r="AM302" s="19" t="s">
        <v>234</v>
      </c>
      <c r="AN302" s="19" t="s">
        <v>234</v>
      </c>
      <c r="AO302" s="19" t="s">
        <v>235</v>
      </c>
      <c r="AP302" s="94"/>
      <c r="AQ302" s="19" t="s">
        <v>101</v>
      </c>
      <c r="AR302" s="19" t="s">
        <v>1079</v>
      </c>
      <c r="AS302" s="19"/>
      <c r="AT302" s="65" t="str">
        <f t="shared" si="74"/>
        <v>Y</v>
      </c>
      <c r="AU302" s="65" t="str">
        <f t="shared" si="78"/>
        <v>N</v>
      </c>
      <c r="AV302" s="65" t="s">
        <v>162</v>
      </c>
      <c r="AW302" s="99" t="s">
        <v>1489</v>
      </c>
      <c r="AX302" s="99"/>
      <c r="AY302" s="19"/>
      <c r="AZ302" s="96" t="str">
        <f t="shared" si="79"/>
        <v>n</v>
      </c>
      <c r="BA302" s="96" t="str">
        <f>IF(AZ302="n","n",VLOOKUP(AZ302,'Conversion factors'!$C$4:$D$24,2,FALSE))</f>
        <v>n</v>
      </c>
      <c r="BB302" s="96" t="str">
        <f t="shared" si="80"/>
        <v>n</v>
      </c>
      <c r="BC302" s="97"/>
      <c r="BD302" s="96" t="str">
        <f t="shared" si="75"/>
        <v>n</v>
      </c>
      <c r="BE302" s="96" t="str">
        <f t="shared" si="81"/>
        <v>n</v>
      </c>
      <c r="BF302" s="98" t="str">
        <f t="shared" si="77"/>
        <v/>
      </c>
      <c r="BG302" s="96" t="str">
        <f>IF(BF302="","",IF(ISNUMBER(VLOOKUP(BF302,'Conversion factors'!$B$35:$C$52,2,FALSE)),"y","n"))</f>
        <v/>
      </c>
      <c r="BH302" s="99" t="s">
        <v>1506</v>
      </c>
    </row>
    <row r="303" spans="1:62" s="103" customFormat="1" ht="15.75" customHeight="1" x14ac:dyDescent="0.2">
      <c r="A303" s="18"/>
      <c r="B303" s="107">
        <v>109</v>
      </c>
      <c r="C303" s="36">
        <v>202027</v>
      </c>
      <c r="D303" s="36">
        <v>2027</v>
      </c>
      <c r="E303" s="93" t="s">
        <v>1324</v>
      </c>
      <c r="F303" s="93">
        <v>1978</v>
      </c>
      <c r="G303" s="19" t="s">
        <v>1611</v>
      </c>
      <c r="H303" s="19" t="s">
        <v>162</v>
      </c>
      <c r="I303" s="19" t="s">
        <v>41</v>
      </c>
      <c r="J303" s="19" t="s">
        <v>93</v>
      </c>
      <c r="K303" s="19" t="s">
        <v>161</v>
      </c>
      <c r="L303" s="19" t="s">
        <v>82</v>
      </c>
      <c r="M303" s="19" t="s">
        <v>82</v>
      </c>
      <c r="N303" s="19" t="s">
        <v>66</v>
      </c>
      <c r="O303" s="19" t="s">
        <v>171</v>
      </c>
      <c r="P303" s="19" t="s">
        <v>51</v>
      </c>
      <c r="Q303" s="19"/>
      <c r="R303" s="19" t="s">
        <v>156</v>
      </c>
      <c r="S303" s="19" t="s">
        <v>156</v>
      </c>
      <c r="T303" s="19" t="s">
        <v>56</v>
      </c>
      <c r="U303" s="19" t="s">
        <v>44</v>
      </c>
      <c r="V303" s="93">
        <v>8.33</v>
      </c>
      <c r="W303" s="93" t="s">
        <v>45</v>
      </c>
      <c r="X303" s="19" t="s">
        <v>46</v>
      </c>
      <c r="Y303" s="29"/>
      <c r="Z303" s="93"/>
      <c r="AA303" s="93"/>
      <c r="AB303" s="93" t="s">
        <v>175</v>
      </c>
      <c r="AC303" s="19" t="s">
        <v>214</v>
      </c>
      <c r="AD303" s="93"/>
      <c r="AE303" s="19">
        <v>23</v>
      </c>
      <c r="AF303" s="19">
        <v>23</v>
      </c>
      <c r="AG303" s="19"/>
      <c r="AH303" s="19"/>
      <c r="AI303" s="19"/>
      <c r="AJ303" s="19">
        <f>MEDIAN(7.3,7.5)</f>
        <v>7.4</v>
      </c>
      <c r="AK303" s="19" t="s">
        <v>177</v>
      </c>
      <c r="AL303" s="19"/>
      <c r="AM303" s="19" t="s">
        <v>48</v>
      </c>
      <c r="AN303" s="19">
        <v>22</v>
      </c>
      <c r="AO303" s="19"/>
      <c r="AP303" s="94"/>
      <c r="AQ303" s="19" t="s">
        <v>92</v>
      </c>
      <c r="AR303" s="108" t="s">
        <v>200</v>
      </c>
      <c r="AS303" s="19"/>
      <c r="AT303" s="65" t="str">
        <f t="shared" si="74"/>
        <v>N</v>
      </c>
      <c r="AU303" s="65" t="str">
        <f t="shared" si="78"/>
        <v>N</v>
      </c>
      <c r="AV303" s="65" t="str">
        <f t="shared" ref="AV303:AV306" si="86">AU303</f>
        <v>N</v>
      </c>
      <c r="AW303" s="99" t="s">
        <v>1465</v>
      </c>
      <c r="AX303" s="99"/>
      <c r="AY303" s="93"/>
      <c r="AZ303" s="96" t="str">
        <f t="shared" si="79"/>
        <v>n</v>
      </c>
      <c r="BA303" s="96" t="str">
        <f>IF(AZ303="n","n",VLOOKUP(AZ303,'Conversion factors'!$C$4:$D$24,2,FALSE))</f>
        <v>n</v>
      </c>
      <c r="BB303" s="96" t="str">
        <f t="shared" si="80"/>
        <v>n</v>
      </c>
      <c r="BC303" s="97"/>
      <c r="BD303" s="96" t="str">
        <f t="shared" si="75"/>
        <v>n</v>
      </c>
      <c r="BE303" s="96" t="str">
        <f t="shared" si="81"/>
        <v>n</v>
      </c>
      <c r="BF303" s="98" t="str">
        <f t="shared" si="77"/>
        <v/>
      </c>
      <c r="BG303" s="96" t="str">
        <f>IF(BF303="","",IF(ISNUMBER(VLOOKUP(BF303,'Conversion factors'!$B$35:$C$52,2,FALSE)),"y","n"))</f>
        <v/>
      </c>
      <c r="BH303" s="99" t="s">
        <v>1466</v>
      </c>
    </row>
    <row r="304" spans="1:62" s="103" customFormat="1" ht="15.75" customHeight="1" x14ac:dyDescent="0.2">
      <c r="A304" s="18"/>
      <c r="B304" s="107">
        <v>109</v>
      </c>
      <c r="C304" s="36">
        <v>202027</v>
      </c>
      <c r="D304" s="36">
        <v>2027</v>
      </c>
      <c r="E304" s="93" t="s">
        <v>1324</v>
      </c>
      <c r="F304" s="93">
        <v>1978</v>
      </c>
      <c r="G304" s="19" t="s">
        <v>1611</v>
      </c>
      <c r="H304" s="19" t="s">
        <v>162</v>
      </c>
      <c r="I304" s="19" t="s">
        <v>41</v>
      </c>
      <c r="J304" s="19" t="s">
        <v>93</v>
      </c>
      <c r="K304" s="19" t="s">
        <v>161</v>
      </c>
      <c r="L304" s="19" t="s">
        <v>82</v>
      </c>
      <c r="M304" s="19" t="s">
        <v>82</v>
      </c>
      <c r="N304" s="19" t="s">
        <v>66</v>
      </c>
      <c r="O304" s="19" t="s">
        <v>171</v>
      </c>
      <c r="P304" s="19" t="s">
        <v>51</v>
      </c>
      <c r="Q304" s="19"/>
      <c r="R304" s="19" t="s">
        <v>156</v>
      </c>
      <c r="S304" s="19" t="s">
        <v>156</v>
      </c>
      <c r="T304" s="19" t="s">
        <v>174</v>
      </c>
      <c r="U304" s="19" t="s">
        <v>49</v>
      </c>
      <c r="V304" s="93">
        <v>8.33</v>
      </c>
      <c r="W304" s="93" t="s">
        <v>45</v>
      </c>
      <c r="X304" s="19" t="s">
        <v>46</v>
      </c>
      <c r="Y304" s="29"/>
      <c r="Z304" s="93"/>
      <c r="AA304" s="93"/>
      <c r="AB304" s="93" t="s">
        <v>176</v>
      </c>
      <c r="AC304" s="19" t="s">
        <v>214</v>
      </c>
      <c r="AD304" s="93"/>
      <c r="AE304" s="19">
        <v>23</v>
      </c>
      <c r="AF304" s="19">
        <v>23</v>
      </c>
      <c r="AG304" s="19"/>
      <c r="AH304" s="19"/>
      <c r="AI304" s="19"/>
      <c r="AJ304" s="19">
        <f>MEDIAN(7.3,7.5)</f>
        <v>7.4</v>
      </c>
      <c r="AK304" s="19" t="s">
        <v>177</v>
      </c>
      <c r="AL304" s="19"/>
      <c r="AM304" s="19" t="s">
        <v>48</v>
      </c>
      <c r="AN304" s="19">
        <v>22</v>
      </c>
      <c r="AO304" s="19"/>
      <c r="AP304" s="94"/>
      <c r="AQ304" s="19" t="s">
        <v>92</v>
      </c>
      <c r="AR304" s="108" t="s">
        <v>200</v>
      </c>
      <c r="AS304" s="19"/>
      <c r="AT304" s="65" t="str">
        <f t="shared" si="74"/>
        <v>N</v>
      </c>
      <c r="AU304" s="65" t="str">
        <f t="shared" si="78"/>
        <v>N</v>
      </c>
      <c r="AV304" s="65" t="str">
        <f t="shared" si="86"/>
        <v>N</v>
      </c>
      <c r="AW304" s="99" t="s">
        <v>1465</v>
      </c>
      <c r="AX304" s="99"/>
      <c r="AY304" s="93"/>
      <c r="AZ304" s="96" t="str">
        <f t="shared" si="79"/>
        <v>n</v>
      </c>
      <c r="BA304" s="96" t="str">
        <f>IF(AZ304="n","n",VLOOKUP(AZ304,'Conversion factors'!$C$4:$D$24,2,FALSE))</f>
        <v>n</v>
      </c>
      <c r="BB304" s="96" t="str">
        <f t="shared" si="80"/>
        <v>n</v>
      </c>
      <c r="BC304" s="97"/>
      <c r="BD304" s="96" t="str">
        <f t="shared" si="75"/>
        <v>n</v>
      </c>
      <c r="BE304" s="96" t="str">
        <f t="shared" si="81"/>
        <v>n</v>
      </c>
      <c r="BF304" s="98" t="str">
        <f t="shared" si="77"/>
        <v/>
      </c>
      <c r="BG304" s="96" t="str">
        <f>IF(BF304="","",IF(ISNUMBER(VLOOKUP(BF304,'Conversion factors'!$B$35:$C$52,2,FALSE)),"y","n"))</f>
        <v/>
      </c>
      <c r="BH304" s="99"/>
    </row>
    <row r="305" spans="1:60" s="103" customFormat="1" ht="15.75" customHeight="1" x14ac:dyDescent="0.2">
      <c r="A305" s="18"/>
      <c r="B305" s="107">
        <v>109</v>
      </c>
      <c r="C305" s="36">
        <v>202027</v>
      </c>
      <c r="D305" s="36">
        <v>2027</v>
      </c>
      <c r="E305" s="93" t="s">
        <v>1324</v>
      </c>
      <c r="F305" s="93">
        <v>1978</v>
      </c>
      <c r="G305" s="19" t="s">
        <v>1611</v>
      </c>
      <c r="H305" s="19" t="s">
        <v>162</v>
      </c>
      <c r="I305" s="19" t="s">
        <v>41</v>
      </c>
      <c r="J305" s="19" t="s">
        <v>93</v>
      </c>
      <c r="K305" s="19" t="s">
        <v>161</v>
      </c>
      <c r="L305" s="19" t="s">
        <v>82</v>
      </c>
      <c r="M305" s="19" t="s">
        <v>82</v>
      </c>
      <c r="N305" s="19" t="s">
        <v>66</v>
      </c>
      <c r="O305" s="19" t="s">
        <v>172</v>
      </c>
      <c r="P305" s="19" t="s">
        <v>51</v>
      </c>
      <c r="Q305" s="19"/>
      <c r="R305" s="19" t="s">
        <v>156</v>
      </c>
      <c r="S305" s="19" t="s">
        <v>156</v>
      </c>
      <c r="T305" s="19" t="s">
        <v>56</v>
      </c>
      <c r="U305" s="19" t="s">
        <v>44</v>
      </c>
      <c r="V305" s="93">
        <v>8.33</v>
      </c>
      <c r="W305" s="93" t="s">
        <v>45</v>
      </c>
      <c r="X305" s="19" t="s">
        <v>46</v>
      </c>
      <c r="Y305" s="29"/>
      <c r="Z305" s="93"/>
      <c r="AA305" s="93"/>
      <c r="AB305" s="93">
        <v>97</v>
      </c>
      <c r="AC305" s="19" t="s">
        <v>214</v>
      </c>
      <c r="AD305" s="93"/>
      <c r="AE305" s="19">
        <v>23</v>
      </c>
      <c r="AF305" s="19">
        <v>23</v>
      </c>
      <c r="AG305" s="19"/>
      <c r="AH305" s="19"/>
      <c r="AI305" s="19"/>
      <c r="AJ305" s="19">
        <f>MEDIAN(7.3,7.5)</f>
        <v>7.4</v>
      </c>
      <c r="AK305" s="19" t="s">
        <v>177</v>
      </c>
      <c r="AL305" s="19"/>
      <c r="AM305" s="19" t="s">
        <v>48</v>
      </c>
      <c r="AN305" s="19">
        <v>22</v>
      </c>
      <c r="AO305" s="19"/>
      <c r="AP305" s="94"/>
      <c r="AQ305" s="19" t="s">
        <v>92</v>
      </c>
      <c r="AR305" s="108" t="s">
        <v>200</v>
      </c>
      <c r="AS305" s="19"/>
      <c r="AT305" s="65" t="str">
        <f t="shared" si="74"/>
        <v>N</v>
      </c>
      <c r="AU305" s="65" t="str">
        <f t="shared" si="78"/>
        <v>N</v>
      </c>
      <c r="AV305" s="65" t="str">
        <f t="shared" si="86"/>
        <v>N</v>
      </c>
      <c r="AW305" s="99" t="s">
        <v>1465</v>
      </c>
      <c r="AX305" s="99"/>
      <c r="AY305" s="93"/>
      <c r="AZ305" s="96" t="str">
        <f t="shared" si="79"/>
        <v>n</v>
      </c>
      <c r="BA305" s="96" t="str">
        <f>IF(AZ305="n","n",VLOOKUP(AZ305,'Conversion factors'!$C$4:$D$24,2,FALSE))</f>
        <v>n</v>
      </c>
      <c r="BB305" s="96" t="str">
        <f t="shared" si="80"/>
        <v>n</v>
      </c>
      <c r="BC305" s="97"/>
      <c r="BD305" s="96" t="str">
        <f t="shared" si="75"/>
        <v>n</v>
      </c>
      <c r="BE305" s="96" t="str">
        <f t="shared" si="81"/>
        <v>n</v>
      </c>
      <c r="BF305" s="98" t="str">
        <f t="shared" si="77"/>
        <v/>
      </c>
      <c r="BG305" s="96" t="str">
        <f>IF(BF305="","",IF(ISNUMBER(VLOOKUP(BF305,'Conversion factors'!$B$35:$C$52,2,FALSE)),"y","n"))</f>
        <v/>
      </c>
      <c r="BH305" s="99" t="s">
        <v>1466</v>
      </c>
    </row>
    <row r="306" spans="1:60" s="103" customFormat="1" ht="15.75" customHeight="1" x14ac:dyDescent="0.2">
      <c r="A306" s="18"/>
      <c r="B306" s="107">
        <v>109</v>
      </c>
      <c r="C306" s="36">
        <v>202027</v>
      </c>
      <c r="D306" s="36">
        <v>2027</v>
      </c>
      <c r="E306" s="93" t="s">
        <v>1324</v>
      </c>
      <c r="F306" s="93">
        <v>1978</v>
      </c>
      <c r="G306" s="19" t="s">
        <v>1611</v>
      </c>
      <c r="H306" s="19" t="s">
        <v>162</v>
      </c>
      <c r="I306" s="19" t="s">
        <v>41</v>
      </c>
      <c r="J306" s="19" t="s">
        <v>93</v>
      </c>
      <c r="K306" s="19" t="s">
        <v>161</v>
      </c>
      <c r="L306" s="19" t="s">
        <v>82</v>
      </c>
      <c r="M306" s="19" t="s">
        <v>82</v>
      </c>
      <c r="N306" s="19" t="s">
        <v>66</v>
      </c>
      <c r="O306" s="19" t="s">
        <v>172</v>
      </c>
      <c r="P306" s="19" t="s">
        <v>51</v>
      </c>
      <c r="Q306" s="19"/>
      <c r="R306" s="19" t="s">
        <v>156</v>
      </c>
      <c r="S306" s="19" t="s">
        <v>156</v>
      </c>
      <c r="T306" s="19" t="s">
        <v>174</v>
      </c>
      <c r="U306" s="19" t="s">
        <v>49</v>
      </c>
      <c r="V306" s="93">
        <v>8.33</v>
      </c>
      <c r="W306" s="93" t="s">
        <v>45</v>
      </c>
      <c r="X306" s="19" t="s">
        <v>46</v>
      </c>
      <c r="Y306" s="29"/>
      <c r="Z306" s="93"/>
      <c r="AA306" s="93"/>
      <c r="AB306" s="93">
        <v>68</v>
      </c>
      <c r="AC306" s="19" t="s">
        <v>214</v>
      </c>
      <c r="AD306" s="93"/>
      <c r="AE306" s="19">
        <v>23</v>
      </c>
      <c r="AF306" s="19">
        <v>23</v>
      </c>
      <c r="AG306" s="19"/>
      <c r="AH306" s="19"/>
      <c r="AI306" s="19"/>
      <c r="AJ306" s="19">
        <f>MEDIAN(7.3,7.5)</f>
        <v>7.4</v>
      </c>
      <c r="AK306" s="19" t="s">
        <v>177</v>
      </c>
      <c r="AL306" s="19"/>
      <c r="AM306" s="19" t="s">
        <v>48</v>
      </c>
      <c r="AN306" s="19">
        <v>22</v>
      </c>
      <c r="AO306" s="19"/>
      <c r="AP306" s="94"/>
      <c r="AQ306" s="19" t="s">
        <v>92</v>
      </c>
      <c r="AR306" s="108" t="s">
        <v>200</v>
      </c>
      <c r="AS306" s="19"/>
      <c r="AT306" s="65" t="str">
        <f t="shared" si="74"/>
        <v>N</v>
      </c>
      <c r="AU306" s="65" t="str">
        <f t="shared" si="78"/>
        <v>N</v>
      </c>
      <c r="AV306" s="65" t="str">
        <f t="shared" si="86"/>
        <v>N</v>
      </c>
      <c r="AW306" s="99" t="s">
        <v>1465</v>
      </c>
      <c r="AX306" s="99"/>
      <c r="AY306" s="93"/>
      <c r="AZ306" s="96" t="str">
        <f t="shared" si="79"/>
        <v>n</v>
      </c>
      <c r="BA306" s="96" t="str">
        <f>IF(AZ306="n","n",VLOOKUP(AZ306,'Conversion factors'!$C$4:$D$24,2,FALSE))</f>
        <v>n</v>
      </c>
      <c r="BB306" s="96" t="str">
        <f t="shared" si="80"/>
        <v>n</v>
      </c>
      <c r="BC306" s="97"/>
      <c r="BD306" s="96" t="str">
        <f t="shared" si="75"/>
        <v>n</v>
      </c>
      <c r="BE306" s="96" t="str">
        <f t="shared" si="81"/>
        <v>n</v>
      </c>
      <c r="BF306" s="98" t="str">
        <f t="shared" si="77"/>
        <v/>
      </c>
      <c r="BG306" s="96" t="str">
        <f>IF(BF306="","",IF(ISNUMBER(VLOOKUP(BF306,'Conversion factors'!$B$35:$C$52,2,FALSE)),"y","n"))</f>
        <v/>
      </c>
      <c r="BH306" s="99"/>
    </row>
    <row r="307" spans="1:60" s="103" customFormat="1" ht="15.75" customHeight="1" x14ac:dyDescent="0.2">
      <c r="A307" s="18"/>
      <c r="B307" s="19">
        <v>303</v>
      </c>
      <c r="C307" s="19"/>
      <c r="D307" s="19">
        <v>112714</v>
      </c>
      <c r="E307" s="19" t="s">
        <v>1224</v>
      </c>
      <c r="F307" s="93">
        <v>2009</v>
      </c>
      <c r="G307" s="19" t="s">
        <v>1006</v>
      </c>
      <c r="H307" s="19"/>
      <c r="I307" s="19" t="s">
        <v>41</v>
      </c>
      <c r="J307" s="19" t="s">
        <v>455</v>
      </c>
      <c r="K307" s="19" t="s">
        <v>161</v>
      </c>
      <c r="L307" s="19" t="s">
        <v>82</v>
      </c>
      <c r="M307" s="19" t="s">
        <v>82</v>
      </c>
      <c r="N307" s="19" t="s">
        <v>66</v>
      </c>
      <c r="O307" s="19" t="s">
        <v>235</v>
      </c>
      <c r="P307" s="19" t="s">
        <v>1396</v>
      </c>
      <c r="Q307" s="19"/>
      <c r="R307" s="19" t="s">
        <v>81</v>
      </c>
      <c r="S307" s="19" t="s">
        <v>402</v>
      </c>
      <c r="T307" s="19" t="s">
        <v>54</v>
      </c>
      <c r="U307" s="19" t="s">
        <v>54</v>
      </c>
      <c r="V307" s="19" t="s">
        <v>78</v>
      </c>
      <c r="W307" s="19" t="s">
        <v>231</v>
      </c>
      <c r="X307" s="19" t="s">
        <v>46</v>
      </c>
      <c r="Y307" s="29"/>
      <c r="Z307" s="19"/>
      <c r="AA307" s="19"/>
      <c r="AB307" s="19" t="s">
        <v>342</v>
      </c>
      <c r="AC307" s="19" t="s">
        <v>1322</v>
      </c>
      <c r="AD307" s="19"/>
      <c r="AE307" s="19">
        <v>340</v>
      </c>
      <c r="AF307" s="19">
        <v>340</v>
      </c>
      <c r="AG307" s="19" t="s">
        <v>270</v>
      </c>
      <c r="AH307" s="19"/>
      <c r="AI307" s="19"/>
      <c r="AJ307" s="19">
        <v>8.32</v>
      </c>
      <c r="AK307" s="19" t="s">
        <v>1048</v>
      </c>
      <c r="AL307" s="19"/>
      <c r="AM307" s="19" t="s">
        <v>234</v>
      </c>
      <c r="AN307" s="19" t="s">
        <v>1049</v>
      </c>
      <c r="AO307" s="19" t="s">
        <v>270</v>
      </c>
      <c r="AP307" s="94"/>
      <c r="AQ307" s="19" t="s">
        <v>234</v>
      </c>
      <c r="AR307" s="19" t="s">
        <v>1050</v>
      </c>
      <c r="AS307" s="19"/>
      <c r="AT307" s="65" t="str">
        <f t="shared" si="74"/>
        <v>N</v>
      </c>
      <c r="AU307" s="65" t="str">
        <f t="shared" si="78"/>
        <v>N</v>
      </c>
      <c r="AV307" s="65" t="s">
        <v>162</v>
      </c>
      <c r="AW307" s="99" t="s">
        <v>1405</v>
      </c>
      <c r="AX307" s="99"/>
      <c r="AY307" s="19"/>
      <c r="AZ307" s="96" t="str">
        <f t="shared" si="79"/>
        <v>n</v>
      </c>
      <c r="BA307" s="96" t="str">
        <f>IF(AZ307="n","n",VLOOKUP(AZ307,'Conversion factors'!$C$4:$D$24,2,FALSE))</f>
        <v>n</v>
      </c>
      <c r="BB307" s="96" t="str">
        <f t="shared" si="80"/>
        <v>n</v>
      </c>
      <c r="BC307" s="97"/>
      <c r="BD307" s="96" t="str">
        <f t="shared" si="75"/>
        <v>n</v>
      </c>
      <c r="BE307" s="96" t="str">
        <f t="shared" si="81"/>
        <v>n</v>
      </c>
      <c r="BF307" s="98" t="str">
        <f t="shared" si="77"/>
        <v/>
      </c>
      <c r="BG307" s="96" t="str">
        <f>IF(BF307="","",IF(ISNUMBER(VLOOKUP(BF307,'Conversion factors'!$B$35:$C$52,2,FALSE)),"y","n"))</f>
        <v/>
      </c>
      <c r="BH307" s="99"/>
    </row>
    <row r="308" spans="1:60" s="103" customFormat="1" ht="15.75" customHeight="1" x14ac:dyDescent="0.2">
      <c r="A308" s="18"/>
      <c r="B308" s="19">
        <v>303</v>
      </c>
      <c r="C308" s="19"/>
      <c r="D308" s="19">
        <v>112714</v>
      </c>
      <c r="E308" s="19" t="s">
        <v>1224</v>
      </c>
      <c r="F308" s="93">
        <v>2009</v>
      </c>
      <c r="G308" s="19" t="s">
        <v>1006</v>
      </c>
      <c r="H308" s="19"/>
      <c r="I308" s="19" t="s">
        <v>41</v>
      </c>
      <c r="J308" s="19" t="s">
        <v>455</v>
      </c>
      <c r="K308" s="19" t="s">
        <v>161</v>
      </c>
      <c r="L308" s="19" t="s">
        <v>82</v>
      </c>
      <c r="M308" s="19" t="s">
        <v>82</v>
      </c>
      <c r="N308" s="19" t="s">
        <v>66</v>
      </c>
      <c r="O308" s="19" t="s">
        <v>235</v>
      </c>
      <c r="P308" s="19" t="s">
        <v>1396</v>
      </c>
      <c r="Q308" s="19"/>
      <c r="R308" s="19" t="s">
        <v>81</v>
      </c>
      <c r="S308" s="19" t="s">
        <v>483</v>
      </c>
      <c r="T308" s="19" t="s">
        <v>54</v>
      </c>
      <c r="U308" s="19" t="s">
        <v>54</v>
      </c>
      <c r="V308" s="19" t="s">
        <v>78</v>
      </c>
      <c r="W308" s="19" t="s">
        <v>231</v>
      </c>
      <c r="X308" s="19" t="s">
        <v>46</v>
      </c>
      <c r="Y308" s="29"/>
      <c r="Z308" s="19"/>
      <c r="AA308" s="19"/>
      <c r="AB308" s="19" t="s">
        <v>342</v>
      </c>
      <c r="AC308" s="19" t="s">
        <v>1322</v>
      </c>
      <c r="AD308" s="19"/>
      <c r="AE308" s="19">
        <v>340</v>
      </c>
      <c r="AF308" s="19">
        <v>340</v>
      </c>
      <c r="AG308" s="19" t="s">
        <v>270</v>
      </c>
      <c r="AH308" s="19"/>
      <c r="AI308" s="19"/>
      <c r="AJ308" s="19">
        <v>8.32</v>
      </c>
      <c r="AK308" s="19" t="s">
        <v>1048</v>
      </c>
      <c r="AL308" s="19"/>
      <c r="AM308" s="19" t="s">
        <v>234</v>
      </c>
      <c r="AN308" s="19" t="s">
        <v>1049</v>
      </c>
      <c r="AO308" s="19" t="s">
        <v>270</v>
      </c>
      <c r="AP308" s="94"/>
      <c r="AQ308" s="19" t="s">
        <v>234</v>
      </c>
      <c r="AR308" s="19" t="s">
        <v>1050</v>
      </c>
      <c r="AS308" s="19"/>
      <c r="AT308" s="65" t="str">
        <f t="shared" si="74"/>
        <v>N</v>
      </c>
      <c r="AU308" s="65" t="str">
        <f t="shared" si="78"/>
        <v>N</v>
      </c>
      <c r="AV308" s="65" t="s">
        <v>162</v>
      </c>
      <c r="AW308" s="99" t="s">
        <v>1405</v>
      </c>
      <c r="AX308" s="99"/>
      <c r="AY308" s="19"/>
      <c r="AZ308" s="96" t="str">
        <f t="shared" si="79"/>
        <v>n</v>
      </c>
      <c r="BA308" s="96" t="str">
        <f>IF(AZ308="n","n",VLOOKUP(AZ308,'Conversion factors'!$C$4:$D$24,2,FALSE))</f>
        <v>n</v>
      </c>
      <c r="BB308" s="96" t="str">
        <f t="shared" si="80"/>
        <v>n</v>
      </c>
      <c r="BC308" s="97"/>
      <c r="BD308" s="96" t="str">
        <f t="shared" si="75"/>
        <v>n</v>
      </c>
      <c r="BE308" s="96" t="str">
        <f t="shared" si="81"/>
        <v>n</v>
      </c>
      <c r="BF308" s="98" t="str">
        <f t="shared" si="77"/>
        <v/>
      </c>
      <c r="BG308" s="96" t="str">
        <f>IF(BF308="","",IF(ISNUMBER(VLOOKUP(BF308,'Conversion factors'!$B$35:$C$52,2,FALSE)),"y","n"))</f>
        <v/>
      </c>
      <c r="BH308" s="99"/>
    </row>
    <row r="309" spans="1:60" s="103" customFormat="1" ht="15.75" customHeight="1" x14ac:dyDescent="0.2">
      <c r="A309" s="18"/>
      <c r="B309" s="19">
        <v>136</v>
      </c>
      <c r="C309" s="36"/>
      <c r="D309" s="36"/>
      <c r="E309" s="93" t="s">
        <v>1235</v>
      </c>
      <c r="F309" s="93">
        <v>1974</v>
      </c>
      <c r="G309" s="19" t="s">
        <v>1225</v>
      </c>
      <c r="H309" s="19"/>
      <c r="I309" s="19" t="s">
        <v>41</v>
      </c>
      <c r="J309" s="19" t="s">
        <v>1236</v>
      </c>
      <c r="K309" s="19" t="s">
        <v>161</v>
      </c>
      <c r="L309" s="19" t="s">
        <v>82</v>
      </c>
      <c r="M309" s="19" t="s">
        <v>82</v>
      </c>
      <c r="N309" s="19" t="s">
        <v>66</v>
      </c>
      <c r="O309" s="19" t="s">
        <v>1330</v>
      </c>
      <c r="P309" s="19" t="s">
        <v>162</v>
      </c>
      <c r="Q309" s="19"/>
      <c r="R309" s="19" t="s">
        <v>156</v>
      </c>
      <c r="S309" s="19" t="s">
        <v>156</v>
      </c>
      <c r="T309" s="19" t="s">
        <v>54</v>
      </c>
      <c r="U309" s="19" t="s">
        <v>54</v>
      </c>
      <c r="V309" s="93">
        <v>46</v>
      </c>
      <c r="W309" s="93" t="s">
        <v>45</v>
      </c>
      <c r="X309" s="19" t="s">
        <v>46</v>
      </c>
      <c r="Y309" s="29"/>
      <c r="Z309" s="93"/>
      <c r="AA309" s="93"/>
      <c r="AB309" s="93">
        <v>20</v>
      </c>
      <c r="AC309" s="19" t="s">
        <v>214</v>
      </c>
      <c r="AD309" s="93"/>
      <c r="AE309" s="19">
        <v>71</v>
      </c>
      <c r="AF309" s="19" t="s">
        <v>1333</v>
      </c>
      <c r="AG309" s="19"/>
      <c r="AH309" s="19"/>
      <c r="AI309" s="19"/>
      <c r="AJ309" s="19">
        <v>7.6</v>
      </c>
      <c r="AK309" s="19" t="s">
        <v>1331</v>
      </c>
      <c r="AL309" s="19"/>
      <c r="AM309" s="19"/>
      <c r="AN309" s="19" t="s">
        <v>1332</v>
      </c>
      <c r="AO309" s="19"/>
      <c r="AP309" s="94"/>
      <c r="AQ309" s="19"/>
      <c r="AR309" s="19" t="s">
        <v>1334</v>
      </c>
      <c r="AS309" s="19"/>
      <c r="AT309" s="65" t="str">
        <f t="shared" si="74"/>
        <v>N</v>
      </c>
      <c r="AU309" s="65" t="str">
        <f t="shared" si="78"/>
        <v>N</v>
      </c>
      <c r="AV309" s="65" t="str">
        <f>AU309</f>
        <v>N</v>
      </c>
      <c r="AW309" s="99"/>
      <c r="AX309" s="99"/>
      <c r="AY309" s="93"/>
      <c r="AZ309" s="96" t="str">
        <f t="shared" si="79"/>
        <v>n</v>
      </c>
      <c r="BA309" s="96" t="str">
        <f>IF(AZ309="n","n",VLOOKUP(AZ309,'Conversion factors'!$C$4:$D$24,2,FALSE))</f>
        <v>n</v>
      </c>
      <c r="BB309" s="96" t="str">
        <f t="shared" si="80"/>
        <v>n</v>
      </c>
      <c r="BC309" s="97"/>
      <c r="BD309" s="96" t="str">
        <f t="shared" si="75"/>
        <v>n</v>
      </c>
      <c r="BE309" s="96" t="str">
        <f t="shared" si="81"/>
        <v>n</v>
      </c>
      <c r="BF309" s="98" t="str">
        <f t="shared" si="77"/>
        <v/>
      </c>
      <c r="BG309" s="96" t="str">
        <f>IF(BF309="","",IF(ISNUMBER(VLOOKUP(BF309,'Conversion factors'!$B$35:$C$52,2,FALSE)),"y","n"))</f>
        <v/>
      </c>
      <c r="BH309" s="99"/>
    </row>
    <row r="310" spans="1:60" s="103" customFormat="1" ht="15.75" customHeight="1" x14ac:dyDescent="0.2">
      <c r="A310" s="18"/>
      <c r="B310" s="107">
        <v>120</v>
      </c>
      <c r="C310" s="36">
        <v>202109</v>
      </c>
      <c r="D310" s="36">
        <v>2109</v>
      </c>
      <c r="E310" s="93" t="s">
        <v>1324</v>
      </c>
      <c r="F310" s="93">
        <v>1965</v>
      </c>
      <c r="G310" s="19"/>
      <c r="H310" s="19"/>
      <c r="I310" s="19" t="s">
        <v>41</v>
      </c>
      <c r="J310" s="19" t="s">
        <v>84</v>
      </c>
      <c r="K310" s="19" t="s">
        <v>161</v>
      </c>
      <c r="L310" s="19" t="s">
        <v>82</v>
      </c>
      <c r="M310" s="19" t="s">
        <v>82</v>
      </c>
      <c r="N310" s="19" t="s">
        <v>66</v>
      </c>
      <c r="O310" s="19" t="s">
        <v>203</v>
      </c>
      <c r="P310" s="19" t="s">
        <v>162</v>
      </c>
      <c r="Q310" s="19"/>
      <c r="R310" s="19" t="s">
        <v>156</v>
      </c>
      <c r="S310" s="19" t="s">
        <v>156</v>
      </c>
      <c r="T310" s="19" t="s">
        <v>56</v>
      </c>
      <c r="U310" s="19" t="s">
        <v>44</v>
      </c>
      <c r="V310" s="93">
        <v>7</v>
      </c>
      <c r="W310" s="93" t="s">
        <v>45</v>
      </c>
      <c r="X310" s="19" t="s">
        <v>46</v>
      </c>
      <c r="Y310" s="29"/>
      <c r="Z310" s="93"/>
      <c r="AA310" s="93"/>
      <c r="AB310" s="93">
        <v>1693.7532287792103</v>
      </c>
      <c r="AC310" s="19" t="s">
        <v>214</v>
      </c>
      <c r="AD310" s="93"/>
      <c r="AE310" s="19">
        <f>(174+ 198)/2</f>
        <v>186</v>
      </c>
      <c r="AF310" s="19" t="s">
        <v>96</v>
      </c>
      <c r="AG310" s="19"/>
      <c r="AH310" s="19"/>
      <c r="AI310" s="19"/>
      <c r="AJ310" s="19">
        <f>MEDIAN(7.5,7.6)</f>
        <v>7.55</v>
      </c>
      <c r="AK310" s="19" t="s">
        <v>95</v>
      </c>
      <c r="AL310" s="19"/>
      <c r="AM310" s="19"/>
      <c r="AN310" s="19" t="s">
        <v>202</v>
      </c>
      <c r="AO310" s="19"/>
      <c r="AP310" s="94"/>
      <c r="AQ310" s="19" t="s">
        <v>97</v>
      </c>
      <c r="AR310" s="19" t="s">
        <v>201</v>
      </c>
      <c r="AS310" s="19"/>
      <c r="AT310" s="65" t="str">
        <f t="shared" si="74"/>
        <v>N</v>
      </c>
      <c r="AU310" s="65" t="str">
        <f t="shared" si="78"/>
        <v>N</v>
      </c>
      <c r="AV310" s="65" t="str">
        <f>AU310</f>
        <v>N</v>
      </c>
      <c r="AW310" s="99"/>
      <c r="AX310" s="99"/>
      <c r="AY310" s="93"/>
      <c r="AZ310" s="96" t="str">
        <f t="shared" si="79"/>
        <v>n</v>
      </c>
      <c r="BA310" s="96" t="str">
        <f>IF(AZ310="n","n",VLOOKUP(AZ310,'Conversion factors'!$C$4:$D$24,2,FALSE))</f>
        <v>n</v>
      </c>
      <c r="BB310" s="96" t="str">
        <f t="shared" si="80"/>
        <v>n</v>
      </c>
      <c r="BC310" s="97"/>
      <c r="BD310" s="96" t="str">
        <f t="shared" si="75"/>
        <v>n</v>
      </c>
      <c r="BE310" s="96" t="str">
        <f t="shared" si="81"/>
        <v>n</v>
      </c>
      <c r="BF310" s="98" t="str">
        <f t="shared" si="77"/>
        <v/>
      </c>
      <c r="BG310" s="96" t="str">
        <f>IF(BF310="","",IF(ISNUMBER(VLOOKUP(BF310,'Conversion factors'!$B$35:$C$52,2,FALSE)),"y","n"))</f>
        <v/>
      </c>
      <c r="BH310" s="99"/>
    </row>
    <row r="311" spans="1:60" s="103" customFormat="1" ht="15.75" customHeight="1" x14ac:dyDescent="0.2">
      <c r="A311" s="18"/>
      <c r="B311" s="107">
        <v>120</v>
      </c>
      <c r="C311" s="36">
        <v>202109</v>
      </c>
      <c r="D311" s="36">
        <v>2109</v>
      </c>
      <c r="E311" s="93" t="s">
        <v>1324</v>
      </c>
      <c r="F311" s="93">
        <v>1965</v>
      </c>
      <c r="G311" s="19"/>
      <c r="H311" s="19"/>
      <c r="I311" s="19" t="s">
        <v>41</v>
      </c>
      <c r="J311" s="19" t="s">
        <v>84</v>
      </c>
      <c r="K311" s="19" t="s">
        <v>161</v>
      </c>
      <c r="L311" s="19" t="s">
        <v>82</v>
      </c>
      <c r="M311" s="19" t="s">
        <v>82</v>
      </c>
      <c r="N311" s="19" t="s">
        <v>66</v>
      </c>
      <c r="O311" s="109" t="s">
        <v>172</v>
      </c>
      <c r="P311" s="19" t="s">
        <v>162</v>
      </c>
      <c r="Q311" s="19"/>
      <c r="R311" s="19" t="s">
        <v>156</v>
      </c>
      <c r="S311" s="19" t="s">
        <v>156</v>
      </c>
      <c r="T311" s="19" t="s">
        <v>56</v>
      </c>
      <c r="U311" s="19" t="s">
        <v>44</v>
      </c>
      <c r="V311" s="93">
        <v>7</v>
      </c>
      <c r="W311" s="93" t="s">
        <v>45</v>
      </c>
      <c r="X311" s="19" t="s">
        <v>46</v>
      </c>
      <c r="Y311" s="29"/>
      <c r="Z311" s="93"/>
      <c r="AA311" s="93"/>
      <c r="AB311" s="93">
        <v>870</v>
      </c>
      <c r="AC311" s="19" t="s">
        <v>214</v>
      </c>
      <c r="AD311" s="93"/>
      <c r="AE311" s="19">
        <f>(174+ 198)/2</f>
        <v>186</v>
      </c>
      <c r="AF311" s="19" t="s">
        <v>96</v>
      </c>
      <c r="AG311" s="19"/>
      <c r="AH311" s="19"/>
      <c r="AI311" s="19"/>
      <c r="AJ311" s="19">
        <f>MEDIAN(7.5,7.6)</f>
        <v>7.55</v>
      </c>
      <c r="AK311" s="19" t="s">
        <v>95</v>
      </c>
      <c r="AL311" s="19"/>
      <c r="AM311" s="19" t="s">
        <v>48</v>
      </c>
      <c r="AN311" s="19" t="s">
        <v>202</v>
      </c>
      <c r="AO311" s="19"/>
      <c r="AP311" s="94"/>
      <c r="AQ311" s="19" t="s">
        <v>97</v>
      </c>
      <c r="AR311" s="19" t="s">
        <v>201</v>
      </c>
      <c r="AS311" s="19"/>
      <c r="AT311" s="65" t="str">
        <f t="shared" si="74"/>
        <v>N</v>
      </c>
      <c r="AU311" s="65" t="str">
        <f t="shared" si="78"/>
        <v>N</v>
      </c>
      <c r="AV311" s="65" t="str">
        <f>AU311</f>
        <v>N</v>
      </c>
      <c r="AW311" s="99"/>
      <c r="AX311" s="99"/>
      <c r="AY311" s="93"/>
      <c r="AZ311" s="96" t="str">
        <f t="shared" si="79"/>
        <v>n</v>
      </c>
      <c r="BA311" s="96" t="str">
        <f>IF(AZ311="n","n",VLOOKUP(AZ311,'Conversion factors'!$C$4:$D$24,2,FALSE))</f>
        <v>n</v>
      </c>
      <c r="BB311" s="96" t="str">
        <f t="shared" si="80"/>
        <v>n</v>
      </c>
      <c r="BC311" s="97"/>
      <c r="BD311" s="96" t="str">
        <f t="shared" si="75"/>
        <v>n</v>
      </c>
      <c r="BE311" s="96" t="str">
        <f t="shared" si="81"/>
        <v>n</v>
      </c>
      <c r="BF311" s="98" t="str">
        <f t="shared" si="77"/>
        <v/>
      </c>
      <c r="BG311" s="96" t="str">
        <f>IF(BF311="","",IF(ISNUMBER(VLOOKUP(BF311,'Conversion factors'!$B$35:$C$52,2,FALSE)),"y","n"))</f>
        <v/>
      </c>
      <c r="BH311" s="99"/>
    </row>
    <row r="312" spans="1:60" s="103" customFormat="1" ht="15.75" customHeight="1" x14ac:dyDescent="0.2">
      <c r="A312" s="18"/>
      <c r="B312" s="107">
        <v>120</v>
      </c>
      <c r="C312" s="36">
        <v>202109</v>
      </c>
      <c r="D312" s="36">
        <v>2109</v>
      </c>
      <c r="E312" s="93" t="s">
        <v>1324</v>
      </c>
      <c r="F312" s="93">
        <v>1965</v>
      </c>
      <c r="G312" s="19"/>
      <c r="H312" s="19"/>
      <c r="I312" s="19" t="s">
        <v>41</v>
      </c>
      <c r="J312" s="19" t="s">
        <v>84</v>
      </c>
      <c r="K312" s="19" t="s">
        <v>161</v>
      </c>
      <c r="L312" s="19" t="s">
        <v>82</v>
      </c>
      <c r="M312" s="19" t="s">
        <v>82</v>
      </c>
      <c r="N312" s="19" t="s">
        <v>66</v>
      </c>
      <c r="O312" s="19" t="s">
        <v>203</v>
      </c>
      <c r="P312" s="19" t="s">
        <v>162</v>
      </c>
      <c r="Q312" s="19"/>
      <c r="R312" s="19" t="s">
        <v>156</v>
      </c>
      <c r="S312" s="19" t="s">
        <v>156</v>
      </c>
      <c r="T312" s="19" t="s">
        <v>56</v>
      </c>
      <c r="U312" s="19" t="s">
        <v>44</v>
      </c>
      <c r="V312" s="93">
        <v>12</v>
      </c>
      <c r="W312" s="93" t="s">
        <v>45</v>
      </c>
      <c r="X312" s="19" t="s">
        <v>46</v>
      </c>
      <c r="Y312" s="29"/>
      <c r="Z312" s="93"/>
      <c r="AA312" s="93"/>
      <c r="AB312" s="93">
        <v>1627.5771792784947</v>
      </c>
      <c r="AC312" s="19" t="s">
        <v>214</v>
      </c>
      <c r="AD312" s="93"/>
      <c r="AE312" s="19">
        <f>(174+ 198)/2</f>
        <v>186</v>
      </c>
      <c r="AF312" s="19" t="s">
        <v>96</v>
      </c>
      <c r="AG312" s="19"/>
      <c r="AH312" s="19"/>
      <c r="AI312" s="19"/>
      <c r="AJ312" s="19">
        <f>MEDIAN(7.5,7.6)</f>
        <v>7.55</v>
      </c>
      <c r="AK312" s="19" t="s">
        <v>95</v>
      </c>
      <c r="AL312" s="19"/>
      <c r="AM312" s="19" t="s">
        <v>48</v>
      </c>
      <c r="AN312" s="19" t="s">
        <v>202</v>
      </c>
      <c r="AO312" s="19"/>
      <c r="AP312" s="94"/>
      <c r="AQ312" s="19" t="s">
        <v>97</v>
      </c>
      <c r="AR312" s="19" t="s">
        <v>201</v>
      </c>
      <c r="AS312" s="19"/>
      <c r="AT312" s="65" t="str">
        <f t="shared" si="74"/>
        <v>N</v>
      </c>
      <c r="AU312" s="65" t="str">
        <f t="shared" si="78"/>
        <v>N</v>
      </c>
      <c r="AV312" s="65" t="str">
        <f>AU312</f>
        <v>N</v>
      </c>
      <c r="AW312" s="99"/>
      <c r="AX312" s="99"/>
      <c r="AY312" s="93"/>
      <c r="AZ312" s="96" t="str">
        <f t="shared" si="79"/>
        <v>n</v>
      </c>
      <c r="BA312" s="96" t="str">
        <f>IF(AZ312="n","n",VLOOKUP(AZ312,'Conversion factors'!$C$4:$D$24,2,FALSE))</f>
        <v>n</v>
      </c>
      <c r="BB312" s="96" t="str">
        <f t="shared" si="80"/>
        <v>n</v>
      </c>
      <c r="BC312" s="97"/>
      <c r="BD312" s="96" t="str">
        <f t="shared" si="75"/>
        <v>n</v>
      </c>
      <c r="BE312" s="96" t="str">
        <f t="shared" si="81"/>
        <v>n</v>
      </c>
      <c r="BF312" s="98" t="str">
        <f t="shared" si="77"/>
        <v/>
      </c>
      <c r="BG312" s="96" t="str">
        <f>IF(BF312="","",IF(ISNUMBER(VLOOKUP(BF312,'Conversion factors'!$B$35:$C$52,2,FALSE)),"y","n"))</f>
        <v/>
      </c>
      <c r="BH312" s="99"/>
    </row>
    <row r="313" spans="1:60" s="103" customFormat="1" ht="15.75" customHeight="1" x14ac:dyDescent="0.2">
      <c r="A313" s="18"/>
      <c r="B313" s="19">
        <v>121</v>
      </c>
      <c r="C313" s="19">
        <v>208695</v>
      </c>
      <c r="D313" s="19">
        <v>8695</v>
      </c>
      <c r="E313" s="19" t="s">
        <v>1224</v>
      </c>
      <c r="F313" s="93">
        <v>1990</v>
      </c>
      <c r="G313" s="19" t="s">
        <v>266</v>
      </c>
      <c r="H313" s="19"/>
      <c r="I313" s="19" t="s">
        <v>41</v>
      </c>
      <c r="J313" s="19" t="s">
        <v>84</v>
      </c>
      <c r="K313" s="19" t="s">
        <v>161</v>
      </c>
      <c r="L313" s="19" t="s">
        <v>82</v>
      </c>
      <c r="M313" s="19" t="s">
        <v>82</v>
      </c>
      <c r="N313" s="19" t="s">
        <v>66</v>
      </c>
      <c r="O313" s="19" t="s">
        <v>267</v>
      </c>
      <c r="P313" s="19" t="s">
        <v>162</v>
      </c>
      <c r="Q313" s="19"/>
      <c r="R313" s="19" t="s">
        <v>81</v>
      </c>
      <c r="S313" s="19" t="s">
        <v>268</v>
      </c>
      <c r="T313" s="19" t="s">
        <v>44</v>
      </c>
      <c r="U313" s="19" t="s">
        <v>44</v>
      </c>
      <c r="V313" s="19" t="s">
        <v>605</v>
      </c>
      <c r="W313" s="19" t="s">
        <v>231</v>
      </c>
      <c r="X313" s="19" t="s">
        <v>46</v>
      </c>
      <c r="Y313" s="29"/>
      <c r="Z313" s="19"/>
      <c r="AA313" s="19"/>
      <c r="AB313" s="19" t="s">
        <v>269</v>
      </c>
      <c r="AC313" s="19" t="s">
        <v>214</v>
      </c>
      <c r="AD313" s="19"/>
      <c r="AE313" s="19">
        <v>93.9</v>
      </c>
      <c r="AF313" s="19">
        <v>93.9</v>
      </c>
      <c r="AG313" s="19" t="s">
        <v>270</v>
      </c>
      <c r="AH313" s="19"/>
      <c r="AI313" s="19"/>
      <c r="AJ313" s="19">
        <v>8.25</v>
      </c>
      <c r="AK313" s="19" t="s">
        <v>134</v>
      </c>
      <c r="AL313" s="19"/>
      <c r="AM313" s="19" t="s">
        <v>234</v>
      </c>
      <c r="AN313" s="19" t="s">
        <v>271</v>
      </c>
      <c r="AO313" s="19" t="s">
        <v>270</v>
      </c>
      <c r="AP313" s="94"/>
      <c r="AQ313" s="19" t="s">
        <v>135</v>
      </c>
      <c r="AR313" s="19" t="s">
        <v>272</v>
      </c>
      <c r="AS313" s="19"/>
      <c r="AT313" s="65" t="str">
        <f t="shared" si="74"/>
        <v>Y</v>
      </c>
      <c r="AU313" s="65" t="str">
        <f t="shared" si="78"/>
        <v>Y</v>
      </c>
      <c r="AV313" s="65" t="s">
        <v>162</v>
      </c>
      <c r="AW313" s="99" t="s">
        <v>1405</v>
      </c>
      <c r="AX313" s="99"/>
      <c r="AY313" s="19"/>
      <c r="AZ313" s="96" t="str">
        <f t="shared" si="79"/>
        <v>n</v>
      </c>
      <c r="BA313" s="96" t="str">
        <f>IF(AZ313="n","n",VLOOKUP(AZ313,'Conversion factors'!$C$4:$D$24,2,FALSE))</f>
        <v>n</v>
      </c>
      <c r="BB313" s="96" t="str">
        <f t="shared" si="80"/>
        <v>n</v>
      </c>
      <c r="BC313" s="97"/>
      <c r="BD313" s="96" t="str">
        <f t="shared" si="75"/>
        <v>n</v>
      </c>
      <c r="BE313" s="96" t="str">
        <f t="shared" si="81"/>
        <v>n</v>
      </c>
      <c r="BF313" s="98" t="str">
        <f t="shared" si="77"/>
        <v/>
      </c>
      <c r="BG313" s="96" t="str">
        <f>IF(BF313="","",IF(ISNUMBER(VLOOKUP(BF313,'Conversion factors'!$B$35:$C$52,2,FALSE)),"y","n"))</f>
        <v/>
      </c>
      <c r="BH313" s="99"/>
    </row>
    <row r="314" spans="1:60" s="103" customFormat="1" ht="15.75" customHeight="1" x14ac:dyDescent="0.2">
      <c r="A314" s="18"/>
      <c r="B314" s="19">
        <v>121</v>
      </c>
      <c r="C314" s="19">
        <v>208695</v>
      </c>
      <c r="D314" s="19">
        <v>8695</v>
      </c>
      <c r="E314" s="19" t="s">
        <v>1224</v>
      </c>
      <c r="F314" s="93">
        <v>1990</v>
      </c>
      <c r="G314" s="19" t="s">
        <v>266</v>
      </c>
      <c r="H314" s="19"/>
      <c r="I314" s="19" t="s">
        <v>41</v>
      </c>
      <c r="J314" s="19" t="s">
        <v>84</v>
      </c>
      <c r="K314" s="19" t="s">
        <v>161</v>
      </c>
      <c r="L314" s="19" t="s">
        <v>82</v>
      </c>
      <c r="M314" s="19" t="s">
        <v>82</v>
      </c>
      <c r="N314" s="19" t="s">
        <v>66</v>
      </c>
      <c r="O314" s="19" t="s">
        <v>267</v>
      </c>
      <c r="P314" s="19" t="s">
        <v>162</v>
      </c>
      <c r="Q314" s="19"/>
      <c r="R314" s="19" t="s">
        <v>81</v>
      </c>
      <c r="S314" s="19" t="s">
        <v>268</v>
      </c>
      <c r="T314" s="19" t="s">
        <v>44</v>
      </c>
      <c r="U314" s="19" t="s">
        <v>44</v>
      </c>
      <c r="V314" s="19" t="s">
        <v>605</v>
      </c>
      <c r="W314" s="19" t="s">
        <v>231</v>
      </c>
      <c r="X314" s="19" t="s">
        <v>46</v>
      </c>
      <c r="Y314" s="29"/>
      <c r="Z314" s="19"/>
      <c r="AA314" s="19"/>
      <c r="AB314" s="19" t="s">
        <v>273</v>
      </c>
      <c r="AC314" s="19" t="s">
        <v>214</v>
      </c>
      <c r="AD314" s="19"/>
      <c r="AE314" s="19">
        <v>63.5</v>
      </c>
      <c r="AF314" s="19">
        <v>63.5</v>
      </c>
      <c r="AG314" s="19" t="s">
        <v>270</v>
      </c>
      <c r="AH314" s="19"/>
      <c r="AI314" s="19"/>
      <c r="AJ314" s="19">
        <v>8.2100000000000009</v>
      </c>
      <c r="AK314" s="19" t="s">
        <v>136</v>
      </c>
      <c r="AL314" s="19"/>
      <c r="AM314" s="19" t="s">
        <v>234</v>
      </c>
      <c r="AN314" s="19" t="s">
        <v>274</v>
      </c>
      <c r="AO314" s="19" t="s">
        <v>270</v>
      </c>
      <c r="AP314" s="94"/>
      <c r="AQ314" s="19" t="s">
        <v>137</v>
      </c>
      <c r="AR314" s="19" t="s">
        <v>275</v>
      </c>
      <c r="AS314" s="19"/>
      <c r="AT314" s="65" t="str">
        <f t="shared" si="74"/>
        <v>Y</v>
      </c>
      <c r="AU314" s="65" t="str">
        <f t="shared" si="78"/>
        <v>Y</v>
      </c>
      <c r="AV314" s="65" t="s">
        <v>162</v>
      </c>
      <c r="AW314" s="99" t="s">
        <v>1405</v>
      </c>
      <c r="AX314" s="99"/>
      <c r="AY314" s="19"/>
      <c r="AZ314" s="96" t="str">
        <f t="shared" si="79"/>
        <v>n</v>
      </c>
      <c r="BA314" s="96" t="str">
        <f>IF(AZ314="n","n",VLOOKUP(AZ314,'Conversion factors'!$C$4:$D$24,2,FALSE))</f>
        <v>n</v>
      </c>
      <c r="BB314" s="96" t="str">
        <f t="shared" si="80"/>
        <v>n</v>
      </c>
      <c r="BC314" s="97"/>
      <c r="BD314" s="96" t="str">
        <f t="shared" si="75"/>
        <v>n</v>
      </c>
      <c r="BE314" s="96" t="str">
        <f t="shared" si="81"/>
        <v>n</v>
      </c>
      <c r="BF314" s="98" t="str">
        <f t="shared" si="77"/>
        <v/>
      </c>
      <c r="BG314" s="96" t="str">
        <f>IF(BF314="","",IF(ISNUMBER(VLOOKUP(BF314,'Conversion factors'!$B$35:$C$52,2,FALSE)),"y","n"))</f>
        <v/>
      </c>
      <c r="BH314" s="99"/>
    </row>
    <row r="315" spans="1:60" s="103" customFormat="1" ht="15.75" customHeight="1" x14ac:dyDescent="0.2">
      <c r="A315" s="18"/>
      <c r="B315" s="19">
        <v>121</v>
      </c>
      <c r="C315" s="19">
        <v>208695</v>
      </c>
      <c r="D315" s="19">
        <v>8695</v>
      </c>
      <c r="E315" s="19" t="s">
        <v>1224</v>
      </c>
      <c r="F315" s="93">
        <v>1990</v>
      </c>
      <c r="G315" s="19" t="s">
        <v>266</v>
      </c>
      <c r="H315" s="19"/>
      <c r="I315" s="19" t="s">
        <v>41</v>
      </c>
      <c r="J315" s="19" t="s">
        <v>84</v>
      </c>
      <c r="K315" s="19" t="s">
        <v>161</v>
      </c>
      <c r="L315" s="19" t="s">
        <v>82</v>
      </c>
      <c r="M315" s="19" t="s">
        <v>82</v>
      </c>
      <c r="N315" s="19" t="s">
        <v>66</v>
      </c>
      <c r="O315" s="19" t="s">
        <v>267</v>
      </c>
      <c r="P315" s="19" t="s">
        <v>162</v>
      </c>
      <c r="Q315" s="19"/>
      <c r="R315" s="19" t="s">
        <v>81</v>
      </c>
      <c r="S315" s="19" t="s">
        <v>268</v>
      </c>
      <c r="T315" s="19" t="s">
        <v>44</v>
      </c>
      <c r="U315" s="19" t="s">
        <v>44</v>
      </c>
      <c r="V315" s="19" t="s">
        <v>605</v>
      </c>
      <c r="W315" s="19" t="s">
        <v>231</v>
      </c>
      <c r="X315" s="19" t="s">
        <v>46</v>
      </c>
      <c r="Y315" s="29"/>
      <c r="Z315" s="19"/>
      <c r="AA315" s="19"/>
      <c r="AB315" s="19" t="s">
        <v>276</v>
      </c>
      <c r="AC315" s="19" t="s">
        <v>214</v>
      </c>
      <c r="AD315" s="19"/>
      <c r="AE315" s="19">
        <v>159.5</v>
      </c>
      <c r="AF315" s="19">
        <v>159.5</v>
      </c>
      <c r="AG315" s="19" t="s">
        <v>270</v>
      </c>
      <c r="AH315" s="19"/>
      <c r="AI315" s="19"/>
      <c r="AJ315" s="19">
        <v>7.95</v>
      </c>
      <c r="AK315" s="19" t="s">
        <v>138</v>
      </c>
      <c r="AL315" s="19"/>
      <c r="AM315" s="19" t="s">
        <v>234</v>
      </c>
      <c r="AN315" s="19" t="s">
        <v>277</v>
      </c>
      <c r="AO315" s="19" t="s">
        <v>270</v>
      </c>
      <c r="AP315" s="94"/>
      <c r="AQ315" s="19" t="s">
        <v>139</v>
      </c>
      <c r="AR315" s="19" t="s">
        <v>278</v>
      </c>
      <c r="AS315" s="19"/>
      <c r="AT315" s="65" t="str">
        <f t="shared" si="74"/>
        <v>Y</v>
      </c>
      <c r="AU315" s="65" t="str">
        <f t="shared" si="78"/>
        <v>Y</v>
      </c>
      <c r="AV315" s="65" t="str">
        <f>AU315</f>
        <v>Y</v>
      </c>
      <c r="AW315" s="99"/>
      <c r="AX315" s="99"/>
      <c r="AY315" s="19"/>
      <c r="AZ315" s="96" t="str">
        <f t="shared" si="79"/>
        <v>EC50</v>
      </c>
      <c r="BA315" s="96">
        <f>IF(AZ315="n","n",VLOOKUP(AZ315,'Conversion factors'!$C$4:$D$24,2,FALSE))</f>
        <v>5</v>
      </c>
      <c r="BB315" s="96">
        <f t="shared" si="80"/>
        <v>192</v>
      </c>
      <c r="BC315" s="97"/>
      <c r="BD315" s="96" t="str">
        <f t="shared" si="75"/>
        <v>Chronic</v>
      </c>
      <c r="BE315" s="96" t="str">
        <f t="shared" si="81"/>
        <v>y</v>
      </c>
      <c r="BF315" s="98" t="str">
        <f t="shared" si="77"/>
        <v>EC50</v>
      </c>
      <c r="BG315" s="96" t="str">
        <f>IF(BF315="","",IF(ISNUMBER(VLOOKUP(BF315,'Conversion factors'!$B$35:$C$52,2,FALSE)),"y","n"))</f>
        <v>n</v>
      </c>
      <c r="BH315" s="99"/>
    </row>
    <row r="316" spans="1:60" s="103" customFormat="1" ht="15.75" customHeight="1" x14ac:dyDescent="0.2">
      <c r="A316" s="18"/>
      <c r="B316" s="19">
        <v>121</v>
      </c>
      <c r="C316" s="19">
        <v>208695</v>
      </c>
      <c r="D316" s="19">
        <v>8695</v>
      </c>
      <c r="E316" s="19" t="s">
        <v>1224</v>
      </c>
      <c r="F316" s="93">
        <v>1990</v>
      </c>
      <c r="G316" s="19" t="s">
        <v>266</v>
      </c>
      <c r="H316" s="19"/>
      <c r="I316" s="19" t="s">
        <v>41</v>
      </c>
      <c r="J316" s="19" t="s">
        <v>84</v>
      </c>
      <c r="K316" s="19" t="s">
        <v>161</v>
      </c>
      <c r="L316" s="19" t="s">
        <v>82</v>
      </c>
      <c r="M316" s="19" t="s">
        <v>82</v>
      </c>
      <c r="N316" s="19" t="s">
        <v>66</v>
      </c>
      <c r="O316" s="19" t="s">
        <v>267</v>
      </c>
      <c r="P316" s="19" t="s">
        <v>162</v>
      </c>
      <c r="Q316" s="19"/>
      <c r="R316" s="19" t="s">
        <v>237</v>
      </c>
      <c r="S316" s="19" t="s">
        <v>79</v>
      </c>
      <c r="T316" s="19" t="s">
        <v>56</v>
      </c>
      <c r="U316" s="19" t="s">
        <v>44</v>
      </c>
      <c r="V316" s="19" t="s">
        <v>605</v>
      </c>
      <c r="W316" s="19" t="s">
        <v>231</v>
      </c>
      <c r="X316" s="19" t="s">
        <v>46</v>
      </c>
      <c r="Y316" s="29"/>
      <c r="Z316" s="19"/>
      <c r="AA316" s="19"/>
      <c r="AB316" s="19" t="s">
        <v>279</v>
      </c>
      <c r="AC316" s="19" t="s">
        <v>214</v>
      </c>
      <c r="AD316" s="19"/>
      <c r="AE316" s="19">
        <v>63.5</v>
      </c>
      <c r="AF316" s="19">
        <v>63.5</v>
      </c>
      <c r="AG316" s="19" t="s">
        <v>270</v>
      </c>
      <c r="AH316" s="19"/>
      <c r="AI316" s="19"/>
      <c r="AJ316" s="19">
        <v>8.2100000000000009</v>
      </c>
      <c r="AK316" s="19" t="s">
        <v>136</v>
      </c>
      <c r="AL316" s="19"/>
      <c r="AM316" s="19" t="s">
        <v>234</v>
      </c>
      <c r="AN316" s="19" t="s">
        <v>274</v>
      </c>
      <c r="AO316" s="19" t="s">
        <v>270</v>
      </c>
      <c r="AP316" s="94"/>
      <c r="AQ316" s="19" t="s">
        <v>137</v>
      </c>
      <c r="AR316" s="19" t="s">
        <v>275</v>
      </c>
      <c r="AS316" s="19"/>
      <c r="AT316" s="65" t="str">
        <f t="shared" si="74"/>
        <v>Y</v>
      </c>
      <c r="AU316" s="65" t="str">
        <f t="shared" si="78"/>
        <v>Y</v>
      </c>
      <c r="AV316" s="65" t="s">
        <v>162</v>
      </c>
      <c r="AW316" s="99" t="s">
        <v>1405</v>
      </c>
      <c r="AX316" s="99"/>
      <c r="AY316" s="19"/>
      <c r="AZ316" s="96" t="str">
        <f t="shared" si="79"/>
        <v>n</v>
      </c>
      <c r="BA316" s="96" t="str">
        <f>IF(AZ316="n","n",VLOOKUP(AZ316,'Conversion factors'!$C$4:$D$24,2,FALSE))</f>
        <v>n</v>
      </c>
      <c r="BB316" s="96" t="str">
        <f t="shared" si="80"/>
        <v>n</v>
      </c>
      <c r="BC316" s="97"/>
      <c r="BD316" s="96" t="str">
        <f t="shared" si="75"/>
        <v>n</v>
      </c>
      <c r="BE316" s="96" t="str">
        <f t="shared" si="81"/>
        <v>n</v>
      </c>
      <c r="BF316" s="98" t="str">
        <f t="shared" si="77"/>
        <v/>
      </c>
      <c r="BG316" s="96" t="str">
        <f>IF(BF316="","",IF(ISNUMBER(VLOOKUP(BF316,'Conversion factors'!$B$35:$C$52,2,FALSE)),"y","n"))</f>
        <v/>
      </c>
      <c r="BH316" s="99"/>
    </row>
    <row r="317" spans="1:60" s="103" customFormat="1" ht="15.75" customHeight="1" x14ac:dyDescent="0.2">
      <c r="A317" s="18"/>
      <c r="B317" s="19">
        <v>121</v>
      </c>
      <c r="C317" s="19">
        <v>208695</v>
      </c>
      <c r="D317" s="19">
        <v>8695</v>
      </c>
      <c r="E317" s="19" t="s">
        <v>1224</v>
      </c>
      <c r="F317" s="93">
        <v>1990</v>
      </c>
      <c r="G317" s="19" t="s">
        <v>266</v>
      </c>
      <c r="H317" s="19"/>
      <c r="I317" s="19" t="s">
        <v>41</v>
      </c>
      <c r="J317" s="19" t="s">
        <v>84</v>
      </c>
      <c r="K317" s="19" t="s">
        <v>161</v>
      </c>
      <c r="L317" s="19" t="s">
        <v>82</v>
      </c>
      <c r="M317" s="19" t="s">
        <v>82</v>
      </c>
      <c r="N317" s="19" t="s">
        <v>66</v>
      </c>
      <c r="O317" s="19" t="s">
        <v>267</v>
      </c>
      <c r="P317" s="19" t="s">
        <v>162</v>
      </c>
      <c r="Q317" s="19"/>
      <c r="R317" s="19" t="s">
        <v>237</v>
      </c>
      <c r="S317" s="19" t="s">
        <v>79</v>
      </c>
      <c r="T317" s="19" t="s">
        <v>56</v>
      </c>
      <c r="U317" s="19" t="s">
        <v>44</v>
      </c>
      <c r="V317" s="19" t="s">
        <v>605</v>
      </c>
      <c r="W317" s="19" t="s">
        <v>231</v>
      </c>
      <c r="X317" s="19" t="s">
        <v>46</v>
      </c>
      <c r="Y317" s="29"/>
      <c r="Z317" s="19"/>
      <c r="AA317" s="19"/>
      <c r="AB317" s="19" t="s">
        <v>280</v>
      </c>
      <c r="AC317" s="19" t="s">
        <v>214</v>
      </c>
      <c r="AD317" s="19"/>
      <c r="AE317" s="19">
        <v>63.5</v>
      </c>
      <c r="AF317" s="19">
        <v>63.5</v>
      </c>
      <c r="AG317" s="19" t="s">
        <v>270</v>
      </c>
      <c r="AH317" s="19"/>
      <c r="AI317" s="19"/>
      <c r="AJ317" s="19">
        <v>8.2100000000000009</v>
      </c>
      <c r="AK317" s="19" t="s">
        <v>136</v>
      </c>
      <c r="AL317" s="19"/>
      <c r="AM317" s="19" t="s">
        <v>234</v>
      </c>
      <c r="AN317" s="19" t="s">
        <v>274</v>
      </c>
      <c r="AO317" s="19" t="s">
        <v>270</v>
      </c>
      <c r="AP317" s="94"/>
      <c r="AQ317" s="19" t="s">
        <v>137</v>
      </c>
      <c r="AR317" s="19" t="s">
        <v>275</v>
      </c>
      <c r="AS317" s="19"/>
      <c r="AT317" s="65" t="str">
        <f t="shared" si="74"/>
        <v>Y</v>
      </c>
      <c r="AU317" s="65" t="str">
        <f t="shared" si="78"/>
        <v>Y</v>
      </c>
      <c r="AV317" s="65" t="s">
        <v>162</v>
      </c>
      <c r="AW317" s="99" t="s">
        <v>1405</v>
      </c>
      <c r="AX317" s="99"/>
      <c r="AY317" s="19"/>
      <c r="AZ317" s="96" t="str">
        <f t="shared" si="79"/>
        <v>n</v>
      </c>
      <c r="BA317" s="96" t="str">
        <f>IF(AZ317="n","n",VLOOKUP(AZ317,'Conversion factors'!$C$4:$D$24,2,FALSE))</f>
        <v>n</v>
      </c>
      <c r="BB317" s="96" t="str">
        <f t="shared" si="80"/>
        <v>n</v>
      </c>
      <c r="BC317" s="97"/>
      <c r="BD317" s="96" t="str">
        <f t="shared" si="75"/>
        <v>n</v>
      </c>
      <c r="BE317" s="96" t="str">
        <f t="shared" si="81"/>
        <v>n</v>
      </c>
      <c r="BF317" s="98" t="str">
        <f t="shared" si="77"/>
        <v/>
      </c>
      <c r="BG317" s="96" t="str">
        <f>IF(BF317="","",IF(ISNUMBER(VLOOKUP(BF317,'Conversion factors'!$B$35:$C$52,2,FALSE)),"y","n"))</f>
        <v/>
      </c>
      <c r="BH317" s="99"/>
    </row>
    <row r="318" spans="1:60" s="103" customFormat="1" ht="15.75" customHeight="1" x14ac:dyDescent="0.2">
      <c r="A318" s="18"/>
      <c r="B318" s="19">
        <v>121</v>
      </c>
      <c r="C318" s="19">
        <v>208695</v>
      </c>
      <c r="D318" s="19">
        <v>8695</v>
      </c>
      <c r="E318" s="19" t="s">
        <v>1224</v>
      </c>
      <c r="F318" s="93">
        <v>1990</v>
      </c>
      <c r="G318" s="19" t="s">
        <v>266</v>
      </c>
      <c r="H318" s="19"/>
      <c r="I318" s="19" t="s">
        <v>41</v>
      </c>
      <c r="J318" s="19" t="s">
        <v>84</v>
      </c>
      <c r="K318" s="19" t="s">
        <v>161</v>
      </c>
      <c r="L318" s="19" t="s">
        <v>82</v>
      </c>
      <c r="M318" s="19" t="s">
        <v>82</v>
      </c>
      <c r="N318" s="19" t="s">
        <v>66</v>
      </c>
      <c r="O318" s="19" t="s">
        <v>267</v>
      </c>
      <c r="P318" s="19" t="s">
        <v>162</v>
      </c>
      <c r="Q318" s="19"/>
      <c r="R318" s="19" t="s">
        <v>237</v>
      </c>
      <c r="S318" s="19" t="s">
        <v>79</v>
      </c>
      <c r="T318" s="19" t="s">
        <v>56</v>
      </c>
      <c r="U318" s="19" t="s">
        <v>44</v>
      </c>
      <c r="V318" s="19" t="s">
        <v>605</v>
      </c>
      <c r="W318" s="19" t="s">
        <v>231</v>
      </c>
      <c r="X318" s="19" t="s">
        <v>46</v>
      </c>
      <c r="Y318" s="29"/>
      <c r="Z318" s="19"/>
      <c r="AA318" s="19"/>
      <c r="AB318" s="19" t="s">
        <v>281</v>
      </c>
      <c r="AC318" s="19" t="s">
        <v>214</v>
      </c>
      <c r="AD318" s="19"/>
      <c r="AE318" s="19">
        <v>159.5</v>
      </c>
      <c r="AF318" s="19">
        <v>159.5</v>
      </c>
      <c r="AG318" s="19" t="s">
        <v>270</v>
      </c>
      <c r="AH318" s="19"/>
      <c r="AI318" s="19"/>
      <c r="AJ318" s="19">
        <v>7.95</v>
      </c>
      <c r="AK318" s="19" t="s">
        <v>138</v>
      </c>
      <c r="AL318" s="19"/>
      <c r="AM318" s="19" t="s">
        <v>234</v>
      </c>
      <c r="AN318" s="19" t="s">
        <v>277</v>
      </c>
      <c r="AO318" s="19" t="s">
        <v>270</v>
      </c>
      <c r="AP318" s="94"/>
      <c r="AQ318" s="19" t="s">
        <v>139</v>
      </c>
      <c r="AR318" s="19" t="s">
        <v>278</v>
      </c>
      <c r="AS318" s="19"/>
      <c r="AT318" s="65" t="str">
        <f t="shared" si="74"/>
        <v>Y</v>
      </c>
      <c r="AU318" s="65" t="str">
        <f t="shared" si="78"/>
        <v>Y</v>
      </c>
      <c r="AV318" s="65" t="str">
        <f>AU318</f>
        <v>Y</v>
      </c>
      <c r="AW318" s="99"/>
      <c r="AX318" s="99"/>
      <c r="AY318" s="19"/>
      <c r="AZ318" s="96" t="str">
        <f t="shared" si="79"/>
        <v>LC50</v>
      </c>
      <c r="BA318" s="96">
        <f>IF(AZ318="n","n",VLOOKUP(AZ318,'Conversion factors'!$C$4:$D$24,2,FALSE))</f>
        <v>5</v>
      </c>
      <c r="BB318" s="96">
        <f t="shared" si="80"/>
        <v>140</v>
      </c>
      <c r="BC318" s="97"/>
      <c r="BD318" s="96" t="str">
        <f t="shared" si="75"/>
        <v>Chronic</v>
      </c>
      <c r="BE318" s="96" t="str">
        <f t="shared" si="81"/>
        <v>y</v>
      </c>
      <c r="BF318" s="98" t="str">
        <f t="shared" si="77"/>
        <v>LC50</v>
      </c>
      <c r="BG318" s="96" t="str">
        <f>IF(BF318="","",IF(ISNUMBER(VLOOKUP(BF318,'Conversion factors'!$B$35:$C$52,2,FALSE)),"y","n"))</f>
        <v>n</v>
      </c>
      <c r="BH318" s="99"/>
    </row>
    <row r="319" spans="1:60" s="103" customFormat="1" ht="15.75" customHeight="1" x14ac:dyDescent="0.2">
      <c r="A319" s="18"/>
      <c r="B319" s="19">
        <v>121</v>
      </c>
      <c r="C319" s="19">
        <v>208695</v>
      </c>
      <c r="D319" s="19">
        <v>8695</v>
      </c>
      <c r="E319" s="19" t="s">
        <v>1224</v>
      </c>
      <c r="F319" s="93">
        <v>1990</v>
      </c>
      <c r="G319" s="19" t="s">
        <v>266</v>
      </c>
      <c r="H319" s="19"/>
      <c r="I319" s="19" t="s">
        <v>41</v>
      </c>
      <c r="J319" s="19" t="s">
        <v>84</v>
      </c>
      <c r="K319" s="19" t="s">
        <v>161</v>
      </c>
      <c r="L319" s="19" t="s">
        <v>82</v>
      </c>
      <c r="M319" s="19" t="s">
        <v>82</v>
      </c>
      <c r="N319" s="19" t="s">
        <v>66</v>
      </c>
      <c r="O319" s="19" t="s">
        <v>267</v>
      </c>
      <c r="P319" s="19" t="s">
        <v>162</v>
      </c>
      <c r="Q319" s="19"/>
      <c r="R319" s="19" t="s">
        <v>237</v>
      </c>
      <c r="S319" s="19" t="s">
        <v>79</v>
      </c>
      <c r="T319" s="19" t="s">
        <v>56</v>
      </c>
      <c r="U319" s="19" t="s">
        <v>44</v>
      </c>
      <c r="V319" s="19" t="s">
        <v>605</v>
      </c>
      <c r="W319" s="19" t="s">
        <v>231</v>
      </c>
      <c r="X319" s="19" t="s">
        <v>46</v>
      </c>
      <c r="Y319" s="29"/>
      <c r="Z319" s="19"/>
      <c r="AA319" s="19"/>
      <c r="AB319" s="19" t="s">
        <v>273</v>
      </c>
      <c r="AC319" s="19" t="s">
        <v>214</v>
      </c>
      <c r="AD319" s="19"/>
      <c r="AE319" s="19">
        <v>93.9</v>
      </c>
      <c r="AF319" s="19">
        <v>93.9</v>
      </c>
      <c r="AG319" s="19" t="s">
        <v>270</v>
      </c>
      <c r="AH319" s="19"/>
      <c r="AI319" s="19"/>
      <c r="AJ319" s="19">
        <v>8.25</v>
      </c>
      <c r="AK319" s="19" t="s">
        <v>134</v>
      </c>
      <c r="AL319" s="19"/>
      <c r="AM319" s="19" t="s">
        <v>234</v>
      </c>
      <c r="AN319" s="19" t="s">
        <v>271</v>
      </c>
      <c r="AO319" s="19" t="s">
        <v>270</v>
      </c>
      <c r="AP319" s="94"/>
      <c r="AQ319" s="19" t="s">
        <v>135</v>
      </c>
      <c r="AR319" s="19" t="s">
        <v>272</v>
      </c>
      <c r="AS319" s="19"/>
      <c r="AT319" s="65" t="str">
        <f t="shared" si="74"/>
        <v>Y</v>
      </c>
      <c r="AU319" s="65" t="str">
        <f t="shared" si="78"/>
        <v>Y</v>
      </c>
      <c r="AV319" s="65" t="s">
        <v>162</v>
      </c>
      <c r="AW319" s="99" t="s">
        <v>1405</v>
      </c>
      <c r="AX319" s="99"/>
      <c r="AY319" s="19"/>
      <c r="AZ319" s="96" t="str">
        <f t="shared" si="79"/>
        <v>n</v>
      </c>
      <c r="BA319" s="96" t="str">
        <f>IF(AZ319="n","n",VLOOKUP(AZ319,'Conversion factors'!$C$4:$D$24,2,FALSE))</f>
        <v>n</v>
      </c>
      <c r="BB319" s="96" t="str">
        <f t="shared" si="80"/>
        <v>n</v>
      </c>
      <c r="BC319" s="97"/>
      <c r="BD319" s="96" t="str">
        <f t="shared" si="75"/>
        <v>n</v>
      </c>
      <c r="BE319" s="96" t="str">
        <f t="shared" si="81"/>
        <v>n</v>
      </c>
      <c r="BF319" s="98" t="str">
        <f t="shared" si="77"/>
        <v/>
      </c>
      <c r="BG319" s="96" t="str">
        <f>IF(BF319="","",IF(ISNUMBER(VLOOKUP(BF319,'Conversion factors'!$B$35:$C$52,2,FALSE)),"y","n"))</f>
        <v/>
      </c>
      <c r="BH319" s="99"/>
    </row>
    <row r="320" spans="1:60" s="103" customFormat="1" ht="15.75" customHeight="1" x14ac:dyDescent="0.2">
      <c r="A320" s="18"/>
      <c r="B320" s="19">
        <v>121</v>
      </c>
      <c r="C320" s="19">
        <v>208695</v>
      </c>
      <c r="D320" s="19">
        <v>8695</v>
      </c>
      <c r="E320" s="19" t="s">
        <v>1224</v>
      </c>
      <c r="F320" s="93">
        <v>1990</v>
      </c>
      <c r="G320" s="19" t="s">
        <v>266</v>
      </c>
      <c r="H320" s="19"/>
      <c r="I320" s="19" t="s">
        <v>41</v>
      </c>
      <c r="J320" s="19" t="s">
        <v>84</v>
      </c>
      <c r="K320" s="19" t="s">
        <v>161</v>
      </c>
      <c r="L320" s="19" t="s">
        <v>82</v>
      </c>
      <c r="M320" s="19" t="s">
        <v>82</v>
      </c>
      <c r="N320" s="19" t="s">
        <v>66</v>
      </c>
      <c r="O320" s="19" t="s">
        <v>267</v>
      </c>
      <c r="P320" s="19" t="s">
        <v>162</v>
      </c>
      <c r="Q320" s="19"/>
      <c r="R320" s="19" t="s">
        <v>237</v>
      </c>
      <c r="S320" s="19" t="s">
        <v>79</v>
      </c>
      <c r="T320" s="19" t="s">
        <v>56</v>
      </c>
      <c r="U320" s="19" t="s">
        <v>44</v>
      </c>
      <c r="V320" s="19" t="s">
        <v>605</v>
      </c>
      <c r="W320" s="19" t="s">
        <v>231</v>
      </c>
      <c r="X320" s="19" t="s">
        <v>46</v>
      </c>
      <c r="Y320" s="29"/>
      <c r="Z320" s="19"/>
      <c r="AA320" s="19"/>
      <c r="AB320" s="19" t="s">
        <v>282</v>
      </c>
      <c r="AC320" s="19" t="s">
        <v>214</v>
      </c>
      <c r="AD320" s="19"/>
      <c r="AE320" s="19">
        <v>159.5</v>
      </c>
      <c r="AF320" s="19">
        <v>159.5</v>
      </c>
      <c r="AG320" s="19" t="s">
        <v>270</v>
      </c>
      <c r="AH320" s="19"/>
      <c r="AI320" s="19"/>
      <c r="AJ320" s="19">
        <v>7.95</v>
      </c>
      <c r="AK320" s="19" t="s">
        <v>138</v>
      </c>
      <c r="AL320" s="19"/>
      <c r="AM320" s="19" t="s">
        <v>234</v>
      </c>
      <c r="AN320" s="19" t="s">
        <v>277</v>
      </c>
      <c r="AO320" s="19" t="s">
        <v>270</v>
      </c>
      <c r="AP320" s="94"/>
      <c r="AQ320" s="19" t="s">
        <v>139</v>
      </c>
      <c r="AR320" s="19" t="s">
        <v>278</v>
      </c>
      <c r="AS320" s="19"/>
      <c r="AT320" s="65" t="str">
        <f t="shared" si="74"/>
        <v>Y</v>
      </c>
      <c r="AU320" s="65" t="str">
        <f t="shared" si="78"/>
        <v>Y</v>
      </c>
      <c r="AV320" s="65" t="str">
        <f>AU320</f>
        <v>Y</v>
      </c>
      <c r="AW320" s="99"/>
      <c r="AX320" s="99"/>
      <c r="AY320" s="19"/>
      <c r="AZ320" s="96" t="str">
        <f t="shared" si="79"/>
        <v>LC50</v>
      </c>
      <c r="BA320" s="96">
        <f>IF(AZ320="n","n",VLOOKUP(AZ320,'Conversion factors'!$C$4:$D$24,2,FALSE))</f>
        <v>5</v>
      </c>
      <c r="BB320" s="96">
        <f t="shared" si="80"/>
        <v>270</v>
      </c>
      <c r="BC320" s="97"/>
      <c r="BD320" s="96" t="str">
        <f t="shared" si="75"/>
        <v>Chronic</v>
      </c>
      <c r="BE320" s="96" t="str">
        <f t="shared" si="81"/>
        <v>y</v>
      </c>
      <c r="BF320" s="98" t="str">
        <f t="shared" si="77"/>
        <v>LC50</v>
      </c>
      <c r="BG320" s="96" t="str">
        <f>IF(BF320="","",IF(ISNUMBER(VLOOKUP(BF320,'Conversion factors'!$B$35:$C$52,2,FALSE)),"y","n"))</f>
        <v>n</v>
      </c>
      <c r="BH320" s="99"/>
    </row>
    <row r="321" spans="1:60" s="103" customFormat="1" ht="15.75" customHeight="1" x14ac:dyDescent="0.2">
      <c r="A321" s="18"/>
      <c r="B321" s="19">
        <v>121</v>
      </c>
      <c r="C321" s="19">
        <v>208695</v>
      </c>
      <c r="D321" s="19">
        <v>8695</v>
      </c>
      <c r="E321" s="19" t="s">
        <v>1224</v>
      </c>
      <c r="F321" s="93">
        <v>1990</v>
      </c>
      <c r="G321" s="19" t="s">
        <v>266</v>
      </c>
      <c r="H321" s="19"/>
      <c r="I321" s="19" t="s">
        <v>41</v>
      </c>
      <c r="J321" s="19" t="s">
        <v>84</v>
      </c>
      <c r="K321" s="19" t="s">
        <v>161</v>
      </c>
      <c r="L321" s="19" t="s">
        <v>82</v>
      </c>
      <c r="M321" s="19" t="s">
        <v>82</v>
      </c>
      <c r="N321" s="19" t="s">
        <v>66</v>
      </c>
      <c r="O321" s="19" t="s">
        <v>267</v>
      </c>
      <c r="P321" s="19" t="s">
        <v>162</v>
      </c>
      <c r="Q321" s="19"/>
      <c r="R321" s="19" t="s">
        <v>237</v>
      </c>
      <c r="S321" s="19" t="s">
        <v>79</v>
      </c>
      <c r="T321" s="19" t="s">
        <v>56</v>
      </c>
      <c r="U321" s="19" t="s">
        <v>44</v>
      </c>
      <c r="V321" s="19" t="s">
        <v>605</v>
      </c>
      <c r="W321" s="19" t="s">
        <v>231</v>
      </c>
      <c r="X321" s="19" t="s">
        <v>46</v>
      </c>
      <c r="Y321" s="29"/>
      <c r="Z321" s="19"/>
      <c r="AA321" s="19"/>
      <c r="AB321" s="19" t="s">
        <v>283</v>
      </c>
      <c r="AC321" s="19" t="s">
        <v>214</v>
      </c>
      <c r="AD321" s="19"/>
      <c r="AE321" s="19">
        <v>93.9</v>
      </c>
      <c r="AF321" s="19">
        <v>93.9</v>
      </c>
      <c r="AG321" s="19" t="s">
        <v>270</v>
      </c>
      <c r="AH321" s="19"/>
      <c r="AI321" s="19"/>
      <c r="AJ321" s="19">
        <v>8.25</v>
      </c>
      <c r="AK321" s="19" t="s">
        <v>134</v>
      </c>
      <c r="AL321" s="19"/>
      <c r="AM321" s="19" t="s">
        <v>234</v>
      </c>
      <c r="AN321" s="19" t="s">
        <v>271</v>
      </c>
      <c r="AO321" s="19" t="s">
        <v>270</v>
      </c>
      <c r="AP321" s="94"/>
      <c r="AQ321" s="19" t="s">
        <v>135</v>
      </c>
      <c r="AR321" s="19" t="s">
        <v>272</v>
      </c>
      <c r="AS321" s="19"/>
      <c r="AT321" s="65" t="str">
        <f t="shared" si="74"/>
        <v>Y</v>
      </c>
      <c r="AU321" s="65" t="str">
        <f t="shared" si="78"/>
        <v>Y</v>
      </c>
      <c r="AV321" s="65" t="s">
        <v>162</v>
      </c>
      <c r="AW321" s="99" t="s">
        <v>1405</v>
      </c>
      <c r="AX321" s="99"/>
      <c r="AY321" s="19"/>
      <c r="AZ321" s="96" t="str">
        <f t="shared" si="79"/>
        <v>n</v>
      </c>
      <c r="BA321" s="96" t="str">
        <f>IF(AZ321="n","n",VLOOKUP(AZ321,'Conversion factors'!$C$4:$D$24,2,FALSE))</f>
        <v>n</v>
      </c>
      <c r="BB321" s="96" t="str">
        <f t="shared" si="80"/>
        <v>n</v>
      </c>
      <c r="BC321" s="97"/>
      <c r="BD321" s="96" t="str">
        <f t="shared" si="75"/>
        <v>n</v>
      </c>
      <c r="BE321" s="96" t="str">
        <f t="shared" si="81"/>
        <v>n</v>
      </c>
      <c r="BF321" s="98" t="str">
        <f t="shared" si="77"/>
        <v/>
      </c>
      <c r="BG321" s="96" t="str">
        <f>IF(BF321="","",IF(ISNUMBER(VLOOKUP(BF321,'Conversion factors'!$B$35:$C$52,2,FALSE)),"y","n"))</f>
        <v/>
      </c>
      <c r="BH321" s="99"/>
    </row>
    <row r="322" spans="1:60" s="103" customFormat="1" ht="15.75" customHeight="1" x14ac:dyDescent="0.2">
      <c r="A322" s="18"/>
      <c r="B322" s="19">
        <v>121</v>
      </c>
      <c r="C322" s="19">
        <v>208695</v>
      </c>
      <c r="D322" s="19">
        <v>8695</v>
      </c>
      <c r="E322" s="19" t="s">
        <v>1224</v>
      </c>
      <c r="F322" s="93">
        <v>1990</v>
      </c>
      <c r="G322" s="19" t="s">
        <v>266</v>
      </c>
      <c r="H322" s="19"/>
      <c r="I322" s="19" t="s">
        <v>41</v>
      </c>
      <c r="J322" s="19" t="s">
        <v>84</v>
      </c>
      <c r="K322" s="19" t="s">
        <v>161</v>
      </c>
      <c r="L322" s="19" t="s">
        <v>82</v>
      </c>
      <c r="M322" s="19" t="s">
        <v>82</v>
      </c>
      <c r="N322" s="19" t="s">
        <v>66</v>
      </c>
      <c r="O322" s="19" t="s">
        <v>267</v>
      </c>
      <c r="P322" s="19" t="s">
        <v>162</v>
      </c>
      <c r="Q322" s="19"/>
      <c r="R322" s="19" t="s">
        <v>237</v>
      </c>
      <c r="S322" s="19" t="s">
        <v>79</v>
      </c>
      <c r="T322" s="19" t="s">
        <v>55</v>
      </c>
      <c r="U322" s="19" t="s">
        <v>55</v>
      </c>
      <c r="V322" s="19" t="s">
        <v>605</v>
      </c>
      <c r="W322" s="19" t="s">
        <v>231</v>
      </c>
      <c r="X322" s="19" t="s">
        <v>46</v>
      </c>
      <c r="Y322" s="29"/>
      <c r="Z322" s="19"/>
      <c r="AA322" s="19"/>
      <c r="AB322" s="19" t="s">
        <v>284</v>
      </c>
      <c r="AC322" s="19" t="s">
        <v>214</v>
      </c>
      <c r="AD322" s="19"/>
      <c r="AE322" s="19">
        <v>93.9</v>
      </c>
      <c r="AF322" s="19">
        <v>93.9</v>
      </c>
      <c r="AG322" s="19" t="s">
        <v>270</v>
      </c>
      <c r="AH322" s="19"/>
      <c r="AI322" s="19"/>
      <c r="AJ322" s="19">
        <v>8.25</v>
      </c>
      <c r="AK322" s="19" t="s">
        <v>134</v>
      </c>
      <c r="AL322" s="19"/>
      <c r="AM322" s="19" t="s">
        <v>234</v>
      </c>
      <c r="AN322" s="19" t="s">
        <v>271</v>
      </c>
      <c r="AO322" s="19" t="s">
        <v>270</v>
      </c>
      <c r="AP322" s="94"/>
      <c r="AQ322" s="19" t="s">
        <v>135</v>
      </c>
      <c r="AR322" s="19" t="s">
        <v>272</v>
      </c>
      <c r="AS322" s="19"/>
      <c r="AT322" s="65" t="str">
        <f t="shared" si="74"/>
        <v>Y</v>
      </c>
      <c r="AU322" s="65" t="str">
        <f t="shared" si="78"/>
        <v>Y</v>
      </c>
      <c r="AV322" s="65" t="s">
        <v>162</v>
      </c>
      <c r="AW322" s="99" t="s">
        <v>1405</v>
      </c>
      <c r="AX322" s="99"/>
      <c r="AY322" s="19"/>
      <c r="AZ322" s="96" t="str">
        <f t="shared" si="79"/>
        <v>n</v>
      </c>
      <c r="BA322" s="96" t="str">
        <f>IF(AZ322="n","n",VLOOKUP(AZ322,'Conversion factors'!$C$4:$D$24,2,FALSE))</f>
        <v>n</v>
      </c>
      <c r="BB322" s="96" t="str">
        <f t="shared" si="80"/>
        <v>n</v>
      </c>
      <c r="BC322" s="97"/>
      <c r="BD322" s="96" t="str">
        <f t="shared" si="75"/>
        <v>n</v>
      </c>
      <c r="BE322" s="96" t="str">
        <f t="shared" si="81"/>
        <v>n</v>
      </c>
      <c r="BF322" s="98" t="str">
        <f t="shared" si="77"/>
        <v/>
      </c>
      <c r="BG322" s="96" t="str">
        <f>IF(BF322="","",IF(ISNUMBER(VLOOKUP(BF322,'Conversion factors'!$B$35:$C$52,2,FALSE)),"y","n"))</f>
        <v/>
      </c>
      <c r="BH322" s="99"/>
    </row>
    <row r="323" spans="1:60" s="103" customFormat="1" ht="15.75" customHeight="1" x14ac:dyDescent="0.2">
      <c r="A323" s="18"/>
      <c r="B323" s="19">
        <v>121</v>
      </c>
      <c r="C323" s="19">
        <v>208695</v>
      </c>
      <c r="D323" s="19">
        <v>8695</v>
      </c>
      <c r="E323" s="19" t="s">
        <v>1224</v>
      </c>
      <c r="F323" s="93">
        <v>1990</v>
      </c>
      <c r="G323" s="19" t="s">
        <v>266</v>
      </c>
      <c r="H323" s="19"/>
      <c r="I323" s="19" t="s">
        <v>41</v>
      </c>
      <c r="J323" s="19" t="s">
        <v>84</v>
      </c>
      <c r="K323" s="19" t="s">
        <v>161</v>
      </c>
      <c r="L323" s="19" t="s">
        <v>82</v>
      </c>
      <c r="M323" s="19" t="s">
        <v>82</v>
      </c>
      <c r="N323" s="19" t="s">
        <v>66</v>
      </c>
      <c r="O323" s="19" t="s">
        <v>267</v>
      </c>
      <c r="P323" s="19" t="s">
        <v>162</v>
      </c>
      <c r="Q323" s="19"/>
      <c r="R323" s="19" t="s">
        <v>237</v>
      </c>
      <c r="S323" s="19" t="s">
        <v>79</v>
      </c>
      <c r="T323" s="19" t="s">
        <v>55</v>
      </c>
      <c r="U323" s="19" t="s">
        <v>55</v>
      </c>
      <c r="V323" s="19" t="s">
        <v>605</v>
      </c>
      <c r="W323" s="19" t="s">
        <v>231</v>
      </c>
      <c r="X323" s="19" t="s">
        <v>46</v>
      </c>
      <c r="Y323" s="29"/>
      <c r="Z323" s="19"/>
      <c r="AA323" s="19"/>
      <c r="AB323" s="19" t="s">
        <v>285</v>
      </c>
      <c r="AC323" s="19" t="s">
        <v>214</v>
      </c>
      <c r="AD323" s="19"/>
      <c r="AE323" s="19">
        <v>159.5</v>
      </c>
      <c r="AF323" s="19">
        <v>159.5</v>
      </c>
      <c r="AG323" s="19" t="s">
        <v>270</v>
      </c>
      <c r="AH323" s="19"/>
      <c r="AI323" s="19"/>
      <c r="AJ323" s="19">
        <v>7.95</v>
      </c>
      <c r="AK323" s="19" t="s">
        <v>138</v>
      </c>
      <c r="AL323" s="19"/>
      <c r="AM323" s="19" t="s">
        <v>234</v>
      </c>
      <c r="AN323" s="19" t="s">
        <v>277</v>
      </c>
      <c r="AO323" s="19" t="s">
        <v>270</v>
      </c>
      <c r="AP323" s="94"/>
      <c r="AQ323" s="19" t="s">
        <v>139</v>
      </c>
      <c r="AR323" s="19" t="s">
        <v>278</v>
      </c>
      <c r="AS323" s="19"/>
      <c r="AT323" s="65" t="str">
        <f t="shared" si="74"/>
        <v>Y</v>
      </c>
      <c r="AU323" s="65" t="str">
        <f t="shared" si="78"/>
        <v>Y</v>
      </c>
      <c r="AV323" s="65" t="str">
        <f>AU323</f>
        <v>Y</v>
      </c>
      <c r="AW323" s="99"/>
      <c r="AX323" s="99"/>
      <c r="AY323" s="19"/>
      <c r="AZ323" s="96" t="str">
        <f t="shared" si="79"/>
        <v>LOEC</v>
      </c>
      <c r="BA323" s="96">
        <f>IF(AZ323="n","n",VLOOKUP(AZ323,'Conversion factors'!$C$4:$D$24,2,FALSE))</f>
        <v>2.5</v>
      </c>
      <c r="BB323" s="96">
        <f t="shared" si="80"/>
        <v>1088</v>
      </c>
      <c r="BC323" s="97"/>
      <c r="BD323" s="96" t="str">
        <f t="shared" si="75"/>
        <v>Chronic</v>
      </c>
      <c r="BE323" s="96" t="str">
        <f t="shared" si="81"/>
        <v>y</v>
      </c>
      <c r="BF323" s="98" t="str">
        <f t="shared" si="77"/>
        <v>LOEC</v>
      </c>
      <c r="BG323" s="96" t="str">
        <f>IF(BF323="","",IF(ISNUMBER(VLOOKUP(BF323,'Conversion factors'!$B$35:$C$52,2,FALSE)),"y","n"))</f>
        <v>n</v>
      </c>
      <c r="BH323" s="99"/>
    </row>
    <row r="324" spans="1:60" s="103" customFormat="1" ht="15.75" customHeight="1" x14ac:dyDescent="0.2">
      <c r="A324" s="18"/>
      <c r="B324" s="19">
        <v>121</v>
      </c>
      <c r="C324" s="19">
        <v>208695</v>
      </c>
      <c r="D324" s="19">
        <v>8695</v>
      </c>
      <c r="E324" s="19" t="s">
        <v>1224</v>
      </c>
      <c r="F324" s="93">
        <v>1990</v>
      </c>
      <c r="G324" s="19" t="s">
        <v>266</v>
      </c>
      <c r="H324" s="19"/>
      <c r="I324" s="19" t="s">
        <v>41</v>
      </c>
      <c r="J324" s="19" t="s">
        <v>84</v>
      </c>
      <c r="K324" s="19" t="s">
        <v>161</v>
      </c>
      <c r="L324" s="19" t="s">
        <v>82</v>
      </c>
      <c r="M324" s="19" t="s">
        <v>82</v>
      </c>
      <c r="N324" s="19" t="s">
        <v>66</v>
      </c>
      <c r="O324" s="19" t="s">
        <v>267</v>
      </c>
      <c r="P324" s="19" t="s">
        <v>162</v>
      </c>
      <c r="Q324" s="19"/>
      <c r="R324" s="19" t="s">
        <v>237</v>
      </c>
      <c r="S324" s="19" t="s">
        <v>79</v>
      </c>
      <c r="T324" s="19" t="s">
        <v>55</v>
      </c>
      <c r="U324" s="19" t="s">
        <v>55</v>
      </c>
      <c r="V324" s="19" t="s">
        <v>605</v>
      </c>
      <c r="W324" s="19" t="s">
        <v>231</v>
      </c>
      <c r="X324" s="19" t="s">
        <v>46</v>
      </c>
      <c r="Y324" s="29"/>
      <c r="Z324" s="19"/>
      <c r="AA324" s="19"/>
      <c r="AB324" s="19" t="s">
        <v>286</v>
      </c>
      <c r="AC324" s="19" t="s">
        <v>214</v>
      </c>
      <c r="AD324" s="19"/>
      <c r="AE324" s="19">
        <v>63.5</v>
      </c>
      <c r="AF324" s="19">
        <v>63.5</v>
      </c>
      <c r="AG324" s="19" t="s">
        <v>270</v>
      </c>
      <c r="AH324" s="19"/>
      <c r="AI324" s="19"/>
      <c r="AJ324" s="19">
        <v>8.2100000000000009</v>
      </c>
      <c r="AK324" s="19" t="s">
        <v>136</v>
      </c>
      <c r="AL324" s="19"/>
      <c r="AM324" s="19" t="s">
        <v>234</v>
      </c>
      <c r="AN324" s="19" t="s">
        <v>274</v>
      </c>
      <c r="AO324" s="19" t="s">
        <v>270</v>
      </c>
      <c r="AP324" s="94"/>
      <c r="AQ324" s="19" t="s">
        <v>137</v>
      </c>
      <c r="AR324" s="19" t="s">
        <v>275</v>
      </c>
      <c r="AS324" s="19"/>
      <c r="AT324" s="65" t="str">
        <f t="shared" ref="AT324:AT387" si="87">IF(F324&lt;1980,"N",IF(AC324="M","Y",IF(AC324="SM","Y","N")))</f>
        <v>Y</v>
      </c>
      <c r="AU324" s="65" t="str">
        <f t="shared" si="78"/>
        <v>Y</v>
      </c>
      <c r="AV324" s="65" t="s">
        <v>162</v>
      </c>
      <c r="AW324" s="99" t="s">
        <v>1405</v>
      </c>
      <c r="AX324" s="99"/>
      <c r="AY324" s="19"/>
      <c r="AZ324" s="96" t="str">
        <f t="shared" si="79"/>
        <v>n</v>
      </c>
      <c r="BA324" s="96" t="str">
        <f>IF(AZ324="n","n",VLOOKUP(AZ324,'Conversion factors'!$C$4:$D$24,2,FALSE))</f>
        <v>n</v>
      </c>
      <c r="BB324" s="96" t="str">
        <f t="shared" si="80"/>
        <v>n</v>
      </c>
      <c r="BC324" s="97"/>
      <c r="BD324" s="96" t="str">
        <f t="shared" ref="BD324:BD387" si="88">IF(AV324="N","n",X324)</f>
        <v>n</v>
      </c>
      <c r="BE324" s="96" t="str">
        <f t="shared" si="81"/>
        <v>n</v>
      </c>
      <c r="BF324" s="98" t="str">
        <f t="shared" si="77"/>
        <v/>
      </c>
      <c r="BG324" s="96" t="str">
        <f>IF(BF324="","",IF(ISNUMBER(VLOOKUP(BF324,'Conversion factors'!$B$35:$C$52,2,FALSE)),"y","n"))</f>
        <v/>
      </c>
      <c r="BH324" s="99"/>
    </row>
    <row r="325" spans="1:60" s="103" customFormat="1" ht="15.75" customHeight="1" x14ac:dyDescent="0.2">
      <c r="A325" s="18"/>
      <c r="B325" s="19">
        <v>121</v>
      </c>
      <c r="C325" s="19">
        <v>208695</v>
      </c>
      <c r="D325" s="19">
        <v>8695</v>
      </c>
      <c r="E325" s="19" t="s">
        <v>1224</v>
      </c>
      <c r="F325" s="93">
        <v>1990</v>
      </c>
      <c r="G325" s="19" t="s">
        <v>266</v>
      </c>
      <c r="H325" s="19"/>
      <c r="I325" s="19" t="s">
        <v>41</v>
      </c>
      <c r="J325" s="19" t="s">
        <v>84</v>
      </c>
      <c r="K325" s="19" t="s">
        <v>161</v>
      </c>
      <c r="L325" s="19" t="s">
        <v>82</v>
      </c>
      <c r="M325" s="19" t="s">
        <v>82</v>
      </c>
      <c r="N325" s="19" t="s">
        <v>66</v>
      </c>
      <c r="O325" s="19" t="s">
        <v>267</v>
      </c>
      <c r="P325" s="19" t="s">
        <v>162</v>
      </c>
      <c r="Q325" s="19"/>
      <c r="R325" s="19" t="s">
        <v>237</v>
      </c>
      <c r="S325" s="19" t="s">
        <v>79</v>
      </c>
      <c r="T325" s="19" t="s">
        <v>55</v>
      </c>
      <c r="U325" s="19" t="s">
        <v>55</v>
      </c>
      <c r="V325" s="19" t="s">
        <v>605</v>
      </c>
      <c r="W325" s="19" t="s">
        <v>231</v>
      </c>
      <c r="X325" s="19" t="s">
        <v>46</v>
      </c>
      <c r="Y325" s="29"/>
      <c r="Z325" s="19"/>
      <c r="AA325" s="19"/>
      <c r="AB325" s="19" t="s">
        <v>286</v>
      </c>
      <c r="AC325" s="19" t="s">
        <v>214</v>
      </c>
      <c r="AD325" s="19"/>
      <c r="AE325" s="19">
        <v>93.9</v>
      </c>
      <c r="AF325" s="19">
        <v>93.9</v>
      </c>
      <c r="AG325" s="19" t="s">
        <v>270</v>
      </c>
      <c r="AH325" s="19"/>
      <c r="AI325" s="19"/>
      <c r="AJ325" s="19">
        <v>8.25</v>
      </c>
      <c r="AK325" s="19" t="s">
        <v>134</v>
      </c>
      <c r="AL325" s="19"/>
      <c r="AM325" s="19" t="s">
        <v>234</v>
      </c>
      <c r="AN325" s="19" t="s">
        <v>271</v>
      </c>
      <c r="AO325" s="19" t="s">
        <v>270</v>
      </c>
      <c r="AP325" s="94"/>
      <c r="AQ325" s="19" t="s">
        <v>135</v>
      </c>
      <c r="AR325" s="19" t="s">
        <v>272</v>
      </c>
      <c r="AS325" s="19"/>
      <c r="AT325" s="65" t="str">
        <f t="shared" si="87"/>
        <v>Y</v>
      </c>
      <c r="AU325" s="65" t="str">
        <f t="shared" si="78"/>
        <v>Y</v>
      </c>
      <c r="AV325" s="65" t="s">
        <v>162</v>
      </c>
      <c r="AW325" s="99" t="s">
        <v>1405</v>
      </c>
      <c r="AX325" s="99"/>
      <c r="AY325" s="19"/>
      <c r="AZ325" s="96" t="str">
        <f t="shared" si="79"/>
        <v>n</v>
      </c>
      <c r="BA325" s="96" t="str">
        <f>IF(AZ325="n","n",VLOOKUP(AZ325,'Conversion factors'!$C$4:$D$24,2,FALSE))</f>
        <v>n</v>
      </c>
      <c r="BB325" s="96" t="str">
        <f t="shared" si="80"/>
        <v>n</v>
      </c>
      <c r="BC325" s="97"/>
      <c r="BD325" s="96" t="str">
        <f t="shared" si="88"/>
        <v>n</v>
      </c>
      <c r="BE325" s="96" t="str">
        <f t="shared" si="81"/>
        <v>n</v>
      </c>
      <c r="BF325" s="98" t="str">
        <f t="shared" ref="BF325:BF388" si="89">IF(BE325="n","",AZ325)</f>
        <v/>
      </c>
      <c r="BG325" s="96" t="str">
        <f>IF(BF325="","",IF(ISNUMBER(VLOOKUP(BF325,'Conversion factors'!$B$35:$C$52,2,FALSE)),"y","n"))</f>
        <v/>
      </c>
      <c r="BH325" s="99"/>
    </row>
    <row r="326" spans="1:60" s="103" customFormat="1" ht="15.75" customHeight="1" x14ac:dyDescent="0.2">
      <c r="A326" s="18"/>
      <c r="B326" s="19">
        <v>121</v>
      </c>
      <c r="C326" s="19">
        <v>208695</v>
      </c>
      <c r="D326" s="19">
        <v>8695</v>
      </c>
      <c r="E326" s="19" t="s">
        <v>1224</v>
      </c>
      <c r="F326" s="93">
        <v>1990</v>
      </c>
      <c r="G326" s="19" t="s">
        <v>266</v>
      </c>
      <c r="H326" s="19"/>
      <c r="I326" s="19" t="s">
        <v>41</v>
      </c>
      <c r="J326" s="19" t="s">
        <v>84</v>
      </c>
      <c r="K326" s="19" t="s">
        <v>161</v>
      </c>
      <c r="L326" s="19" t="s">
        <v>82</v>
      </c>
      <c r="M326" s="19" t="s">
        <v>82</v>
      </c>
      <c r="N326" s="19" t="s">
        <v>66</v>
      </c>
      <c r="O326" s="19" t="s">
        <v>267</v>
      </c>
      <c r="P326" s="19" t="s">
        <v>162</v>
      </c>
      <c r="Q326" s="19"/>
      <c r="R326" s="19" t="s">
        <v>237</v>
      </c>
      <c r="S326" s="19" t="s">
        <v>79</v>
      </c>
      <c r="T326" s="19" t="s">
        <v>55</v>
      </c>
      <c r="U326" s="19" t="s">
        <v>55</v>
      </c>
      <c r="V326" s="19" t="s">
        <v>605</v>
      </c>
      <c r="W326" s="19" t="s">
        <v>231</v>
      </c>
      <c r="X326" s="19" t="s">
        <v>46</v>
      </c>
      <c r="Y326" s="29"/>
      <c r="Z326" s="19"/>
      <c r="AA326" s="19"/>
      <c r="AB326" s="19" t="s">
        <v>287</v>
      </c>
      <c r="AC326" s="19" t="s">
        <v>214</v>
      </c>
      <c r="AD326" s="19"/>
      <c r="AE326" s="19">
        <v>159.5</v>
      </c>
      <c r="AF326" s="19">
        <v>159.5</v>
      </c>
      <c r="AG326" s="19" t="s">
        <v>270</v>
      </c>
      <c r="AH326" s="19"/>
      <c r="AI326" s="19"/>
      <c r="AJ326" s="19">
        <v>7.95</v>
      </c>
      <c r="AK326" s="19" t="s">
        <v>138</v>
      </c>
      <c r="AL326" s="19"/>
      <c r="AM326" s="19" t="s">
        <v>234</v>
      </c>
      <c r="AN326" s="19" t="s">
        <v>277</v>
      </c>
      <c r="AO326" s="19" t="s">
        <v>270</v>
      </c>
      <c r="AP326" s="94"/>
      <c r="AQ326" s="19" t="s">
        <v>139</v>
      </c>
      <c r="AR326" s="19" t="s">
        <v>278</v>
      </c>
      <c r="AS326" s="19"/>
      <c r="AT326" s="65" t="str">
        <f t="shared" si="87"/>
        <v>Y</v>
      </c>
      <c r="AU326" s="65" t="str">
        <f t="shared" si="78"/>
        <v>Y</v>
      </c>
      <c r="AV326" s="65" t="str">
        <f>AU326</f>
        <v>Y</v>
      </c>
      <c r="AW326" s="99"/>
      <c r="AX326" s="99"/>
      <c r="AY326" s="19"/>
      <c r="AZ326" s="96" t="str">
        <f t="shared" si="79"/>
        <v>LOEC</v>
      </c>
      <c r="BA326" s="96">
        <f>IF(AZ326="n","n",VLOOKUP(AZ326,'Conversion factors'!$C$4:$D$24,2,FALSE))</f>
        <v>2.5</v>
      </c>
      <c r="BB326" s="96">
        <f t="shared" si="80"/>
        <v>376</v>
      </c>
      <c r="BC326" s="97"/>
      <c r="BD326" s="96" t="str">
        <f t="shared" si="88"/>
        <v>Chronic</v>
      </c>
      <c r="BE326" s="96" t="str">
        <f t="shared" si="81"/>
        <v>y</v>
      </c>
      <c r="BF326" s="98" t="str">
        <f t="shared" si="89"/>
        <v>LOEC</v>
      </c>
      <c r="BG326" s="96" t="str">
        <f>IF(BF326="","",IF(ISNUMBER(VLOOKUP(BF326,'Conversion factors'!$B$35:$C$52,2,FALSE)),"y","n"))</f>
        <v>n</v>
      </c>
      <c r="BH326" s="99"/>
    </row>
    <row r="327" spans="1:60" s="103" customFormat="1" ht="15.75" customHeight="1" x14ac:dyDescent="0.2">
      <c r="A327" s="18"/>
      <c r="B327" s="19">
        <v>121</v>
      </c>
      <c r="C327" s="19">
        <v>208695</v>
      </c>
      <c r="D327" s="19">
        <v>8695</v>
      </c>
      <c r="E327" s="19" t="s">
        <v>1224</v>
      </c>
      <c r="F327" s="93">
        <v>1990</v>
      </c>
      <c r="G327" s="19" t="s">
        <v>266</v>
      </c>
      <c r="H327" s="19"/>
      <c r="I327" s="19" t="s">
        <v>41</v>
      </c>
      <c r="J327" s="19" t="s">
        <v>84</v>
      </c>
      <c r="K327" s="19" t="s">
        <v>161</v>
      </c>
      <c r="L327" s="19" t="s">
        <v>82</v>
      </c>
      <c r="M327" s="19" t="s">
        <v>82</v>
      </c>
      <c r="N327" s="19" t="s">
        <v>66</v>
      </c>
      <c r="O327" s="19" t="s">
        <v>267</v>
      </c>
      <c r="P327" s="19" t="s">
        <v>162</v>
      </c>
      <c r="Q327" s="19"/>
      <c r="R327" s="19" t="s">
        <v>237</v>
      </c>
      <c r="S327" s="19" t="s">
        <v>79</v>
      </c>
      <c r="T327" s="19" t="s">
        <v>55</v>
      </c>
      <c r="U327" s="19" t="s">
        <v>55</v>
      </c>
      <c r="V327" s="19" t="s">
        <v>605</v>
      </c>
      <c r="W327" s="19" t="s">
        <v>231</v>
      </c>
      <c r="X327" s="19" t="s">
        <v>46</v>
      </c>
      <c r="Y327" s="29"/>
      <c r="Z327" s="19"/>
      <c r="AA327" s="19"/>
      <c r="AB327" s="19" t="s">
        <v>286</v>
      </c>
      <c r="AC327" s="19" t="s">
        <v>214</v>
      </c>
      <c r="AD327" s="19"/>
      <c r="AE327" s="19">
        <v>63.5</v>
      </c>
      <c r="AF327" s="19">
        <v>63.5</v>
      </c>
      <c r="AG327" s="19" t="s">
        <v>270</v>
      </c>
      <c r="AH327" s="19"/>
      <c r="AI327" s="19"/>
      <c r="AJ327" s="19">
        <v>8.2100000000000009</v>
      </c>
      <c r="AK327" s="19" t="s">
        <v>136</v>
      </c>
      <c r="AL327" s="19"/>
      <c r="AM327" s="19" t="s">
        <v>234</v>
      </c>
      <c r="AN327" s="19" t="s">
        <v>274</v>
      </c>
      <c r="AO327" s="19" t="s">
        <v>270</v>
      </c>
      <c r="AP327" s="94"/>
      <c r="AQ327" s="19" t="s">
        <v>137</v>
      </c>
      <c r="AR327" s="19" t="s">
        <v>275</v>
      </c>
      <c r="AS327" s="19"/>
      <c r="AT327" s="65" t="str">
        <f t="shared" si="87"/>
        <v>Y</v>
      </c>
      <c r="AU327" s="65" t="str">
        <f t="shared" si="78"/>
        <v>Y</v>
      </c>
      <c r="AV327" s="65" t="s">
        <v>162</v>
      </c>
      <c r="AW327" s="99" t="s">
        <v>1405</v>
      </c>
      <c r="AX327" s="99"/>
      <c r="AY327" s="19"/>
      <c r="AZ327" s="96" t="str">
        <f t="shared" si="79"/>
        <v>n</v>
      </c>
      <c r="BA327" s="96" t="str">
        <f>IF(AZ327="n","n",VLOOKUP(AZ327,'Conversion factors'!$C$4:$D$24,2,FALSE))</f>
        <v>n</v>
      </c>
      <c r="BB327" s="96" t="str">
        <f t="shared" si="80"/>
        <v>n</v>
      </c>
      <c r="BC327" s="97"/>
      <c r="BD327" s="96" t="str">
        <f t="shared" si="88"/>
        <v>n</v>
      </c>
      <c r="BE327" s="96" t="str">
        <f t="shared" si="81"/>
        <v>n</v>
      </c>
      <c r="BF327" s="98" t="str">
        <f t="shared" si="89"/>
        <v/>
      </c>
      <c r="BG327" s="96" t="str">
        <f>IF(BF327="","",IF(ISNUMBER(VLOOKUP(BF327,'Conversion factors'!$B$35:$C$52,2,FALSE)),"y","n"))</f>
        <v/>
      </c>
      <c r="BH327" s="99"/>
    </row>
    <row r="328" spans="1:60" s="103" customFormat="1" ht="15.75" customHeight="1" x14ac:dyDescent="0.2">
      <c r="A328" s="18"/>
      <c r="B328" s="19">
        <v>121</v>
      </c>
      <c r="C328" s="19">
        <v>208695</v>
      </c>
      <c r="D328" s="19">
        <v>8695</v>
      </c>
      <c r="E328" s="19" t="s">
        <v>1224</v>
      </c>
      <c r="F328" s="93">
        <v>1990</v>
      </c>
      <c r="G328" s="19" t="s">
        <v>266</v>
      </c>
      <c r="H328" s="19"/>
      <c r="I328" s="19" t="s">
        <v>41</v>
      </c>
      <c r="J328" s="19" t="s">
        <v>84</v>
      </c>
      <c r="K328" s="19" t="s">
        <v>161</v>
      </c>
      <c r="L328" s="99" t="s">
        <v>82</v>
      </c>
      <c r="M328" s="19" t="s">
        <v>82</v>
      </c>
      <c r="N328" s="19" t="s">
        <v>66</v>
      </c>
      <c r="O328" s="19" t="s">
        <v>267</v>
      </c>
      <c r="P328" s="19" t="s">
        <v>162</v>
      </c>
      <c r="Q328" s="19"/>
      <c r="R328" s="19" t="s">
        <v>237</v>
      </c>
      <c r="S328" s="19" t="s">
        <v>79</v>
      </c>
      <c r="T328" s="19" t="s">
        <v>54</v>
      </c>
      <c r="U328" s="19" t="s">
        <v>54</v>
      </c>
      <c r="V328" s="19" t="s">
        <v>605</v>
      </c>
      <c r="W328" s="19" t="s">
        <v>231</v>
      </c>
      <c r="X328" s="19" t="s">
        <v>46</v>
      </c>
      <c r="Y328" s="29"/>
      <c r="Z328" s="19"/>
      <c r="AA328" s="19"/>
      <c r="AB328" s="19" t="s">
        <v>288</v>
      </c>
      <c r="AC328" s="19" t="s">
        <v>214</v>
      </c>
      <c r="AD328" s="19"/>
      <c r="AE328" s="19">
        <v>159.5</v>
      </c>
      <c r="AF328" s="19">
        <v>159.5</v>
      </c>
      <c r="AG328" s="19" t="s">
        <v>270</v>
      </c>
      <c r="AH328" s="19"/>
      <c r="AI328" s="19"/>
      <c r="AJ328" s="101">
        <v>7.95</v>
      </c>
      <c r="AK328" s="19" t="s">
        <v>138</v>
      </c>
      <c r="AL328" s="19"/>
      <c r="AM328" s="19"/>
      <c r="AN328" s="19" t="s">
        <v>277</v>
      </c>
      <c r="AO328" s="19" t="s">
        <v>270</v>
      </c>
      <c r="AP328" s="94"/>
      <c r="AQ328" s="19" t="s">
        <v>139</v>
      </c>
      <c r="AR328" s="19" t="s">
        <v>278</v>
      </c>
      <c r="AS328" s="19"/>
      <c r="AT328" s="65" t="str">
        <f t="shared" si="87"/>
        <v>Y</v>
      </c>
      <c r="AU328" s="65" t="str">
        <f t="shared" si="78"/>
        <v>Y</v>
      </c>
      <c r="AV328" s="65" t="str">
        <f>AU328</f>
        <v>Y</v>
      </c>
      <c r="AW328" s="99"/>
      <c r="AX328" s="99"/>
      <c r="AY328" s="19"/>
      <c r="AZ328" s="96" t="str">
        <f t="shared" si="79"/>
        <v>NOEC</v>
      </c>
      <c r="BA328" s="96">
        <f>IF(AZ328="n","n",VLOOKUP(AZ328,'Conversion factors'!$C$4:$D$24,2,FALSE))</f>
        <v>1</v>
      </c>
      <c r="BB328" s="96">
        <f t="shared" si="80"/>
        <v>460</v>
      </c>
      <c r="BC328" s="97"/>
      <c r="BD328" s="96" t="str">
        <f t="shared" si="88"/>
        <v>Chronic</v>
      </c>
      <c r="BE328" s="96" t="str">
        <f t="shared" si="81"/>
        <v>y</v>
      </c>
      <c r="BF328" s="98" t="str">
        <f t="shared" si="89"/>
        <v>NOEC</v>
      </c>
      <c r="BG328" s="96" t="str">
        <f>IF(BF328="","",IF(ISNUMBER(VLOOKUP(BF328,'Conversion factors'!$B$35:$C$52,2,FALSE)),"y","n"))</f>
        <v>y</v>
      </c>
      <c r="BH328" s="99" t="s">
        <v>1507</v>
      </c>
    </row>
    <row r="329" spans="1:60" s="103" customFormat="1" ht="15.75" customHeight="1" x14ac:dyDescent="0.2">
      <c r="A329" s="18"/>
      <c r="B329" s="19">
        <v>121</v>
      </c>
      <c r="C329" s="19">
        <v>208695</v>
      </c>
      <c r="D329" s="19">
        <v>8695</v>
      </c>
      <c r="E329" s="19" t="s">
        <v>1224</v>
      </c>
      <c r="F329" s="93">
        <v>1990</v>
      </c>
      <c r="G329" s="19" t="s">
        <v>266</v>
      </c>
      <c r="H329" s="19"/>
      <c r="I329" s="19" t="s">
        <v>41</v>
      </c>
      <c r="J329" s="19" t="s">
        <v>84</v>
      </c>
      <c r="K329" s="19" t="s">
        <v>161</v>
      </c>
      <c r="L329" s="99" t="s">
        <v>82</v>
      </c>
      <c r="M329" s="19" t="s">
        <v>82</v>
      </c>
      <c r="N329" s="19" t="s">
        <v>66</v>
      </c>
      <c r="O329" s="19" t="s">
        <v>267</v>
      </c>
      <c r="P329" s="19" t="s">
        <v>162</v>
      </c>
      <c r="Q329" s="19"/>
      <c r="R329" s="19" t="s">
        <v>237</v>
      </c>
      <c r="S329" s="19" t="s">
        <v>79</v>
      </c>
      <c r="T329" s="19" t="s">
        <v>54</v>
      </c>
      <c r="U329" s="19" t="s">
        <v>54</v>
      </c>
      <c r="V329" s="19" t="s">
        <v>605</v>
      </c>
      <c r="W329" s="19" t="s">
        <v>231</v>
      </c>
      <c r="X329" s="19" t="s">
        <v>46</v>
      </c>
      <c r="Y329" s="29"/>
      <c r="Z329" s="19"/>
      <c r="AA329" s="19"/>
      <c r="AB329" s="19" t="s">
        <v>287</v>
      </c>
      <c r="AC329" s="19" t="s">
        <v>214</v>
      </c>
      <c r="AD329" s="19"/>
      <c r="AE329" s="19">
        <v>159.5</v>
      </c>
      <c r="AF329" s="19">
        <v>159.5</v>
      </c>
      <c r="AG329" s="19" t="s">
        <v>270</v>
      </c>
      <c r="AH329" s="19"/>
      <c r="AI329" s="19"/>
      <c r="AJ329" s="101">
        <v>7.95</v>
      </c>
      <c r="AK329" s="19" t="s">
        <v>138</v>
      </c>
      <c r="AL329" s="19"/>
      <c r="AM329" s="19"/>
      <c r="AN329" s="19" t="s">
        <v>277</v>
      </c>
      <c r="AO329" s="19" t="s">
        <v>270</v>
      </c>
      <c r="AP329" s="94"/>
      <c r="AQ329" s="19" t="s">
        <v>139</v>
      </c>
      <c r="AR329" s="19" t="s">
        <v>278</v>
      </c>
      <c r="AS329" s="19"/>
      <c r="AT329" s="65" t="str">
        <f t="shared" si="87"/>
        <v>Y</v>
      </c>
      <c r="AU329" s="65" t="str">
        <f t="shared" si="78"/>
        <v>Y</v>
      </c>
      <c r="AV329" s="65" t="str">
        <f>AU329</f>
        <v>Y</v>
      </c>
      <c r="AW329" s="99"/>
      <c r="AX329" s="99"/>
      <c r="AY329" s="19"/>
      <c r="AZ329" s="96" t="str">
        <f t="shared" si="79"/>
        <v>NOEC</v>
      </c>
      <c r="BA329" s="96">
        <f>IF(AZ329="n","n",VLOOKUP(AZ329,'Conversion factors'!$C$4:$D$24,2,FALSE))</f>
        <v>1</v>
      </c>
      <c r="BB329" s="96">
        <f t="shared" si="80"/>
        <v>940</v>
      </c>
      <c r="BC329" s="97"/>
      <c r="BD329" s="96" t="str">
        <f t="shared" si="88"/>
        <v>Chronic</v>
      </c>
      <c r="BE329" s="96" t="str">
        <f t="shared" si="81"/>
        <v>y</v>
      </c>
      <c r="BF329" s="98" t="str">
        <f t="shared" si="89"/>
        <v>NOEC</v>
      </c>
      <c r="BG329" s="96" t="str">
        <f>IF(BF329="","",IF(ISNUMBER(VLOOKUP(BF329,'Conversion factors'!$B$35:$C$52,2,FALSE)),"y","n"))</f>
        <v>y</v>
      </c>
      <c r="BH329" s="99" t="s">
        <v>1507</v>
      </c>
    </row>
    <row r="330" spans="1:60" s="103" customFormat="1" ht="15.75" customHeight="1" x14ac:dyDescent="0.2">
      <c r="A330" s="18"/>
      <c r="B330" s="19">
        <v>121</v>
      </c>
      <c r="C330" s="19">
        <v>208695</v>
      </c>
      <c r="D330" s="19">
        <v>8695</v>
      </c>
      <c r="E330" s="19" t="s">
        <v>1224</v>
      </c>
      <c r="F330" s="93">
        <v>1990</v>
      </c>
      <c r="G330" s="19" t="s">
        <v>266</v>
      </c>
      <c r="H330" s="19"/>
      <c r="I330" s="19" t="s">
        <v>41</v>
      </c>
      <c r="J330" s="19" t="s">
        <v>84</v>
      </c>
      <c r="K330" s="19" t="s">
        <v>161</v>
      </c>
      <c r="L330" s="19" t="s">
        <v>82</v>
      </c>
      <c r="M330" s="19" t="s">
        <v>82</v>
      </c>
      <c r="N330" s="19" t="s">
        <v>66</v>
      </c>
      <c r="O330" s="19" t="s">
        <v>267</v>
      </c>
      <c r="P330" s="19" t="s">
        <v>162</v>
      </c>
      <c r="Q330" s="19"/>
      <c r="R330" s="19" t="s">
        <v>237</v>
      </c>
      <c r="S330" s="19" t="s">
        <v>79</v>
      </c>
      <c r="T330" s="19" t="s">
        <v>54</v>
      </c>
      <c r="U330" s="19" t="s">
        <v>54</v>
      </c>
      <c r="V330" s="19" t="s">
        <v>605</v>
      </c>
      <c r="W330" s="19" t="s">
        <v>231</v>
      </c>
      <c r="X330" s="19" t="s">
        <v>46</v>
      </c>
      <c r="Y330" s="29"/>
      <c r="Z330" s="19"/>
      <c r="AA330" s="19"/>
      <c r="AB330" s="19" t="s">
        <v>286</v>
      </c>
      <c r="AC330" s="19" t="s">
        <v>214</v>
      </c>
      <c r="AD330" s="19"/>
      <c r="AE330" s="19">
        <v>93.9</v>
      </c>
      <c r="AF330" s="19">
        <v>93.9</v>
      </c>
      <c r="AG330" s="19" t="s">
        <v>270</v>
      </c>
      <c r="AH330" s="19"/>
      <c r="AI330" s="19"/>
      <c r="AJ330" s="19">
        <v>8.25</v>
      </c>
      <c r="AK330" s="19" t="s">
        <v>134</v>
      </c>
      <c r="AL330" s="19"/>
      <c r="AM330" s="19"/>
      <c r="AN330" s="19" t="s">
        <v>271</v>
      </c>
      <c r="AO330" s="19" t="s">
        <v>270</v>
      </c>
      <c r="AP330" s="94"/>
      <c r="AQ330" s="19" t="s">
        <v>135</v>
      </c>
      <c r="AR330" s="19" t="s">
        <v>272</v>
      </c>
      <c r="AS330" s="19"/>
      <c r="AT330" s="65" t="str">
        <f t="shared" si="87"/>
        <v>Y</v>
      </c>
      <c r="AU330" s="65" t="str">
        <f t="shared" si="78"/>
        <v>Y</v>
      </c>
      <c r="AV330" s="65" t="str">
        <f>AU330</f>
        <v>Y</v>
      </c>
      <c r="AW330" s="99"/>
      <c r="AX330" s="99"/>
      <c r="AY330" s="19"/>
      <c r="AZ330" s="96" t="str">
        <f t="shared" si="79"/>
        <v>NOEC</v>
      </c>
      <c r="BA330" s="96">
        <f>IF(AZ330="n","n",VLOOKUP(AZ330,'Conversion factors'!$C$4:$D$24,2,FALSE))</f>
        <v>1</v>
      </c>
      <c r="BB330" s="96">
        <f t="shared" si="80"/>
        <v>430</v>
      </c>
      <c r="BC330" s="97"/>
      <c r="BD330" s="96" t="str">
        <f t="shared" si="88"/>
        <v>Chronic</v>
      </c>
      <c r="BE330" s="96" t="str">
        <f t="shared" si="81"/>
        <v>y</v>
      </c>
      <c r="BF330" s="98" t="str">
        <f t="shared" si="89"/>
        <v>NOEC</v>
      </c>
      <c r="BG330" s="96" t="str">
        <f>IF(BF330="","",IF(ISNUMBER(VLOOKUP(BF330,'Conversion factors'!$B$35:$C$52,2,FALSE)),"y","n"))</f>
        <v>y</v>
      </c>
      <c r="BH330" s="99" t="s">
        <v>1507</v>
      </c>
    </row>
    <row r="331" spans="1:60" s="103" customFormat="1" ht="15.75" customHeight="1" x14ac:dyDescent="0.2">
      <c r="A331" s="18"/>
      <c r="B331" s="19">
        <v>121</v>
      </c>
      <c r="C331" s="19">
        <v>208695</v>
      </c>
      <c r="D331" s="19">
        <v>8695</v>
      </c>
      <c r="E331" s="19" t="s">
        <v>1224</v>
      </c>
      <c r="F331" s="93">
        <v>1990</v>
      </c>
      <c r="G331" s="19" t="s">
        <v>266</v>
      </c>
      <c r="H331" s="19"/>
      <c r="I331" s="19" t="s">
        <v>41</v>
      </c>
      <c r="J331" s="19" t="s">
        <v>84</v>
      </c>
      <c r="K331" s="19" t="s">
        <v>161</v>
      </c>
      <c r="L331" s="19" t="s">
        <v>82</v>
      </c>
      <c r="M331" s="19" t="s">
        <v>82</v>
      </c>
      <c r="N331" s="19" t="s">
        <v>66</v>
      </c>
      <c r="O331" s="19" t="s">
        <v>267</v>
      </c>
      <c r="P331" s="19" t="s">
        <v>162</v>
      </c>
      <c r="Q331" s="19"/>
      <c r="R331" s="19" t="s">
        <v>237</v>
      </c>
      <c r="S331" s="19" t="s">
        <v>79</v>
      </c>
      <c r="T331" s="19" t="s">
        <v>54</v>
      </c>
      <c r="U331" s="19" t="s">
        <v>54</v>
      </c>
      <c r="V331" s="19" t="s">
        <v>605</v>
      </c>
      <c r="W331" s="19" t="s">
        <v>231</v>
      </c>
      <c r="X331" s="19" t="s">
        <v>46</v>
      </c>
      <c r="Y331" s="29"/>
      <c r="Z331" s="19"/>
      <c r="AA331" s="19"/>
      <c r="AB331" s="19" t="s">
        <v>289</v>
      </c>
      <c r="AC331" s="19" t="s">
        <v>214</v>
      </c>
      <c r="AD331" s="19"/>
      <c r="AE331" s="19">
        <v>63.5</v>
      </c>
      <c r="AF331" s="19">
        <v>63.5</v>
      </c>
      <c r="AG331" s="19" t="s">
        <v>270</v>
      </c>
      <c r="AH331" s="19"/>
      <c r="AI331" s="19"/>
      <c r="AJ331" s="19">
        <v>8.2100000000000009</v>
      </c>
      <c r="AK331" s="19" t="s">
        <v>136</v>
      </c>
      <c r="AL331" s="19"/>
      <c r="AM331" s="19"/>
      <c r="AN331" s="19" t="s">
        <v>274</v>
      </c>
      <c r="AO331" s="19" t="s">
        <v>270</v>
      </c>
      <c r="AP331" s="94"/>
      <c r="AQ331" s="19" t="s">
        <v>137</v>
      </c>
      <c r="AR331" s="19" t="s">
        <v>275</v>
      </c>
      <c r="AS331" s="19"/>
      <c r="AT331" s="65" t="str">
        <f t="shared" si="87"/>
        <v>Y</v>
      </c>
      <c r="AU331" s="65" t="str">
        <f t="shared" si="78"/>
        <v>Y</v>
      </c>
      <c r="AV331" s="65" t="str">
        <f t="shared" ref="AV331:AV363" si="90">AU331</f>
        <v>Y</v>
      </c>
      <c r="AW331" s="99"/>
      <c r="AX331" s="99"/>
      <c r="AY331" s="19"/>
      <c r="AZ331" s="96" t="str">
        <f t="shared" si="79"/>
        <v>NOEC</v>
      </c>
      <c r="BA331" s="96">
        <f>IF(AZ331="n","n",VLOOKUP(AZ331,'Conversion factors'!$C$4:$D$24,2,FALSE))</f>
        <v>1</v>
      </c>
      <c r="BB331" s="96">
        <f t="shared" si="80"/>
        <v>150</v>
      </c>
      <c r="BC331" s="97"/>
      <c r="BD331" s="96" t="str">
        <f t="shared" si="88"/>
        <v>Chronic</v>
      </c>
      <c r="BE331" s="96" t="str">
        <f t="shared" si="81"/>
        <v>y</v>
      </c>
      <c r="BF331" s="98" t="str">
        <f t="shared" si="89"/>
        <v>NOEC</v>
      </c>
      <c r="BG331" s="96" t="str">
        <f>IF(BF331="","",IF(ISNUMBER(VLOOKUP(BF331,'Conversion factors'!$B$35:$C$52,2,FALSE)),"y","n"))</f>
        <v>y</v>
      </c>
      <c r="BH331" s="99" t="s">
        <v>1507</v>
      </c>
    </row>
    <row r="332" spans="1:60" s="103" customFormat="1" ht="15.75" customHeight="1" x14ac:dyDescent="0.2">
      <c r="A332" s="18"/>
      <c r="B332" s="19">
        <v>121</v>
      </c>
      <c r="C332" s="19">
        <v>208695</v>
      </c>
      <c r="D332" s="19">
        <v>8695</v>
      </c>
      <c r="E332" s="19" t="s">
        <v>1224</v>
      </c>
      <c r="F332" s="93">
        <v>1990</v>
      </c>
      <c r="G332" s="19" t="s">
        <v>266</v>
      </c>
      <c r="H332" s="19"/>
      <c r="I332" s="19" t="s">
        <v>41</v>
      </c>
      <c r="J332" s="19" t="s">
        <v>84</v>
      </c>
      <c r="K332" s="19" t="s">
        <v>161</v>
      </c>
      <c r="L332" s="19" t="s">
        <v>82</v>
      </c>
      <c r="M332" s="19" t="s">
        <v>82</v>
      </c>
      <c r="N332" s="19" t="s">
        <v>66</v>
      </c>
      <c r="O332" s="19" t="s">
        <v>267</v>
      </c>
      <c r="P332" s="19" t="s">
        <v>162</v>
      </c>
      <c r="Q332" s="19"/>
      <c r="R332" s="19" t="s">
        <v>237</v>
      </c>
      <c r="S332" s="19" t="s">
        <v>79</v>
      </c>
      <c r="T332" s="19" t="s">
        <v>54</v>
      </c>
      <c r="U332" s="19" t="s">
        <v>54</v>
      </c>
      <c r="V332" s="19" t="s">
        <v>605</v>
      </c>
      <c r="W332" s="19" t="s">
        <v>231</v>
      </c>
      <c r="X332" s="19" t="s">
        <v>46</v>
      </c>
      <c r="Y332" s="29"/>
      <c r="Z332" s="19"/>
      <c r="AA332" s="19"/>
      <c r="AB332" s="19" t="s">
        <v>86</v>
      </c>
      <c r="AC332" s="19" t="s">
        <v>214</v>
      </c>
      <c r="AD332" s="19"/>
      <c r="AE332" s="19">
        <v>93.9</v>
      </c>
      <c r="AF332" s="19">
        <v>93.9</v>
      </c>
      <c r="AG332" s="19" t="s">
        <v>270</v>
      </c>
      <c r="AH332" s="19"/>
      <c r="AI332" s="19"/>
      <c r="AJ332" s="19">
        <v>8.25</v>
      </c>
      <c r="AK332" s="19" t="s">
        <v>134</v>
      </c>
      <c r="AL332" s="19"/>
      <c r="AM332" s="19"/>
      <c r="AN332" s="19" t="s">
        <v>271</v>
      </c>
      <c r="AO332" s="19" t="s">
        <v>270</v>
      </c>
      <c r="AP332" s="94"/>
      <c r="AQ332" s="19" t="s">
        <v>135</v>
      </c>
      <c r="AR332" s="19" t="s">
        <v>272</v>
      </c>
      <c r="AS332" s="19"/>
      <c r="AT332" s="65" t="str">
        <f t="shared" si="87"/>
        <v>Y</v>
      </c>
      <c r="AU332" s="65" t="str">
        <f t="shared" ref="AU332:AU397" si="91">IF(AT332="N","N",IF(AJ332&lt;6,"N",IF(AJ332&gt;8.5,"N","Y")))</f>
        <v>Y</v>
      </c>
      <c r="AV332" s="65" t="str">
        <f t="shared" si="90"/>
        <v>Y</v>
      </c>
      <c r="AW332" s="99"/>
      <c r="AX332" s="99"/>
      <c r="AY332" s="19"/>
      <c r="AZ332" s="96" t="str">
        <f t="shared" si="79"/>
        <v>NOEC</v>
      </c>
      <c r="BA332" s="96">
        <f>IF(AZ332="n","n",VLOOKUP(AZ332,'Conversion factors'!$C$4:$D$24,2,FALSE))</f>
        <v>1</v>
      </c>
      <c r="BB332" s="96">
        <f t="shared" si="80"/>
        <v>100</v>
      </c>
      <c r="BC332" s="97"/>
      <c r="BD332" s="96" t="str">
        <f t="shared" si="88"/>
        <v>Chronic</v>
      </c>
      <c r="BE332" s="96" t="str">
        <f t="shared" si="81"/>
        <v>y</v>
      </c>
      <c r="BF332" s="98" t="str">
        <f t="shared" si="89"/>
        <v>NOEC</v>
      </c>
      <c r="BG332" s="96" t="str">
        <f>IF(BF332="","",IF(ISNUMBER(VLOOKUP(BF332,'Conversion factors'!$B$35:$C$52,2,FALSE)),"y","n"))</f>
        <v>y</v>
      </c>
      <c r="BH332" s="99" t="s">
        <v>1507</v>
      </c>
    </row>
    <row r="333" spans="1:60" s="103" customFormat="1" ht="15.75" customHeight="1" x14ac:dyDescent="0.2">
      <c r="A333" s="18"/>
      <c r="B333" s="19">
        <v>121</v>
      </c>
      <c r="C333" s="19">
        <v>208695</v>
      </c>
      <c r="D333" s="19">
        <v>8695</v>
      </c>
      <c r="E333" s="19" t="s">
        <v>1224</v>
      </c>
      <c r="F333" s="93">
        <v>1990</v>
      </c>
      <c r="G333" s="19" t="s">
        <v>266</v>
      </c>
      <c r="H333" s="19"/>
      <c r="I333" s="19" t="s">
        <v>41</v>
      </c>
      <c r="J333" s="19" t="s">
        <v>84</v>
      </c>
      <c r="K333" s="19" t="s">
        <v>161</v>
      </c>
      <c r="L333" s="19" t="s">
        <v>82</v>
      </c>
      <c r="M333" s="19" t="s">
        <v>82</v>
      </c>
      <c r="N333" s="19" t="s">
        <v>66</v>
      </c>
      <c r="O333" s="19" t="s">
        <v>267</v>
      </c>
      <c r="P333" s="19" t="s">
        <v>162</v>
      </c>
      <c r="Q333" s="19"/>
      <c r="R333" s="19" t="s">
        <v>237</v>
      </c>
      <c r="S333" s="19" t="s">
        <v>79</v>
      </c>
      <c r="T333" s="19" t="s">
        <v>54</v>
      </c>
      <c r="U333" s="19" t="s">
        <v>54</v>
      </c>
      <c r="V333" s="19" t="s">
        <v>605</v>
      </c>
      <c r="W333" s="19" t="s">
        <v>231</v>
      </c>
      <c r="X333" s="19" t="s">
        <v>46</v>
      </c>
      <c r="Y333" s="29"/>
      <c r="Z333" s="19"/>
      <c r="AA333" s="19"/>
      <c r="AB333" s="19" t="s">
        <v>289</v>
      </c>
      <c r="AC333" s="19" t="s">
        <v>214</v>
      </c>
      <c r="AD333" s="19"/>
      <c r="AE333" s="19">
        <v>63.5</v>
      </c>
      <c r="AF333" s="19">
        <v>63.5</v>
      </c>
      <c r="AG333" s="19" t="s">
        <v>270</v>
      </c>
      <c r="AH333" s="19"/>
      <c r="AI333" s="19"/>
      <c r="AJ333" s="19">
        <v>8.2100000000000009</v>
      </c>
      <c r="AK333" s="19" t="s">
        <v>136</v>
      </c>
      <c r="AL333" s="19"/>
      <c r="AM333" s="19"/>
      <c r="AN333" s="19" t="s">
        <v>274</v>
      </c>
      <c r="AO333" s="19" t="s">
        <v>270</v>
      </c>
      <c r="AP333" s="94"/>
      <c r="AQ333" s="19" t="s">
        <v>137</v>
      </c>
      <c r="AR333" s="19" t="s">
        <v>275</v>
      </c>
      <c r="AS333" s="19"/>
      <c r="AT333" s="65" t="str">
        <f t="shared" si="87"/>
        <v>Y</v>
      </c>
      <c r="AU333" s="65" t="str">
        <f t="shared" si="91"/>
        <v>Y</v>
      </c>
      <c r="AV333" s="65" t="str">
        <f t="shared" si="90"/>
        <v>Y</v>
      </c>
      <c r="AW333" s="99"/>
      <c r="AX333" s="99"/>
      <c r="AY333" s="19"/>
      <c r="AZ333" s="96" t="str">
        <f t="shared" ref="AZ333:AZ398" si="92">IF(AV333="N","n",T333)</f>
        <v>NOEC</v>
      </c>
      <c r="BA333" s="96">
        <f>IF(AZ333="n","n",VLOOKUP(AZ333,'Conversion factors'!$C$4:$D$24,2,FALSE))</f>
        <v>1</v>
      </c>
      <c r="BB333" s="96">
        <f t="shared" ref="BB333:BB398" si="93">IF(BA333="n","n",AB333/BA333)</f>
        <v>150</v>
      </c>
      <c r="BC333" s="97"/>
      <c r="BD333" s="96" t="str">
        <f t="shared" si="88"/>
        <v>Chronic</v>
      </c>
      <c r="BE333" s="96" t="str">
        <f t="shared" ref="BE333:BE398" si="94">IF(BD333="chronic","y","n")</f>
        <v>y</v>
      </c>
      <c r="BF333" s="98" t="str">
        <f t="shared" si="89"/>
        <v>NOEC</v>
      </c>
      <c r="BG333" s="96" t="str">
        <f>IF(BF333="","",IF(ISNUMBER(VLOOKUP(BF333,'Conversion factors'!$B$35:$C$52,2,FALSE)),"y","n"))</f>
        <v>y</v>
      </c>
      <c r="BH333" s="99" t="s">
        <v>1507</v>
      </c>
    </row>
    <row r="334" spans="1:60" s="103" customFormat="1" ht="15.75" customHeight="1" x14ac:dyDescent="0.2">
      <c r="A334" s="18"/>
      <c r="B334" s="19">
        <v>193</v>
      </c>
      <c r="C334" s="19"/>
      <c r="D334" s="19">
        <v>20435</v>
      </c>
      <c r="E334" s="19" t="s">
        <v>1224</v>
      </c>
      <c r="F334" s="93">
        <v>1999</v>
      </c>
      <c r="G334" s="19" t="s">
        <v>377</v>
      </c>
      <c r="H334" s="19"/>
      <c r="I334" s="19" t="s">
        <v>41</v>
      </c>
      <c r="J334" s="19" t="s">
        <v>84</v>
      </c>
      <c r="K334" s="19" t="s">
        <v>161</v>
      </c>
      <c r="L334" s="19" t="s">
        <v>82</v>
      </c>
      <c r="M334" s="19" t="s">
        <v>82</v>
      </c>
      <c r="N334" s="19" t="s">
        <v>66</v>
      </c>
      <c r="O334" s="19" t="s">
        <v>235</v>
      </c>
      <c r="P334" s="19" t="s">
        <v>162</v>
      </c>
      <c r="Q334" s="19"/>
      <c r="R334" s="19" t="s">
        <v>237</v>
      </c>
      <c r="S334" s="19" t="s">
        <v>79</v>
      </c>
      <c r="T334" s="19" t="s">
        <v>56</v>
      </c>
      <c r="U334" s="19" t="s">
        <v>44</v>
      </c>
      <c r="V334" s="19" t="s">
        <v>85</v>
      </c>
      <c r="W334" s="19" t="s">
        <v>231</v>
      </c>
      <c r="X334" s="19" t="s">
        <v>46</v>
      </c>
      <c r="Y334" s="29"/>
      <c r="Z334" s="19"/>
      <c r="AA334" s="19"/>
      <c r="AB334" s="19" t="s">
        <v>381</v>
      </c>
      <c r="AC334" s="19" t="s">
        <v>1322</v>
      </c>
      <c r="AD334" s="19"/>
      <c r="AE334" s="19">
        <v>70</v>
      </c>
      <c r="AF334" s="19" t="s">
        <v>379</v>
      </c>
      <c r="AG334" s="19" t="s">
        <v>270</v>
      </c>
      <c r="AH334" s="19"/>
      <c r="AI334" s="19"/>
      <c r="AJ334" s="19">
        <f>MEDIAN(6,7)</f>
        <v>6.5</v>
      </c>
      <c r="AK334" s="19" t="s">
        <v>378</v>
      </c>
      <c r="AL334" s="19"/>
      <c r="AM334" s="19" t="s">
        <v>234</v>
      </c>
      <c r="AN334" s="19" t="s">
        <v>379</v>
      </c>
      <c r="AO334" s="19" t="s">
        <v>270</v>
      </c>
      <c r="AP334" s="94"/>
      <c r="AQ334" s="19" t="s">
        <v>97</v>
      </c>
      <c r="AR334" s="19" t="s">
        <v>380</v>
      </c>
      <c r="AS334" s="19"/>
      <c r="AT334" s="65" t="str">
        <f t="shared" si="87"/>
        <v>N</v>
      </c>
      <c r="AU334" s="65" t="str">
        <f t="shared" si="91"/>
        <v>N</v>
      </c>
      <c r="AV334" s="65" t="str">
        <f t="shared" si="90"/>
        <v>N</v>
      </c>
      <c r="AW334" s="99"/>
      <c r="AX334" s="99"/>
      <c r="AY334" s="19"/>
      <c r="AZ334" s="96" t="str">
        <f t="shared" si="92"/>
        <v>n</v>
      </c>
      <c r="BA334" s="96" t="str">
        <f>IF(AZ334="n","n",VLOOKUP(AZ334,'Conversion factors'!$C$4:$D$24,2,FALSE))</f>
        <v>n</v>
      </c>
      <c r="BB334" s="96" t="str">
        <f t="shared" si="93"/>
        <v>n</v>
      </c>
      <c r="BC334" s="97"/>
      <c r="BD334" s="96" t="str">
        <f t="shared" si="88"/>
        <v>n</v>
      </c>
      <c r="BE334" s="96" t="str">
        <f t="shared" si="94"/>
        <v>n</v>
      </c>
      <c r="BF334" s="98" t="str">
        <f t="shared" si="89"/>
        <v/>
      </c>
      <c r="BG334" s="96" t="str">
        <f>IF(BF334="","",IF(ISNUMBER(VLOOKUP(BF334,'Conversion factors'!$B$35:$C$52,2,FALSE)),"y","n"))</f>
        <v/>
      </c>
      <c r="BH334" s="99"/>
    </row>
    <row r="335" spans="1:60" s="103" customFormat="1" ht="15.75" customHeight="1" x14ac:dyDescent="0.2">
      <c r="A335" s="18"/>
      <c r="B335" s="19">
        <v>197</v>
      </c>
      <c r="C335" s="19"/>
      <c r="D335" s="19">
        <v>45211</v>
      </c>
      <c r="E335" s="19" t="s">
        <v>1224</v>
      </c>
      <c r="F335" s="93">
        <v>1996</v>
      </c>
      <c r="G335" s="19" t="s">
        <v>401</v>
      </c>
      <c r="H335" s="19"/>
      <c r="I335" s="19" t="s">
        <v>41</v>
      </c>
      <c r="J335" s="19" t="s">
        <v>84</v>
      </c>
      <c r="K335" s="19" t="s">
        <v>161</v>
      </c>
      <c r="L335" s="19" t="s">
        <v>82</v>
      </c>
      <c r="M335" s="19" t="s">
        <v>82</v>
      </c>
      <c r="N335" s="19" t="s">
        <v>66</v>
      </c>
      <c r="O335" s="19" t="s">
        <v>328</v>
      </c>
      <c r="P335" s="19" t="s">
        <v>162</v>
      </c>
      <c r="Q335" s="19"/>
      <c r="R335" s="19" t="s">
        <v>228</v>
      </c>
      <c r="S335" s="19" t="s">
        <v>404</v>
      </c>
      <c r="T335" s="19" t="s">
        <v>44</v>
      </c>
      <c r="U335" s="19" t="s">
        <v>44</v>
      </c>
      <c r="V335" s="19" t="s">
        <v>85</v>
      </c>
      <c r="W335" s="19" t="s">
        <v>231</v>
      </c>
      <c r="X335" s="19" t="s">
        <v>46</v>
      </c>
      <c r="Y335" s="29"/>
      <c r="Z335" s="19"/>
      <c r="AA335" s="19"/>
      <c r="AB335" s="19" t="s">
        <v>405</v>
      </c>
      <c r="AC335" s="19" t="s">
        <v>1322</v>
      </c>
      <c r="AD335" s="19"/>
      <c r="AE335" s="19">
        <v>106</v>
      </c>
      <c r="AF335" s="19" t="s">
        <v>1299</v>
      </c>
      <c r="AG335" s="19" t="s">
        <v>270</v>
      </c>
      <c r="AH335" s="19"/>
      <c r="AI335" s="19"/>
      <c r="AJ335" s="19">
        <f>MEDIAN(7,7.5)</f>
        <v>7.25</v>
      </c>
      <c r="AK335" s="19" t="s">
        <v>403</v>
      </c>
      <c r="AL335" s="19"/>
      <c r="AM335" s="19" t="s">
        <v>234</v>
      </c>
      <c r="AN335" s="19" t="s">
        <v>234</v>
      </c>
      <c r="AO335" s="19" t="s">
        <v>235</v>
      </c>
      <c r="AP335" s="94"/>
      <c r="AQ335" s="19" t="s">
        <v>150</v>
      </c>
      <c r="AR335" s="19" t="s">
        <v>241</v>
      </c>
      <c r="AS335" s="19"/>
      <c r="AT335" s="65" t="str">
        <f t="shared" si="87"/>
        <v>N</v>
      </c>
      <c r="AU335" s="65" t="str">
        <f t="shared" si="91"/>
        <v>N</v>
      </c>
      <c r="AV335" s="65" t="str">
        <f t="shared" si="90"/>
        <v>N</v>
      </c>
      <c r="AW335" s="99"/>
      <c r="AX335" s="99"/>
      <c r="AY335" s="19"/>
      <c r="AZ335" s="96" t="str">
        <f t="shared" si="92"/>
        <v>n</v>
      </c>
      <c r="BA335" s="96" t="str">
        <f>IF(AZ335="n","n",VLOOKUP(AZ335,'Conversion factors'!$C$4:$D$24,2,FALSE))</f>
        <v>n</v>
      </c>
      <c r="BB335" s="96" t="str">
        <f t="shared" si="93"/>
        <v>n</v>
      </c>
      <c r="BC335" s="97"/>
      <c r="BD335" s="96" t="str">
        <f t="shared" si="88"/>
        <v>n</v>
      </c>
      <c r="BE335" s="96" t="str">
        <f t="shared" si="94"/>
        <v>n</v>
      </c>
      <c r="BF335" s="98" t="str">
        <f t="shared" si="89"/>
        <v/>
      </c>
      <c r="BG335" s="96" t="str">
        <f>IF(BF335="","",IF(ISNUMBER(VLOOKUP(BF335,'Conversion factors'!$B$35:$C$52,2,FALSE)),"y","n"))</f>
        <v/>
      </c>
      <c r="BH335" s="99"/>
    </row>
    <row r="336" spans="1:60" s="103" customFormat="1" ht="15.75" customHeight="1" x14ac:dyDescent="0.2">
      <c r="A336" s="18"/>
      <c r="B336" s="19">
        <v>197</v>
      </c>
      <c r="C336" s="19"/>
      <c r="D336" s="19">
        <v>45211</v>
      </c>
      <c r="E336" s="19" t="s">
        <v>1224</v>
      </c>
      <c r="F336" s="93">
        <v>1996</v>
      </c>
      <c r="G336" s="19" t="s">
        <v>401</v>
      </c>
      <c r="H336" s="19"/>
      <c r="I336" s="19" t="s">
        <v>41</v>
      </c>
      <c r="J336" s="19" t="s">
        <v>84</v>
      </c>
      <c r="K336" s="19" t="s">
        <v>161</v>
      </c>
      <c r="L336" s="19" t="s">
        <v>82</v>
      </c>
      <c r="M336" s="19" t="s">
        <v>82</v>
      </c>
      <c r="N336" s="19" t="s">
        <v>66</v>
      </c>
      <c r="O336" s="19" t="s">
        <v>328</v>
      </c>
      <c r="P336" s="19" t="s">
        <v>162</v>
      </c>
      <c r="Q336" s="19"/>
      <c r="R336" s="19" t="s">
        <v>228</v>
      </c>
      <c r="S336" s="19" t="s">
        <v>404</v>
      </c>
      <c r="T336" s="19" t="s">
        <v>44</v>
      </c>
      <c r="U336" s="19" t="s">
        <v>44</v>
      </c>
      <c r="V336" s="19" t="s">
        <v>85</v>
      </c>
      <c r="W336" s="19" t="s">
        <v>231</v>
      </c>
      <c r="X336" s="19" t="s">
        <v>46</v>
      </c>
      <c r="Y336" s="29"/>
      <c r="Z336" s="19"/>
      <c r="AA336" s="19"/>
      <c r="AB336" s="19" t="s">
        <v>406</v>
      </c>
      <c r="AC336" s="19" t="s">
        <v>1322</v>
      </c>
      <c r="AD336" s="19"/>
      <c r="AE336" s="19">
        <v>106</v>
      </c>
      <c r="AF336" s="19" t="s">
        <v>1299</v>
      </c>
      <c r="AG336" s="19" t="s">
        <v>270</v>
      </c>
      <c r="AH336" s="19"/>
      <c r="AI336" s="19"/>
      <c r="AJ336" s="19">
        <f>MEDIAN(7,7.5)</f>
        <v>7.25</v>
      </c>
      <c r="AK336" s="19" t="s">
        <v>403</v>
      </c>
      <c r="AL336" s="19"/>
      <c r="AM336" s="19" t="s">
        <v>234</v>
      </c>
      <c r="AN336" s="19" t="s">
        <v>234</v>
      </c>
      <c r="AO336" s="19" t="s">
        <v>235</v>
      </c>
      <c r="AP336" s="94"/>
      <c r="AQ336" s="19" t="s">
        <v>150</v>
      </c>
      <c r="AR336" s="19" t="s">
        <v>241</v>
      </c>
      <c r="AS336" s="19"/>
      <c r="AT336" s="65" t="str">
        <f t="shared" si="87"/>
        <v>N</v>
      </c>
      <c r="AU336" s="65" t="str">
        <f t="shared" si="91"/>
        <v>N</v>
      </c>
      <c r="AV336" s="65" t="str">
        <f t="shared" si="90"/>
        <v>N</v>
      </c>
      <c r="AW336" s="99"/>
      <c r="AX336" s="99"/>
      <c r="AY336" s="19"/>
      <c r="AZ336" s="96" t="str">
        <f t="shared" si="92"/>
        <v>n</v>
      </c>
      <c r="BA336" s="96" t="str">
        <f>IF(AZ336="n","n",VLOOKUP(AZ336,'Conversion factors'!$C$4:$D$24,2,FALSE))</f>
        <v>n</v>
      </c>
      <c r="BB336" s="96" t="str">
        <f t="shared" si="93"/>
        <v>n</v>
      </c>
      <c r="BC336" s="97"/>
      <c r="BD336" s="96" t="str">
        <f t="shared" si="88"/>
        <v>n</v>
      </c>
      <c r="BE336" s="96" t="str">
        <f t="shared" si="94"/>
        <v>n</v>
      </c>
      <c r="BF336" s="98" t="str">
        <f t="shared" si="89"/>
        <v/>
      </c>
      <c r="BG336" s="96" t="str">
        <f>IF(BF336="","",IF(ISNUMBER(VLOOKUP(BF336,'Conversion factors'!$B$35:$C$52,2,FALSE)),"y","n"))</f>
        <v/>
      </c>
      <c r="BH336" s="99"/>
    </row>
    <row r="337" spans="1:60" s="103" customFormat="1" ht="15.75" customHeight="1" x14ac:dyDescent="0.2">
      <c r="A337" s="18"/>
      <c r="B337" s="19">
        <v>197</v>
      </c>
      <c r="C337" s="19"/>
      <c r="D337" s="19">
        <v>45211</v>
      </c>
      <c r="E337" s="19" t="s">
        <v>1224</v>
      </c>
      <c r="F337" s="93">
        <v>1996</v>
      </c>
      <c r="G337" s="19" t="s">
        <v>401</v>
      </c>
      <c r="H337" s="19"/>
      <c r="I337" s="19" t="s">
        <v>41</v>
      </c>
      <c r="J337" s="19" t="s">
        <v>84</v>
      </c>
      <c r="K337" s="19" t="s">
        <v>161</v>
      </c>
      <c r="L337" s="19" t="s">
        <v>82</v>
      </c>
      <c r="M337" s="19" t="s">
        <v>82</v>
      </c>
      <c r="N337" s="19" t="s">
        <v>66</v>
      </c>
      <c r="O337" s="19" t="s">
        <v>328</v>
      </c>
      <c r="P337" s="19" t="s">
        <v>162</v>
      </c>
      <c r="Q337" s="19"/>
      <c r="R337" s="19" t="s">
        <v>237</v>
      </c>
      <c r="S337" s="19" t="s">
        <v>79</v>
      </c>
      <c r="T337" s="19" t="s">
        <v>56</v>
      </c>
      <c r="U337" s="19" t="s">
        <v>44</v>
      </c>
      <c r="V337" s="19" t="s">
        <v>85</v>
      </c>
      <c r="W337" s="19" t="s">
        <v>231</v>
      </c>
      <c r="X337" s="19" t="s">
        <v>46</v>
      </c>
      <c r="Y337" s="29"/>
      <c r="Z337" s="19"/>
      <c r="AA337" s="19"/>
      <c r="AB337" s="19" t="s">
        <v>407</v>
      </c>
      <c r="AC337" s="19" t="s">
        <v>1322</v>
      </c>
      <c r="AD337" s="19"/>
      <c r="AE337" s="19">
        <v>106</v>
      </c>
      <c r="AF337" s="19" t="s">
        <v>1299</v>
      </c>
      <c r="AG337" s="19" t="s">
        <v>270</v>
      </c>
      <c r="AH337" s="19"/>
      <c r="AI337" s="19"/>
      <c r="AJ337" s="19">
        <f>MEDIAN(7,7.5)</f>
        <v>7.25</v>
      </c>
      <c r="AK337" s="19" t="s">
        <v>403</v>
      </c>
      <c r="AL337" s="19"/>
      <c r="AM337" s="19" t="s">
        <v>234</v>
      </c>
      <c r="AN337" s="19" t="s">
        <v>234</v>
      </c>
      <c r="AO337" s="19" t="s">
        <v>235</v>
      </c>
      <c r="AP337" s="94"/>
      <c r="AQ337" s="19" t="s">
        <v>150</v>
      </c>
      <c r="AR337" s="19" t="s">
        <v>241</v>
      </c>
      <c r="AS337" s="19"/>
      <c r="AT337" s="65" t="str">
        <f t="shared" si="87"/>
        <v>N</v>
      </c>
      <c r="AU337" s="65" t="str">
        <f t="shared" si="91"/>
        <v>N</v>
      </c>
      <c r="AV337" s="65" t="str">
        <f t="shared" si="90"/>
        <v>N</v>
      </c>
      <c r="AW337" s="99"/>
      <c r="AX337" s="99"/>
      <c r="AY337" s="19"/>
      <c r="AZ337" s="96" t="str">
        <f t="shared" si="92"/>
        <v>n</v>
      </c>
      <c r="BA337" s="96" t="str">
        <f>IF(AZ337="n","n",VLOOKUP(AZ337,'Conversion factors'!$C$4:$D$24,2,FALSE))</f>
        <v>n</v>
      </c>
      <c r="BB337" s="96" t="str">
        <f t="shared" si="93"/>
        <v>n</v>
      </c>
      <c r="BC337" s="97"/>
      <c r="BD337" s="96" t="str">
        <f t="shared" si="88"/>
        <v>n</v>
      </c>
      <c r="BE337" s="96" t="str">
        <f t="shared" si="94"/>
        <v>n</v>
      </c>
      <c r="BF337" s="98" t="str">
        <f t="shared" si="89"/>
        <v/>
      </c>
      <c r="BG337" s="96" t="str">
        <f>IF(BF337="","",IF(ISNUMBER(VLOOKUP(BF337,'Conversion factors'!$B$35:$C$52,2,FALSE)),"y","n"))</f>
        <v/>
      </c>
      <c r="BH337" s="99"/>
    </row>
    <row r="338" spans="1:60" s="103" customFormat="1" ht="15.75" customHeight="1" x14ac:dyDescent="0.2">
      <c r="A338" s="18"/>
      <c r="B338" s="19">
        <v>197</v>
      </c>
      <c r="C338" s="19"/>
      <c r="D338" s="19">
        <v>45211</v>
      </c>
      <c r="E338" s="19" t="s">
        <v>1224</v>
      </c>
      <c r="F338" s="93">
        <v>1996</v>
      </c>
      <c r="G338" s="19" t="s">
        <v>401</v>
      </c>
      <c r="H338" s="19"/>
      <c r="I338" s="19" t="s">
        <v>41</v>
      </c>
      <c r="J338" s="19" t="s">
        <v>84</v>
      </c>
      <c r="K338" s="19" t="s">
        <v>161</v>
      </c>
      <c r="L338" s="19" t="s">
        <v>82</v>
      </c>
      <c r="M338" s="19" t="s">
        <v>82</v>
      </c>
      <c r="N338" s="19" t="s">
        <v>66</v>
      </c>
      <c r="O338" s="19" t="s">
        <v>328</v>
      </c>
      <c r="P338" s="19" t="s">
        <v>162</v>
      </c>
      <c r="Q338" s="19"/>
      <c r="R338" s="19" t="s">
        <v>237</v>
      </c>
      <c r="S338" s="19" t="s">
        <v>79</v>
      </c>
      <c r="T338" s="19" t="s">
        <v>56</v>
      </c>
      <c r="U338" s="19" t="s">
        <v>44</v>
      </c>
      <c r="V338" s="19" t="s">
        <v>85</v>
      </c>
      <c r="W338" s="19" t="s">
        <v>231</v>
      </c>
      <c r="X338" s="19" t="s">
        <v>46</v>
      </c>
      <c r="Y338" s="29"/>
      <c r="Z338" s="19"/>
      <c r="AA338" s="19"/>
      <c r="AB338" s="19" t="s">
        <v>408</v>
      </c>
      <c r="AC338" s="19" t="s">
        <v>1322</v>
      </c>
      <c r="AD338" s="19"/>
      <c r="AE338" s="19">
        <v>106</v>
      </c>
      <c r="AF338" s="19" t="s">
        <v>1299</v>
      </c>
      <c r="AG338" s="19" t="s">
        <v>270</v>
      </c>
      <c r="AH338" s="19"/>
      <c r="AI338" s="19"/>
      <c r="AJ338" s="19">
        <f>MEDIAN(7,7.5)</f>
        <v>7.25</v>
      </c>
      <c r="AK338" s="19" t="s">
        <v>403</v>
      </c>
      <c r="AL338" s="19"/>
      <c r="AM338" s="19" t="s">
        <v>234</v>
      </c>
      <c r="AN338" s="19" t="s">
        <v>234</v>
      </c>
      <c r="AO338" s="19" t="s">
        <v>235</v>
      </c>
      <c r="AP338" s="94"/>
      <c r="AQ338" s="19" t="s">
        <v>150</v>
      </c>
      <c r="AR338" s="19" t="s">
        <v>241</v>
      </c>
      <c r="AS338" s="19"/>
      <c r="AT338" s="65" t="str">
        <f t="shared" si="87"/>
        <v>N</v>
      </c>
      <c r="AU338" s="65" t="str">
        <f t="shared" si="91"/>
        <v>N</v>
      </c>
      <c r="AV338" s="65" t="str">
        <f t="shared" si="90"/>
        <v>N</v>
      </c>
      <c r="AW338" s="99"/>
      <c r="AX338" s="99"/>
      <c r="AY338" s="19"/>
      <c r="AZ338" s="96" t="str">
        <f t="shared" si="92"/>
        <v>n</v>
      </c>
      <c r="BA338" s="96" t="str">
        <f>IF(AZ338="n","n",VLOOKUP(AZ338,'Conversion factors'!$C$4:$D$24,2,FALSE))</f>
        <v>n</v>
      </c>
      <c r="BB338" s="96" t="str">
        <f t="shared" si="93"/>
        <v>n</v>
      </c>
      <c r="BC338" s="97"/>
      <c r="BD338" s="96" t="str">
        <f t="shared" si="88"/>
        <v>n</v>
      </c>
      <c r="BE338" s="96" t="str">
        <f t="shared" si="94"/>
        <v>n</v>
      </c>
      <c r="BF338" s="98" t="str">
        <f t="shared" si="89"/>
        <v/>
      </c>
      <c r="BG338" s="96" t="str">
        <f>IF(BF338="","",IF(ISNUMBER(VLOOKUP(BF338,'Conversion factors'!$B$35:$C$52,2,FALSE)),"y","n"))</f>
        <v/>
      </c>
      <c r="BH338" s="99"/>
    </row>
    <row r="339" spans="1:60" s="103" customFormat="1" ht="15.75" customHeight="1" x14ac:dyDescent="0.2">
      <c r="A339" s="18"/>
      <c r="B339" s="19">
        <v>232</v>
      </c>
      <c r="C339" s="19"/>
      <c r="D339" s="19">
        <v>71724</v>
      </c>
      <c r="E339" s="19" t="s">
        <v>1224</v>
      </c>
      <c r="F339" s="93">
        <v>2003</v>
      </c>
      <c r="G339" s="19" t="s">
        <v>597</v>
      </c>
      <c r="H339" s="19"/>
      <c r="I339" s="19" t="s">
        <v>41</v>
      </c>
      <c r="J339" s="19" t="s">
        <v>84</v>
      </c>
      <c r="K339" s="19" t="s">
        <v>161</v>
      </c>
      <c r="L339" s="19" t="s">
        <v>82</v>
      </c>
      <c r="M339" s="19" t="s">
        <v>82</v>
      </c>
      <c r="N339" s="19" t="s">
        <v>66</v>
      </c>
      <c r="O339" s="19" t="s">
        <v>328</v>
      </c>
      <c r="P339" s="19" t="s">
        <v>162</v>
      </c>
      <c r="Q339" s="19"/>
      <c r="R339" s="19" t="s">
        <v>81</v>
      </c>
      <c r="S339" s="19" t="s">
        <v>451</v>
      </c>
      <c r="T339" s="19" t="s">
        <v>346</v>
      </c>
      <c r="U339" s="19" t="s">
        <v>346</v>
      </c>
      <c r="V339" s="19" t="s">
        <v>85</v>
      </c>
      <c r="W339" s="19" t="s">
        <v>231</v>
      </c>
      <c r="X339" s="19" t="s">
        <v>46</v>
      </c>
      <c r="Y339" s="29"/>
      <c r="Z339" s="19"/>
      <c r="AA339" s="19"/>
      <c r="AB339" s="19" t="s">
        <v>598</v>
      </c>
      <c r="AC339" s="19" t="s">
        <v>1322</v>
      </c>
      <c r="AD339" s="19"/>
      <c r="AE339" s="19"/>
      <c r="AF339" s="19"/>
      <c r="AG339" s="19" t="s">
        <v>235</v>
      </c>
      <c r="AH339" s="19"/>
      <c r="AI339" s="19"/>
      <c r="AJ339" s="19" t="s">
        <v>234</v>
      </c>
      <c r="AK339" s="19" t="s">
        <v>234</v>
      </c>
      <c r="AL339" s="19"/>
      <c r="AM339" s="19" t="s">
        <v>234</v>
      </c>
      <c r="AN339" s="19" t="s">
        <v>234</v>
      </c>
      <c r="AO339" s="19" t="s">
        <v>235</v>
      </c>
      <c r="AP339" s="94"/>
      <c r="AQ339" s="19" t="s">
        <v>102</v>
      </c>
      <c r="AR339" s="19" t="s">
        <v>241</v>
      </c>
      <c r="AS339" s="19"/>
      <c r="AT339" s="65" t="str">
        <f t="shared" si="87"/>
        <v>N</v>
      </c>
      <c r="AU339" s="65" t="str">
        <f t="shared" si="91"/>
        <v>N</v>
      </c>
      <c r="AV339" s="65" t="str">
        <f t="shared" si="90"/>
        <v>N</v>
      </c>
      <c r="AW339" s="99"/>
      <c r="AX339" s="99"/>
      <c r="AY339" s="19"/>
      <c r="AZ339" s="96" t="str">
        <f t="shared" si="92"/>
        <v>n</v>
      </c>
      <c r="BA339" s="96" t="str">
        <f>IF(AZ339="n","n",VLOOKUP(AZ339,'Conversion factors'!$C$4:$D$24,2,FALSE))</f>
        <v>n</v>
      </c>
      <c r="BB339" s="96" t="str">
        <f t="shared" si="93"/>
        <v>n</v>
      </c>
      <c r="BC339" s="97"/>
      <c r="BD339" s="96" t="str">
        <f t="shared" si="88"/>
        <v>n</v>
      </c>
      <c r="BE339" s="96" t="str">
        <f t="shared" si="94"/>
        <v>n</v>
      </c>
      <c r="BF339" s="98" t="str">
        <f t="shared" si="89"/>
        <v/>
      </c>
      <c r="BG339" s="96" t="str">
        <f>IF(BF339="","",IF(ISNUMBER(VLOOKUP(BF339,'Conversion factors'!$B$35:$C$52,2,FALSE)),"y","n"))</f>
        <v/>
      </c>
      <c r="BH339" s="99"/>
    </row>
    <row r="340" spans="1:60" s="103" customFormat="1" ht="15.75" customHeight="1" x14ac:dyDescent="0.2">
      <c r="A340" s="18"/>
      <c r="B340" s="19">
        <v>232</v>
      </c>
      <c r="C340" s="19"/>
      <c r="D340" s="19">
        <v>71724</v>
      </c>
      <c r="E340" s="19" t="s">
        <v>1224</v>
      </c>
      <c r="F340" s="93">
        <v>2003</v>
      </c>
      <c r="G340" s="19" t="s">
        <v>597</v>
      </c>
      <c r="H340" s="19"/>
      <c r="I340" s="19" t="s">
        <v>41</v>
      </c>
      <c r="J340" s="19" t="s">
        <v>84</v>
      </c>
      <c r="K340" s="19" t="s">
        <v>161</v>
      </c>
      <c r="L340" s="19" t="s">
        <v>82</v>
      </c>
      <c r="M340" s="19" t="s">
        <v>82</v>
      </c>
      <c r="N340" s="19" t="s">
        <v>66</v>
      </c>
      <c r="O340" s="19" t="s">
        <v>328</v>
      </c>
      <c r="P340" s="19" t="s">
        <v>162</v>
      </c>
      <c r="Q340" s="19"/>
      <c r="R340" s="19" t="s">
        <v>81</v>
      </c>
      <c r="S340" s="19" t="s">
        <v>451</v>
      </c>
      <c r="T340" s="19" t="s">
        <v>346</v>
      </c>
      <c r="U340" s="19" t="s">
        <v>346</v>
      </c>
      <c r="V340" s="19" t="s">
        <v>85</v>
      </c>
      <c r="W340" s="19" t="s">
        <v>231</v>
      </c>
      <c r="X340" s="19" t="s">
        <v>46</v>
      </c>
      <c r="Y340" s="29"/>
      <c r="Z340" s="19"/>
      <c r="AA340" s="19"/>
      <c r="AB340" s="19" t="s">
        <v>284</v>
      </c>
      <c r="AC340" s="19" t="s">
        <v>1322</v>
      </c>
      <c r="AD340" s="19"/>
      <c r="AE340" s="19"/>
      <c r="AF340" s="19"/>
      <c r="AG340" s="19" t="s">
        <v>235</v>
      </c>
      <c r="AH340" s="19"/>
      <c r="AI340" s="19"/>
      <c r="AJ340" s="19" t="s">
        <v>234</v>
      </c>
      <c r="AK340" s="19" t="s">
        <v>234</v>
      </c>
      <c r="AL340" s="19"/>
      <c r="AM340" s="19" t="s">
        <v>234</v>
      </c>
      <c r="AN340" s="19" t="s">
        <v>234</v>
      </c>
      <c r="AO340" s="19" t="s">
        <v>235</v>
      </c>
      <c r="AP340" s="94"/>
      <c r="AQ340" s="19" t="s">
        <v>102</v>
      </c>
      <c r="AR340" s="19" t="s">
        <v>241</v>
      </c>
      <c r="AS340" s="19"/>
      <c r="AT340" s="65" t="str">
        <f t="shared" si="87"/>
        <v>N</v>
      </c>
      <c r="AU340" s="65" t="str">
        <f t="shared" si="91"/>
        <v>N</v>
      </c>
      <c r="AV340" s="65" t="str">
        <f t="shared" si="90"/>
        <v>N</v>
      </c>
      <c r="AW340" s="99"/>
      <c r="AX340" s="99"/>
      <c r="AY340" s="19"/>
      <c r="AZ340" s="96" t="str">
        <f t="shared" si="92"/>
        <v>n</v>
      </c>
      <c r="BA340" s="96" t="str">
        <f>IF(AZ340="n","n",VLOOKUP(AZ340,'Conversion factors'!$C$4:$D$24,2,FALSE))</f>
        <v>n</v>
      </c>
      <c r="BB340" s="96" t="str">
        <f t="shared" si="93"/>
        <v>n</v>
      </c>
      <c r="BC340" s="97"/>
      <c r="BD340" s="96" t="str">
        <f t="shared" si="88"/>
        <v>n</v>
      </c>
      <c r="BE340" s="96" t="str">
        <f t="shared" si="94"/>
        <v>n</v>
      </c>
      <c r="BF340" s="98" t="str">
        <f t="shared" si="89"/>
        <v/>
      </c>
      <c r="BG340" s="96" t="str">
        <f>IF(BF340="","",IF(ISNUMBER(VLOOKUP(BF340,'Conversion factors'!$B$35:$C$52,2,FALSE)),"y","n"))</f>
        <v/>
      </c>
      <c r="BH340" s="99"/>
    </row>
    <row r="341" spans="1:60" s="103" customFormat="1" ht="15.75" customHeight="1" x14ac:dyDescent="0.2">
      <c r="A341" s="18"/>
      <c r="B341" s="19">
        <v>273</v>
      </c>
      <c r="C341" s="19"/>
      <c r="D341" s="19">
        <v>100026</v>
      </c>
      <c r="E341" s="19" t="s">
        <v>1224</v>
      </c>
      <c r="F341" s="93">
        <v>2007</v>
      </c>
      <c r="G341" s="19" t="s">
        <v>943</v>
      </c>
      <c r="H341" s="19"/>
      <c r="I341" s="19" t="s">
        <v>41</v>
      </c>
      <c r="J341" s="19" t="s">
        <v>84</v>
      </c>
      <c r="K341" s="19" t="s">
        <v>161</v>
      </c>
      <c r="L341" s="19" t="s">
        <v>82</v>
      </c>
      <c r="M341" s="19" t="s">
        <v>82</v>
      </c>
      <c r="N341" s="19" t="s">
        <v>66</v>
      </c>
      <c r="O341" s="19" t="s">
        <v>909</v>
      </c>
      <c r="P341" s="19" t="s">
        <v>162</v>
      </c>
      <c r="Q341" s="19"/>
      <c r="R341" s="19" t="s">
        <v>81</v>
      </c>
      <c r="S341" s="19" t="s">
        <v>483</v>
      </c>
      <c r="T341" s="19" t="s">
        <v>346</v>
      </c>
      <c r="U341" s="19" t="s">
        <v>346</v>
      </c>
      <c r="V341" s="19" t="s">
        <v>85</v>
      </c>
      <c r="W341" s="19" t="s">
        <v>231</v>
      </c>
      <c r="X341" s="19" t="s">
        <v>46</v>
      </c>
      <c r="Y341" s="29"/>
      <c r="Z341" s="19"/>
      <c r="AA341" s="19"/>
      <c r="AB341" s="19" t="s">
        <v>947</v>
      </c>
      <c r="AC341" s="19" t="s">
        <v>1322</v>
      </c>
      <c r="AD341" s="19"/>
      <c r="AE341" s="19"/>
      <c r="AF341" s="19"/>
      <c r="AG341" s="19" t="s">
        <v>235</v>
      </c>
      <c r="AH341" s="19"/>
      <c r="AI341" s="19"/>
      <c r="AJ341" s="19" t="s">
        <v>234</v>
      </c>
      <c r="AK341" s="19" t="s">
        <v>234</v>
      </c>
      <c r="AL341" s="19"/>
      <c r="AM341" s="19" t="s">
        <v>234</v>
      </c>
      <c r="AN341" s="19" t="s">
        <v>234</v>
      </c>
      <c r="AO341" s="19" t="s">
        <v>235</v>
      </c>
      <c r="AP341" s="94"/>
      <c r="AQ341" s="19" t="s">
        <v>101</v>
      </c>
      <c r="AR341" s="19" t="s">
        <v>946</v>
      </c>
      <c r="AS341" s="19"/>
      <c r="AT341" s="65" t="str">
        <f t="shared" si="87"/>
        <v>N</v>
      </c>
      <c r="AU341" s="65" t="str">
        <f t="shared" si="91"/>
        <v>N</v>
      </c>
      <c r="AV341" s="65" t="str">
        <f t="shared" si="90"/>
        <v>N</v>
      </c>
      <c r="AW341" s="99"/>
      <c r="AX341" s="99"/>
      <c r="AY341" s="19"/>
      <c r="AZ341" s="96" t="str">
        <f t="shared" si="92"/>
        <v>n</v>
      </c>
      <c r="BA341" s="96" t="str">
        <f>IF(AZ341="n","n",VLOOKUP(AZ341,'Conversion factors'!$C$4:$D$24,2,FALSE))</f>
        <v>n</v>
      </c>
      <c r="BB341" s="96" t="str">
        <f t="shared" si="93"/>
        <v>n</v>
      </c>
      <c r="BC341" s="97"/>
      <c r="BD341" s="96" t="str">
        <f t="shared" si="88"/>
        <v>n</v>
      </c>
      <c r="BE341" s="96" t="str">
        <f t="shared" si="94"/>
        <v>n</v>
      </c>
      <c r="BF341" s="98" t="str">
        <f t="shared" si="89"/>
        <v/>
      </c>
      <c r="BG341" s="96" t="str">
        <f>IF(BF341="","",IF(ISNUMBER(VLOOKUP(BF341,'Conversion factors'!$B$35:$C$52,2,FALSE)),"y","n"))</f>
        <v/>
      </c>
      <c r="BH341" s="99"/>
    </row>
    <row r="342" spans="1:60" s="103" customFormat="1" ht="15.75" customHeight="1" x14ac:dyDescent="0.2">
      <c r="A342" s="18"/>
      <c r="B342" s="19">
        <v>273</v>
      </c>
      <c r="C342" s="19"/>
      <c r="D342" s="19">
        <v>100026</v>
      </c>
      <c r="E342" s="19" t="s">
        <v>1224</v>
      </c>
      <c r="F342" s="93">
        <v>2007</v>
      </c>
      <c r="G342" s="19" t="s">
        <v>943</v>
      </c>
      <c r="H342" s="19"/>
      <c r="I342" s="19" t="s">
        <v>41</v>
      </c>
      <c r="J342" s="19" t="s">
        <v>84</v>
      </c>
      <c r="K342" s="19" t="s">
        <v>161</v>
      </c>
      <c r="L342" s="19" t="s">
        <v>82</v>
      </c>
      <c r="M342" s="19" t="s">
        <v>82</v>
      </c>
      <c r="N342" s="19" t="s">
        <v>66</v>
      </c>
      <c r="O342" s="19" t="s">
        <v>909</v>
      </c>
      <c r="P342" s="19" t="s">
        <v>162</v>
      </c>
      <c r="Q342" s="19"/>
      <c r="R342" s="19" t="s">
        <v>81</v>
      </c>
      <c r="S342" s="19" t="s">
        <v>483</v>
      </c>
      <c r="T342" s="19" t="s">
        <v>55</v>
      </c>
      <c r="U342" s="19" t="s">
        <v>55</v>
      </c>
      <c r="V342" s="19" t="s">
        <v>85</v>
      </c>
      <c r="W342" s="19" t="s">
        <v>231</v>
      </c>
      <c r="X342" s="19" t="s">
        <v>46</v>
      </c>
      <c r="Y342" s="29"/>
      <c r="Z342" s="19"/>
      <c r="AA342" s="19"/>
      <c r="AB342" s="19" t="s">
        <v>262</v>
      </c>
      <c r="AC342" s="19" t="s">
        <v>1322</v>
      </c>
      <c r="AD342" s="19"/>
      <c r="AE342" s="19"/>
      <c r="AF342" s="19"/>
      <c r="AG342" s="19" t="s">
        <v>235</v>
      </c>
      <c r="AH342" s="19"/>
      <c r="AI342" s="19"/>
      <c r="AJ342" s="19" t="s">
        <v>234</v>
      </c>
      <c r="AK342" s="19" t="s">
        <v>234</v>
      </c>
      <c r="AL342" s="19"/>
      <c r="AM342" s="19" t="s">
        <v>234</v>
      </c>
      <c r="AN342" s="19" t="s">
        <v>234</v>
      </c>
      <c r="AO342" s="19" t="s">
        <v>235</v>
      </c>
      <c r="AP342" s="94"/>
      <c r="AQ342" s="19" t="s">
        <v>101</v>
      </c>
      <c r="AR342" s="19" t="s">
        <v>946</v>
      </c>
      <c r="AS342" s="19"/>
      <c r="AT342" s="65" t="str">
        <f t="shared" si="87"/>
        <v>N</v>
      </c>
      <c r="AU342" s="65" t="str">
        <f t="shared" si="91"/>
        <v>N</v>
      </c>
      <c r="AV342" s="65" t="str">
        <f t="shared" si="90"/>
        <v>N</v>
      </c>
      <c r="AW342" s="99"/>
      <c r="AX342" s="99"/>
      <c r="AY342" s="19"/>
      <c r="AZ342" s="96" t="str">
        <f t="shared" si="92"/>
        <v>n</v>
      </c>
      <c r="BA342" s="96" t="str">
        <f>IF(AZ342="n","n",VLOOKUP(AZ342,'Conversion factors'!$C$4:$D$24,2,FALSE))</f>
        <v>n</v>
      </c>
      <c r="BB342" s="96" t="str">
        <f t="shared" si="93"/>
        <v>n</v>
      </c>
      <c r="BC342" s="97"/>
      <c r="BD342" s="96" t="str">
        <f t="shared" si="88"/>
        <v>n</v>
      </c>
      <c r="BE342" s="96" t="str">
        <f t="shared" si="94"/>
        <v>n</v>
      </c>
      <c r="BF342" s="98" t="str">
        <f t="shared" si="89"/>
        <v/>
      </c>
      <c r="BG342" s="96" t="str">
        <f>IF(BF342="","",IF(ISNUMBER(VLOOKUP(BF342,'Conversion factors'!$B$35:$C$52,2,FALSE)),"y","n"))</f>
        <v/>
      </c>
      <c r="BH342" s="99"/>
    </row>
    <row r="343" spans="1:60" s="103" customFormat="1" ht="15.75" customHeight="1" x14ac:dyDescent="0.2">
      <c r="A343" s="18"/>
      <c r="B343" s="19">
        <v>273</v>
      </c>
      <c r="C343" s="19"/>
      <c r="D343" s="19">
        <v>100026</v>
      </c>
      <c r="E343" s="19" t="s">
        <v>1224</v>
      </c>
      <c r="F343" s="93">
        <v>2007</v>
      </c>
      <c r="G343" s="19" t="s">
        <v>943</v>
      </c>
      <c r="H343" s="19"/>
      <c r="I343" s="19" t="s">
        <v>41</v>
      </c>
      <c r="J343" s="19" t="s">
        <v>84</v>
      </c>
      <c r="K343" s="19" t="s">
        <v>161</v>
      </c>
      <c r="L343" s="19" t="s">
        <v>82</v>
      </c>
      <c r="M343" s="19" t="s">
        <v>82</v>
      </c>
      <c r="N343" s="19" t="s">
        <v>66</v>
      </c>
      <c r="O343" s="19" t="s">
        <v>909</v>
      </c>
      <c r="P343" s="19" t="s">
        <v>162</v>
      </c>
      <c r="Q343" s="19"/>
      <c r="R343" s="19" t="s">
        <v>81</v>
      </c>
      <c r="S343" s="19" t="s">
        <v>483</v>
      </c>
      <c r="T343" s="19" t="s">
        <v>54</v>
      </c>
      <c r="U343" s="19" t="s">
        <v>54</v>
      </c>
      <c r="V343" s="19" t="s">
        <v>85</v>
      </c>
      <c r="W343" s="19" t="s">
        <v>231</v>
      </c>
      <c r="X343" s="19" t="s">
        <v>46</v>
      </c>
      <c r="Y343" s="29"/>
      <c r="Z343" s="19"/>
      <c r="AA343" s="19"/>
      <c r="AB343" s="19" t="s">
        <v>818</v>
      </c>
      <c r="AC343" s="19" t="s">
        <v>1322</v>
      </c>
      <c r="AD343" s="19"/>
      <c r="AE343" s="19"/>
      <c r="AF343" s="19"/>
      <c r="AG343" s="19" t="s">
        <v>235</v>
      </c>
      <c r="AH343" s="19"/>
      <c r="AI343" s="19"/>
      <c r="AJ343" s="19" t="s">
        <v>234</v>
      </c>
      <c r="AK343" s="19" t="s">
        <v>234</v>
      </c>
      <c r="AL343" s="19"/>
      <c r="AM343" s="19" t="s">
        <v>234</v>
      </c>
      <c r="AN343" s="19" t="s">
        <v>234</v>
      </c>
      <c r="AO343" s="19" t="s">
        <v>235</v>
      </c>
      <c r="AP343" s="94"/>
      <c r="AQ343" s="19" t="s">
        <v>101</v>
      </c>
      <c r="AR343" s="19" t="s">
        <v>946</v>
      </c>
      <c r="AS343" s="19"/>
      <c r="AT343" s="65" t="str">
        <f t="shared" si="87"/>
        <v>N</v>
      </c>
      <c r="AU343" s="65" t="str">
        <f t="shared" si="91"/>
        <v>N</v>
      </c>
      <c r="AV343" s="65" t="str">
        <f t="shared" si="90"/>
        <v>N</v>
      </c>
      <c r="AW343" s="99"/>
      <c r="AX343" s="99"/>
      <c r="AY343" s="19"/>
      <c r="AZ343" s="96" t="str">
        <f t="shared" si="92"/>
        <v>n</v>
      </c>
      <c r="BA343" s="96" t="str">
        <f>IF(AZ343="n","n",VLOOKUP(AZ343,'Conversion factors'!$C$4:$D$24,2,FALSE))</f>
        <v>n</v>
      </c>
      <c r="BB343" s="96" t="str">
        <f t="shared" si="93"/>
        <v>n</v>
      </c>
      <c r="BC343" s="97"/>
      <c r="BD343" s="96" t="str">
        <f t="shared" si="88"/>
        <v>n</v>
      </c>
      <c r="BE343" s="96" t="str">
        <f t="shared" si="94"/>
        <v>n</v>
      </c>
      <c r="BF343" s="98" t="str">
        <f t="shared" si="89"/>
        <v/>
      </c>
      <c r="BG343" s="96" t="str">
        <f>IF(BF343="","",IF(ISNUMBER(VLOOKUP(BF343,'Conversion factors'!$B$35:$C$52,2,FALSE)),"y","n"))</f>
        <v/>
      </c>
      <c r="BH343" s="99" t="s">
        <v>1507</v>
      </c>
    </row>
    <row r="344" spans="1:60" s="103" customFormat="1" ht="15.75" customHeight="1" x14ac:dyDescent="0.2">
      <c r="A344" s="18"/>
      <c r="B344" s="19">
        <v>273</v>
      </c>
      <c r="C344" s="19"/>
      <c r="D344" s="19">
        <v>100026</v>
      </c>
      <c r="E344" s="19" t="s">
        <v>1224</v>
      </c>
      <c r="F344" s="93">
        <v>2007</v>
      </c>
      <c r="G344" s="19" t="s">
        <v>943</v>
      </c>
      <c r="H344" s="19"/>
      <c r="I344" s="19" t="s">
        <v>41</v>
      </c>
      <c r="J344" s="19" t="s">
        <v>84</v>
      </c>
      <c r="K344" s="19" t="s">
        <v>161</v>
      </c>
      <c r="L344" s="19" t="s">
        <v>82</v>
      </c>
      <c r="M344" s="19" t="s">
        <v>82</v>
      </c>
      <c r="N344" s="19" t="s">
        <v>66</v>
      </c>
      <c r="O344" s="19" t="s">
        <v>909</v>
      </c>
      <c r="P344" s="19" t="s">
        <v>162</v>
      </c>
      <c r="Q344" s="19"/>
      <c r="R344" s="19" t="s">
        <v>237</v>
      </c>
      <c r="S344" s="19" t="s">
        <v>79</v>
      </c>
      <c r="T344" s="19" t="s">
        <v>56</v>
      </c>
      <c r="U344" s="19" t="s">
        <v>44</v>
      </c>
      <c r="V344" s="19" t="s">
        <v>85</v>
      </c>
      <c r="W344" s="19" t="s">
        <v>231</v>
      </c>
      <c r="X344" s="19" t="s">
        <v>46</v>
      </c>
      <c r="Y344" s="29"/>
      <c r="Z344" s="19"/>
      <c r="AA344" s="19"/>
      <c r="AB344" s="19" t="s">
        <v>949</v>
      </c>
      <c r="AC344" s="19" t="s">
        <v>1322</v>
      </c>
      <c r="AD344" s="19"/>
      <c r="AE344" s="19"/>
      <c r="AF344" s="19"/>
      <c r="AG344" s="19" t="s">
        <v>235</v>
      </c>
      <c r="AH344" s="19"/>
      <c r="AI344" s="19"/>
      <c r="AJ344" s="19" t="s">
        <v>234</v>
      </c>
      <c r="AK344" s="19" t="s">
        <v>234</v>
      </c>
      <c r="AL344" s="19"/>
      <c r="AM344" s="19" t="s">
        <v>234</v>
      </c>
      <c r="AN344" s="19" t="s">
        <v>234</v>
      </c>
      <c r="AO344" s="19" t="s">
        <v>235</v>
      </c>
      <c r="AP344" s="94"/>
      <c r="AQ344" s="19" t="s">
        <v>101</v>
      </c>
      <c r="AR344" s="19" t="s">
        <v>946</v>
      </c>
      <c r="AS344" s="19"/>
      <c r="AT344" s="65" t="str">
        <f t="shared" si="87"/>
        <v>N</v>
      </c>
      <c r="AU344" s="65" t="str">
        <f t="shared" si="91"/>
        <v>N</v>
      </c>
      <c r="AV344" s="65" t="str">
        <f t="shared" si="90"/>
        <v>N</v>
      </c>
      <c r="AW344" s="99"/>
      <c r="AX344" s="99"/>
      <c r="AY344" s="19"/>
      <c r="AZ344" s="96" t="str">
        <f t="shared" si="92"/>
        <v>n</v>
      </c>
      <c r="BA344" s="96" t="str">
        <f>IF(AZ344="n","n",VLOOKUP(AZ344,'Conversion factors'!$C$4:$D$24,2,FALSE))</f>
        <v>n</v>
      </c>
      <c r="BB344" s="96" t="str">
        <f t="shared" si="93"/>
        <v>n</v>
      </c>
      <c r="BC344" s="97"/>
      <c r="BD344" s="96" t="str">
        <f t="shared" si="88"/>
        <v>n</v>
      </c>
      <c r="BE344" s="96" t="str">
        <f t="shared" si="94"/>
        <v>n</v>
      </c>
      <c r="BF344" s="98" t="str">
        <f t="shared" si="89"/>
        <v/>
      </c>
      <c r="BG344" s="96" t="str">
        <f>IF(BF344="","",IF(ISNUMBER(VLOOKUP(BF344,'Conversion factors'!$B$35:$C$52,2,FALSE)),"y","n"))</f>
        <v/>
      </c>
      <c r="BH344" s="99"/>
    </row>
    <row r="345" spans="1:60" s="103" customFormat="1" ht="15.75" customHeight="1" x14ac:dyDescent="0.2">
      <c r="A345" s="18"/>
      <c r="B345" s="19">
        <v>273</v>
      </c>
      <c r="C345" s="19"/>
      <c r="D345" s="19">
        <v>100026</v>
      </c>
      <c r="E345" s="19" t="s">
        <v>1224</v>
      </c>
      <c r="F345" s="93">
        <v>2007</v>
      </c>
      <c r="G345" s="19" t="s">
        <v>943</v>
      </c>
      <c r="H345" s="19"/>
      <c r="I345" s="19" t="s">
        <v>41</v>
      </c>
      <c r="J345" s="19" t="s">
        <v>84</v>
      </c>
      <c r="K345" s="19" t="s">
        <v>161</v>
      </c>
      <c r="L345" s="19" t="s">
        <v>82</v>
      </c>
      <c r="M345" s="19" t="s">
        <v>82</v>
      </c>
      <c r="N345" s="19" t="s">
        <v>66</v>
      </c>
      <c r="O345" s="19" t="s">
        <v>909</v>
      </c>
      <c r="P345" s="19" t="s">
        <v>162</v>
      </c>
      <c r="Q345" s="19"/>
      <c r="R345" s="19" t="s">
        <v>237</v>
      </c>
      <c r="S345" s="19" t="s">
        <v>414</v>
      </c>
      <c r="T345" s="19" t="s">
        <v>55</v>
      </c>
      <c r="U345" s="19" t="s">
        <v>55</v>
      </c>
      <c r="V345" s="19" t="s">
        <v>85</v>
      </c>
      <c r="W345" s="19" t="s">
        <v>231</v>
      </c>
      <c r="X345" s="19" t="s">
        <v>46</v>
      </c>
      <c r="Y345" s="29"/>
      <c r="Z345" s="19"/>
      <c r="AA345" s="19"/>
      <c r="AB345" s="19" t="s">
        <v>381</v>
      </c>
      <c r="AC345" s="19" t="s">
        <v>1322</v>
      </c>
      <c r="AD345" s="19"/>
      <c r="AE345" s="19"/>
      <c r="AF345" s="19"/>
      <c r="AG345" s="19" t="s">
        <v>235</v>
      </c>
      <c r="AH345" s="19"/>
      <c r="AI345" s="19"/>
      <c r="AJ345" s="19" t="s">
        <v>234</v>
      </c>
      <c r="AK345" s="19" t="s">
        <v>234</v>
      </c>
      <c r="AL345" s="19"/>
      <c r="AM345" s="19" t="s">
        <v>234</v>
      </c>
      <c r="AN345" s="19" t="s">
        <v>234</v>
      </c>
      <c r="AO345" s="19" t="s">
        <v>235</v>
      </c>
      <c r="AP345" s="94"/>
      <c r="AQ345" s="19" t="s">
        <v>101</v>
      </c>
      <c r="AR345" s="19" t="s">
        <v>946</v>
      </c>
      <c r="AS345" s="19"/>
      <c r="AT345" s="65" t="str">
        <f t="shared" si="87"/>
        <v>N</v>
      </c>
      <c r="AU345" s="65" t="str">
        <f t="shared" si="91"/>
        <v>N</v>
      </c>
      <c r="AV345" s="65" t="str">
        <f t="shared" si="90"/>
        <v>N</v>
      </c>
      <c r="AW345" s="99"/>
      <c r="AX345" s="99"/>
      <c r="AY345" s="19"/>
      <c r="AZ345" s="96" t="str">
        <f t="shared" si="92"/>
        <v>n</v>
      </c>
      <c r="BA345" s="96" t="str">
        <f>IF(AZ345="n","n",VLOOKUP(AZ345,'Conversion factors'!$C$4:$D$24,2,FALSE))</f>
        <v>n</v>
      </c>
      <c r="BB345" s="96" t="str">
        <f t="shared" si="93"/>
        <v>n</v>
      </c>
      <c r="BC345" s="97"/>
      <c r="BD345" s="96" t="str">
        <f t="shared" si="88"/>
        <v>n</v>
      </c>
      <c r="BE345" s="96" t="str">
        <f t="shared" si="94"/>
        <v>n</v>
      </c>
      <c r="BF345" s="98" t="str">
        <f t="shared" si="89"/>
        <v/>
      </c>
      <c r="BG345" s="96" t="str">
        <f>IF(BF345="","",IF(ISNUMBER(VLOOKUP(BF345,'Conversion factors'!$B$35:$C$52,2,FALSE)),"y","n"))</f>
        <v/>
      </c>
      <c r="BH345" s="99"/>
    </row>
    <row r="346" spans="1:60" s="103" customFormat="1" ht="15.75" customHeight="1" x14ac:dyDescent="0.2">
      <c r="A346" s="18"/>
      <c r="B346" s="19">
        <v>273</v>
      </c>
      <c r="C346" s="19"/>
      <c r="D346" s="19">
        <v>100026</v>
      </c>
      <c r="E346" s="19" t="s">
        <v>1224</v>
      </c>
      <c r="F346" s="93">
        <v>2007</v>
      </c>
      <c r="G346" s="19" t="s">
        <v>943</v>
      </c>
      <c r="H346" s="19"/>
      <c r="I346" s="19" t="s">
        <v>41</v>
      </c>
      <c r="J346" s="19" t="s">
        <v>84</v>
      </c>
      <c r="K346" s="19" t="s">
        <v>161</v>
      </c>
      <c r="L346" s="19" t="s">
        <v>82</v>
      </c>
      <c r="M346" s="19" t="s">
        <v>82</v>
      </c>
      <c r="N346" s="19" t="s">
        <v>66</v>
      </c>
      <c r="O346" s="19" t="s">
        <v>909</v>
      </c>
      <c r="P346" s="19" t="s">
        <v>162</v>
      </c>
      <c r="Q346" s="19"/>
      <c r="R346" s="19" t="s">
        <v>237</v>
      </c>
      <c r="S346" s="19" t="s">
        <v>414</v>
      </c>
      <c r="T346" s="19" t="s">
        <v>54</v>
      </c>
      <c r="U346" s="19" t="s">
        <v>54</v>
      </c>
      <c r="V346" s="19" t="s">
        <v>85</v>
      </c>
      <c r="W346" s="19" t="s">
        <v>231</v>
      </c>
      <c r="X346" s="19" t="s">
        <v>46</v>
      </c>
      <c r="Y346" s="29"/>
      <c r="Z346" s="19"/>
      <c r="AA346" s="19"/>
      <c r="AB346" s="19" t="s">
        <v>262</v>
      </c>
      <c r="AC346" s="19" t="s">
        <v>1322</v>
      </c>
      <c r="AD346" s="19"/>
      <c r="AE346" s="19"/>
      <c r="AF346" s="19"/>
      <c r="AG346" s="19" t="s">
        <v>235</v>
      </c>
      <c r="AH346" s="19"/>
      <c r="AI346" s="19"/>
      <c r="AJ346" s="19" t="s">
        <v>234</v>
      </c>
      <c r="AK346" s="19" t="s">
        <v>234</v>
      </c>
      <c r="AL346" s="19"/>
      <c r="AM346" s="19" t="s">
        <v>234</v>
      </c>
      <c r="AN346" s="19" t="s">
        <v>234</v>
      </c>
      <c r="AO346" s="19" t="s">
        <v>235</v>
      </c>
      <c r="AP346" s="94"/>
      <c r="AQ346" s="19" t="s">
        <v>101</v>
      </c>
      <c r="AR346" s="19" t="s">
        <v>946</v>
      </c>
      <c r="AS346" s="19"/>
      <c r="AT346" s="65" t="str">
        <f t="shared" si="87"/>
        <v>N</v>
      </c>
      <c r="AU346" s="65" t="str">
        <f t="shared" si="91"/>
        <v>N</v>
      </c>
      <c r="AV346" s="65" t="str">
        <f t="shared" si="90"/>
        <v>N</v>
      </c>
      <c r="AW346" s="99"/>
      <c r="AX346" s="99"/>
      <c r="AY346" s="19"/>
      <c r="AZ346" s="96" t="str">
        <f t="shared" si="92"/>
        <v>n</v>
      </c>
      <c r="BA346" s="96" t="str">
        <f>IF(AZ346="n","n",VLOOKUP(AZ346,'Conversion factors'!$C$4:$D$24,2,FALSE))</f>
        <v>n</v>
      </c>
      <c r="BB346" s="96" t="str">
        <f t="shared" si="93"/>
        <v>n</v>
      </c>
      <c r="BC346" s="97"/>
      <c r="BD346" s="96" t="str">
        <f t="shared" si="88"/>
        <v>n</v>
      </c>
      <c r="BE346" s="96" t="str">
        <f t="shared" si="94"/>
        <v>n</v>
      </c>
      <c r="BF346" s="98" t="str">
        <f t="shared" si="89"/>
        <v/>
      </c>
      <c r="BG346" s="96" t="str">
        <f>IF(BF346="","",IF(ISNUMBER(VLOOKUP(BF346,'Conversion factors'!$B$35:$C$52,2,FALSE)),"y","n"))</f>
        <v/>
      </c>
      <c r="BH346" s="99" t="s">
        <v>1507</v>
      </c>
    </row>
    <row r="347" spans="1:60" s="103" customFormat="1" ht="15.75" customHeight="1" x14ac:dyDescent="0.2">
      <c r="A347" s="18"/>
      <c r="B347" s="19">
        <v>294</v>
      </c>
      <c r="C347" s="19"/>
      <c r="D347" s="19">
        <v>102216</v>
      </c>
      <c r="E347" s="19" t="s">
        <v>1224</v>
      </c>
      <c r="F347" s="93">
        <v>2006</v>
      </c>
      <c r="G347" s="19" t="s">
        <v>1027</v>
      </c>
      <c r="H347" s="19"/>
      <c r="I347" s="19" t="s">
        <v>41</v>
      </c>
      <c r="J347" s="19" t="s">
        <v>84</v>
      </c>
      <c r="K347" s="19" t="s">
        <v>161</v>
      </c>
      <c r="L347" s="19" t="s">
        <v>82</v>
      </c>
      <c r="M347" s="19" t="s">
        <v>82</v>
      </c>
      <c r="N347" s="19" t="s">
        <v>66</v>
      </c>
      <c r="O347" s="19" t="s">
        <v>328</v>
      </c>
      <c r="P347" s="19" t="s">
        <v>162</v>
      </c>
      <c r="Q347" s="19"/>
      <c r="R347" s="19" t="s">
        <v>81</v>
      </c>
      <c r="S347" s="19" t="s">
        <v>302</v>
      </c>
      <c r="T347" s="19" t="s">
        <v>454</v>
      </c>
      <c r="U347" s="19" t="s">
        <v>454</v>
      </c>
      <c r="V347" s="19" t="s">
        <v>85</v>
      </c>
      <c r="W347" s="19" t="s">
        <v>231</v>
      </c>
      <c r="X347" s="19" t="s">
        <v>46</v>
      </c>
      <c r="Y347" s="29"/>
      <c r="Z347" s="19"/>
      <c r="AA347" s="19"/>
      <c r="AB347" s="19" t="s">
        <v>538</v>
      </c>
      <c r="AC347" s="19" t="s">
        <v>1322</v>
      </c>
      <c r="AD347" s="19"/>
      <c r="AE347" s="19">
        <v>100</v>
      </c>
      <c r="AF347" s="19" t="s">
        <v>1032</v>
      </c>
      <c r="AG347" s="19" t="s">
        <v>270</v>
      </c>
      <c r="AH347" s="19"/>
      <c r="AI347" s="19"/>
      <c r="AJ347" s="19">
        <f t="shared" ref="AJ347:AJ352" si="95">MEDIAN(7.6,7.9)</f>
        <v>7.75</v>
      </c>
      <c r="AK347" s="19" t="s">
        <v>1028</v>
      </c>
      <c r="AL347" s="19"/>
      <c r="AM347" s="19" t="s">
        <v>234</v>
      </c>
      <c r="AN347" s="19" t="s">
        <v>1029</v>
      </c>
      <c r="AO347" s="19" t="s">
        <v>270</v>
      </c>
      <c r="AP347" s="94"/>
      <c r="AQ347" s="19" t="s">
        <v>102</v>
      </c>
      <c r="AR347" s="19" t="s">
        <v>241</v>
      </c>
      <c r="AS347" s="19"/>
      <c r="AT347" s="65" t="str">
        <f t="shared" si="87"/>
        <v>N</v>
      </c>
      <c r="AU347" s="65" t="str">
        <f t="shared" si="91"/>
        <v>N</v>
      </c>
      <c r="AV347" s="65" t="str">
        <f t="shared" si="90"/>
        <v>N</v>
      </c>
      <c r="AW347" s="99"/>
      <c r="AX347" s="99"/>
      <c r="AY347" s="19"/>
      <c r="AZ347" s="96" t="str">
        <f t="shared" si="92"/>
        <v>n</v>
      </c>
      <c r="BA347" s="96" t="str">
        <f>IF(AZ347="n","n",VLOOKUP(AZ347,'Conversion factors'!$C$4:$D$24,2,FALSE))</f>
        <v>n</v>
      </c>
      <c r="BB347" s="96" t="str">
        <f t="shared" si="93"/>
        <v>n</v>
      </c>
      <c r="BC347" s="97"/>
      <c r="BD347" s="96" t="str">
        <f t="shared" si="88"/>
        <v>n</v>
      </c>
      <c r="BE347" s="96" t="str">
        <f t="shared" si="94"/>
        <v>n</v>
      </c>
      <c r="BF347" s="98" t="str">
        <f t="shared" si="89"/>
        <v/>
      </c>
      <c r="BG347" s="96" t="str">
        <f>IF(BF347="","",IF(ISNUMBER(VLOOKUP(BF347,'Conversion factors'!$B$35:$C$52,2,FALSE)),"y","n"))</f>
        <v/>
      </c>
      <c r="BH347" s="99"/>
    </row>
    <row r="348" spans="1:60" s="103" customFormat="1" ht="15.75" customHeight="1" x14ac:dyDescent="0.2">
      <c r="A348" s="18"/>
      <c r="B348" s="19">
        <v>294</v>
      </c>
      <c r="C348" s="19"/>
      <c r="D348" s="19">
        <v>102216</v>
      </c>
      <c r="E348" s="19" t="s">
        <v>1224</v>
      </c>
      <c r="F348" s="93">
        <v>2006</v>
      </c>
      <c r="G348" s="19" t="s">
        <v>1027</v>
      </c>
      <c r="H348" s="19"/>
      <c r="I348" s="19" t="s">
        <v>41</v>
      </c>
      <c r="J348" s="19" t="s">
        <v>84</v>
      </c>
      <c r="K348" s="19" t="s">
        <v>161</v>
      </c>
      <c r="L348" s="19" t="s">
        <v>82</v>
      </c>
      <c r="M348" s="19" t="s">
        <v>82</v>
      </c>
      <c r="N348" s="19" t="s">
        <v>66</v>
      </c>
      <c r="O348" s="19" t="s">
        <v>328</v>
      </c>
      <c r="P348" s="19" t="s">
        <v>162</v>
      </c>
      <c r="Q348" s="19"/>
      <c r="R348" s="19" t="s">
        <v>81</v>
      </c>
      <c r="S348" s="19" t="s">
        <v>302</v>
      </c>
      <c r="T348" s="19" t="s">
        <v>454</v>
      </c>
      <c r="U348" s="19" t="s">
        <v>454</v>
      </c>
      <c r="V348" s="19" t="s">
        <v>85</v>
      </c>
      <c r="W348" s="19" t="s">
        <v>231</v>
      </c>
      <c r="X348" s="19" t="s">
        <v>46</v>
      </c>
      <c r="Y348" s="29"/>
      <c r="Z348" s="19"/>
      <c r="AA348" s="19"/>
      <c r="AB348" s="19" t="s">
        <v>538</v>
      </c>
      <c r="AC348" s="19" t="s">
        <v>1322</v>
      </c>
      <c r="AD348" s="19"/>
      <c r="AE348" s="19">
        <v>100</v>
      </c>
      <c r="AF348" s="19" t="s">
        <v>1032</v>
      </c>
      <c r="AG348" s="19" t="s">
        <v>270</v>
      </c>
      <c r="AH348" s="19"/>
      <c r="AI348" s="19"/>
      <c r="AJ348" s="19">
        <f t="shared" si="95"/>
        <v>7.75</v>
      </c>
      <c r="AK348" s="19" t="s">
        <v>1028</v>
      </c>
      <c r="AL348" s="19"/>
      <c r="AM348" s="19" t="s">
        <v>234</v>
      </c>
      <c r="AN348" s="19" t="s">
        <v>1029</v>
      </c>
      <c r="AO348" s="19" t="s">
        <v>270</v>
      </c>
      <c r="AP348" s="94"/>
      <c r="AQ348" s="19" t="s">
        <v>102</v>
      </c>
      <c r="AR348" s="19" t="s">
        <v>241</v>
      </c>
      <c r="AS348" s="19"/>
      <c r="AT348" s="65" t="str">
        <f t="shared" si="87"/>
        <v>N</v>
      </c>
      <c r="AU348" s="65" t="str">
        <f t="shared" si="91"/>
        <v>N</v>
      </c>
      <c r="AV348" s="65" t="str">
        <f t="shared" si="90"/>
        <v>N</v>
      </c>
      <c r="AW348" s="99"/>
      <c r="AX348" s="99"/>
      <c r="AY348" s="19"/>
      <c r="AZ348" s="96" t="str">
        <f t="shared" si="92"/>
        <v>n</v>
      </c>
      <c r="BA348" s="96" t="str">
        <f>IF(AZ348="n","n",VLOOKUP(AZ348,'Conversion factors'!$C$4:$D$24,2,FALSE))</f>
        <v>n</v>
      </c>
      <c r="BB348" s="96" t="str">
        <f t="shared" si="93"/>
        <v>n</v>
      </c>
      <c r="BC348" s="97"/>
      <c r="BD348" s="96" t="str">
        <f t="shared" si="88"/>
        <v>n</v>
      </c>
      <c r="BE348" s="96" t="str">
        <f t="shared" si="94"/>
        <v>n</v>
      </c>
      <c r="BF348" s="98" t="str">
        <f t="shared" si="89"/>
        <v/>
      </c>
      <c r="BG348" s="96" t="str">
        <f>IF(BF348="","",IF(ISNUMBER(VLOOKUP(BF348,'Conversion factors'!$B$35:$C$52,2,FALSE)),"y","n"))</f>
        <v/>
      </c>
      <c r="BH348" s="99"/>
    </row>
    <row r="349" spans="1:60" s="103" customFormat="1" ht="15.75" customHeight="1" x14ac:dyDescent="0.2">
      <c r="A349" s="18"/>
      <c r="B349" s="19">
        <v>294</v>
      </c>
      <c r="C349" s="19"/>
      <c r="D349" s="19">
        <v>102216</v>
      </c>
      <c r="E349" s="19" t="s">
        <v>1224</v>
      </c>
      <c r="F349" s="93">
        <v>2006</v>
      </c>
      <c r="G349" s="19" t="s">
        <v>1027</v>
      </c>
      <c r="H349" s="19"/>
      <c r="I349" s="19" t="s">
        <v>41</v>
      </c>
      <c r="J349" s="19" t="s">
        <v>84</v>
      </c>
      <c r="K349" s="19" t="s">
        <v>161</v>
      </c>
      <c r="L349" s="19" t="s">
        <v>82</v>
      </c>
      <c r="M349" s="19" t="s">
        <v>82</v>
      </c>
      <c r="N349" s="19" t="s">
        <v>66</v>
      </c>
      <c r="O349" s="19" t="s">
        <v>328</v>
      </c>
      <c r="P349" s="19" t="s">
        <v>162</v>
      </c>
      <c r="Q349" s="19"/>
      <c r="R349" s="19" t="s">
        <v>81</v>
      </c>
      <c r="S349" s="19" t="s">
        <v>302</v>
      </c>
      <c r="T349" s="19" t="s">
        <v>465</v>
      </c>
      <c r="U349" s="19" t="s">
        <v>54</v>
      </c>
      <c r="V349" s="19" t="s">
        <v>85</v>
      </c>
      <c r="W349" s="19" t="s">
        <v>231</v>
      </c>
      <c r="X349" s="19" t="s">
        <v>46</v>
      </c>
      <c r="Y349" s="29"/>
      <c r="Z349" s="19"/>
      <c r="AA349" s="19"/>
      <c r="AB349" s="19" t="s">
        <v>538</v>
      </c>
      <c r="AC349" s="19" t="s">
        <v>1322</v>
      </c>
      <c r="AD349" s="19"/>
      <c r="AE349" s="19">
        <v>100</v>
      </c>
      <c r="AF349" s="19" t="s">
        <v>1032</v>
      </c>
      <c r="AG349" s="19" t="s">
        <v>270</v>
      </c>
      <c r="AH349" s="19"/>
      <c r="AI349" s="19"/>
      <c r="AJ349" s="19">
        <f t="shared" si="95"/>
        <v>7.75</v>
      </c>
      <c r="AK349" s="19" t="s">
        <v>1028</v>
      </c>
      <c r="AL349" s="19"/>
      <c r="AM349" s="19" t="s">
        <v>234</v>
      </c>
      <c r="AN349" s="19" t="s">
        <v>1029</v>
      </c>
      <c r="AO349" s="19" t="s">
        <v>270</v>
      </c>
      <c r="AP349" s="94"/>
      <c r="AQ349" s="19" t="s">
        <v>102</v>
      </c>
      <c r="AR349" s="19" t="s">
        <v>241</v>
      </c>
      <c r="AS349" s="19"/>
      <c r="AT349" s="65" t="str">
        <f t="shared" si="87"/>
        <v>N</v>
      </c>
      <c r="AU349" s="65" t="str">
        <f t="shared" si="91"/>
        <v>N</v>
      </c>
      <c r="AV349" s="65" t="str">
        <f t="shared" si="90"/>
        <v>N</v>
      </c>
      <c r="AW349" s="99"/>
      <c r="AX349" s="99"/>
      <c r="AY349" s="19"/>
      <c r="AZ349" s="96" t="str">
        <f t="shared" si="92"/>
        <v>n</v>
      </c>
      <c r="BA349" s="96" t="str">
        <f>IF(AZ349="n","n",VLOOKUP(AZ349,'Conversion factors'!$C$4:$D$24,2,FALSE))</f>
        <v>n</v>
      </c>
      <c r="BB349" s="96" t="str">
        <f t="shared" si="93"/>
        <v>n</v>
      </c>
      <c r="BC349" s="97"/>
      <c r="BD349" s="96" t="str">
        <f t="shared" si="88"/>
        <v>n</v>
      </c>
      <c r="BE349" s="96" t="str">
        <f t="shared" si="94"/>
        <v>n</v>
      </c>
      <c r="BF349" s="98" t="str">
        <f t="shared" si="89"/>
        <v/>
      </c>
      <c r="BG349" s="96" t="str">
        <f>IF(BF349="","",IF(ISNUMBER(VLOOKUP(BF349,'Conversion factors'!$B$35:$C$52,2,FALSE)),"y","n"))</f>
        <v/>
      </c>
      <c r="BH349" s="99" t="s">
        <v>1507</v>
      </c>
    </row>
    <row r="350" spans="1:60" s="103" customFormat="1" ht="15.75" customHeight="1" x14ac:dyDescent="0.2">
      <c r="A350" s="18"/>
      <c r="B350" s="19">
        <v>294</v>
      </c>
      <c r="C350" s="19"/>
      <c r="D350" s="19">
        <v>102216</v>
      </c>
      <c r="E350" s="19" t="s">
        <v>1224</v>
      </c>
      <c r="F350" s="93">
        <v>2006</v>
      </c>
      <c r="G350" s="19" t="s">
        <v>1027</v>
      </c>
      <c r="H350" s="19"/>
      <c r="I350" s="19" t="s">
        <v>41</v>
      </c>
      <c r="J350" s="19" t="s">
        <v>84</v>
      </c>
      <c r="K350" s="19" t="s">
        <v>161</v>
      </c>
      <c r="L350" s="19" t="s">
        <v>82</v>
      </c>
      <c r="M350" s="19" t="s">
        <v>82</v>
      </c>
      <c r="N350" s="19" t="s">
        <v>66</v>
      </c>
      <c r="O350" s="19" t="s">
        <v>328</v>
      </c>
      <c r="P350" s="19" t="s">
        <v>162</v>
      </c>
      <c r="Q350" s="19"/>
      <c r="R350" s="19" t="s">
        <v>237</v>
      </c>
      <c r="S350" s="19" t="s">
        <v>414</v>
      </c>
      <c r="T350" s="19" t="s">
        <v>454</v>
      </c>
      <c r="U350" s="19" t="s">
        <v>454</v>
      </c>
      <c r="V350" s="19" t="s">
        <v>85</v>
      </c>
      <c r="W350" s="19" t="s">
        <v>231</v>
      </c>
      <c r="X350" s="19" t="s">
        <v>46</v>
      </c>
      <c r="Y350" s="29"/>
      <c r="Z350" s="19"/>
      <c r="AA350" s="19"/>
      <c r="AB350" s="19" t="s">
        <v>538</v>
      </c>
      <c r="AC350" s="19" t="s">
        <v>1322</v>
      </c>
      <c r="AD350" s="19"/>
      <c r="AE350" s="19">
        <v>100</v>
      </c>
      <c r="AF350" s="19" t="s">
        <v>1032</v>
      </c>
      <c r="AG350" s="19" t="s">
        <v>270</v>
      </c>
      <c r="AH350" s="19"/>
      <c r="AI350" s="19"/>
      <c r="AJ350" s="19">
        <f t="shared" si="95"/>
        <v>7.75</v>
      </c>
      <c r="AK350" s="19" t="s">
        <v>1028</v>
      </c>
      <c r="AL350" s="19"/>
      <c r="AM350" s="19" t="s">
        <v>234</v>
      </c>
      <c r="AN350" s="19" t="s">
        <v>1029</v>
      </c>
      <c r="AO350" s="19" t="s">
        <v>270</v>
      </c>
      <c r="AP350" s="94"/>
      <c r="AQ350" s="19" t="s">
        <v>102</v>
      </c>
      <c r="AR350" s="19" t="s">
        <v>241</v>
      </c>
      <c r="AS350" s="19"/>
      <c r="AT350" s="65" t="str">
        <f t="shared" si="87"/>
        <v>N</v>
      </c>
      <c r="AU350" s="65" t="str">
        <f t="shared" si="91"/>
        <v>N</v>
      </c>
      <c r="AV350" s="65" t="str">
        <f t="shared" si="90"/>
        <v>N</v>
      </c>
      <c r="AW350" s="99"/>
      <c r="AX350" s="99"/>
      <c r="AY350" s="19"/>
      <c r="AZ350" s="96" t="str">
        <f t="shared" si="92"/>
        <v>n</v>
      </c>
      <c r="BA350" s="96" t="str">
        <f>IF(AZ350="n","n",VLOOKUP(AZ350,'Conversion factors'!$C$4:$D$24,2,FALSE))</f>
        <v>n</v>
      </c>
      <c r="BB350" s="96" t="str">
        <f t="shared" si="93"/>
        <v>n</v>
      </c>
      <c r="BC350" s="97"/>
      <c r="BD350" s="96" t="str">
        <f t="shared" si="88"/>
        <v>n</v>
      </c>
      <c r="BE350" s="96" t="str">
        <f t="shared" si="94"/>
        <v>n</v>
      </c>
      <c r="BF350" s="98" t="str">
        <f t="shared" si="89"/>
        <v/>
      </c>
      <c r="BG350" s="96" t="str">
        <f>IF(BF350="","",IF(ISNUMBER(VLOOKUP(BF350,'Conversion factors'!$B$35:$C$52,2,FALSE)),"y","n"))</f>
        <v/>
      </c>
      <c r="BH350" s="99"/>
    </row>
    <row r="351" spans="1:60" s="103" customFormat="1" ht="15.75" customHeight="1" x14ac:dyDescent="0.2">
      <c r="A351" s="18"/>
      <c r="B351" s="19">
        <v>294</v>
      </c>
      <c r="C351" s="19"/>
      <c r="D351" s="19">
        <v>102216</v>
      </c>
      <c r="E351" s="19" t="s">
        <v>1224</v>
      </c>
      <c r="F351" s="93">
        <v>2006</v>
      </c>
      <c r="G351" s="19" t="s">
        <v>1027</v>
      </c>
      <c r="H351" s="19"/>
      <c r="I351" s="19" t="s">
        <v>41</v>
      </c>
      <c r="J351" s="19" t="s">
        <v>84</v>
      </c>
      <c r="K351" s="19" t="s">
        <v>161</v>
      </c>
      <c r="L351" s="19" t="s">
        <v>82</v>
      </c>
      <c r="M351" s="19" t="s">
        <v>82</v>
      </c>
      <c r="N351" s="19" t="s">
        <v>66</v>
      </c>
      <c r="O351" s="19" t="s">
        <v>328</v>
      </c>
      <c r="P351" s="19" t="s">
        <v>162</v>
      </c>
      <c r="Q351" s="19"/>
      <c r="R351" s="19" t="s">
        <v>237</v>
      </c>
      <c r="S351" s="19" t="s">
        <v>414</v>
      </c>
      <c r="T351" s="19" t="s">
        <v>454</v>
      </c>
      <c r="U351" s="19" t="s">
        <v>454</v>
      </c>
      <c r="V351" s="19" t="s">
        <v>85</v>
      </c>
      <c r="W351" s="19" t="s">
        <v>231</v>
      </c>
      <c r="X351" s="19" t="s">
        <v>46</v>
      </c>
      <c r="Y351" s="29"/>
      <c r="Z351" s="19"/>
      <c r="AA351" s="19"/>
      <c r="AB351" s="19" t="s">
        <v>538</v>
      </c>
      <c r="AC351" s="19" t="s">
        <v>1322</v>
      </c>
      <c r="AD351" s="19"/>
      <c r="AE351" s="19">
        <v>100</v>
      </c>
      <c r="AF351" s="19" t="s">
        <v>1032</v>
      </c>
      <c r="AG351" s="19" t="s">
        <v>270</v>
      </c>
      <c r="AH351" s="19"/>
      <c r="AI351" s="19"/>
      <c r="AJ351" s="19">
        <f t="shared" si="95"/>
        <v>7.75</v>
      </c>
      <c r="AK351" s="19" t="s">
        <v>1028</v>
      </c>
      <c r="AL351" s="19"/>
      <c r="AM351" s="19" t="s">
        <v>234</v>
      </c>
      <c r="AN351" s="19" t="s">
        <v>1029</v>
      </c>
      <c r="AO351" s="19" t="s">
        <v>270</v>
      </c>
      <c r="AP351" s="94"/>
      <c r="AQ351" s="19" t="s">
        <v>102</v>
      </c>
      <c r="AR351" s="19" t="s">
        <v>241</v>
      </c>
      <c r="AS351" s="19"/>
      <c r="AT351" s="65" t="str">
        <f t="shared" si="87"/>
        <v>N</v>
      </c>
      <c r="AU351" s="65" t="str">
        <f t="shared" si="91"/>
        <v>N</v>
      </c>
      <c r="AV351" s="65" t="str">
        <f t="shared" si="90"/>
        <v>N</v>
      </c>
      <c r="AW351" s="99"/>
      <c r="AX351" s="99"/>
      <c r="AY351" s="19"/>
      <c r="AZ351" s="96" t="str">
        <f t="shared" si="92"/>
        <v>n</v>
      </c>
      <c r="BA351" s="96" t="str">
        <f>IF(AZ351="n","n",VLOOKUP(AZ351,'Conversion factors'!$C$4:$D$24,2,FALSE))</f>
        <v>n</v>
      </c>
      <c r="BB351" s="96" t="str">
        <f t="shared" si="93"/>
        <v>n</v>
      </c>
      <c r="BC351" s="97"/>
      <c r="BD351" s="96" t="str">
        <f t="shared" si="88"/>
        <v>n</v>
      </c>
      <c r="BE351" s="96" t="str">
        <f t="shared" si="94"/>
        <v>n</v>
      </c>
      <c r="BF351" s="98" t="str">
        <f t="shared" si="89"/>
        <v/>
      </c>
      <c r="BG351" s="96" t="str">
        <f>IF(BF351="","",IF(ISNUMBER(VLOOKUP(BF351,'Conversion factors'!$B$35:$C$52,2,FALSE)),"y","n"))</f>
        <v/>
      </c>
      <c r="BH351" s="99"/>
    </row>
    <row r="352" spans="1:60" s="103" customFormat="1" ht="15.75" customHeight="1" x14ac:dyDescent="0.2">
      <c r="A352" s="18"/>
      <c r="B352" s="19">
        <v>294</v>
      </c>
      <c r="C352" s="19"/>
      <c r="D352" s="19">
        <v>102216</v>
      </c>
      <c r="E352" s="19" t="s">
        <v>1224</v>
      </c>
      <c r="F352" s="93">
        <v>2006</v>
      </c>
      <c r="G352" s="19" t="s">
        <v>1027</v>
      </c>
      <c r="H352" s="19"/>
      <c r="I352" s="19" t="s">
        <v>41</v>
      </c>
      <c r="J352" s="19" t="s">
        <v>84</v>
      </c>
      <c r="K352" s="19" t="s">
        <v>161</v>
      </c>
      <c r="L352" s="19" t="s">
        <v>82</v>
      </c>
      <c r="M352" s="19" t="s">
        <v>82</v>
      </c>
      <c r="N352" s="19" t="s">
        <v>66</v>
      </c>
      <c r="O352" s="19" t="s">
        <v>328</v>
      </c>
      <c r="P352" s="19" t="s">
        <v>162</v>
      </c>
      <c r="Q352" s="19"/>
      <c r="R352" s="19" t="s">
        <v>237</v>
      </c>
      <c r="S352" s="19" t="s">
        <v>414</v>
      </c>
      <c r="T352" s="19" t="s">
        <v>454</v>
      </c>
      <c r="U352" s="19" t="s">
        <v>454</v>
      </c>
      <c r="V352" s="19" t="s">
        <v>85</v>
      </c>
      <c r="W352" s="19" t="s">
        <v>231</v>
      </c>
      <c r="X352" s="19" t="s">
        <v>46</v>
      </c>
      <c r="Y352" s="29"/>
      <c r="Z352" s="19"/>
      <c r="AA352" s="19"/>
      <c r="AB352" s="19" t="s">
        <v>538</v>
      </c>
      <c r="AC352" s="19" t="s">
        <v>1322</v>
      </c>
      <c r="AD352" s="19"/>
      <c r="AE352" s="19">
        <v>100</v>
      </c>
      <c r="AF352" s="19" t="s">
        <v>1032</v>
      </c>
      <c r="AG352" s="19" t="s">
        <v>270</v>
      </c>
      <c r="AH352" s="19"/>
      <c r="AI352" s="19"/>
      <c r="AJ352" s="19">
        <f t="shared" si="95"/>
        <v>7.75</v>
      </c>
      <c r="AK352" s="19" t="s">
        <v>1028</v>
      </c>
      <c r="AL352" s="19"/>
      <c r="AM352" s="19" t="s">
        <v>234</v>
      </c>
      <c r="AN352" s="19" t="s">
        <v>1029</v>
      </c>
      <c r="AO352" s="19" t="s">
        <v>270</v>
      </c>
      <c r="AP352" s="94"/>
      <c r="AQ352" s="19" t="s">
        <v>102</v>
      </c>
      <c r="AR352" s="19" t="s">
        <v>241</v>
      </c>
      <c r="AS352" s="19"/>
      <c r="AT352" s="65" t="str">
        <f t="shared" si="87"/>
        <v>N</v>
      </c>
      <c r="AU352" s="65" t="str">
        <f t="shared" si="91"/>
        <v>N</v>
      </c>
      <c r="AV352" s="65" t="str">
        <f t="shared" si="90"/>
        <v>N</v>
      </c>
      <c r="AW352" s="99"/>
      <c r="AX352" s="99"/>
      <c r="AY352" s="19"/>
      <c r="AZ352" s="96" t="str">
        <f t="shared" si="92"/>
        <v>n</v>
      </c>
      <c r="BA352" s="96" t="str">
        <f>IF(AZ352="n","n",VLOOKUP(AZ352,'Conversion factors'!$C$4:$D$24,2,FALSE))</f>
        <v>n</v>
      </c>
      <c r="BB352" s="96" t="str">
        <f t="shared" si="93"/>
        <v>n</v>
      </c>
      <c r="BC352" s="97"/>
      <c r="BD352" s="96" t="str">
        <f t="shared" si="88"/>
        <v>n</v>
      </c>
      <c r="BE352" s="96" t="str">
        <f t="shared" si="94"/>
        <v>n</v>
      </c>
      <c r="BF352" s="98" t="str">
        <f t="shared" si="89"/>
        <v/>
      </c>
      <c r="BG352" s="96" t="str">
        <f>IF(BF352="","",IF(ISNUMBER(VLOOKUP(BF352,'Conversion factors'!$B$35:$C$52,2,FALSE)),"y","n"))</f>
        <v/>
      </c>
      <c r="BH352" s="99"/>
    </row>
    <row r="353" spans="1:60" s="103" customFormat="1" ht="15.75" customHeight="1" x14ac:dyDescent="0.2">
      <c r="A353" s="18"/>
      <c r="B353" s="19">
        <v>137</v>
      </c>
      <c r="C353" s="36"/>
      <c r="D353" s="36"/>
      <c r="E353" s="93" t="s">
        <v>1235</v>
      </c>
      <c r="F353" s="93">
        <v>1995</v>
      </c>
      <c r="G353" s="19" t="s">
        <v>1231</v>
      </c>
      <c r="H353" s="19"/>
      <c r="I353" s="19" t="s">
        <v>1338</v>
      </c>
      <c r="J353" s="19" t="s">
        <v>84</v>
      </c>
      <c r="K353" s="19" t="s">
        <v>161</v>
      </c>
      <c r="L353" s="99" t="s">
        <v>82</v>
      </c>
      <c r="M353" s="19" t="s">
        <v>82</v>
      </c>
      <c r="N353" s="19" t="s">
        <v>66</v>
      </c>
      <c r="O353" s="19" t="s">
        <v>1251</v>
      </c>
      <c r="P353" s="19" t="s">
        <v>162</v>
      </c>
      <c r="Q353" s="19"/>
      <c r="R353" s="19" t="s">
        <v>81</v>
      </c>
      <c r="S353" s="19" t="s">
        <v>1253</v>
      </c>
      <c r="T353" s="19" t="s">
        <v>54</v>
      </c>
      <c r="U353" s="19" t="s">
        <v>54</v>
      </c>
      <c r="V353" s="93">
        <v>7</v>
      </c>
      <c r="W353" s="93" t="s">
        <v>45</v>
      </c>
      <c r="X353" s="19" t="s">
        <v>46</v>
      </c>
      <c r="Y353" s="29"/>
      <c r="Z353" s="93"/>
      <c r="AA353" s="93"/>
      <c r="AB353" s="93">
        <v>290</v>
      </c>
      <c r="AC353" s="19" t="s">
        <v>214</v>
      </c>
      <c r="AD353" s="93"/>
      <c r="AE353" s="19">
        <v>190</v>
      </c>
      <c r="AF353" s="19" t="s">
        <v>1339</v>
      </c>
      <c r="AG353" s="19" t="s">
        <v>1317</v>
      </c>
      <c r="AH353" s="19"/>
      <c r="AI353" s="19"/>
      <c r="AJ353" s="101">
        <v>7.5</v>
      </c>
      <c r="AK353" s="19" t="s">
        <v>1515</v>
      </c>
      <c r="AL353" s="19"/>
      <c r="AM353" s="19"/>
      <c r="AN353" s="19"/>
      <c r="AO353" s="19"/>
      <c r="AP353" s="94"/>
      <c r="AQ353" s="19"/>
      <c r="AR353" s="19"/>
      <c r="AS353" s="19"/>
      <c r="AT353" s="65" t="str">
        <f t="shared" si="87"/>
        <v>Y</v>
      </c>
      <c r="AU353" s="65" t="str">
        <f t="shared" si="91"/>
        <v>Y</v>
      </c>
      <c r="AV353" s="65" t="str">
        <f t="shared" si="90"/>
        <v>Y</v>
      </c>
      <c r="AW353" s="99"/>
      <c r="AX353" s="99"/>
      <c r="AY353" s="93"/>
      <c r="AZ353" s="96" t="str">
        <f t="shared" si="92"/>
        <v>NOEC</v>
      </c>
      <c r="BA353" s="96">
        <f>IF(AZ353="n","n",VLOOKUP(AZ353,'Conversion factors'!$C$4:$D$24,2,FALSE))</f>
        <v>1</v>
      </c>
      <c r="BB353" s="96">
        <f t="shared" si="93"/>
        <v>290</v>
      </c>
      <c r="BC353" s="97"/>
      <c r="BD353" s="96" t="str">
        <f t="shared" si="88"/>
        <v>Chronic</v>
      </c>
      <c r="BE353" s="96" t="str">
        <f t="shared" si="94"/>
        <v>y</v>
      </c>
      <c r="BF353" s="98" t="str">
        <f t="shared" si="89"/>
        <v>NOEC</v>
      </c>
      <c r="BG353" s="96" t="str">
        <f>IF(BF353="","",IF(ISNUMBER(VLOOKUP(BF353,'Conversion factors'!$B$35:$C$52,2,FALSE)),"y","n"))</f>
        <v>y</v>
      </c>
      <c r="BH353" s="99" t="s">
        <v>1507</v>
      </c>
    </row>
    <row r="354" spans="1:60" s="103" customFormat="1" ht="15.75" customHeight="1" x14ac:dyDescent="0.2">
      <c r="A354" s="18"/>
      <c r="B354" s="19">
        <v>132</v>
      </c>
      <c r="C354" s="36"/>
      <c r="D354" s="36"/>
      <c r="E354" s="93" t="s">
        <v>1235</v>
      </c>
      <c r="F354" s="93">
        <v>1985</v>
      </c>
      <c r="G354" s="19" t="s">
        <v>1233</v>
      </c>
      <c r="H354" s="19" t="s">
        <v>162</v>
      </c>
      <c r="I354" s="19" t="s">
        <v>41</v>
      </c>
      <c r="J354" s="19" t="s">
        <v>84</v>
      </c>
      <c r="K354" s="19" t="s">
        <v>161</v>
      </c>
      <c r="L354" s="99" t="s">
        <v>82</v>
      </c>
      <c r="M354" s="19" t="s">
        <v>82</v>
      </c>
      <c r="N354" s="19" t="s">
        <v>66</v>
      </c>
      <c r="O354" s="19" t="s">
        <v>1252</v>
      </c>
      <c r="P354" s="19" t="s">
        <v>162</v>
      </c>
      <c r="Q354" s="19"/>
      <c r="R354" s="19" t="s">
        <v>81</v>
      </c>
      <c r="S354" s="19" t="s">
        <v>1254</v>
      </c>
      <c r="T354" s="19" t="s">
        <v>1062</v>
      </c>
      <c r="U354" s="19" t="s">
        <v>49</v>
      </c>
      <c r="V354" s="93">
        <v>7</v>
      </c>
      <c r="W354" s="93" t="s">
        <v>45</v>
      </c>
      <c r="X354" s="19" t="s">
        <v>46</v>
      </c>
      <c r="Y354" s="29"/>
      <c r="Z354" s="93"/>
      <c r="AA354" s="93"/>
      <c r="AB354" s="93">
        <v>83.9</v>
      </c>
      <c r="AC354" s="19" t="s">
        <v>214</v>
      </c>
      <c r="AD354" s="93"/>
      <c r="AE354" s="19">
        <v>48</v>
      </c>
      <c r="AF354" s="19">
        <v>48</v>
      </c>
      <c r="AG354" s="19"/>
      <c r="AH354" s="19"/>
      <c r="AI354" s="19"/>
      <c r="AJ354" s="101">
        <v>7.6</v>
      </c>
      <c r="AK354" s="19" t="s">
        <v>1589</v>
      </c>
      <c r="AL354" s="19"/>
      <c r="AM354" s="19"/>
      <c r="AN354" s="19"/>
      <c r="AO354" s="19"/>
      <c r="AP354" s="94">
        <v>1.1000000000000001</v>
      </c>
      <c r="AQ354" s="19"/>
      <c r="AR354" s="19"/>
      <c r="AS354" s="19"/>
      <c r="AT354" s="65" t="str">
        <f t="shared" si="87"/>
        <v>Y</v>
      </c>
      <c r="AU354" s="65" t="str">
        <f t="shared" ref="AU354" si="96">IF(AT354="N","N",IF(AJ354&lt;6,"N",IF(AJ354&gt;8.5,"N","Y")))</f>
        <v>Y</v>
      </c>
      <c r="AV354" s="65" t="str">
        <f t="shared" ref="AV354" si="97">AU354</f>
        <v>Y</v>
      </c>
      <c r="AW354" s="19"/>
      <c r="AX354" s="19"/>
      <c r="AY354" s="93"/>
      <c r="AZ354" s="96" t="str">
        <f t="shared" ref="AZ354" si="98">IF(AV354="N","n",T354)</f>
        <v>IC10</v>
      </c>
      <c r="BA354" s="96">
        <f>IF(AZ354="n","n",VLOOKUP(AZ354,'Conversion factors'!$C$4:$D$24,2,FALSE))</f>
        <v>1</v>
      </c>
      <c r="BB354" s="96">
        <f t="shared" ref="BB354" si="99">IF(BA354="n","n",AB354/BA354)</f>
        <v>83.9</v>
      </c>
      <c r="BC354" s="97"/>
      <c r="BD354" s="96" t="str">
        <f t="shared" si="88"/>
        <v>Chronic</v>
      </c>
      <c r="BE354" s="96" t="str">
        <f t="shared" ref="BE354" si="100">IF(BD354="chronic","y","n")</f>
        <v>y</v>
      </c>
      <c r="BF354" s="98" t="str">
        <f t="shared" si="89"/>
        <v>IC10</v>
      </c>
      <c r="BG354" s="96" t="str">
        <f>IF(BF354="","",IF(ISNUMBER(VLOOKUP(BF354,'Conversion factors'!$B$35:$C$52,2,FALSE)),"y","n"))</f>
        <v>y</v>
      </c>
      <c r="BH354" s="99"/>
    </row>
    <row r="355" spans="1:60" s="103" customFormat="1" ht="15.75" customHeight="1" x14ac:dyDescent="0.2">
      <c r="A355" s="18"/>
      <c r="B355" s="19">
        <v>132</v>
      </c>
      <c r="C355" s="36"/>
      <c r="D355" s="36"/>
      <c r="E355" s="93" t="s">
        <v>1235</v>
      </c>
      <c r="F355" s="93">
        <v>1985</v>
      </c>
      <c r="G355" s="19" t="s">
        <v>1233</v>
      </c>
      <c r="H355" s="19" t="s">
        <v>162</v>
      </c>
      <c r="I355" s="19" t="s">
        <v>41</v>
      </c>
      <c r="J355" s="19" t="s">
        <v>84</v>
      </c>
      <c r="K355" s="19" t="s">
        <v>161</v>
      </c>
      <c r="L355" s="99" t="s">
        <v>82</v>
      </c>
      <c r="M355" s="19" t="s">
        <v>82</v>
      </c>
      <c r="N355" s="19" t="s">
        <v>66</v>
      </c>
      <c r="O355" s="19" t="s">
        <v>1252</v>
      </c>
      <c r="P355" s="19" t="s">
        <v>162</v>
      </c>
      <c r="Q355" s="19"/>
      <c r="R355" s="19" t="s">
        <v>81</v>
      </c>
      <c r="S355" s="19" t="s">
        <v>1253</v>
      </c>
      <c r="T355" s="19" t="s">
        <v>54</v>
      </c>
      <c r="U355" s="19" t="s">
        <v>54</v>
      </c>
      <c r="V355" s="93">
        <v>7</v>
      </c>
      <c r="W355" s="93" t="s">
        <v>45</v>
      </c>
      <c r="X355" s="19" t="s">
        <v>46</v>
      </c>
      <c r="Y355" s="29"/>
      <c r="Z355" s="93"/>
      <c r="AA355" s="93"/>
      <c r="AB355" s="93">
        <v>84.6</v>
      </c>
      <c r="AC355" s="19" t="s">
        <v>214</v>
      </c>
      <c r="AD355" s="93"/>
      <c r="AE355" s="19">
        <v>48</v>
      </c>
      <c r="AF355" s="19">
        <v>48</v>
      </c>
      <c r="AG355" s="19"/>
      <c r="AH355" s="19"/>
      <c r="AI355" s="19"/>
      <c r="AJ355" s="101">
        <v>7.5</v>
      </c>
      <c r="AK355" s="19" t="s">
        <v>1515</v>
      </c>
      <c r="AL355" s="19"/>
      <c r="AM355" s="19"/>
      <c r="AN355" s="19"/>
      <c r="AO355" s="19"/>
      <c r="AP355" s="94">
        <v>1.1000000000000001</v>
      </c>
      <c r="AQ355" s="19"/>
      <c r="AR355" s="19"/>
      <c r="AS355" s="19"/>
      <c r="AT355" s="65" t="str">
        <f t="shared" si="87"/>
        <v>Y</v>
      </c>
      <c r="AU355" s="65" t="str">
        <f t="shared" si="91"/>
        <v>Y</v>
      </c>
      <c r="AV355" s="65" t="str">
        <f t="shared" si="90"/>
        <v>Y</v>
      </c>
      <c r="AW355" s="19" t="s">
        <v>1255</v>
      </c>
      <c r="AX355" s="19"/>
      <c r="AY355" s="93"/>
      <c r="AZ355" s="96" t="str">
        <f t="shared" si="92"/>
        <v>NOEC</v>
      </c>
      <c r="BA355" s="96">
        <f>IF(AZ355="n","n",VLOOKUP(AZ355,'Conversion factors'!$C$4:$D$24,2,FALSE))</f>
        <v>1</v>
      </c>
      <c r="BB355" s="96">
        <f t="shared" si="93"/>
        <v>84.6</v>
      </c>
      <c r="BC355" s="97"/>
      <c r="BD355" s="96" t="str">
        <f t="shared" si="88"/>
        <v>Chronic</v>
      </c>
      <c r="BE355" s="96" t="str">
        <f t="shared" si="94"/>
        <v>y</v>
      </c>
      <c r="BF355" s="98" t="str">
        <f t="shared" si="89"/>
        <v>NOEC</v>
      </c>
      <c r="BG355" s="96" t="str">
        <f>IF(BF355="","",IF(ISNUMBER(VLOOKUP(BF355,'Conversion factors'!$B$35:$C$52,2,FALSE)),"y","n"))</f>
        <v>y</v>
      </c>
      <c r="BH355" s="99" t="s">
        <v>1507</v>
      </c>
    </row>
    <row r="356" spans="1:60" s="103" customFormat="1" ht="15.75" customHeight="1" x14ac:dyDescent="0.2">
      <c r="A356" s="18"/>
      <c r="B356" s="19">
        <v>132</v>
      </c>
      <c r="C356" s="36"/>
      <c r="D356" s="36"/>
      <c r="E356" s="93" t="s">
        <v>1235</v>
      </c>
      <c r="F356" s="93">
        <v>1985</v>
      </c>
      <c r="G356" s="19" t="s">
        <v>1233</v>
      </c>
      <c r="H356" s="19" t="s">
        <v>162</v>
      </c>
      <c r="I356" s="19" t="s">
        <v>41</v>
      </c>
      <c r="J356" s="19" t="s">
        <v>84</v>
      </c>
      <c r="K356" s="19" t="s">
        <v>161</v>
      </c>
      <c r="L356" s="19" t="s">
        <v>82</v>
      </c>
      <c r="M356" s="19" t="s">
        <v>82</v>
      </c>
      <c r="N356" s="19" t="s">
        <v>66</v>
      </c>
      <c r="O356" s="19" t="s">
        <v>1252</v>
      </c>
      <c r="P356" s="19" t="s">
        <v>162</v>
      </c>
      <c r="Q356" s="19"/>
      <c r="R356" s="19" t="s">
        <v>81</v>
      </c>
      <c r="S356" s="19" t="s">
        <v>1254</v>
      </c>
      <c r="T356" s="19" t="s">
        <v>77</v>
      </c>
      <c r="U356" s="19" t="s">
        <v>77</v>
      </c>
      <c r="V356" s="93">
        <v>7</v>
      </c>
      <c r="W356" s="93" t="s">
        <v>45</v>
      </c>
      <c r="X356" s="19" t="s">
        <v>46</v>
      </c>
      <c r="Y356" s="29"/>
      <c r="Z356" s="93"/>
      <c r="AA356" s="93"/>
      <c r="AB356" s="93">
        <v>125</v>
      </c>
      <c r="AC356" s="19" t="s">
        <v>214</v>
      </c>
      <c r="AD356" s="93"/>
      <c r="AE356" s="19">
        <v>48</v>
      </c>
      <c r="AF356" s="19">
        <v>48</v>
      </c>
      <c r="AG356" s="19"/>
      <c r="AH356" s="19"/>
      <c r="AI356" s="19"/>
      <c r="AJ356" s="19">
        <v>7.5</v>
      </c>
      <c r="AK356" s="19" t="s">
        <v>1515</v>
      </c>
      <c r="AL356" s="19"/>
      <c r="AM356" s="19"/>
      <c r="AN356" s="19"/>
      <c r="AO356" s="19"/>
      <c r="AP356" s="94">
        <v>1.1000000000000001</v>
      </c>
      <c r="AQ356" s="19"/>
      <c r="AR356" s="19"/>
      <c r="AS356" s="19"/>
      <c r="AT356" s="65" t="str">
        <f t="shared" si="87"/>
        <v>Y</v>
      </c>
      <c r="AU356" s="65" t="str">
        <f t="shared" si="91"/>
        <v>Y</v>
      </c>
      <c r="AV356" s="65" t="str">
        <f t="shared" si="90"/>
        <v>Y</v>
      </c>
      <c r="AW356" s="99"/>
      <c r="AX356" s="99"/>
      <c r="AY356" s="93"/>
      <c r="AZ356" s="96" t="str">
        <f t="shared" si="92"/>
        <v>MATC</v>
      </c>
      <c r="BA356" s="96">
        <f>IF(AZ356="n","n",VLOOKUP(AZ356,'Conversion factors'!$C$4:$D$24,2,FALSE))</f>
        <v>2</v>
      </c>
      <c r="BB356" s="96">
        <f t="shared" si="93"/>
        <v>62.5</v>
      </c>
      <c r="BC356" s="97"/>
      <c r="BD356" s="96" t="str">
        <f t="shared" si="88"/>
        <v>Chronic</v>
      </c>
      <c r="BE356" s="96" t="str">
        <f t="shared" si="94"/>
        <v>y</v>
      </c>
      <c r="BF356" s="98" t="str">
        <f t="shared" si="89"/>
        <v>MATC</v>
      </c>
      <c r="BG356" s="96" t="str">
        <f>IF(BF356="","",IF(ISNUMBER(VLOOKUP(BF356,'Conversion factors'!$B$35:$C$52,2,FALSE)),"y","n"))</f>
        <v>n</v>
      </c>
      <c r="BH356" s="99"/>
    </row>
    <row r="357" spans="1:60" s="103" customFormat="1" ht="15.75" customHeight="1" x14ac:dyDescent="0.2">
      <c r="A357" s="18"/>
      <c r="B357" s="19">
        <v>124</v>
      </c>
      <c r="C357" s="36"/>
      <c r="D357" s="36"/>
      <c r="E357" s="93" t="s">
        <v>1235</v>
      </c>
      <c r="F357" s="93">
        <v>1978</v>
      </c>
      <c r="G357" s="19" t="s">
        <v>1226</v>
      </c>
      <c r="H357" s="19" t="s">
        <v>162</v>
      </c>
      <c r="I357" s="19" t="s">
        <v>41</v>
      </c>
      <c r="J357" s="19" t="s">
        <v>84</v>
      </c>
      <c r="K357" s="19" t="s">
        <v>161</v>
      </c>
      <c r="L357" s="19" t="s">
        <v>82</v>
      </c>
      <c r="M357" s="19" t="s">
        <v>82</v>
      </c>
      <c r="N357" s="19" t="s">
        <v>66</v>
      </c>
      <c r="O357" s="19" t="s">
        <v>1243</v>
      </c>
      <c r="P357" s="19" t="s">
        <v>162</v>
      </c>
      <c r="Q357" s="19"/>
      <c r="R357" s="19" t="s">
        <v>237</v>
      </c>
      <c r="S357" s="19" t="s">
        <v>156</v>
      </c>
      <c r="T357" s="19" t="s">
        <v>54</v>
      </c>
      <c r="U357" s="19" t="s">
        <v>54</v>
      </c>
      <c r="V357" s="93">
        <f>8*7</f>
        <v>56</v>
      </c>
      <c r="W357" s="93" t="s">
        <v>45</v>
      </c>
      <c r="X357" s="19" t="s">
        <v>46</v>
      </c>
      <c r="Y357" s="29"/>
      <c r="Z357" s="93"/>
      <c r="AA357" s="93"/>
      <c r="AB357" s="93">
        <v>78</v>
      </c>
      <c r="AC357" s="19" t="s">
        <v>214</v>
      </c>
      <c r="AD357" s="93"/>
      <c r="AE357" s="19">
        <v>46</v>
      </c>
      <c r="AF357" s="19">
        <v>46</v>
      </c>
      <c r="AG357" s="19"/>
      <c r="AH357" s="19"/>
      <c r="AI357" s="19"/>
      <c r="AJ357" s="19">
        <f>MEDIAN(7,8)</f>
        <v>7.5</v>
      </c>
      <c r="AK357" s="110" t="s">
        <v>1248</v>
      </c>
      <c r="AL357" s="110"/>
      <c r="AM357" s="19"/>
      <c r="AN357" s="19">
        <v>41</v>
      </c>
      <c r="AO357" s="19"/>
      <c r="AP357" s="94"/>
      <c r="AQ357" s="19">
        <v>25</v>
      </c>
      <c r="AR357" s="19" t="s">
        <v>1249</v>
      </c>
      <c r="AS357" s="19"/>
      <c r="AT357" s="65" t="str">
        <f t="shared" si="87"/>
        <v>N</v>
      </c>
      <c r="AU357" s="65" t="str">
        <f t="shared" si="91"/>
        <v>N</v>
      </c>
      <c r="AV357" s="65" t="str">
        <f t="shared" si="90"/>
        <v>N</v>
      </c>
      <c r="AW357" s="99" t="s">
        <v>1465</v>
      </c>
      <c r="AX357" s="99"/>
      <c r="AY357" s="93"/>
      <c r="AZ357" s="96" t="str">
        <f t="shared" si="92"/>
        <v>n</v>
      </c>
      <c r="BA357" s="96" t="str">
        <f>IF(AZ357="n","n",VLOOKUP(AZ357,'Conversion factors'!$C$4:$D$24,2,FALSE))</f>
        <v>n</v>
      </c>
      <c r="BB357" s="96" t="str">
        <f t="shared" si="93"/>
        <v>n</v>
      </c>
      <c r="BC357" s="97"/>
      <c r="BD357" s="96" t="str">
        <f t="shared" si="88"/>
        <v>n</v>
      </c>
      <c r="BE357" s="96" t="str">
        <f t="shared" si="94"/>
        <v>n</v>
      </c>
      <c r="BF357" s="98" t="str">
        <f t="shared" si="89"/>
        <v/>
      </c>
      <c r="BG357" s="96" t="str">
        <f>IF(BF357="","",IF(ISNUMBER(VLOOKUP(BF357,'Conversion factors'!$B$35:$C$52,2,FALSE)),"y","n"))</f>
        <v/>
      </c>
      <c r="BH357" s="99" t="s">
        <v>1507</v>
      </c>
    </row>
    <row r="358" spans="1:60" s="103" customFormat="1" ht="15.75" customHeight="1" x14ac:dyDescent="0.2">
      <c r="A358" s="18"/>
      <c r="B358" s="19">
        <v>133</v>
      </c>
      <c r="C358" s="36"/>
      <c r="D358" s="36"/>
      <c r="E358" s="93" t="s">
        <v>1235</v>
      </c>
      <c r="F358" s="93">
        <v>1989</v>
      </c>
      <c r="G358" s="19" t="s">
        <v>1232</v>
      </c>
      <c r="H358" s="19" t="s">
        <v>162</v>
      </c>
      <c r="I358" s="19" t="s">
        <v>41</v>
      </c>
      <c r="J358" s="19" t="s">
        <v>84</v>
      </c>
      <c r="K358" s="19" t="s">
        <v>161</v>
      </c>
      <c r="L358" s="99" t="s">
        <v>82</v>
      </c>
      <c r="M358" s="19" t="s">
        <v>82</v>
      </c>
      <c r="N358" s="19" t="s">
        <v>66</v>
      </c>
      <c r="O358" s="19" t="s">
        <v>1259</v>
      </c>
      <c r="P358" s="19" t="s">
        <v>162</v>
      </c>
      <c r="Q358" s="19"/>
      <c r="R358" s="19" t="s">
        <v>237</v>
      </c>
      <c r="S358" s="19" t="s">
        <v>156</v>
      </c>
      <c r="T358" s="19" t="s">
        <v>54</v>
      </c>
      <c r="U358" s="19" t="s">
        <v>54</v>
      </c>
      <c r="V358" s="93">
        <v>7</v>
      </c>
      <c r="W358" s="93" t="s">
        <v>45</v>
      </c>
      <c r="X358" s="19" t="s">
        <v>46</v>
      </c>
      <c r="Y358" s="29"/>
      <c r="Z358" s="93"/>
      <c r="AA358" s="93"/>
      <c r="AB358" s="111">
        <f>GEOMEAN(128,117,129,277,291)</f>
        <v>173.16960245815955</v>
      </c>
      <c r="AC358" s="19" t="s">
        <v>214</v>
      </c>
      <c r="AD358" s="93"/>
      <c r="AE358" s="19">
        <v>46.5</v>
      </c>
      <c r="AF358" s="19" t="s">
        <v>1256</v>
      </c>
      <c r="AG358" s="19"/>
      <c r="AH358" s="19"/>
      <c r="AI358" s="19"/>
      <c r="AJ358" s="101">
        <v>7.5</v>
      </c>
      <c r="AK358" s="19" t="s">
        <v>1515</v>
      </c>
      <c r="AL358" s="19"/>
      <c r="AM358" s="19"/>
      <c r="AN358" s="19" t="s">
        <v>1257</v>
      </c>
      <c r="AO358" s="19"/>
      <c r="AP358" s="94">
        <v>1.1000000000000001</v>
      </c>
      <c r="AQ358" s="19"/>
      <c r="AR358" s="19" t="s">
        <v>1258</v>
      </c>
      <c r="AS358" s="19"/>
      <c r="AT358" s="65" t="str">
        <f t="shared" si="87"/>
        <v>Y</v>
      </c>
      <c r="AU358" s="65" t="str">
        <f t="shared" si="91"/>
        <v>Y</v>
      </c>
      <c r="AV358" s="65" t="str">
        <f t="shared" si="90"/>
        <v>Y</v>
      </c>
      <c r="AW358" s="99"/>
      <c r="AX358" s="99"/>
      <c r="AY358" s="93"/>
      <c r="AZ358" s="96" t="str">
        <f t="shared" si="92"/>
        <v>NOEC</v>
      </c>
      <c r="BA358" s="96">
        <f>IF(AZ358="n","n",VLOOKUP(AZ358,'Conversion factors'!$C$4:$D$24,2,FALSE))</f>
        <v>1</v>
      </c>
      <c r="BB358" s="96">
        <f t="shared" si="93"/>
        <v>173.16960245815955</v>
      </c>
      <c r="BC358" s="97"/>
      <c r="BD358" s="96" t="str">
        <f t="shared" si="88"/>
        <v>Chronic</v>
      </c>
      <c r="BE358" s="96" t="str">
        <f t="shared" si="94"/>
        <v>y</v>
      </c>
      <c r="BF358" s="98" t="str">
        <f t="shared" si="89"/>
        <v>NOEC</v>
      </c>
      <c r="BG358" s="96" t="str">
        <f>IF(BF358="","",IF(ISNUMBER(VLOOKUP(BF358,'Conversion factors'!$B$35:$C$52,2,FALSE)),"y","n"))</f>
        <v>y</v>
      </c>
      <c r="BH358" s="99" t="s">
        <v>1507</v>
      </c>
    </row>
    <row r="359" spans="1:60" s="103" customFormat="1" ht="15.75" customHeight="1" x14ac:dyDescent="0.2">
      <c r="A359" s="18"/>
      <c r="B359" s="19">
        <v>133</v>
      </c>
      <c r="C359" s="36"/>
      <c r="D359" s="36"/>
      <c r="E359" s="93" t="s">
        <v>1235</v>
      </c>
      <c r="F359" s="93">
        <v>1989</v>
      </c>
      <c r="G359" s="19" t="s">
        <v>1232</v>
      </c>
      <c r="H359" s="19" t="s">
        <v>162</v>
      </c>
      <c r="I359" s="19" t="s">
        <v>41</v>
      </c>
      <c r="J359" s="19" t="s">
        <v>84</v>
      </c>
      <c r="K359" s="19" t="s">
        <v>161</v>
      </c>
      <c r="L359" s="99" t="s">
        <v>82</v>
      </c>
      <c r="M359" s="19" t="s">
        <v>82</v>
      </c>
      <c r="N359" s="19" t="s">
        <v>66</v>
      </c>
      <c r="O359" s="19" t="s">
        <v>1237</v>
      </c>
      <c r="P359" s="19" t="s">
        <v>162</v>
      </c>
      <c r="Q359" s="19"/>
      <c r="R359" s="19" t="s">
        <v>237</v>
      </c>
      <c r="S359" s="19" t="s">
        <v>156</v>
      </c>
      <c r="T359" s="19" t="s">
        <v>54</v>
      </c>
      <c r="U359" s="19" t="s">
        <v>54</v>
      </c>
      <c r="V359" s="93">
        <v>32</v>
      </c>
      <c r="W359" s="93" t="s">
        <v>45</v>
      </c>
      <c r="X359" s="19" t="s">
        <v>46</v>
      </c>
      <c r="Y359" s="29"/>
      <c r="Z359" s="93"/>
      <c r="AA359" s="93"/>
      <c r="AB359" s="93">
        <v>129</v>
      </c>
      <c r="AC359" s="19" t="s">
        <v>214</v>
      </c>
      <c r="AD359" s="93"/>
      <c r="AE359" s="19">
        <v>46.5</v>
      </c>
      <c r="AF359" s="19" t="s">
        <v>1256</v>
      </c>
      <c r="AG359" s="19"/>
      <c r="AH359" s="19"/>
      <c r="AI359" s="19"/>
      <c r="AJ359" s="101">
        <v>7.5</v>
      </c>
      <c r="AK359" s="19" t="s">
        <v>1515</v>
      </c>
      <c r="AL359" s="19"/>
      <c r="AM359" s="19"/>
      <c r="AN359" s="19" t="s">
        <v>1257</v>
      </c>
      <c r="AO359" s="19"/>
      <c r="AP359" s="94">
        <v>1.1000000000000001</v>
      </c>
      <c r="AQ359" s="19"/>
      <c r="AR359" s="19" t="s">
        <v>1258</v>
      </c>
      <c r="AS359" s="19"/>
      <c r="AT359" s="65" t="str">
        <f t="shared" si="87"/>
        <v>Y</v>
      </c>
      <c r="AU359" s="65" t="str">
        <f t="shared" si="91"/>
        <v>Y</v>
      </c>
      <c r="AV359" s="65" t="str">
        <f t="shared" si="90"/>
        <v>Y</v>
      </c>
      <c r="AW359" s="99"/>
      <c r="AX359" s="99"/>
      <c r="AY359" s="93"/>
      <c r="AZ359" s="96" t="str">
        <f t="shared" si="92"/>
        <v>NOEC</v>
      </c>
      <c r="BA359" s="96">
        <f>IF(AZ359="n","n",VLOOKUP(AZ359,'Conversion factors'!$C$4:$D$24,2,FALSE))</f>
        <v>1</v>
      </c>
      <c r="BB359" s="96">
        <f t="shared" si="93"/>
        <v>129</v>
      </c>
      <c r="BC359" s="97"/>
      <c r="BD359" s="96" t="str">
        <f t="shared" si="88"/>
        <v>Chronic</v>
      </c>
      <c r="BE359" s="96" t="str">
        <f t="shared" si="94"/>
        <v>y</v>
      </c>
      <c r="BF359" s="98" t="str">
        <f t="shared" si="89"/>
        <v>NOEC</v>
      </c>
      <c r="BG359" s="96" t="str">
        <f>IF(BF359="","",IF(ISNUMBER(VLOOKUP(BF359,'Conversion factors'!$B$35:$C$52,2,FALSE)),"y","n"))</f>
        <v>y</v>
      </c>
      <c r="BH359" s="99" t="s">
        <v>1507</v>
      </c>
    </row>
    <row r="360" spans="1:60" s="103" customFormat="1" ht="15.75" customHeight="1" x14ac:dyDescent="0.2">
      <c r="A360" s="18"/>
      <c r="B360" s="19">
        <v>313</v>
      </c>
      <c r="C360" s="19"/>
      <c r="D360" s="19">
        <v>117718</v>
      </c>
      <c r="E360" s="19" t="s">
        <v>1584</v>
      </c>
      <c r="F360" s="93">
        <v>2008</v>
      </c>
      <c r="G360" s="19" t="s">
        <v>1093</v>
      </c>
      <c r="H360" s="19"/>
      <c r="I360" s="19" t="s">
        <v>41</v>
      </c>
      <c r="J360" s="19" t="s">
        <v>1094</v>
      </c>
      <c r="K360" s="19" t="s">
        <v>161</v>
      </c>
      <c r="L360" s="19" t="s">
        <v>82</v>
      </c>
      <c r="M360" s="19" t="s">
        <v>82</v>
      </c>
      <c r="N360" s="19" t="s">
        <v>66</v>
      </c>
      <c r="O360" s="155" t="s">
        <v>1590</v>
      </c>
      <c r="P360" s="19" t="s">
        <v>162</v>
      </c>
      <c r="Q360" s="19"/>
      <c r="R360" s="19" t="s">
        <v>81</v>
      </c>
      <c r="S360" s="19" t="s">
        <v>483</v>
      </c>
      <c r="T360" s="19" t="s">
        <v>1062</v>
      </c>
      <c r="U360" s="19" t="s">
        <v>49</v>
      </c>
      <c r="V360" s="19" t="s">
        <v>557</v>
      </c>
      <c r="W360" s="19" t="s">
        <v>231</v>
      </c>
      <c r="X360" s="19" t="s">
        <v>46</v>
      </c>
      <c r="Y360" s="29"/>
      <c r="Z360" s="19"/>
      <c r="AA360" s="19"/>
      <c r="AB360" s="19">
        <v>380</v>
      </c>
      <c r="AC360" s="19" t="s">
        <v>214</v>
      </c>
      <c r="AD360" s="19"/>
      <c r="AE360" s="19">
        <v>47.8</v>
      </c>
      <c r="AF360" s="19">
        <v>47.8</v>
      </c>
      <c r="AG360" s="19" t="s">
        <v>270</v>
      </c>
      <c r="AH360" s="19"/>
      <c r="AI360" s="19"/>
      <c r="AJ360" s="101">
        <v>6.81</v>
      </c>
      <c r="AK360" s="19" t="s">
        <v>1096</v>
      </c>
      <c r="AL360" s="19"/>
      <c r="AM360" s="19"/>
      <c r="AN360" s="19" t="s">
        <v>1097</v>
      </c>
      <c r="AO360" s="19" t="s">
        <v>216</v>
      </c>
      <c r="AP360" s="94">
        <v>1.9</v>
      </c>
      <c r="AQ360" s="19" t="s">
        <v>1015</v>
      </c>
      <c r="AR360" s="19" t="s">
        <v>1098</v>
      </c>
      <c r="AS360" s="19"/>
      <c r="AT360" s="65" t="str">
        <f t="shared" si="87"/>
        <v>Y</v>
      </c>
      <c r="AU360" s="65" t="str">
        <f t="shared" si="91"/>
        <v>Y</v>
      </c>
      <c r="AV360" s="65" t="str">
        <f t="shared" si="90"/>
        <v>Y</v>
      </c>
      <c r="AW360" s="99"/>
      <c r="AX360" s="99"/>
      <c r="AY360" s="19"/>
      <c r="AZ360" s="96" t="str">
        <f t="shared" si="92"/>
        <v>IC10</v>
      </c>
      <c r="BA360" s="96">
        <f>IF(AZ360="n","n",VLOOKUP(AZ360,'Conversion factors'!$C$4:$D$24,2,FALSE))</f>
        <v>1</v>
      </c>
      <c r="BB360" s="96">
        <f t="shared" si="93"/>
        <v>380</v>
      </c>
      <c r="BC360" s="97"/>
      <c r="BD360" s="96" t="str">
        <f t="shared" si="88"/>
        <v>Chronic</v>
      </c>
      <c r="BE360" s="96" t="str">
        <f t="shared" si="94"/>
        <v>y</v>
      </c>
      <c r="BF360" s="98" t="str">
        <f t="shared" si="89"/>
        <v>IC10</v>
      </c>
      <c r="BG360" s="96" t="str">
        <f>IF(BF360="","",IF(ISNUMBER(VLOOKUP(BF360,'Conversion factors'!$B$35:$C$52,2,FALSE)),"y","n"))</f>
        <v>y</v>
      </c>
      <c r="BH360" s="99"/>
    </row>
    <row r="361" spans="1:60" s="103" customFormat="1" ht="15.75" customHeight="1" x14ac:dyDescent="0.2">
      <c r="A361" s="18"/>
      <c r="B361" s="19">
        <v>313</v>
      </c>
      <c r="C361" s="19"/>
      <c r="D361" s="19">
        <v>117718</v>
      </c>
      <c r="E361" s="19" t="s">
        <v>1224</v>
      </c>
      <c r="F361" s="93">
        <v>2008</v>
      </c>
      <c r="G361" s="19" t="s">
        <v>1093</v>
      </c>
      <c r="H361" s="19"/>
      <c r="I361" s="19" t="s">
        <v>41</v>
      </c>
      <c r="J361" s="19" t="s">
        <v>1094</v>
      </c>
      <c r="K361" s="19" t="s">
        <v>161</v>
      </c>
      <c r="L361" s="19" t="s">
        <v>82</v>
      </c>
      <c r="M361" s="19" t="s">
        <v>82</v>
      </c>
      <c r="N361" s="19" t="s">
        <v>66</v>
      </c>
      <c r="O361" s="19" t="s">
        <v>1046</v>
      </c>
      <c r="P361" s="19" t="s">
        <v>162</v>
      </c>
      <c r="Q361" s="19"/>
      <c r="R361" s="19" t="s">
        <v>81</v>
      </c>
      <c r="S361" s="19" t="s">
        <v>483</v>
      </c>
      <c r="T361" s="19" t="s">
        <v>355</v>
      </c>
      <c r="U361" s="19" t="s">
        <v>355</v>
      </c>
      <c r="V361" s="19" t="s">
        <v>557</v>
      </c>
      <c r="W361" s="19" t="s">
        <v>231</v>
      </c>
      <c r="X361" s="19" t="s">
        <v>46</v>
      </c>
      <c r="Y361" s="29"/>
      <c r="Z361" s="19"/>
      <c r="AA361" s="19"/>
      <c r="AB361" s="19" t="s">
        <v>1095</v>
      </c>
      <c r="AC361" s="19" t="s">
        <v>214</v>
      </c>
      <c r="AD361" s="19"/>
      <c r="AE361" s="19">
        <v>47.8</v>
      </c>
      <c r="AF361" s="19">
        <v>47.8</v>
      </c>
      <c r="AG361" s="19" t="s">
        <v>270</v>
      </c>
      <c r="AH361" s="19"/>
      <c r="AI361" s="19"/>
      <c r="AJ361" s="101">
        <v>6.81</v>
      </c>
      <c r="AK361" s="19" t="s">
        <v>1096</v>
      </c>
      <c r="AL361" s="19"/>
      <c r="AM361" s="19"/>
      <c r="AN361" s="19" t="s">
        <v>1097</v>
      </c>
      <c r="AO361" s="19" t="s">
        <v>216</v>
      </c>
      <c r="AP361" s="94">
        <v>1.9</v>
      </c>
      <c r="AQ361" s="19" t="s">
        <v>1015</v>
      </c>
      <c r="AR361" s="19" t="s">
        <v>1098</v>
      </c>
      <c r="AS361" s="19"/>
      <c r="AT361" s="65" t="str">
        <f t="shared" si="87"/>
        <v>Y</v>
      </c>
      <c r="AU361" s="65" t="str">
        <f t="shared" ref="AU361" si="101">IF(AT361="N","N",IF(AJ361&lt;6,"N",IF(AJ361&gt;8.5,"N","Y")))</f>
        <v>Y</v>
      </c>
      <c r="AV361" s="65" t="str">
        <f t="shared" ref="AV361" si="102">AU361</f>
        <v>Y</v>
      </c>
      <c r="AW361" s="99"/>
      <c r="AX361" s="99"/>
      <c r="AY361" s="19"/>
      <c r="AZ361" s="96" t="str">
        <f t="shared" ref="AZ361" si="103">IF(AV361="N","n",T361)</f>
        <v>IC20</v>
      </c>
      <c r="BA361" s="96">
        <f>IF(AZ361="n","n",VLOOKUP(AZ361,'Conversion factors'!$C$4:$D$24,2,FALSE))</f>
        <v>1</v>
      </c>
      <c r="BB361" s="96">
        <f t="shared" ref="BB361" si="104">IF(BA361="n","n",AB361/BA361)</f>
        <v>422</v>
      </c>
      <c r="BC361" s="97"/>
      <c r="BD361" s="96" t="str">
        <f t="shared" si="88"/>
        <v>Chronic</v>
      </c>
      <c r="BE361" s="96" t="str">
        <f t="shared" ref="BE361" si="105">IF(BD361="chronic","y","n")</f>
        <v>y</v>
      </c>
      <c r="BF361" s="98" t="str">
        <f t="shared" si="89"/>
        <v>IC20</v>
      </c>
      <c r="BG361" s="96" t="str">
        <f>IF(BF361="","",IF(ISNUMBER(VLOOKUP(BF361,'Conversion factors'!$B$35:$C$52,2,FALSE)),"y","n"))</f>
        <v>y</v>
      </c>
      <c r="BH361" s="99"/>
    </row>
    <row r="362" spans="1:60" s="103" customFormat="1" ht="15.75" customHeight="1" x14ac:dyDescent="0.2">
      <c r="A362" s="18"/>
      <c r="B362" s="19">
        <v>313</v>
      </c>
      <c r="C362" s="19"/>
      <c r="D362" s="19">
        <v>117718</v>
      </c>
      <c r="E362" s="19" t="s">
        <v>1224</v>
      </c>
      <c r="F362" s="93">
        <v>2008</v>
      </c>
      <c r="G362" s="19" t="s">
        <v>1093</v>
      </c>
      <c r="H362" s="19"/>
      <c r="I362" s="19" t="s">
        <v>41</v>
      </c>
      <c r="J362" s="19" t="s">
        <v>1094</v>
      </c>
      <c r="K362" s="19" t="s">
        <v>161</v>
      </c>
      <c r="L362" s="19" t="s">
        <v>82</v>
      </c>
      <c r="M362" s="19" t="s">
        <v>82</v>
      </c>
      <c r="N362" s="19" t="s">
        <v>66</v>
      </c>
      <c r="O362" s="19" t="s">
        <v>1046</v>
      </c>
      <c r="P362" s="19" t="s">
        <v>162</v>
      </c>
      <c r="Q362" s="19"/>
      <c r="R362" s="19" t="s">
        <v>81</v>
      </c>
      <c r="S362" s="19" t="s">
        <v>483</v>
      </c>
      <c r="T362" s="19" t="s">
        <v>55</v>
      </c>
      <c r="U362" s="19" t="s">
        <v>55</v>
      </c>
      <c r="V362" s="19" t="s">
        <v>557</v>
      </c>
      <c r="W362" s="19" t="s">
        <v>231</v>
      </c>
      <c r="X362" s="19" t="s">
        <v>46</v>
      </c>
      <c r="Y362" s="29"/>
      <c r="Z362" s="19"/>
      <c r="AA362" s="19"/>
      <c r="AB362" s="19" t="s">
        <v>1099</v>
      </c>
      <c r="AC362" s="19" t="s">
        <v>214</v>
      </c>
      <c r="AD362" s="19"/>
      <c r="AE362" s="19">
        <v>47.8</v>
      </c>
      <c r="AF362" s="19">
        <v>47.8</v>
      </c>
      <c r="AG362" s="19" t="s">
        <v>270</v>
      </c>
      <c r="AH362" s="19"/>
      <c r="AI362" s="19"/>
      <c r="AJ362" s="19">
        <v>6.81</v>
      </c>
      <c r="AK362" s="19" t="s">
        <v>1096</v>
      </c>
      <c r="AL362" s="19"/>
      <c r="AM362" s="19" t="s">
        <v>234</v>
      </c>
      <c r="AN362" s="19" t="s">
        <v>1097</v>
      </c>
      <c r="AO362" s="19" t="s">
        <v>216</v>
      </c>
      <c r="AP362" s="94">
        <v>1.9</v>
      </c>
      <c r="AQ362" s="19" t="s">
        <v>1015</v>
      </c>
      <c r="AR362" s="19" t="s">
        <v>1098</v>
      </c>
      <c r="AS362" s="19"/>
      <c r="AT362" s="65" t="str">
        <f t="shared" si="87"/>
        <v>Y</v>
      </c>
      <c r="AU362" s="65" t="str">
        <f t="shared" si="91"/>
        <v>Y</v>
      </c>
      <c r="AV362" s="65" t="str">
        <f t="shared" si="90"/>
        <v>Y</v>
      </c>
      <c r="AW362" s="99"/>
      <c r="AX362" s="99"/>
      <c r="AY362" s="19"/>
      <c r="AZ362" s="96" t="str">
        <f t="shared" si="92"/>
        <v>LOEC</v>
      </c>
      <c r="BA362" s="96">
        <f>IF(AZ362="n","n",VLOOKUP(AZ362,'Conversion factors'!$C$4:$D$24,2,FALSE))</f>
        <v>2.5</v>
      </c>
      <c r="BB362" s="96">
        <f t="shared" si="93"/>
        <v>297.60000000000002</v>
      </c>
      <c r="BC362" s="97"/>
      <c r="BD362" s="96" t="str">
        <f t="shared" si="88"/>
        <v>Chronic</v>
      </c>
      <c r="BE362" s="96" t="str">
        <f t="shared" si="94"/>
        <v>y</v>
      </c>
      <c r="BF362" s="98" t="str">
        <f t="shared" si="89"/>
        <v>LOEC</v>
      </c>
      <c r="BG362" s="96" t="str">
        <f>IF(BF362="","",IF(ISNUMBER(VLOOKUP(BF362,'Conversion factors'!$B$35:$C$52,2,FALSE)),"y","n"))</f>
        <v>n</v>
      </c>
      <c r="BH362" s="99"/>
    </row>
    <row r="363" spans="1:60" s="103" customFormat="1" ht="15.75" customHeight="1" x14ac:dyDescent="0.2">
      <c r="A363" s="18"/>
      <c r="B363" s="19">
        <v>313</v>
      </c>
      <c r="C363" s="19"/>
      <c r="D363" s="19">
        <v>117718</v>
      </c>
      <c r="E363" s="19" t="s">
        <v>1224</v>
      </c>
      <c r="F363" s="93">
        <v>2008</v>
      </c>
      <c r="G363" s="19" t="s">
        <v>1093</v>
      </c>
      <c r="H363" s="19"/>
      <c r="I363" s="19" t="s">
        <v>41</v>
      </c>
      <c r="J363" s="19" t="s">
        <v>1094</v>
      </c>
      <c r="K363" s="19" t="s">
        <v>161</v>
      </c>
      <c r="L363" s="19" t="s">
        <v>82</v>
      </c>
      <c r="M363" s="19" t="s">
        <v>82</v>
      </c>
      <c r="N363" s="19" t="s">
        <v>66</v>
      </c>
      <c r="O363" s="19" t="s">
        <v>1046</v>
      </c>
      <c r="P363" s="19" t="s">
        <v>162</v>
      </c>
      <c r="Q363" s="19"/>
      <c r="R363" s="19" t="s">
        <v>81</v>
      </c>
      <c r="S363" s="19" t="s">
        <v>483</v>
      </c>
      <c r="T363" s="19" t="s">
        <v>77</v>
      </c>
      <c r="U363" s="19" t="s">
        <v>77</v>
      </c>
      <c r="V363" s="19" t="s">
        <v>557</v>
      </c>
      <c r="W363" s="19" t="s">
        <v>231</v>
      </c>
      <c r="X363" s="19" t="s">
        <v>46</v>
      </c>
      <c r="Y363" s="29"/>
      <c r="Z363" s="19"/>
      <c r="AA363" s="19"/>
      <c r="AB363" s="19" t="s">
        <v>1103</v>
      </c>
      <c r="AC363" s="19" t="s">
        <v>214</v>
      </c>
      <c r="AD363" s="19"/>
      <c r="AE363" s="19">
        <v>47.8</v>
      </c>
      <c r="AF363" s="19">
        <v>47.8</v>
      </c>
      <c r="AG363" s="19" t="s">
        <v>270</v>
      </c>
      <c r="AH363" s="19"/>
      <c r="AI363" s="19"/>
      <c r="AJ363" s="19">
        <v>6.81</v>
      </c>
      <c r="AK363" s="19" t="s">
        <v>1096</v>
      </c>
      <c r="AL363" s="19"/>
      <c r="AM363" s="19" t="s">
        <v>234</v>
      </c>
      <c r="AN363" s="19" t="s">
        <v>1097</v>
      </c>
      <c r="AO363" s="19" t="s">
        <v>216</v>
      </c>
      <c r="AP363" s="94">
        <v>1.9</v>
      </c>
      <c r="AQ363" s="19" t="s">
        <v>1015</v>
      </c>
      <c r="AR363" s="19" t="s">
        <v>1098</v>
      </c>
      <c r="AS363" s="19"/>
      <c r="AT363" s="65" t="str">
        <f t="shared" si="87"/>
        <v>Y</v>
      </c>
      <c r="AU363" s="65" t="str">
        <f t="shared" si="91"/>
        <v>Y</v>
      </c>
      <c r="AV363" s="65" t="str">
        <f t="shared" si="90"/>
        <v>Y</v>
      </c>
      <c r="AW363" s="99"/>
      <c r="AX363" s="99"/>
      <c r="AY363" s="19"/>
      <c r="AZ363" s="96" t="str">
        <f t="shared" si="92"/>
        <v>MATC</v>
      </c>
      <c r="BA363" s="96">
        <f>IF(AZ363="n","n",VLOOKUP(AZ363,'Conversion factors'!$C$4:$D$24,2,FALSE))</f>
        <v>2</v>
      </c>
      <c r="BB363" s="96">
        <f t="shared" si="93"/>
        <v>266</v>
      </c>
      <c r="BC363" s="97"/>
      <c r="BD363" s="96" t="str">
        <f t="shared" si="88"/>
        <v>Chronic</v>
      </c>
      <c r="BE363" s="96" t="str">
        <f t="shared" si="94"/>
        <v>y</v>
      </c>
      <c r="BF363" s="98" t="str">
        <f t="shared" si="89"/>
        <v>MATC</v>
      </c>
      <c r="BG363" s="96" t="str">
        <f>IF(BF363="","",IF(ISNUMBER(VLOOKUP(BF363,'Conversion factors'!$B$35:$C$52,2,FALSE)),"y","n"))</f>
        <v>n</v>
      </c>
      <c r="BH363" s="99"/>
    </row>
    <row r="364" spans="1:60" s="103" customFormat="1" ht="15.75" customHeight="1" x14ac:dyDescent="0.2">
      <c r="A364" s="18"/>
      <c r="B364" s="19">
        <v>313</v>
      </c>
      <c r="C364" s="19"/>
      <c r="D364" s="19">
        <v>117718</v>
      </c>
      <c r="E364" s="19" t="s">
        <v>1224</v>
      </c>
      <c r="F364" s="93">
        <v>2008</v>
      </c>
      <c r="G364" s="19" t="s">
        <v>1093</v>
      </c>
      <c r="H364" s="19"/>
      <c r="I364" s="19" t="s">
        <v>41</v>
      </c>
      <c r="J364" s="19" t="s">
        <v>1094</v>
      </c>
      <c r="K364" s="19" t="s">
        <v>161</v>
      </c>
      <c r="L364" s="19" t="s">
        <v>82</v>
      </c>
      <c r="M364" s="19" t="s">
        <v>82</v>
      </c>
      <c r="N364" s="19" t="s">
        <v>66</v>
      </c>
      <c r="O364" s="19" t="s">
        <v>1046</v>
      </c>
      <c r="P364" s="19" t="s">
        <v>162</v>
      </c>
      <c r="Q364" s="19"/>
      <c r="R364" s="19" t="s">
        <v>81</v>
      </c>
      <c r="S364" s="19" t="s">
        <v>483</v>
      </c>
      <c r="T364" s="19" t="s">
        <v>54</v>
      </c>
      <c r="U364" s="19" t="s">
        <v>54</v>
      </c>
      <c r="V364" s="19" t="s">
        <v>557</v>
      </c>
      <c r="W364" s="19" t="s">
        <v>231</v>
      </c>
      <c r="X364" s="19" t="s">
        <v>46</v>
      </c>
      <c r="Y364" s="29"/>
      <c r="Z364" s="19"/>
      <c r="AA364" s="19"/>
      <c r="AB364" s="19" t="s">
        <v>1106</v>
      </c>
      <c r="AC364" s="19" t="s">
        <v>214</v>
      </c>
      <c r="AD364" s="19"/>
      <c r="AE364" s="19">
        <v>47.8</v>
      </c>
      <c r="AF364" s="19">
        <v>47.8</v>
      </c>
      <c r="AG364" s="19" t="s">
        <v>270</v>
      </c>
      <c r="AH364" s="19"/>
      <c r="AI364" s="19"/>
      <c r="AJ364" s="19">
        <v>6.81</v>
      </c>
      <c r="AK364" s="19" t="s">
        <v>1096</v>
      </c>
      <c r="AL364" s="19"/>
      <c r="AM364" s="19"/>
      <c r="AN364" s="19" t="s">
        <v>1097</v>
      </c>
      <c r="AO364" s="19" t="s">
        <v>216</v>
      </c>
      <c r="AP364" s="94">
        <v>1.9</v>
      </c>
      <c r="AQ364" s="19" t="s">
        <v>1015</v>
      </c>
      <c r="AR364" s="19" t="s">
        <v>1098</v>
      </c>
      <c r="AS364" s="19"/>
      <c r="AT364" s="65" t="str">
        <f t="shared" si="87"/>
        <v>Y</v>
      </c>
      <c r="AU364" s="65" t="str">
        <f t="shared" si="91"/>
        <v>Y</v>
      </c>
      <c r="AV364" s="65" t="str">
        <f>AU364</f>
        <v>Y</v>
      </c>
      <c r="AW364" s="99"/>
      <c r="AX364" s="99"/>
      <c r="AY364" s="19"/>
      <c r="AZ364" s="96" t="str">
        <f t="shared" si="92"/>
        <v>NOEC</v>
      </c>
      <c r="BA364" s="96">
        <f>IF(AZ364="n","n",VLOOKUP(AZ364,'Conversion factors'!$C$4:$D$24,2,FALSE))</f>
        <v>1</v>
      </c>
      <c r="BB364" s="96">
        <f t="shared" si="93"/>
        <v>380</v>
      </c>
      <c r="BC364" s="97"/>
      <c r="BD364" s="96" t="str">
        <f t="shared" si="88"/>
        <v>Chronic</v>
      </c>
      <c r="BE364" s="96" t="str">
        <f t="shared" si="94"/>
        <v>y</v>
      </c>
      <c r="BF364" s="98" t="str">
        <f t="shared" si="89"/>
        <v>NOEC</v>
      </c>
      <c r="BG364" s="96" t="str">
        <f>IF(BF364="","",IF(ISNUMBER(VLOOKUP(BF364,'Conversion factors'!$B$35:$C$52,2,FALSE)),"y","n"))</f>
        <v>y</v>
      </c>
      <c r="BH364" s="99" t="s">
        <v>1508</v>
      </c>
    </row>
    <row r="365" spans="1:60" s="103" customFormat="1" ht="15.75" customHeight="1" x14ac:dyDescent="0.2">
      <c r="A365" s="18"/>
      <c r="B365" s="19">
        <v>313</v>
      </c>
      <c r="C365" s="19"/>
      <c r="D365" s="19">
        <v>117718</v>
      </c>
      <c r="E365" s="19" t="s">
        <v>1224</v>
      </c>
      <c r="F365" s="93">
        <v>2008</v>
      </c>
      <c r="G365" s="19" t="s">
        <v>1093</v>
      </c>
      <c r="H365" s="19"/>
      <c r="I365" s="19" t="s">
        <v>41</v>
      </c>
      <c r="J365" s="19" t="s">
        <v>1094</v>
      </c>
      <c r="K365" s="19" t="s">
        <v>161</v>
      </c>
      <c r="L365" s="19" t="s">
        <v>82</v>
      </c>
      <c r="M365" s="19" t="s">
        <v>82</v>
      </c>
      <c r="N365" s="19" t="s">
        <v>66</v>
      </c>
      <c r="O365" s="19" t="s">
        <v>909</v>
      </c>
      <c r="P365" s="19" t="s">
        <v>162</v>
      </c>
      <c r="Q365" s="19"/>
      <c r="R365" s="19" t="s">
        <v>81</v>
      </c>
      <c r="S365" s="19" t="s">
        <v>483</v>
      </c>
      <c r="T365" s="19" t="s">
        <v>77</v>
      </c>
      <c r="U365" s="19" t="s">
        <v>77</v>
      </c>
      <c r="V365" s="19" t="s">
        <v>1221</v>
      </c>
      <c r="W365" s="19" t="s">
        <v>231</v>
      </c>
      <c r="X365" s="19" t="s">
        <v>46</v>
      </c>
      <c r="Y365" s="29"/>
      <c r="Z365" s="19"/>
      <c r="AA365" s="19"/>
      <c r="AB365" s="19" t="s">
        <v>1104</v>
      </c>
      <c r="AC365" s="19" t="s">
        <v>214</v>
      </c>
      <c r="AD365" s="19"/>
      <c r="AE365" s="19">
        <v>47.8</v>
      </c>
      <c r="AF365" s="19">
        <v>47.8</v>
      </c>
      <c r="AG365" s="19" t="s">
        <v>270</v>
      </c>
      <c r="AH365" s="19"/>
      <c r="AI365" s="19"/>
      <c r="AJ365" s="19">
        <v>6.81</v>
      </c>
      <c r="AK365" s="19" t="s">
        <v>1096</v>
      </c>
      <c r="AL365" s="19"/>
      <c r="AM365" s="19" t="s">
        <v>234</v>
      </c>
      <c r="AN365" s="19" t="s">
        <v>1097</v>
      </c>
      <c r="AO365" s="19" t="s">
        <v>216</v>
      </c>
      <c r="AP365" s="94">
        <v>1.9</v>
      </c>
      <c r="AQ365" s="19" t="s">
        <v>1015</v>
      </c>
      <c r="AR365" s="19" t="s">
        <v>1098</v>
      </c>
      <c r="AS365" s="19"/>
      <c r="AT365" s="65" t="str">
        <f t="shared" si="87"/>
        <v>Y</v>
      </c>
      <c r="AU365" s="65" t="str">
        <f t="shared" si="91"/>
        <v>Y</v>
      </c>
      <c r="AV365" s="65" t="str">
        <f t="shared" ref="AV365:AV380" si="106">AU365</f>
        <v>Y</v>
      </c>
      <c r="AW365" s="99"/>
      <c r="AX365" s="99"/>
      <c r="AY365" s="19"/>
      <c r="AZ365" s="96" t="str">
        <f t="shared" si="92"/>
        <v>MATC</v>
      </c>
      <c r="BA365" s="96">
        <f>IF(AZ365="n","n",VLOOKUP(AZ365,'Conversion factors'!$C$4:$D$24,2,FALSE))</f>
        <v>2</v>
      </c>
      <c r="BB365" s="96" t="e">
        <f t="shared" si="93"/>
        <v>#VALUE!</v>
      </c>
      <c r="BC365" s="97"/>
      <c r="BD365" s="96" t="str">
        <f t="shared" si="88"/>
        <v>Chronic</v>
      </c>
      <c r="BE365" s="96" t="str">
        <f t="shared" si="94"/>
        <v>y</v>
      </c>
      <c r="BF365" s="98" t="str">
        <f t="shared" si="89"/>
        <v>MATC</v>
      </c>
      <c r="BG365" s="96" t="str">
        <f>IF(BF365="","",IF(ISNUMBER(VLOOKUP(BF365,'Conversion factors'!$B$35:$C$52,2,FALSE)),"y","n"))</f>
        <v>n</v>
      </c>
      <c r="BH365" s="99"/>
    </row>
    <row r="366" spans="1:60" s="103" customFormat="1" ht="15.75" customHeight="1" x14ac:dyDescent="0.2">
      <c r="A366" s="18"/>
      <c r="B366" s="19">
        <v>313</v>
      </c>
      <c r="C366" s="19"/>
      <c r="D366" s="19">
        <v>117718</v>
      </c>
      <c r="E366" s="19" t="s">
        <v>1224</v>
      </c>
      <c r="F366" s="93">
        <v>2008</v>
      </c>
      <c r="G366" s="19" t="s">
        <v>1093</v>
      </c>
      <c r="H366" s="19"/>
      <c r="I366" s="19" t="s">
        <v>41</v>
      </c>
      <c r="J366" s="19" t="s">
        <v>1094</v>
      </c>
      <c r="K366" s="19" t="s">
        <v>161</v>
      </c>
      <c r="L366" s="19" t="s">
        <v>82</v>
      </c>
      <c r="M366" s="19" t="s">
        <v>82</v>
      </c>
      <c r="N366" s="19" t="s">
        <v>66</v>
      </c>
      <c r="O366" s="19" t="s">
        <v>909</v>
      </c>
      <c r="P366" s="19" t="s">
        <v>162</v>
      </c>
      <c r="Q366" s="19"/>
      <c r="R366" s="19" t="s">
        <v>81</v>
      </c>
      <c r="S366" s="19" t="s">
        <v>483</v>
      </c>
      <c r="T366" s="19" t="s">
        <v>54</v>
      </c>
      <c r="U366" s="19" t="s">
        <v>54</v>
      </c>
      <c r="V366" s="19" t="s">
        <v>1221</v>
      </c>
      <c r="W366" s="19" t="s">
        <v>231</v>
      </c>
      <c r="X366" s="19" t="s">
        <v>46</v>
      </c>
      <c r="Y366" s="29"/>
      <c r="Z366" s="19"/>
      <c r="AA366" s="19"/>
      <c r="AB366" s="19" t="s">
        <v>1095</v>
      </c>
      <c r="AC366" s="19" t="s">
        <v>214</v>
      </c>
      <c r="AD366" s="19"/>
      <c r="AE366" s="19">
        <v>47.8</v>
      </c>
      <c r="AF366" s="19">
        <v>47.8</v>
      </c>
      <c r="AG366" s="19" t="s">
        <v>270</v>
      </c>
      <c r="AH366" s="19"/>
      <c r="AI366" s="19"/>
      <c r="AJ366" s="19">
        <v>6.81</v>
      </c>
      <c r="AK366" s="19" t="s">
        <v>1096</v>
      </c>
      <c r="AL366" s="19"/>
      <c r="AM366" s="19"/>
      <c r="AN366" s="19" t="s">
        <v>1097</v>
      </c>
      <c r="AO366" s="19" t="s">
        <v>216</v>
      </c>
      <c r="AP366" s="94">
        <v>1.9</v>
      </c>
      <c r="AQ366" s="19" t="s">
        <v>1015</v>
      </c>
      <c r="AR366" s="19" t="s">
        <v>1098</v>
      </c>
      <c r="AS366" s="19"/>
      <c r="AT366" s="65" t="str">
        <f t="shared" si="87"/>
        <v>Y</v>
      </c>
      <c r="AU366" s="65" t="str">
        <f t="shared" si="91"/>
        <v>Y</v>
      </c>
      <c r="AV366" s="65" t="str">
        <f t="shared" si="106"/>
        <v>Y</v>
      </c>
      <c r="AW366" s="99"/>
      <c r="AX366" s="99"/>
      <c r="AY366" s="19"/>
      <c r="AZ366" s="96" t="str">
        <f t="shared" si="92"/>
        <v>NOEC</v>
      </c>
      <c r="BA366" s="96">
        <f>IF(AZ366="n","n",VLOOKUP(AZ366,'Conversion factors'!$C$4:$D$24,2,FALSE))</f>
        <v>1</v>
      </c>
      <c r="BB366" s="96">
        <f t="shared" si="93"/>
        <v>422</v>
      </c>
      <c r="BC366" s="97"/>
      <c r="BD366" s="96" t="str">
        <f t="shared" si="88"/>
        <v>Chronic</v>
      </c>
      <c r="BE366" s="96" t="str">
        <f t="shared" si="94"/>
        <v>y</v>
      </c>
      <c r="BF366" s="98" t="str">
        <f t="shared" si="89"/>
        <v>NOEC</v>
      </c>
      <c r="BG366" s="96" t="str">
        <f>IF(BF366="","",IF(ISNUMBER(VLOOKUP(BF366,'Conversion factors'!$B$35:$C$52,2,FALSE)),"y","n"))</f>
        <v>y</v>
      </c>
      <c r="BH366" s="99" t="s">
        <v>1508</v>
      </c>
    </row>
    <row r="367" spans="1:60" s="103" customFormat="1" ht="15.75" customHeight="1" x14ac:dyDescent="0.2">
      <c r="A367" s="18"/>
      <c r="B367" s="19">
        <v>313</v>
      </c>
      <c r="C367" s="19"/>
      <c r="D367" s="19">
        <v>117718</v>
      </c>
      <c r="E367" s="19" t="s">
        <v>1224</v>
      </c>
      <c r="F367" s="93">
        <v>2008</v>
      </c>
      <c r="G367" s="19" t="s">
        <v>1093</v>
      </c>
      <c r="H367" s="19"/>
      <c r="I367" s="19" t="s">
        <v>41</v>
      </c>
      <c r="J367" s="19" t="s">
        <v>1094</v>
      </c>
      <c r="K367" s="19" t="s">
        <v>161</v>
      </c>
      <c r="L367" s="19" t="s">
        <v>82</v>
      </c>
      <c r="M367" s="19" t="s">
        <v>82</v>
      </c>
      <c r="N367" s="19" t="s">
        <v>66</v>
      </c>
      <c r="O367" s="19" t="s">
        <v>909</v>
      </c>
      <c r="P367" s="19" t="s">
        <v>162</v>
      </c>
      <c r="Q367" s="19"/>
      <c r="R367" s="19" t="s">
        <v>237</v>
      </c>
      <c r="S367" s="19" t="s">
        <v>414</v>
      </c>
      <c r="T367" s="19" t="s">
        <v>55</v>
      </c>
      <c r="U367" s="19" t="s">
        <v>55</v>
      </c>
      <c r="V367" s="19" t="s">
        <v>78</v>
      </c>
      <c r="W367" s="19" t="s">
        <v>231</v>
      </c>
      <c r="X367" s="19" t="s">
        <v>46</v>
      </c>
      <c r="Y367" s="29"/>
      <c r="Z367" s="19"/>
      <c r="AA367" s="19"/>
      <c r="AB367" s="19" t="s">
        <v>1095</v>
      </c>
      <c r="AC367" s="19" t="s">
        <v>214</v>
      </c>
      <c r="AD367" s="19"/>
      <c r="AE367" s="19">
        <v>47.8</v>
      </c>
      <c r="AF367" s="19">
        <v>47.8</v>
      </c>
      <c r="AG367" s="19" t="s">
        <v>270</v>
      </c>
      <c r="AH367" s="19"/>
      <c r="AI367" s="19"/>
      <c r="AJ367" s="19">
        <v>6.81</v>
      </c>
      <c r="AK367" s="19" t="s">
        <v>1096</v>
      </c>
      <c r="AL367" s="19"/>
      <c r="AM367" s="19" t="s">
        <v>234</v>
      </c>
      <c r="AN367" s="19" t="s">
        <v>1097</v>
      </c>
      <c r="AO367" s="19" t="s">
        <v>216</v>
      </c>
      <c r="AP367" s="94">
        <v>1.9</v>
      </c>
      <c r="AQ367" s="19" t="s">
        <v>1015</v>
      </c>
      <c r="AR367" s="19" t="s">
        <v>1098</v>
      </c>
      <c r="AS367" s="19"/>
      <c r="AT367" s="65" t="str">
        <f t="shared" si="87"/>
        <v>Y</v>
      </c>
      <c r="AU367" s="65" t="str">
        <f t="shared" si="91"/>
        <v>Y</v>
      </c>
      <c r="AV367" s="65" t="str">
        <f t="shared" si="106"/>
        <v>Y</v>
      </c>
      <c r="AW367" s="99"/>
      <c r="AX367" s="99"/>
      <c r="AY367" s="19"/>
      <c r="AZ367" s="96" t="str">
        <f t="shared" si="92"/>
        <v>LOEC</v>
      </c>
      <c r="BA367" s="96">
        <f>IF(AZ367="n","n",VLOOKUP(AZ367,'Conversion factors'!$C$4:$D$24,2,FALSE))</f>
        <v>2.5</v>
      </c>
      <c r="BB367" s="96">
        <f t="shared" si="93"/>
        <v>168.8</v>
      </c>
      <c r="BC367" s="97"/>
      <c r="BD367" s="96" t="str">
        <f t="shared" si="88"/>
        <v>Chronic</v>
      </c>
      <c r="BE367" s="96" t="str">
        <f t="shared" si="94"/>
        <v>y</v>
      </c>
      <c r="BF367" s="98" t="str">
        <f t="shared" si="89"/>
        <v>LOEC</v>
      </c>
      <c r="BG367" s="96" t="str">
        <f>IF(BF367="","",IF(ISNUMBER(VLOOKUP(BF367,'Conversion factors'!$B$35:$C$52,2,FALSE)),"y","n"))</f>
        <v>n</v>
      </c>
      <c r="BH367" s="99"/>
    </row>
    <row r="368" spans="1:60" s="103" customFormat="1" ht="15.75" customHeight="1" x14ac:dyDescent="0.2">
      <c r="A368" s="18"/>
      <c r="B368" s="19">
        <v>313</v>
      </c>
      <c r="C368" s="19"/>
      <c r="D368" s="19">
        <v>117718</v>
      </c>
      <c r="E368" s="19" t="s">
        <v>1224</v>
      </c>
      <c r="F368" s="93">
        <v>2008</v>
      </c>
      <c r="G368" s="19" t="s">
        <v>1093</v>
      </c>
      <c r="H368" s="19"/>
      <c r="I368" s="19" t="s">
        <v>41</v>
      </c>
      <c r="J368" s="19" t="s">
        <v>1094</v>
      </c>
      <c r="K368" s="19" t="s">
        <v>161</v>
      </c>
      <c r="L368" s="19" t="s">
        <v>82</v>
      </c>
      <c r="M368" s="19" t="s">
        <v>82</v>
      </c>
      <c r="N368" s="19" t="s">
        <v>66</v>
      </c>
      <c r="O368" s="19" t="s">
        <v>909</v>
      </c>
      <c r="P368" s="19" t="s">
        <v>162</v>
      </c>
      <c r="Q368" s="19"/>
      <c r="R368" s="19" t="s">
        <v>237</v>
      </c>
      <c r="S368" s="19" t="s">
        <v>414</v>
      </c>
      <c r="T368" s="19" t="s">
        <v>77</v>
      </c>
      <c r="U368" s="19" t="s">
        <v>77</v>
      </c>
      <c r="V368" s="19" t="s">
        <v>78</v>
      </c>
      <c r="W368" s="19" t="s">
        <v>231</v>
      </c>
      <c r="X368" s="19" t="s">
        <v>46</v>
      </c>
      <c r="Y368" s="29"/>
      <c r="Z368" s="19"/>
      <c r="AA368" s="19"/>
      <c r="AB368" s="19" t="s">
        <v>1101</v>
      </c>
      <c r="AC368" s="19" t="s">
        <v>214</v>
      </c>
      <c r="AD368" s="19"/>
      <c r="AE368" s="19">
        <v>47.8</v>
      </c>
      <c r="AF368" s="19">
        <v>47.8</v>
      </c>
      <c r="AG368" s="19" t="s">
        <v>270</v>
      </c>
      <c r="AH368" s="19"/>
      <c r="AI368" s="19"/>
      <c r="AJ368" s="19">
        <v>6.81</v>
      </c>
      <c r="AK368" s="19" t="s">
        <v>1096</v>
      </c>
      <c r="AL368" s="19"/>
      <c r="AM368" s="19" t="s">
        <v>234</v>
      </c>
      <c r="AN368" s="19" t="s">
        <v>1097</v>
      </c>
      <c r="AO368" s="19" t="s">
        <v>216</v>
      </c>
      <c r="AP368" s="94">
        <v>1.9</v>
      </c>
      <c r="AQ368" s="19" t="s">
        <v>1015</v>
      </c>
      <c r="AR368" s="19" t="s">
        <v>1098</v>
      </c>
      <c r="AS368" s="19"/>
      <c r="AT368" s="65" t="str">
        <f t="shared" si="87"/>
        <v>Y</v>
      </c>
      <c r="AU368" s="65" t="str">
        <f t="shared" si="91"/>
        <v>Y</v>
      </c>
      <c r="AV368" s="65" t="str">
        <f t="shared" si="106"/>
        <v>Y</v>
      </c>
      <c r="AW368" s="99"/>
      <c r="AX368" s="99"/>
      <c r="AY368" s="19"/>
      <c r="AZ368" s="96" t="str">
        <f t="shared" si="92"/>
        <v>MATC</v>
      </c>
      <c r="BA368" s="96">
        <f>IF(AZ368="n","n",VLOOKUP(AZ368,'Conversion factors'!$C$4:$D$24,2,FALSE))</f>
        <v>2</v>
      </c>
      <c r="BB368" s="96">
        <f t="shared" si="93"/>
        <v>148</v>
      </c>
      <c r="BC368" s="97"/>
      <c r="BD368" s="96" t="str">
        <f t="shared" si="88"/>
        <v>Chronic</v>
      </c>
      <c r="BE368" s="96" t="str">
        <f t="shared" si="94"/>
        <v>y</v>
      </c>
      <c r="BF368" s="98" t="str">
        <f t="shared" si="89"/>
        <v>MATC</v>
      </c>
      <c r="BG368" s="96" t="str">
        <f>IF(BF368="","",IF(ISNUMBER(VLOOKUP(BF368,'Conversion factors'!$B$35:$C$52,2,FALSE)),"y","n"))</f>
        <v>n</v>
      </c>
      <c r="BH368" s="99"/>
    </row>
    <row r="369" spans="1:60" s="103" customFormat="1" ht="15.75" customHeight="1" x14ac:dyDescent="0.2">
      <c r="A369" s="18"/>
      <c r="B369" s="19">
        <v>313</v>
      </c>
      <c r="C369" s="19"/>
      <c r="D369" s="19">
        <v>117718</v>
      </c>
      <c r="E369" s="19" t="s">
        <v>1224</v>
      </c>
      <c r="F369" s="93">
        <v>2008</v>
      </c>
      <c r="G369" s="19" t="s">
        <v>1093</v>
      </c>
      <c r="H369" s="19"/>
      <c r="I369" s="19" t="s">
        <v>41</v>
      </c>
      <c r="J369" s="19" t="s">
        <v>1094</v>
      </c>
      <c r="K369" s="19" t="s">
        <v>161</v>
      </c>
      <c r="L369" s="19" t="s">
        <v>82</v>
      </c>
      <c r="M369" s="19" t="s">
        <v>82</v>
      </c>
      <c r="N369" s="19" t="s">
        <v>66</v>
      </c>
      <c r="O369" s="19" t="s">
        <v>909</v>
      </c>
      <c r="P369" s="19" t="s">
        <v>162</v>
      </c>
      <c r="Q369" s="19"/>
      <c r="R369" s="19" t="s">
        <v>237</v>
      </c>
      <c r="S369" s="19" t="s">
        <v>414</v>
      </c>
      <c r="T369" s="19" t="s">
        <v>54</v>
      </c>
      <c r="U369" s="19" t="s">
        <v>54</v>
      </c>
      <c r="V369" s="19" t="s">
        <v>78</v>
      </c>
      <c r="W369" s="19" t="s">
        <v>231</v>
      </c>
      <c r="X369" s="19" t="s">
        <v>46</v>
      </c>
      <c r="Y369" s="29"/>
      <c r="Z369" s="19"/>
      <c r="AA369" s="19"/>
      <c r="AB369" s="19" t="s">
        <v>1105</v>
      </c>
      <c r="AC369" s="19" t="s">
        <v>214</v>
      </c>
      <c r="AD369" s="19"/>
      <c r="AE369" s="19">
        <v>47.8</v>
      </c>
      <c r="AF369" s="19">
        <v>47.8</v>
      </c>
      <c r="AG369" s="19" t="s">
        <v>270</v>
      </c>
      <c r="AH369" s="19"/>
      <c r="AI369" s="19"/>
      <c r="AJ369" s="19">
        <v>6.81</v>
      </c>
      <c r="AK369" s="19" t="s">
        <v>1096</v>
      </c>
      <c r="AL369" s="19"/>
      <c r="AM369" s="19"/>
      <c r="AN369" s="19" t="s">
        <v>1097</v>
      </c>
      <c r="AO369" s="19" t="s">
        <v>216</v>
      </c>
      <c r="AP369" s="94">
        <v>1.9</v>
      </c>
      <c r="AQ369" s="19" t="s">
        <v>1015</v>
      </c>
      <c r="AR369" s="19" t="s">
        <v>1098</v>
      </c>
      <c r="AS369" s="19"/>
      <c r="AT369" s="65" t="str">
        <f t="shared" si="87"/>
        <v>Y</v>
      </c>
      <c r="AU369" s="65" t="str">
        <f t="shared" si="91"/>
        <v>Y</v>
      </c>
      <c r="AV369" s="65" t="str">
        <f t="shared" si="106"/>
        <v>Y</v>
      </c>
      <c r="AW369" s="99"/>
      <c r="AX369" s="99"/>
      <c r="AY369" s="19"/>
      <c r="AZ369" s="96" t="str">
        <f t="shared" si="92"/>
        <v>NOEC</v>
      </c>
      <c r="BA369" s="96">
        <f>IF(AZ369="n","n",VLOOKUP(AZ369,'Conversion factors'!$C$4:$D$24,2,FALSE))</f>
        <v>1</v>
      </c>
      <c r="BB369" s="96">
        <f t="shared" si="93"/>
        <v>208</v>
      </c>
      <c r="BC369" s="97"/>
      <c r="BD369" s="96" t="str">
        <f t="shared" si="88"/>
        <v>Chronic</v>
      </c>
      <c r="BE369" s="96" t="str">
        <f t="shared" si="94"/>
        <v>y</v>
      </c>
      <c r="BF369" s="98" t="str">
        <f t="shared" si="89"/>
        <v>NOEC</v>
      </c>
      <c r="BG369" s="96" t="str">
        <f>IF(BF369="","",IF(ISNUMBER(VLOOKUP(BF369,'Conversion factors'!$B$35:$C$52,2,FALSE)),"y","n"))</f>
        <v>y</v>
      </c>
      <c r="BH369" s="99" t="s">
        <v>1508</v>
      </c>
    </row>
    <row r="370" spans="1:60" s="103" customFormat="1" ht="15.75" customHeight="1" x14ac:dyDescent="0.2">
      <c r="A370" s="18"/>
      <c r="B370" s="19">
        <v>313</v>
      </c>
      <c r="C370" s="19"/>
      <c r="D370" s="19">
        <v>117718</v>
      </c>
      <c r="E370" s="19" t="s">
        <v>1224</v>
      </c>
      <c r="F370" s="93">
        <v>2008</v>
      </c>
      <c r="G370" s="19" t="s">
        <v>1093</v>
      </c>
      <c r="H370" s="19"/>
      <c r="I370" s="19" t="s">
        <v>41</v>
      </c>
      <c r="J370" s="19" t="s">
        <v>1094</v>
      </c>
      <c r="K370" s="19" t="s">
        <v>161</v>
      </c>
      <c r="L370" s="19" t="s">
        <v>82</v>
      </c>
      <c r="M370" s="19" t="s">
        <v>82</v>
      </c>
      <c r="N370" s="19" t="s">
        <v>66</v>
      </c>
      <c r="O370" s="19" t="s">
        <v>1046</v>
      </c>
      <c r="P370" s="19" t="s">
        <v>162</v>
      </c>
      <c r="Q370" s="19"/>
      <c r="R370" s="19" t="s">
        <v>237</v>
      </c>
      <c r="S370" s="19" t="s">
        <v>414</v>
      </c>
      <c r="T370" s="19" t="s">
        <v>55</v>
      </c>
      <c r="U370" s="19" t="s">
        <v>55</v>
      </c>
      <c r="V370" s="19" t="s">
        <v>557</v>
      </c>
      <c r="W370" s="19" t="s">
        <v>231</v>
      </c>
      <c r="X370" s="19" t="s">
        <v>46</v>
      </c>
      <c r="Y370" s="29"/>
      <c r="Z370" s="19"/>
      <c r="AA370" s="19"/>
      <c r="AB370" s="19" t="s">
        <v>1099</v>
      </c>
      <c r="AC370" s="19" t="s">
        <v>214</v>
      </c>
      <c r="AD370" s="19"/>
      <c r="AE370" s="19">
        <v>47.8</v>
      </c>
      <c r="AF370" s="19">
        <v>47.8</v>
      </c>
      <c r="AG370" s="19" t="s">
        <v>270</v>
      </c>
      <c r="AH370" s="19"/>
      <c r="AI370" s="19"/>
      <c r="AJ370" s="19">
        <v>6.81</v>
      </c>
      <c r="AK370" s="19" t="s">
        <v>1096</v>
      </c>
      <c r="AL370" s="19"/>
      <c r="AM370" s="19" t="s">
        <v>234</v>
      </c>
      <c r="AN370" s="19" t="s">
        <v>1097</v>
      </c>
      <c r="AO370" s="19" t="s">
        <v>216</v>
      </c>
      <c r="AP370" s="94">
        <v>1.9</v>
      </c>
      <c r="AQ370" s="19" t="s">
        <v>1015</v>
      </c>
      <c r="AR370" s="19" t="s">
        <v>1098</v>
      </c>
      <c r="AS370" s="19"/>
      <c r="AT370" s="65" t="str">
        <f t="shared" si="87"/>
        <v>Y</v>
      </c>
      <c r="AU370" s="65" t="str">
        <f t="shared" si="91"/>
        <v>Y</v>
      </c>
      <c r="AV370" s="65" t="str">
        <f t="shared" si="106"/>
        <v>Y</v>
      </c>
      <c r="AW370" s="99"/>
      <c r="AX370" s="99"/>
      <c r="AY370" s="19"/>
      <c r="AZ370" s="96" t="str">
        <f t="shared" si="92"/>
        <v>LOEC</v>
      </c>
      <c r="BA370" s="96">
        <f>IF(AZ370="n","n",VLOOKUP(AZ370,'Conversion factors'!$C$4:$D$24,2,FALSE))</f>
        <v>2.5</v>
      </c>
      <c r="BB370" s="96">
        <f t="shared" si="93"/>
        <v>297.60000000000002</v>
      </c>
      <c r="BC370" s="97"/>
      <c r="BD370" s="96" t="str">
        <f t="shared" si="88"/>
        <v>Chronic</v>
      </c>
      <c r="BE370" s="96" t="str">
        <f t="shared" si="94"/>
        <v>y</v>
      </c>
      <c r="BF370" s="98" t="str">
        <f t="shared" si="89"/>
        <v>LOEC</v>
      </c>
      <c r="BG370" s="96" t="str">
        <f>IF(BF370="","",IF(ISNUMBER(VLOOKUP(BF370,'Conversion factors'!$B$35:$C$52,2,FALSE)),"y","n"))</f>
        <v>n</v>
      </c>
      <c r="BH370" s="99"/>
    </row>
    <row r="371" spans="1:60" s="103" customFormat="1" ht="15.75" customHeight="1" x14ac:dyDescent="0.2">
      <c r="A371" s="18"/>
      <c r="B371" s="19">
        <v>313</v>
      </c>
      <c r="C371" s="19"/>
      <c r="D371" s="19">
        <v>117718</v>
      </c>
      <c r="E371" s="19" t="s">
        <v>1224</v>
      </c>
      <c r="F371" s="93">
        <v>2008</v>
      </c>
      <c r="G371" s="19" t="s">
        <v>1093</v>
      </c>
      <c r="H371" s="19"/>
      <c r="I371" s="19" t="s">
        <v>41</v>
      </c>
      <c r="J371" s="19" t="s">
        <v>1094</v>
      </c>
      <c r="K371" s="19" t="s">
        <v>161</v>
      </c>
      <c r="L371" s="19" t="s">
        <v>82</v>
      </c>
      <c r="M371" s="19" t="s">
        <v>82</v>
      </c>
      <c r="N371" s="19" t="s">
        <v>66</v>
      </c>
      <c r="O371" s="19" t="s">
        <v>1046</v>
      </c>
      <c r="P371" s="19" t="s">
        <v>162</v>
      </c>
      <c r="Q371" s="19"/>
      <c r="R371" s="19" t="s">
        <v>237</v>
      </c>
      <c r="S371" s="19" t="s">
        <v>414</v>
      </c>
      <c r="T371" s="19" t="s">
        <v>77</v>
      </c>
      <c r="U371" s="19" t="s">
        <v>77</v>
      </c>
      <c r="V371" s="19" t="s">
        <v>557</v>
      </c>
      <c r="W371" s="19" t="s">
        <v>231</v>
      </c>
      <c r="X371" s="19" t="s">
        <v>46</v>
      </c>
      <c r="Y371" s="29"/>
      <c r="Z371" s="19"/>
      <c r="AA371" s="19"/>
      <c r="AB371" s="19" t="s">
        <v>1103</v>
      </c>
      <c r="AC371" s="19" t="s">
        <v>214</v>
      </c>
      <c r="AD371" s="19"/>
      <c r="AE371" s="19">
        <v>47.8</v>
      </c>
      <c r="AF371" s="19">
        <v>47.8</v>
      </c>
      <c r="AG371" s="19" t="s">
        <v>270</v>
      </c>
      <c r="AH371" s="19"/>
      <c r="AI371" s="19"/>
      <c r="AJ371" s="19">
        <v>6.81</v>
      </c>
      <c r="AK371" s="19" t="s">
        <v>1096</v>
      </c>
      <c r="AL371" s="19"/>
      <c r="AM371" s="19" t="s">
        <v>234</v>
      </c>
      <c r="AN371" s="19" t="s">
        <v>1097</v>
      </c>
      <c r="AO371" s="19" t="s">
        <v>216</v>
      </c>
      <c r="AP371" s="94">
        <v>1.9</v>
      </c>
      <c r="AQ371" s="19" t="s">
        <v>1015</v>
      </c>
      <c r="AR371" s="19" t="s">
        <v>1098</v>
      </c>
      <c r="AS371" s="19"/>
      <c r="AT371" s="65" t="str">
        <f t="shared" si="87"/>
        <v>Y</v>
      </c>
      <c r="AU371" s="65" t="str">
        <f t="shared" si="91"/>
        <v>Y</v>
      </c>
      <c r="AV371" s="65" t="str">
        <f t="shared" si="106"/>
        <v>Y</v>
      </c>
      <c r="AW371" s="99"/>
      <c r="AX371" s="99"/>
      <c r="AY371" s="19"/>
      <c r="AZ371" s="96" t="str">
        <f t="shared" si="92"/>
        <v>MATC</v>
      </c>
      <c r="BA371" s="96">
        <f>IF(AZ371="n","n",VLOOKUP(AZ371,'Conversion factors'!$C$4:$D$24,2,FALSE))</f>
        <v>2</v>
      </c>
      <c r="BB371" s="96">
        <f t="shared" si="93"/>
        <v>266</v>
      </c>
      <c r="BC371" s="97"/>
      <c r="BD371" s="96" t="str">
        <f t="shared" si="88"/>
        <v>Chronic</v>
      </c>
      <c r="BE371" s="96" t="str">
        <f t="shared" si="94"/>
        <v>y</v>
      </c>
      <c r="BF371" s="98" t="str">
        <f t="shared" si="89"/>
        <v>MATC</v>
      </c>
      <c r="BG371" s="96" t="str">
        <f>IF(BF371="","",IF(ISNUMBER(VLOOKUP(BF371,'Conversion factors'!$B$35:$C$52,2,FALSE)),"y","n"))</f>
        <v>n</v>
      </c>
      <c r="BH371" s="99"/>
    </row>
    <row r="372" spans="1:60" s="103" customFormat="1" ht="15.75" customHeight="1" x14ac:dyDescent="0.2">
      <c r="A372" s="18"/>
      <c r="B372" s="19">
        <v>313</v>
      </c>
      <c r="C372" s="19"/>
      <c r="D372" s="19">
        <v>117718</v>
      </c>
      <c r="E372" s="19" t="s">
        <v>1224</v>
      </c>
      <c r="F372" s="93">
        <v>2008</v>
      </c>
      <c r="G372" s="19" t="s">
        <v>1093</v>
      </c>
      <c r="H372" s="19"/>
      <c r="I372" s="19" t="s">
        <v>41</v>
      </c>
      <c r="J372" s="19" t="s">
        <v>1094</v>
      </c>
      <c r="K372" s="19" t="s">
        <v>161</v>
      </c>
      <c r="L372" s="19" t="s">
        <v>82</v>
      </c>
      <c r="M372" s="19" t="s">
        <v>82</v>
      </c>
      <c r="N372" s="19" t="s">
        <v>66</v>
      </c>
      <c r="O372" s="19" t="s">
        <v>1046</v>
      </c>
      <c r="P372" s="19" t="s">
        <v>162</v>
      </c>
      <c r="Q372" s="19"/>
      <c r="R372" s="19" t="s">
        <v>237</v>
      </c>
      <c r="S372" s="19" t="s">
        <v>414</v>
      </c>
      <c r="T372" s="19" t="s">
        <v>54</v>
      </c>
      <c r="U372" s="19" t="s">
        <v>54</v>
      </c>
      <c r="V372" s="19" t="s">
        <v>557</v>
      </c>
      <c r="W372" s="19" t="s">
        <v>231</v>
      </c>
      <c r="X372" s="19" t="s">
        <v>46</v>
      </c>
      <c r="Y372" s="29"/>
      <c r="Z372" s="19"/>
      <c r="AA372" s="19"/>
      <c r="AB372" s="19" t="s">
        <v>1106</v>
      </c>
      <c r="AC372" s="19" t="s">
        <v>214</v>
      </c>
      <c r="AD372" s="19"/>
      <c r="AE372" s="19">
        <v>47.8</v>
      </c>
      <c r="AF372" s="19">
        <v>47.8</v>
      </c>
      <c r="AG372" s="19" t="s">
        <v>270</v>
      </c>
      <c r="AH372" s="19"/>
      <c r="AI372" s="19"/>
      <c r="AJ372" s="19">
        <v>6.81</v>
      </c>
      <c r="AK372" s="19" t="s">
        <v>1096</v>
      </c>
      <c r="AL372" s="19"/>
      <c r="AM372" s="19"/>
      <c r="AN372" s="19" t="s">
        <v>1097</v>
      </c>
      <c r="AO372" s="19" t="s">
        <v>216</v>
      </c>
      <c r="AP372" s="94">
        <v>1.9</v>
      </c>
      <c r="AQ372" s="19" t="s">
        <v>1015</v>
      </c>
      <c r="AR372" s="19" t="s">
        <v>1098</v>
      </c>
      <c r="AS372" s="19"/>
      <c r="AT372" s="65" t="str">
        <f t="shared" si="87"/>
        <v>Y</v>
      </c>
      <c r="AU372" s="65" t="str">
        <f t="shared" si="91"/>
        <v>Y</v>
      </c>
      <c r="AV372" s="65" t="str">
        <f t="shared" si="106"/>
        <v>Y</v>
      </c>
      <c r="AW372" s="99"/>
      <c r="AX372" s="99"/>
      <c r="AY372" s="19"/>
      <c r="AZ372" s="96" t="str">
        <f t="shared" si="92"/>
        <v>NOEC</v>
      </c>
      <c r="BA372" s="96">
        <f>IF(AZ372="n","n",VLOOKUP(AZ372,'Conversion factors'!$C$4:$D$24,2,FALSE))</f>
        <v>1</v>
      </c>
      <c r="BB372" s="96">
        <f t="shared" si="93"/>
        <v>380</v>
      </c>
      <c r="BC372" s="97"/>
      <c r="BD372" s="96" t="str">
        <f t="shared" si="88"/>
        <v>Chronic</v>
      </c>
      <c r="BE372" s="96" t="str">
        <f t="shared" si="94"/>
        <v>y</v>
      </c>
      <c r="BF372" s="98" t="str">
        <f t="shared" si="89"/>
        <v>NOEC</v>
      </c>
      <c r="BG372" s="96" t="str">
        <f>IF(BF372="","",IF(ISNUMBER(VLOOKUP(BF372,'Conversion factors'!$B$35:$C$52,2,FALSE)),"y","n"))</f>
        <v>y</v>
      </c>
      <c r="BH372" s="99" t="s">
        <v>1508</v>
      </c>
    </row>
    <row r="373" spans="1:60" s="103" customFormat="1" ht="15.75" customHeight="1" x14ac:dyDescent="0.2">
      <c r="A373" s="18"/>
      <c r="B373" s="19">
        <v>313</v>
      </c>
      <c r="C373" s="19"/>
      <c r="D373" s="19">
        <v>117718</v>
      </c>
      <c r="E373" s="19" t="s">
        <v>1224</v>
      </c>
      <c r="F373" s="93">
        <v>2008</v>
      </c>
      <c r="G373" s="19" t="s">
        <v>1093</v>
      </c>
      <c r="H373" s="19"/>
      <c r="I373" s="19" t="s">
        <v>41</v>
      </c>
      <c r="J373" s="19" t="s">
        <v>1094</v>
      </c>
      <c r="K373" s="19" t="s">
        <v>161</v>
      </c>
      <c r="L373" s="19" t="s">
        <v>82</v>
      </c>
      <c r="M373" s="19" t="s">
        <v>82</v>
      </c>
      <c r="N373" s="19" t="s">
        <v>66</v>
      </c>
      <c r="O373" s="19" t="s">
        <v>1046</v>
      </c>
      <c r="P373" s="19" t="s">
        <v>162</v>
      </c>
      <c r="Q373" s="19"/>
      <c r="R373" s="19" t="s">
        <v>237</v>
      </c>
      <c r="S373" s="19" t="s">
        <v>589</v>
      </c>
      <c r="T373" s="19" t="s">
        <v>55</v>
      </c>
      <c r="U373" s="19" t="s">
        <v>55</v>
      </c>
      <c r="V373" s="19" t="s">
        <v>230</v>
      </c>
      <c r="W373" s="19" t="s">
        <v>231</v>
      </c>
      <c r="X373" s="19" t="s">
        <v>46</v>
      </c>
      <c r="Y373" s="29"/>
      <c r="Z373" s="19"/>
      <c r="AA373" s="19"/>
      <c r="AB373" s="19" t="s">
        <v>1100</v>
      </c>
      <c r="AC373" s="19" t="s">
        <v>214</v>
      </c>
      <c r="AD373" s="19"/>
      <c r="AE373" s="19">
        <v>47.8</v>
      </c>
      <c r="AF373" s="19">
        <v>47.8</v>
      </c>
      <c r="AG373" s="19" t="s">
        <v>270</v>
      </c>
      <c r="AH373" s="19"/>
      <c r="AI373" s="19"/>
      <c r="AJ373" s="19">
        <v>6.81</v>
      </c>
      <c r="AK373" s="19" t="s">
        <v>1096</v>
      </c>
      <c r="AL373" s="19"/>
      <c r="AM373" s="19" t="s">
        <v>234</v>
      </c>
      <c r="AN373" s="19" t="s">
        <v>1097</v>
      </c>
      <c r="AO373" s="19" t="s">
        <v>216</v>
      </c>
      <c r="AP373" s="94">
        <v>1.9</v>
      </c>
      <c r="AQ373" s="19" t="s">
        <v>1015</v>
      </c>
      <c r="AR373" s="19" t="s">
        <v>1098</v>
      </c>
      <c r="AS373" s="19"/>
      <c r="AT373" s="65" t="str">
        <f t="shared" si="87"/>
        <v>Y</v>
      </c>
      <c r="AU373" s="65" t="str">
        <f t="shared" si="91"/>
        <v>Y</v>
      </c>
      <c r="AV373" s="65" t="str">
        <f t="shared" si="106"/>
        <v>Y</v>
      </c>
      <c r="AW373" s="99"/>
      <c r="AX373" s="99"/>
      <c r="AY373" s="19"/>
      <c r="AZ373" s="96" t="str">
        <f t="shared" si="92"/>
        <v>LOEC</v>
      </c>
      <c r="BA373" s="96">
        <f>IF(AZ373="n","n",VLOOKUP(AZ373,'Conversion factors'!$C$4:$D$24,2,FALSE))</f>
        <v>2.5</v>
      </c>
      <c r="BB373" s="96">
        <f t="shared" si="93"/>
        <v>602.79999999999995</v>
      </c>
      <c r="BC373" s="97"/>
      <c r="BD373" s="96" t="str">
        <f t="shared" si="88"/>
        <v>Chronic</v>
      </c>
      <c r="BE373" s="96" t="str">
        <f t="shared" si="94"/>
        <v>y</v>
      </c>
      <c r="BF373" s="98" t="str">
        <f t="shared" si="89"/>
        <v>LOEC</v>
      </c>
      <c r="BG373" s="96" t="str">
        <f>IF(BF373="","",IF(ISNUMBER(VLOOKUP(BF373,'Conversion factors'!$B$35:$C$52,2,FALSE)),"y","n"))</f>
        <v>n</v>
      </c>
      <c r="BH373" s="99"/>
    </row>
    <row r="374" spans="1:60" s="103" customFormat="1" ht="15.75" customHeight="1" x14ac:dyDescent="0.2">
      <c r="A374" s="18"/>
      <c r="B374" s="19">
        <v>313</v>
      </c>
      <c r="C374" s="19"/>
      <c r="D374" s="19">
        <v>117718</v>
      </c>
      <c r="E374" s="19" t="s">
        <v>1224</v>
      </c>
      <c r="F374" s="93">
        <v>2008</v>
      </c>
      <c r="G374" s="19" t="s">
        <v>1093</v>
      </c>
      <c r="H374" s="19"/>
      <c r="I374" s="19" t="s">
        <v>41</v>
      </c>
      <c r="J374" s="19" t="s">
        <v>1094</v>
      </c>
      <c r="K374" s="19" t="s">
        <v>161</v>
      </c>
      <c r="L374" s="19" t="s">
        <v>82</v>
      </c>
      <c r="M374" s="19" t="s">
        <v>82</v>
      </c>
      <c r="N374" s="19" t="s">
        <v>66</v>
      </c>
      <c r="O374" s="19" t="s">
        <v>1046</v>
      </c>
      <c r="P374" s="19" t="s">
        <v>162</v>
      </c>
      <c r="Q374" s="19"/>
      <c r="R374" s="19" t="s">
        <v>237</v>
      </c>
      <c r="S374" s="19" t="s">
        <v>589</v>
      </c>
      <c r="T374" s="19" t="s">
        <v>77</v>
      </c>
      <c r="U374" s="19" t="s">
        <v>77</v>
      </c>
      <c r="V374" s="19" t="s">
        <v>230</v>
      </c>
      <c r="W374" s="19" t="s">
        <v>231</v>
      </c>
      <c r="X374" s="19" t="s">
        <v>46</v>
      </c>
      <c r="Y374" s="29"/>
      <c r="Z374" s="19"/>
      <c r="AA374" s="19"/>
      <c r="AB374" s="19" t="s">
        <v>1102</v>
      </c>
      <c r="AC374" s="19" t="s">
        <v>214</v>
      </c>
      <c r="AD374" s="19"/>
      <c r="AE374" s="19">
        <v>47.8</v>
      </c>
      <c r="AF374" s="19">
        <v>47.8</v>
      </c>
      <c r="AG374" s="19" t="s">
        <v>270</v>
      </c>
      <c r="AH374" s="19"/>
      <c r="AI374" s="19"/>
      <c r="AJ374" s="19">
        <v>6.81</v>
      </c>
      <c r="AK374" s="19" t="s">
        <v>1096</v>
      </c>
      <c r="AL374" s="19"/>
      <c r="AM374" s="19" t="s">
        <v>234</v>
      </c>
      <c r="AN374" s="19" t="s">
        <v>1097</v>
      </c>
      <c r="AO374" s="19" t="s">
        <v>216</v>
      </c>
      <c r="AP374" s="94">
        <v>1.9</v>
      </c>
      <c r="AQ374" s="19" t="s">
        <v>1015</v>
      </c>
      <c r="AR374" s="19" t="s">
        <v>1098</v>
      </c>
      <c r="AS374" s="19"/>
      <c r="AT374" s="65" t="str">
        <f t="shared" si="87"/>
        <v>Y</v>
      </c>
      <c r="AU374" s="65" t="str">
        <f t="shared" si="91"/>
        <v>Y</v>
      </c>
      <c r="AV374" s="65" t="str">
        <f t="shared" si="106"/>
        <v>Y</v>
      </c>
      <c r="AW374" s="99"/>
      <c r="AX374" s="99"/>
      <c r="AY374" s="19"/>
      <c r="AZ374" s="96" t="str">
        <f t="shared" si="92"/>
        <v>MATC</v>
      </c>
      <c r="BA374" s="96">
        <f>IF(AZ374="n","n",VLOOKUP(AZ374,'Conversion factors'!$C$4:$D$24,2,FALSE))</f>
        <v>2</v>
      </c>
      <c r="BB374" s="96">
        <f t="shared" si="93"/>
        <v>529.5</v>
      </c>
      <c r="BC374" s="97"/>
      <c r="BD374" s="96" t="str">
        <f t="shared" si="88"/>
        <v>Chronic</v>
      </c>
      <c r="BE374" s="96" t="str">
        <f t="shared" si="94"/>
        <v>y</v>
      </c>
      <c r="BF374" s="98" t="str">
        <f t="shared" si="89"/>
        <v>MATC</v>
      </c>
      <c r="BG374" s="96" t="str">
        <f>IF(BF374="","",IF(ISNUMBER(VLOOKUP(BF374,'Conversion factors'!$B$35:$C$52,2,FALSE)),"y","n"))</f>
        <v>n</v>
      </c>
      <c r="BH374" s="99"/>
    </row>
    <row r="375" spans="1:60" s="103" customFormat="1" ht="15.75" customHeight="1" x14ac:dyDescent="0.2">
      <c r="A375" s="18"/>
      <c r="B375" s="19">
        <v>313</v>
      </c>
      <c r="C375" s="19"/>
      <c r="D375" s="19">
        <v>117718</v>
      </c>
      <c r="E375" s="19" t="s">
        <v>1224</v>
      </c>
      <c r="F375" s="93">
        <v>2008</v>
      </c>
      <c r="G375" s="19" t="s">
        <v>1093</v>
      </c>
      <c r="H375" s="19"/>
      <c r="I375" s="19" t="s">
        <v>41</v>
      </c>
      <c r="J375" s="19" t="s">
        <v>1094</v>
      </c>
      <c r="K375" s="19" t="s">
        <v>161</v>
      </c>
      <c r="L375" s="19" t="s">
        <v>82</v>
      </c>
      <c r="M375" s="19" t="s">
        <v>82</v>
      </c>
      <c r="N375" s="19" t="s">
        <v>66</v>
      </c>
      <c r="O375" s="19" t="s">
        <v>1046</v>
      </c>
      <c r="P375" s="19" t="s">
        <v>162</v>
      </c>
      <c r="Q375" s="19"/>
      <c r="R375" s="19" t="s">
        <v>237</v>
      </c>
      <c r="S375" s="19" t="s">
        <v>589</v>
      </c>
      <c r="T375" s="19" t="s">
        <v>54</v>
      </c>
      <c r="U375" s="19" t="s">
        <v>54</v>
      </c>
      <c r="V375" s="19" t="s">
        <v>230</v>
      </c>
      <c r="W375" s="19" t="s">
        <v>231</v>
      </c>
      <c r="X375" s="19" t="s">
        <v>46</v>
      </c>
      <c r="Y375" s="29"/>
      <c r="Z375" s="19"/>
      <c r="AA375" s="19"/>
      <c r="AB375" s="19" t="s">
        <v>1099</v>
      </c>
      <c r="AC375" s="19" t="s">
        <v>214</v>
      </c>
      <c r="AD375" s="19"/>
      <c r="AE375" s="19">
        <v>47.8</v>
      </c>
      <c r="AF375" s="19">
        <v>47.8</v>
      </c>
      <c r="AG375" s="19" t="s">
        <v>270</v>
      </c>
      <c r="AH375" s="19"/>
      <c r="AI375" s="19"/>
      <c r="AJ375" s="19">
        <v>6.81</v>
      </c>
      <c r="AK375" s="19" t="s">
        <v>1096</v>
      </c>
      <c r="AL375" s="19"/>
      <c r="AM375" s="19"/>
      <c r="AN375" s="19" t="s">
        <v>1097</v>
      </c>
      <c r="AO375" s="19" t="s">
        <v>216</v>
      </c>
      <c r="AP375" s="94">
        <v>1.9</v>
      </c>
      <c r="AQ375" s="19" t="s">
        <v>1015</v>
      </c>
      <c r="AR375" s="19" t="s">
        <v>1098</v>
      </c>
      <c r="AS375" s="19"/>
      <c r="AT375" s="65" t="str">
        <f t="shared" si="87"/>
        <v>Y</v>
      </c>
      <c r="AU375" s="65" t="str">
        <f t="shared" si="91"/>
        <v>Y</v>
      </c>
      <c r="AV375" s="65" t="str">
        <f t="shared" si="106"/>
        <v>Y</v>
      </c>
      <c r="AW375" s="99"/>
      <c r="AX375" s="99"/>
      <c r="AY375" s="19"/>
      <c r="AZ375" s="96" t="str">
        <f t="shared" si="92"/>
        <v>NOEC</v>
      </c>
      <c r="BA375" s="96">
        <f>IF(AZ375="n","n",VLOOKUP(AZ375,'Conversion factors'!$C$4:$D$24,2,FALSE))</f>
        <v>1</v>
      </c>
      <c r="BB375" s="96">
        <f t="shared" si="93"/>
        <v>744</v>
      </c>
      <c r="BC375" s="97"/>
      <c r="BD375" s="96" t="str">
        <f t="shared" si="88"/>
        <v>Chronic</v>
      </c>
      <c r="BE375" s="96" t="str">
        <f t="shared" si="94"/>
        <v>y</v>
      </c>
      <c r="BF375" s="98" t="str">
        <f t="shared" si="89"/>
        <v>NOEC</v>
      </c>
      <c r="BG375" s="96" t="str">
        <f>IF(BF375="","",IF(ISNUMBER(VLOOKUP(BF375,'Conversion factors'!$B$35:$C$52,2,FALSE)),"y","n"))</f>
        <v>y</v>
      </c>
      <c r="BH375" s="99" t="s">
        <v>1508</v>
      </c>
    </row>
    <row r="376" spans="1:60" s="103" customFormat="1" ht="15.75" customHeight="1" x14ac:dyDescent="0.2">
      <c r="A376" s="18"/>
      <c r="B376" s="19">
        <v>313</v>
      </c>
      <c r="C376" s="19"/>
      <c r="D376" s="19">
        <v>117718</v>
      </c>
      <c r="E376" s="19" t="s">
        <v>1224</v>
      </c>
      <c r="F376" s="93">
        <v>2008</v>
      </c>
      <c r="G376" s="19" t="s">
        <v>1093</v>
      </c>
      <c r="H376" s="19"/>
      <c r="I376" s="19" t="s">
        <v>41</v>
      </c>
      <c r="J376" s="19" t="s">
        <v>1094</v>
      </c>
      <c r="K376" s="19" t="s">
        <v>161</v>
      </c>
      <c r="L376" s="19" t="s">
        <v>82</v>
      </c>
      <c r="M376" s="19" t="s">
        <v>82</v>
      </c>
      <c r="N376" s="19" t="s">
        <v>66</v>
      </c>
      <c r="O376" s="19" t="s">
        <v>1046</v>
      </c>
      <c r="P376" s="19" t="s">
        <v>162</v>
      </c>
      <c r="Q376" s="19"/>
      <c r="R376" s="19" t="s">
        <v>256</v>
      </c>
      <c r="S376" s="19" t="s">
        <v>302</v>
      </c>
      <c r="T376" s="19" t="s">
        <v>55</v>
      </c>
      <c r="U376" s="19" t="s">
        <v>55</v>
      </c>
      <c r="V376" s="19" t="s">
        <v>557</v>
      </c>
      <c r="W376" s="19" t="s">
        <v>231</v>
      </c>
      <c r="X376" s="19" t="s">
        <v>46</v>
      </c>
      <c r="Y376" s="29"/>
      <c r="Z376" s="19"/>
      <c r="AA376" s="19"/>
      <c r="AB376" s="19" t="s">
        <v>1099</v>
      </c>
      <c r="AC376" s="19" t="s">
        <v>214</v>
      </c>
      <c r="AD376" s="19"/>
      <c r="AE376" s="19">
        <v>47.8</v>
      </c>
      <c r="AF376" s="19">
        <v>47.8</v>
      </c>
      <c r="AG376" s="19" t="s">
        <v>270</v>
      </c>
      <c r="AH376" s="19"/>
      <c r="AI376" s="19"/>
      <c r="AJ376" s="19">
        <v>6.81</v>
      </c>
      <c r="AK376" s="19" t="s">
        <v>1096</v>
      </c>
      <c r="AL376" s="19"/>
      <c r="AM376" s="19" t="s">
        <v>234</v>
      </c>
      <c r="AN376" s="19" t="s">
        <v>1097</v>
      </c>
      <c r="AO376" s="19" t="s">
        <v>216</v>
      </c>
      <c r="AP376" s="94">
        <v>1.9</v>
      </c>
      <c r="AQ376" s="19" t="s">
        <v>1015</v>
      </c>
      <c r="AR376" s="19" t="s">
        <v>1098</v>
      </c>
      <c r="AS376" s="19"/>
      <c r="AT376" s="65" t="str">
        <f t="shared" si="87"/>
        <v>Y</v>
      </c>
      <c r="AU376" s="65" t="str">
        <f t="shared" si="91"/>
        <v>Y</v>
      </c>
      <c r="AV376" s="65" t="str">
        <f t="shared" si="106"/>
        <v>Y</v>
      </c>
      <c r="AW376" s="99"/>
      <c r="AX376" s="99"/>
      <c r="AY376" s="19"/>
      <c r="AZ376" s="96" t="str">
        <f t="shared" si="92"/>
        <v>LOEC</v>
      </c>
      <c r="BA376" s="96">
        <f>IF(AZ376="n","n",VLOOKUP(AZ376,'Conversion factors'!$C$4:$D$24,2,FALSE))</f>
        <v>2.5</v>
      </c>
      <c r="BB376" s="96">
        <f t="shared" si="93"/>
        <v>297.60000000000002</v>
      </c>
      <c r="BC376" s="97"/>
      <c r="BD376" s="96" t="str">
        <f t="shared" si="88"/>
        <v>Chronic</v>
      </c>
      <c r="BE376" s="96" t="str">
        <f t="shared" si="94"/>
        <v>y</v>
      </c>
      <c r="BF376" s="98" t="str">
        <f t="shared" si="89"/>
        <v>LOEC</v>
      </c>
      <c r="BG376" s="96" t="str">
        <f>IF(BF376="","",IF(ISNUMBER(VLOOKUP(BF376,'Conversion factors'!$B$35:$C$52,2,FALSE)),"y","n"))</f>
        <v>n</v>
      </c>
      <c r="BH376" s="99"/>
    </row>
    <row r="377" spans="1:60" s="103" customFormat="1" ht="15.75" customHeight="1" x14ac:dyDescent="0.2">
      <c r="A377" s="18"/>
      <c r="B377" s="19">
        <v>313</v>
      </c>
      <c r="C377" s="19"/>
      <c r="D377" s="19">
        <v>117718</v>
      </c>
      <c r="E377" s="19" t="s">
        <v>1224</v>
      </c>
      <c r="F377" s="93">
        <v>2008</v>
      </c>
      <c r="G377" s="19" t="s">
        <v>1093</v>
      </c>
      <c r="H377" s="19"/>
      <c r="I377" s="19" t="s">
        <v>41</v>
      </c>
      <c r="J377" s="19" t="s">
        <v>1094</v>
      </c>
      <c r="K377" s="19" t="s">
        <v>161</v>
      </c>
      <c r="L377" s="19" t="s">
        <v>82</v>
      </c>
      <c r="M377" s="19" t="s">
        <v>82</v>
      </c>
      <c r="N377" s="19" t="s">
        <v>66</v>
      </c>
      <c r="O377" s="19" t="s">
        <v>1046</v>
      </c>
      <c r="P377" s="19" t="s">
        <v>162</v>
      </c>
      <c r="Q377" s="19"/>
      <c r="R377" s="19" t="s">
        <v>256</v>
      </c>
      <c r="S377" s="19" t="s">
        <v>302</v>
      </c>
      <c r="T377" s="19" t="s">
        <v>77</v>
      </c>
      <c r="U377" s="19" t="s">
        <v>77</v>
      </c>
      <c r="V377" s="19" t="s">
        <v>557</v>
      </c>
      <c r="W377" s="19" t="s">
        <v>231</v>
      </c>
      <c r="X377" s="19" t="s">
        <v>46</v>
      </c>
      <c r="Y377" s="29"/>
      <c r="Z377" s="19"/>
      <c r="AA377" s="19"/>
      <c r="AB377" s="19" t="s">
        <v>1103</v>
      </c>
      <c r="AC377" s="19" t="s">
        <v>214</v>
      </c>
      <c r="AD377" s="19"/>
      <c r="AE377" s="19">
        <v>47.8</v>
      </c>
      <c r="AF377" s="19">
        <v>47.8</v>
      </c>
      <c r="AG377" s="19" t="s">
        <v>270</v>
      </c>
      <c r="AH377" s="19"/>
      <c r="AI377" s="19"/>
      <c r="AJ377" s="19">
        <v>6.81</v>
      </c>
      <c r="AK377" s="19" t="s">
        <v>1096</v>
      </c>
      <c r="AL377" s="19"/>
      <c r="AM377" s="19" t="s">
        <v>234</v>
      </c>
      <c r="AN377" s="19" t="s">
        <v>1097</v>
      </c>
      <c r="AO377" s="19" t="s">
        <v>216</v>
      </c>
      <c r="AP377" s="94">
        <v>1.9</v>
      </c>
      <c r="AQ377" s="19" t="s">
        <v>1015</v>
      </c>
      <c r="AR377" s="19" t="s">
        <v>1098</v>
      </c>
      <c r="AS377" s="19"/>
      <c r="AT377" s="65" t="str">
        <f t="shared" si="87"/>
        <v>Y</v>
      </c>
      <c r="AU377" s="65" t="str">
        <f t="shared" si="91"/>
        <v>Y</v>
      </c>
      <c r="AV377" s="65" t="str">
        <f t="shared" si="106"/>
        <v>Y</v>
      </c>
      <c r="AW377" s="99"/>
      <c r="AX377" s="99"/>
      <c r="AY377" s="19"/>
      <c r="AZ377" s="96" t="str">
        <f t="shared" si="92"/>
        <v>MATC</v>
      </c>
      <c r="BA377" s="96">
        <f>IF(AZ377="n","n",VLOOKUP(AZ377,'Conversion factors'!$C$4:$D$24,2,FALSE))</f>
        <v>2</v>
      </c>
      <c r="BB377" s="96">
        <f t="shared" si="93"/>
        <v>266</v>
      </c>
      <c r="BC377" s="97"/>
      <c r="BD377" s="96" t="str">
        <f t="shared" si="88"/>
        <v>Chronic</v>
      </c>
      <c r="BE377" s="96" t="str">
        <f t="shared" si="94"/>
        <v>y</v>
      </c>
      <c r="BF377" s="98" t="str">
        <f t="shared" si="89"/>
        <v>MATC</v>
      </c>
      <c r="BG377" s="96" t="str">
        <f>IF(BF377="","",IF(ISNUMBER(VLOOKUP(BF377,'Conversion factors'!$B$35:$C$52,2,FALSE)),"y","n"))</f>
        <v>n</v>
      </c>
      <c r="BH377" s="99"/>
    </row>
    <row r="378" spans="1:60" s="103" customFormat="1" ht="15.75" customHeight="1" x14ac:dyDescent="0.2">
      <c r="A378" s="18"/>
      <c r="B378" s="19">
        <v>313</v>
      </c>
      <c r="C378" s="19"/>
      <c r="D378" s="19">
        <v>117718</v>
      </c>
      <c r="E378" s="19" t="s">
        <v>1224</v>
      </c>
      <c r="F378" s="93">
        <v>2008</v>
      </c>
      <c r="G378" s="19" t="s">
        <v>1093</v>
      </c>
      <c r="H378" s="19"/>
      <c r="I378" s="19" t="s">
        <v>41</v>
      </c>
      <c r="J378" s="19" t="s">
        <v>1094</v>
      </c>
      <c r="K378" s="19" t="s">
        <v>161</v>
      </c>
      <c r="L378" s="19" t="s">
        <v>82</v>
      </c>
      <c r="M378" s="19" t="s">
        <v>82</v>
      </c>
      <c r="N378" s="19" t="s">
        <v>66</v>
      </c>
      <c r="O378" s="19" t="s">
        <v>1046</v>
      </c>
      <c r="P378" s="19" t="s">
        <v>162</v>
      </c>
      <c r="Q378" s="19"/>
      <c r="R378" s="19" t="s">
        <v>256</v>
      </c>
      <c r="S378" s="19" t="s">
        <v>302</v>
      </c>
      <c r="T378" s="19" t="s">
        <v>54</v>
      </c>
      <c r="U378" s="19" t="s">
        <v>54</v>
      </c>
      <c r="V378" s="19" t="s">
        <v>557</v>
      </c>
      <c r="W378" s="19" t="s">
        <v>231</v>
      </c>
      <c r="X378" s="19" t="s">
        <v>46</v>
      </c>
      <c r="Y378" s="29"/>
      <c r="Z378" s="19"/>
      <c r="AA378" s="19"/>
      <c r="AB378" s="19" t="s">
        <v>1106</v>
      </c>
      <c r="AC378" s="19" t="s">
        <v>214</v>
      </c>
      <c r="AD378" s="19"/>
      <c r="AE378" s="19">
        <v>47.8</v>
      </c>
      <c r="AF378" s="19">
        <v>47.8</v>
      </c>
      <c r="AG378" s="19" t="s">
        <v>270</v>
      </c>
      <c r="AH378" s="19"/>
      <c r="AI378" s="19"/>
      <c r="AJ378" s="19">
        <v>6.81</v>
      </c>
      <c r="AK378" s="19" t="s">
        <v>1096</v>
      </c>
      <c r="AL378" s="19"/>
      <c r="AM378" s="19"/>
      <c r="AN378" s="19" t="s">
        <v>1097</v>
      </c>
      <c r="AO378" s="19" t="s">
        <v>216</v>
      </c>
      <c r="AP378" s="94">
        <v>1.9</v>
      </c>
      <c r="AQ378" s="19" t="s">
        <v>1015</v>
      </c>
      <c r="AR378" s="19" t="s">
        <v>1098</v>
      </c>
      <c r="AS378" s="19"/>
      <c r="AT378" s="65" t="str">
        <f t="shared" si="87"/>
        <v>Y</v>
      </c>
      <c r="AU378" s="65" t="str">
        <f t="shared" si="91"/>
        <v>Y</v>
      </c>
      <c r="AV378" s="65" t="str">
        <f t="shared" si="106"/>
        <v>Y</v>
      </c>
      <c r="AW378" s="99"/>
      <c r="AX378" s="99"/>
      <c r="AY378" s="19"/>
      <c r="AZ378" s="96" t="str">
        <f t="shared" si="92"/>
        <v>NOEC</v>
      </c>
      <c r="BA378" s="96">
        <f>IF(AZ378="n","n",VLOOKUP(AZ378,'Conversion factors'!$C$4:$D$24,2,FALSE))</f>
        <v>1</v>
      </c>
      <c r="BB378" s="96">
        <f t="shared" si="93"/>
        <v>380</v>
      </c>
      <c r="BC378" s="97"/>
      <c r="BD378" s="96" t="str">
        <f t="shared" si="88"/>
        <v>Chronic</v>
      </c>
      <c r="BE378" s="96" t="str">
        <f t="shared" si="94"/>
        <v>y</v>
      </c>
      <c r="BF378" s="98" t="str">
        <f t="shared" si="89"/>
        <v>NOEC</v>
      </c>
      <c r="BG378" s="96" t="str">
        <f>IF(BF378="","",IF(ISNUMBER(VLOOKUP(BF378,'Conversion factors'!$B$35:$C$52,2,FALSE)),"y","n"))</f>
        <v>y</v>
      </c>
      <c r="BH378" s="99" t="s">
        <v>1508</v>
      </c>
    </row>
    <row r="379" spans="1:60" s="103" customFormat="1" ht="15.75" customHeight="1" x14ac:dyDescent="0.2">
      <c r="A379" s="18"/>
      <c r="B379" s="19">
        <v>313</v>
      </c>
      <c r="C379" s="19"/>
      <c r="D379" s="19">
        <v>117718</v>
      </c>
      <c r="E379" s="19" t="s">
        <v>1224</v>
      </c>
      <c r="F379" s="93">
        <v>2008</v>
      </c>
      <c r="G379" s="19" t="s">
        <v>1093</v>
      </c>
      <c r="H379" s="19"/>
      <c r="I379" s="19" t="s">
        <v>41</v>
      </c>
      <c r="J379" s="19" t="s">
        <v>1094</v>
      </c>
      <c r="K379" s="19" t="s">
        <v>161</v>
      </c>
      <c r="L379" s="19" t="s">
        <v>82</v>
      </c>
      <c r="M379" s="19" t="s">
        <v>82</v>
      </c>
      <c r="N379" s="19" t="s">
        <v>66</v>
      </c>
      <c r="O379" s="19" t="s">
        <v>909</v>
      </c>
      <c r="P379" s="19" t="s">
        <v>162</v>
      </c>
      <c r="Q379" s="19"/>
      <c r="R379" s="19" t="s">
        <v>256</v>
      </c>
      <c r="S379" s="19" t="s">
        <v>302</v>
      </c>
      <c r="T379" s="19" t="s">
        <v>55</v>
      </c>
      <c r="U379" s="19" t="s">
        <v>55</v>
      </c>
      <c r="V379" s="19" t="s">
        <v>1221</v>
      </c>
      <c r="W379" s="19" t="s">
        <v>231</v>
      </c>
      <c r="X379" s="19" t="s">
        <v>46</v>
      </c>
      <c r="Y379" s="29"/>
      <c r="Z379" s="19"/>
      <c r="AA379" s="19"/>
      <c r="AB379" s="19" t="s">
        <v>1095</v>
      </c>
      <c r="AC379" s="19" t="s">
        <v>214</v>
      </c>
      <c r="AD379" s="19"/>
      <c r="AE379" s="19">
        <v>47.8</v>
      </c>
      <c r="AF379" s="19">
        <v>47.8</v>
      </c>
      <c r="AG379" s="19" t="s">
        <v>270</v>
      </c>
      <c r="AH379" s="19"/>
      <c r="AI379" s="19"/>
      <c r="AJ379" s="19">
        <v>6.81</v>
      </c>
      <c r="AK379" s="19" t="s">
        <v>1096</v>
      </c>
      <c r="AL379" s="19"/>
      <c r="AM379" s="19" t="s">
        <v>234</v>
      </c>
      <c r="AN379" s="19" t="s">
        <v>1097</v>
      </c>
      <c r="AO379" s="19" t="s">
        <v>216</v>
      </c>
      <c r="AP379" s="94">
        <v>1.9</v>
      </c>
      <c r="AQ379" s="19" t="s">
        <v>1015</v>
      </c>
      <c r="AR379" s="19" t="s">
        <v>1098</v>
      </c>
      <c r="AS379" s="19"/>
      <c r="AT379" s="65" t="str">
        <f t="shared" si="87"/>
        <v>Y</v>
      </c>
      <c r="AU379" s="65" t="str">
        <f t="shared" si="91"/>
        <v>Y</v>
      </c>
      <c r="AV379" s="65" t="str">
        <f t="shared" si="106"/>
        <v>Y</v>
      </c>
      <c r="AW379" s="99"/>
      <c r="AX379" s="99"/>
      <c r="AY379" s="19"/>
      <c r="AZ379" s="96" t="str">
        <f t="shared" si="92"/>
        <v>LOEC</v>
      </c>
      <c r="BA379" s="96">
        <f>IF(AZ379="n","n",VLOOKUP(AZ379,'Conversion factors'!$C$4:$D$24,2,FALSE))</f>
        <v>2.5</v>
      </c>
      <c r="BB379" s="96">
        <f t="shared" si="93"/>
        <v>168.8</v>
      </c>
      <c r="BC379" s="97"/>
      <c r="BD379" s="96" t="str">
        <f t="shared" si="88"/>
        <v>Chronic</v>
      </c>
      <c r="BE379" s="96" t="str">
        <f t="shared" si="94"/>
        <v>y</v>
      </c>
      <c r="BF379" s="98" t="str">
        <f t="shared" si="89"/>
        <v>LOEC</v>
      </c>
      <c r="BG379" s="96" t="str">
        <f>IF(BF379="","",IF(ISNUMBER(VLOOKUP(BF379,'Conversion factors'!$B$35:$C$52,2,FALSE)),"y","n"))</f>
        <v>n</v>
      </c>
      <c r="BH379" s="99"/>
    </row>
    <row r="380" spans="1:60" s="103" customFormat="1" ht="15.75" customHeight="1" x14ac:dyDescent="0.2">
      <c r="A380" s="18"/>
      <c r="B380" s="19">
        <v>313</v>
      </c>
      <c r="C380" s="19"/>
      <c r="D380" s="19">
        <v>117718</v>
      </c>
      <c r="E380" s="19" t="s">
        <v>1224</v>
      </c>
      <c r="F380" s="93">
        <v>2008</v>
      </c>
      <c r="G380" s="19" t="s">
        <v>1093</v>
      </c>
      <c r="H380" s="19"/>
      <c r="I380" s="19" t="s">
        <v>41</v>
      </c>
      <c r="J380" s="19" t="s">
        <v>1094</v>
      </c>
      <c r="K380" s="19" t="s">
        <v>161</v>
      </c>
      <c r="L380" s="19" t="s">
        <v>82</v>
      </c>
      <c r="M380" s="19" t="s">
        <v>82</v>
      </c>
      <c r="N380" s="19" t="s">
        <v>66</v>
      </c>
      <c r="O380" s="19" t="s">
        <v>909</v>
      </c>
      <c r="P380" s="19" t="s">
        <v>162</v>
      </c>
      <c r="Q380" s="19"/>
      <c r="R380" s="19" t="s">
        <v>256</v>
      </c>
      <c r="S380" s="19" t="s">
        <v>302</v>
      </c>
      <c r="T380" s="19" t="s">
        <v>77</v>
      </c>
      <c r="U380" s="19" t="s">
        <v>77</v>
      </c>
      <c r="V380" s="19" t="s">
        <v>1221</v>
      </c>
      <c r="W380" s="19" t="s">
        <v>231</v>
      </c>
      <c r="X380" s="19" t="s">
        <v>46</v>
      </c>
      <c r="Y380" s="29"/>
      <c r="Z380" s="19"/>
      <c r="AA380" s="19"/>
      <c r="AB380" s="19" t="s">
        <v>1101</v>
      </c>
      <c r="AC380" s="19" t="s">
        <v>214</v>
      </c>
      <c r="AD380" s="19"/>
      <c r="AE380" s="19">
        <v>47.8</v>
      </c>
      <c r="AF380" s="19">
        <v>47.8</v>
      </c>
      <c r="AG380" s="19" t="s">
        <v>270</v>
      </c>
      <c r="AH380" s="19"/>
      <c r="AI380" s="19"/>
      <c r="AJ380" s="19">
        <v>6.81</v>
      </c>
      <c r="AK380" s="19" t="s">
        <v>1096</v>
      </c>
      <c r="AL380" s="19"/>
      <c r="AM380" s="19" t="s">
        <v>234</v>
      </c>
      <c r="AN380" s="19" t="s">
        <v>1097</v>
      </c>
      <c r="AO380" s="19" t="s">
        <v>216</v>
      </c>
      <c r="AP380" s="94">
        <v>1.9</v>
      </c>
      <c r="AQ380" s="19" t="s">
        <v>1015</v>
      </c>
      <c r="AR380" s="19" t="s">
        <v>1098</v>
      </c>
      <c r="AS380" s="19"/>
      <c r="AT380" s="65" t="str">
        <f t="shared" si="87"/>
        <v>Y</v>
      </c>
      <c r="AU380" s="65" t="str">
        <f t="shared" si="91"/>
        <v>Y</v>
      </c>
      <c r="AV380" s="65" t="str">
        <f t="shared" si="106"/>
        <v>Y</v>
      </c>
      <c r="AW380" s="99"/>
      <c r="AX380" s="99"/>
      <c r="AY380" s="19"/>
      <c r="AZ380" s="96" t="str">
        <f t="shared" si="92"/>
        <v>MATC</v>
      </c>
      <c r="BA380" s="96">
        <f>IF(AZ380="n","n",VLOOKUP(AZ380,'Conversion factors'!$C$4:$D$24,2,FALSE))</f>
        <v>2</v>
      </c>
      <c r="BB380" s="96">
        <f t="shared" si="93"/>
        <v>148</v>
      </c>
      <c r="BC380" s="97"/>
      <c r="BD380" s="96" t="str">
        <f t="shared" si="88"/>
        <v>Chronic</v>
      </c>
      <c r="BE380" s="96" t="str">
        <f t="shared" si="94"/>
        <v>y</v>
      </c>
      <c r="BF380" s="98" t="str">
        <f t="shared" si="89"/>
        <v>MATC</v>
      </c>
      <c r="BG380" s="96" t="str">
        <f>IF(BF380="","",IF(ISNUMBER(VLOOKUP(BF380,'Conversion factors'!$B$35:$C$52,2,FALSE)),"y","n"))</f>
        <v>n</v>
      </c>
      <c r="BH380" s="99"/>
    </row>
    <row r="381" spans="1:60" s="103" customFormat="1" ht="15.75" customHeight="1" x14ac:dyDescent="0.2">
      <c r="A381" s="18"/>
      <c r="B381" s="19">
        <v>313</v>
      </c>
      <c r="C381" s="19"/>
      <c r="D381" s="19">
        <v>117718</v>
      </c>
      <c r="E381" s="19" t="s">
        <v>1224</v>
      </c>
      <c r="F381" s="93">
        <v>2008</v>
      </c>
      <c r="G381" s="19" t="s">
        <v>1093</v>
      </c>
      <c r="H381" s="19"/>
      <c r="I381" s="19" t="s">
        <v>41</v>
      </c>
      <c r="J381" s="19" t="s">
        <v>1094</v>
      </c>
      <c r="K381" s="19" t="s">
        <v>161</v>
      </c>
      <c r="L381" s="19" t="s">
        <v>82</v>
      </c>
      <c r="M381" s="19" t="s">
        <v>82</v>
      </c>
      <c r="N381" s="19" t="s">
        <v>66</v>
      </c>
      <c r="O381" s="19" t="s">
        <v>909</v>
      </c>
      <c r="P381" s="19" t="s">
        <v>162</v>
      </c>
      <c r="Q381" s="19"/>
      <c r="R381" s="19" t="s">
        <v>256</v>
      </c>
      <c r="S381" s="19" t="s">
        <v>302</v>
      </c>
      <c r="T381" s="19" t="s">
        <v>54</v>
      </c>
      <c r="U381" s="19" t="s">
        <v>54</v>
      </c>
      <c r="V381" s="19" t="s">
        <v>1221</v>
      </c>
      <c r="W381" s="19" t="s">
        <v>231</v>
      </c>
      <c r="X381" s="19" t="s">
        <v>46</v>
      </c>
      <c r="Y381" s="29"/>
      <c r="Z381" s="19"/>
      <c r="AA381" s="19"/>
      <c r="AB381" s="19" t="s">
        <v>1105</v>
      </c>
      <c r="AC381" s="19" t="s">
        <v>214</v>
      </c>
      <c r="AD381" s="19"/>
      <c r="AE381" s="19">
        <v>47.8</v>
      </c>
      <c r="AF381" s="19">
        <v>47.8</v>
      </c>
      <c r="AG381" s="19" t="s">
        <v>270</v>
      </c>
      <c r="AH381" s="19"/>
      <c r="AI381" s="19"/>
      <c r="AJ381" s="19">
        <v>6.81</v>
      </c>
      <c r="AK381" s="19" t="s">
        <v>1096</v>
      </c>
      <c r="AL381" s="19"/>
      <c r="AM381" s="19"/>
      <c r="AN381" s="19" t="s">
        <v>1097</v>
      </c>
      <c r="AO381" s="19" t="s">
        <v>216</v>
      </c>
      <c r="AP381" s="94">
        <v>1.9</v>
      </c>
      <c r="AQ381" s="19" t="s">
        <v>1015</v>
      </c>
      <c r="AR381" s="19" t="s">
        <v>1098</v>
      </c>
      <c r="AS381" s="19"/>
      <c r="AT381" s="65" t="str">
        <f t="shared" si="87"/>
        <v>Y</v>
      </c>
      <c r="AU381" s="65" t="str">
        <f t="shared" si="91"/>
        <v>Y</v>
      </c>
      <c r="AV381" s="65" t="str">
        <f>AU381</f>
        <v>Y</v>
      </c>
      <c r="AW381" s="99"/>
      <c r="AX381" s="99"/>
      <c r="AY381" s="19"/>
      <c r="AZ381" s="96" t="str">
        <f t="shared" si="92"/>
        <v>NOEC</v>
      </c>
      <c r="BA381" s="96">
        <f>IF(AZ381="n","n",VLOOKUP(AZ381,'Conversion factors'!$C$4:$D$24,2,FALSE))</f>
        <v>1</v>
      </c>
      <c r="BB381" s="96">
        <f t="shared" si="93"/>
        <v>208</v>
      </c>
      <c r="BC381" s="97"/>
      <c r="BD381" s="96" t="str">
        <f t="shared" si="88"/>
        <v>Chronic</v>
      </c>
      <c r="BE381" s="96" t="str">
        <f t="shared" si="94"/>
        <v>y</v>
      </c>
      <c r="BF381" s="98" t="str">
        <f t="shared" si="89"/>
        <v>NOEC</v>
      </c>
      <c r="BG381" s="96" t="str">
        <f>IF(BF381="","",IF(ISNUMBER(VLOOKUP(BF381,'Conversion factors'!$B$35:$C$52,2,FALSE)),"y","n"))</f>
        <v>y</v>
      </c>
      <c r="BH381" s="99" t="s">
        <v>1508</v>
      </c>
    </row>
    <row r="382" spans="1:60" s="103" customFormat="1" ht="15.75" customHeight="1" x14ac:dyDescent="0.2">
      <c r="A382" s="18"/>
      <c r="B382" s="107">
        <v>112</v>
      </c>
      <c r="C382" s="36">
        <v>205568</v>
      </c>
      <c r="D382" s="36">
        <v>5568</v>
      </c>
      <c r="E382" s="93" t="s">
        <v>1324</v>
      </c>
      <c r="F382" s="93">
        <v>1979</v>
      </c>
      <c r="G382" s="19"/>
      <c r="H382" s="19" t="s">
        <v>162</v>
      </c>
      <c r="I382" s="19" t="s">
        <v>41</v>
      </c>
      <c r="J382" s="19" t="s">
        <v>123</v>
      </c>
      <c r="K382" s="19" t="s">
        <v>161</v>
      </c>
      <c r="L382" s="19" t="s">
        <v>82</v>
      </c>
      <c r="M382" s="19" t="s">
        <v>82</v>
      </c>
      <c r="N382" s="19" t="s">
        <v>66</v>
      </c>
      <c r="O382" s="19" t="s">
        <v>173</v>
      </c>
      <c r="P382" s="19" t="s">
        <v>51</v>
      </c>
      <c r="Q382" s="19"/>
      <c r="R382" s="19" t="s">
        <v>156</v>
      </c>
      <c r="S382" s="19" t="s">
        <v>156</v>
      </c>
      <c r="T382" s="19" t="s">
        <v>56</v>
      </c>
      <c r="U382" s="19" t="s">
        <v>44</v>
      </c>
      <c r="V382" s="93">
        <v>21</v>
      </c>
      <c r="W382" s="93" t="s">
        <v>45</v>
      </c>
      <c r="X382" s="19" t="s">
        <v>46</v>
      </c>
      <c r="Y382" s="29"/>
      <c r="Z382" s="93"/>
      <c r="AA382" s="93"/>
      <c r="AB382" s="93">
        <v>340</v>
      </c>
      <c r="AC382" s="19" t="s">
        <v>214</v>
      </c>
      <c r="AD382" s="93"/>
      <c r="AE382" s="19">
        <f t="shared" ref="AE382:AE387" si="107">(12.1 +24.4)/2</f>
        <v>18.25</v>
      </c>
      <c r="AF382" s="19" t="s">
        <v>125</v>
      </c>
      <c r="AG382" s="19"/>
      <c r="AH382" s="19"/>
      <c r="AI382" s="19"/>
      <c r="AJ382" s="19">
        <f t="shared" ref="AJ382:AJ387" si="108">MEDIAN(6.1,7.1)</f>
        <v>6.6</v>
      </c>
      <c r="AK382" s="19" t="s">
        <v>124</v>
      </c>
      <c r="AL382" s="19"/>
      <c r="AM382" s="19"/>
      <c r="AN382" s="19" t="s">
        <v>181</v>
      </c>
      <c r="AO382" s="19"/>
      <c r="AP382" s="94" t="s">
        <v>182</v>
      </c>
      <c r="AQ382" s="19" t="s">
        <v>126</v>
      </c>
      <c r="AR382" s="108" t="s">
        <v>200</v>
      </c>
      <c r="AS382" s="19"/>
      <c r="AT382" s="65" t="str">
        <f t="shared" si="87"/>
        <v>N</v>
      </c>
      <c r="AU382" s="65" t="str">
        <f t="shared" si="91"/>
        <v>N</v>
      </c>
      <c r="AV382" s="65" t="s">
        <v>162</v>
      </c>
      <c r="AW382" s="99" t="s">
        <v>1468</v>
      </c>
      <c r="AX382" s="99"/>
      <c r="AY382" s="93"/>
      <c r="AZ382" s="96" t="str">
        <f t="shared" si="92"/>
        <v>n</v>
      </c>
      <c r="BA382" s="96" t="str">
        <f>IF(AZ382="n","n",VLOOKUP(AZ382,'Conversion factors'!$C$4:$D$24,2,FALSE))</f>
        <v>n</v>
      </c>
      <c r="BB382" s="96" t="str">
        <f t="shared" si="93"/>
        <v>n</v>
      </c>
      <c r="BC382" s="97"/>
      <c r="BD382" s="96" t="str">
        <f t="shared" si="88"/>
        <v>n</v>
      </c>
      <c r="BE382" s="96" t="str">
        <f t="shared" si="94"/>
        <v>n</v>
      </c>
      <c r="BF382" s="98" t="str">
        <f t="shared" si="89"/>
        <v/>
      </c>
      <c r="BG382" s="96" t="str">
        <f>IF(BF382="","",IF(ISNUMBER(VLOOKUP(BF382,'Conversion factors'!$B$35:$C$52,2,FALSE)),"y","n"))</f>
        <v/>
      </c>
      <c r="BH382" s="99"/>
    </row>
    <row r="383" spans="1:60" s="103" customFormat="1" ht="15.75" customHeight="1" x14ac:dyDescent="0.2">
      <c r="A383" s="18"/>
      <c r="B383" s="107">
        <v>112</v>
      </c>
      <c r="C383" s="36">
        <v>205568</v>
      </c>
      <c r="D383" s="36">
        <v>5568</v>
      </c>
      <c r="E383" s="93" t="s">
        <v>1324</v>
      </c>
      <c r="F383" s="93">
        <v>1979</v>
      </c>
      <c r="G383" s="19"/>
      <c r="H383" s="19" t="s">
        <v>162</v>
      </c>
      <c r="I383" s="19" t="s">
        <v>41</v>
      </c>
      <c r="J383" s="19" t="s">
        <v>123</v>
      </c>
      <c r="K383" s="19" t="s">
        <v>161</v>
      </c>
      <c r="L383" s="19" t="s">
        <v>82</v>
      </c>
      <c r="M383" s="19" t="s">
        <v>82</v>
      </c>
      <c r="N383" s="19" t="s">
        <v>66</v>
      </c>
      <c r="O383" s="19" t="s">
        <v>173</v>
      </c>
      <c r="P383" s="19" t="s">
        <v>51</v>
      </c>
      <c r="Q383" s="19"/>
      <c r="R383" s="19" t="s">
        <v>156</v>
      </c>
      <c r="S383" s="19" t="s">
        <v>156</v>
      </c>
      <c r="T383" s="19" t="s">
        <v>56</v>
      </c>
      <c r="U383" s="19" t="s">
        <v>44</v>
      </c>
      <c r="V383" s="93">
        <v>21</v>
      </c>
      <c r="W383" s="93" t="s">
        <v>45</v>
      </c>
      <c r="X383" s="19" t="s">
        <v>46</v>
      </c>
      <c r="Y383" s="29"/>
      <c r="Z383" s="93"/>
      <c r="AA383" s="93"/>
      <c r="AB383" s="93">
        <v>350</v>
      </c>
      <c r="AC383" s="19" t="s">
        <v>214</v>
      </c>
      <c r="AD383" s="93"/>
      <c r="AE383" s="19">
        <f t="shared" si="107"/>
        <v>18.25</v>
      </c>
      <c r="AF383" s="19" t="s">
        <v>125</v>
      </c>
      <c r="AG383" s="19"/>
      <c r="AH383" s="19"/>
      <c r="AI383" s="19"/>
      <c r="AJ383" s="19">
        <f t="shared" si="108"/>
        <v>6.6</v>
      </c>
      <c r="AK383" s="19" t="s">
        <v>124</v>
      </c>
      <c r="AL383" s="19"/>
      <c r="AM383" s="19" t="s">
        <v>48</v>
      </c>
      <c r="AN383" s="19" t="s">
        <v>181</v>
      </c>
      <c r="AO383" s="19"/>
      <c r="AP383" s="94" t="s">
        <v>182</v>
      </c>
      <c r="AQ383" s="19" t="s">
        <v>126</v>
      </c>
      <c r="AR383" s="108" t="s">
        <v>200</v>
      </c>
      <c r="AS383" s="19"/>
      <c r="AT383" s="65" t="str">
        <f t="shared" si="87"/>
        <v>N</v>
      </c>
      <c r="AU383" s="65" t="str">
        <f t="shared" si="91"/>
        <v>N</v>
      </c>
      <c r="AV383" s="65" t="s">
        <v>162</v>
      </c>
      <c r="AW383" s="99" t="s">
        <v>1468</v>
      </c>
      <c r="AX383" s="99"/>
      <c r="AY383" s="93"/>
      <c r="AZ383" s="96" t="str">
        <f t="shared" si="92"/>
        <v>n</v>
      </c>
      <c r="BA383" s="96" t="str">
        <f>IF(AZ383="n","n",VLOOKUP(AZ383,'Conversion factors'!$C$4:$D$24,2,FALSE))</f>
        <v>n</v>
      </c>
      <c r="BB383" s="96" t="str">
        <f t="shared" si="93"/>
        <v>n</v>
      </c>
      <c r="BC383" s="97"/>
      <c r="BD383" s="96" t="str">
        <f t="shared" si="88"/>
        <v>n</v>
      </c>
      <c r="BE383" s="96" t="str">
        <f t="shared" si="94"/>
        <v>n</v>
      </c>
      <c r="BF383" s="98" t="str">
        <f t="shared" si="89"/>
        <v/>
      </c>
      <c r="BG383" s="96" t="str">
        <f>IF(BF383="","",IF(ISNUMBER(VLOOKUP(BF383,'Conversion factors'!$B$35:$C$52,2,FALSE)),"y","n"))</f>
        <v/>
      </c>
      <c r="BH383" s="99"/>
    </row>
    <row r="384" spans="1:60" s="103" customFormat="1" ht="15.75" customHeight="1" x14ac:dyDescent="0.2">
      <c r="A384" s="18"/>
      <c r="B384" s="107">
        <v>112</v>
      </c>
      <c r="C384" s="36">
        <v>205568</v>
      </c>
      <c r="D384" s="36">
        <v>5568</v>
      </c>
      <c r="E384" s="93" t="s">
        <v>1324</v>
      </c>
      <c r="F384" s="93">
        <v>1979</v>
      </c>
      <c r="G384" s="19"/>
      <c r="H384" s="19" t="s">
        <v>162</v>
      </c>
      <c r="I384" s="19" t="s">
        <v>41</v>
      </c>
      <c r="J384" s="19" t="s">
        <v>123</v>
      </c>
      <c r="K384" s="19" t="s">
        <v>161</v>
      </c>
      <c r="L384" s="19" t="s">
        <v>82</v>
      </c>
      <c r="M384" s="19" t="s">
        <v>82</v>
      </c>
      <c r="N384" s="19" t="s">
        <v>66</v>
      </c>
      <c r="O384" s="19" t="s">
        <v>173</v>
      </c>
      <c r="P384" s="19" t="s">
        <v>51</v>
      </c>
      <c r="Q384" s="19"/>
      <c r="R384" s="19" t="s">
        <v>156</v>
      </c>
      <c r="S384" s="19" t="s">
        <v>156</v>
      </c>
      <c r="T384" s="19" t="s">
        <v>56</v>
      </c>
      <c r="U384" s="19" t="s">
        <v>44</v>
      </c>
      <c r="V384" s="93">
        <v>21</v>
      </c>
      <c r="W384" s="93" t="s">
        <v>45</v>
      </c>
      <c r="X384" s="19" t="s">
        <v>46</v>
      </c>
      <c r="Y384" s="29"/>
      <c r="Z384" s="93"/>
      <c r="AA384" s="93"/>
      <c r="AB384" s="93">
        <v>510</v>
      </c>
      <c r="AC384" s="19" t="s">
        <v>214</v>
      </c>
      <c r="AD384" s="93"/>
      <c r="AE384" s="19">
        <f t="shared" si="107"/>
        <v>18.25</v>
      </c>
      <c r="AF384" s="19" t="s">
        <v>125</v>
      </c>
      <c r="AG384" s="19"/>
      <c r="AH384" s="19"/>
      <c r="AI384" s="19"/>
      <c r="AJ384" s="19">
        <f t="shared" si="108"/>
        <v>6.6</v>
      </c>
      <c r="AK384" s="19" t="s">
        <v>124</v>
      </c>
      <c r="AL384" s="19"/>
      <c r="AM384" s="19" t="s">
        <v>48</v>
      </c>
      <c r="AN384" s="19" t="s">
        <v>181</v>
      </c>
      <c r="AO384" s="19"/>
      <c r="AP384" s="94" t="s">
        <v>182</v>
      </c>
      <c r="AQ384" s="19" t="s">
        <v>126</v>
      </c>
      <c r="AR384" s="108" t="s">
        <v>200</v>
      </c>
      <c r="AS384" s="19"/>
      <c r="AT384" s="65" t="str">
        <f t="shared" si="87"/>
        <v>N</v>
      </c>
      <c r="AU384" s="65" t="str">
        <f t="shared" si="91"/>
        <v>N</v>
      </c>
      <c r="AV384" s="65" t="s">
        <v>162</v>
      </c>
      <c r="AW384" s="99" t="s">
        <v>1468</v>
      </c>
      <c r="AX384" s="99"/>
      <c r="AY384" s="93"/>
      <c r="AZ384" s="96" t="str">
        <f t="shared" si="92"/>
        <v>n</v>
      </c>
      <c r="BA384" s="96" t="str">
        <f>IF(AZ384="n","n",VLOOKUP(AZ384,'Conversion factors'!$C$4:$D$24,2,FALSE))</f>
        <v>n</v>
      </c>
      <c r="BB384" s="96" t="str">
        <f t="shared" si="93"/>
        <v>n</v>
      </c>
      <c r="BC384" s="97"/>
      <c r="BD384" s="96" t="str">
        <f t="shared" si="88"/>
        <v>n</v>
      </c>
      <c r="BE384" s="96" t="str">
        <f t="shared" si="94"/>
        <v>n</v>
      </c>
      <c r="BF384" s="98" t="str">
        <f t="shared" si="89"/>
        <v/>
      </c>
      <c r="BG384" s="96" t="str">
        <f>IF(BF384="","",IF(ISNUMBER(VLOOKUP(BF384,'Conversion factors'!$B$35:$C$52,2,FALSE)),"y","n"))</f>
        <v/>
      </c>
      <c r="BH384" s="99"/>
    </row>
    <row r="385" spans="1:60" s="103" customFormat="1" ht="15.75" customHeight="1" x14ac:dyDescent="0.2">
      <c r="A385" s="18"/>
      <c r="B385" s="107">
        <v>112</v>
      </c>
      <c r="C385" s="36">
        <v>205568</v>
      </c>
      <c r="D385" s="36">
        <v>5568</v>
      </c>
      <c r="E385" s="93" t="s">
        <v>1324</v>
      </c>
      <c r="F385" s="93">
        <v>1979</v>
      </c>
      <c r="G385" s="19"/>
      <c r="H385" s="19" t="s">
        <v>162</v>
      </c>
      <c r="I385" s="19" t="s">
        <v>41</v>
      </c>
      <c r="J385" s="19" t="s">
        <v>123</v>
      </c>
      <c r="K385" s="19" t="s">
        <v>161</v>
      </c>
      <c r="L385" s="19" t="s">
        <v>82</v>
      </c>
      <c r="M385" s="19" t="s">
        <v>82</v>
      </c>
      <c r="N385" s="19" t="s">
        <v>66</v>
      </c>
      <c r="O385" s="19" t="s">
        <v>173</v>
      </c>
      <c r="P385" s="19" t="s">
        <v>51</v>
      </c>
      <c r="Q385" s="19"/>
      <c r="R385" s="19" t="s">
        <v>156</v>
      </c>
      <c r="S385" s="19" t="s">
        <v>156</v>
      </c>
      <c r="T385" s="19" t="s">
        <v>56</v>
      </c>
      <c r="U385" s="19" t="s">
        <v>44</v>
      </c>
      <c r="V385" s="93">
        <v>21</v>
      </c>
      <c r="W385" s="93" t="s">
        <v>45</v>
      </c>
      <c r="X385" s="19" t="s">
        <v>46</v>
      </c>
      <c r="Y385" s="29"/>
      <c r="Z385" s="93"/>
      <c r="AA385" s="93"/>
      <c r="AB385" s="93">
        <v>1450</v>
      </c>
      <c r="AC385" s="19" t="s">
        <v>214</v>
      </c>
      <c r="AD385" s="93"/>
      <c r="AE385" s="19">
        <f t="shared" si="107"/>
        <v>18.25</v>
      </c>
      <c r="AF385" s="19" t="s">
        <v>125</v>
      </c>
      <c r="AG385" s="19"/>
      <c r="AH385" s="19"/>
      <c r="AI385" s="19"/>
      <c r="AJ385" s="19">
        <f t="shared" si="108"/>
        <v>6.6</v>
      </c>
      <c r="AK385" s="19" t="s">
        <v>124</v>
      </c>
      <c r="AL385" s="19"/>
      <c r="AM385" s="19" t="s">
        <v>48</v>
      </c>
      <c r="AN385" s="19" t="s">
        <v>181</v>
      </c>
      <c r="AO385" s="19"/>
      <c r="AP385" s="94" t="s">
        <v>182</v>
      </c>
      <c r="AQ385" s="19" t="s">
        <v>126</v>
      </c>
      <c r="AR385" s="108" t="s">
        <v>200</v>
      </c>
      <c r="AS385" s="19"/>
      <c r="AT385" s="65" t="str">
        <f t="shared" si="87"/>
        <v>N</v>
      </c>
      <c r="AU385" s="65" t="str">
        <f t="shared" si="91"/>
        <v>N</v>
      </c>
      <c r="AV385" s="65" t="s">
        <v>162</v>
      </c>
      <c r="AW385" s="99" t="s">
        <v>1468</v>
      </c>
      <c r="AX385" s="99"/>
      <c r="AY385" s="93"/>
      <c r="AZ385" s="96" t="str">
        <f t="shared" si="92"/>
        <v>n</v>
      </c>
      <c r="BA385" s="96" t="str">
        <f>IF(AZ385="n","n",VLOOKUP(AZ385,'Conversion factors'!$C$4:$D$24,2,FALSE))</f>
        <v>n</v>
      </c>
      <c r="BB385" s="96" t="str">
        <f t="shared" si="93"/>
        <v>n</v>
      </c>
      <c r="BC385" s="97"/>
      <c r="BD385" s="96" t="str">
        <f t="shared" si="88"/>
        <v>n</v>
      </c>
      <c r="BE385" s="96" t="str">
        <f t="shared" si="94"/>
        <v>n</v>
      </c>
      <c r="BF385" s="98" t="str">
        <f t="shared" si="89"/>
        <v/>
      </c>
      <c r="BG385" s="96" t="str">
        <f>IF(BF385="","",IF(ISNUMBER(VLOOKUP(BF385,'Conversion factors'!$B$35:$C$52,2,FALSE)),"y","n"))</f>
        <v/>
      </c>
      <c r="BH385" s="99"/>
    </row>
    <row r="386" spans="1:60" s="103" customFormat="1" ht="15.75" customHeight="1" x14ac:dyDescent="0.2">
      <c r="A386" s="18"/>
      <c r="B386" s="107">
        <v>112</v>
      </c>
      <c r="C386" s="36">
        <v>205568</v>
      </c>
      <c r="D386" s="36">
        <v>5568</v>
      </c>
      <c r="E386" s="93" t="s">
        <v>1324</v>
      </c>
      <c r="F386" s="93">
        <v>1979</v>
      </c>
      <c r="G386" s="19"/>
      <c r="H386" s="19" t="s">
        <v>162</v>
      </c>
      <c r="I386" s="19" t="s">
        <v>41</v>
      </c>
      <c r="J386" s="19" t="s">
        <v>123</v>
      </c>
      <c r="K386" s="19" t="s">
        <v>161</v>
      </c>
      <c r="L386" s="19" t="s">
        <v>82</v>
      </c>
      <c r="M386" s="19" t="s">
        <v>82</v>
      </c>
      <c r="N386" s="19" t="s">
        <v>66</v>
      </c>
      <c r="O386" s="19" t="s">
        <v>173</v>
      </c>
      <c r="P386" s="19" t="s">
        <v>51</v>
      </c>
      <c r="Q386" s="19"/>
      <c r="R386" s="19" t="s">
        <v>156</v>
      </c>
      <c r="S386" s="19" t="s">
        <v>156</v>
      </c>
      <c r="T386" s="19" t="s">
        <v>56</v>
      </c>
      <c r="U386" s="19" t="s">
        <v>44</v>
      </c>
      <c r="V386" s="93">
        <v>21</v>
      </c>
      <c r="W386" s="93" t="s">
        <v>45</v>
      </c>
      <c r="X386" s="19" t="s">
        <v>46</v>
      </c>
      <c r="Y386" s="29"/>
      <c r="Z386" s="93"/>
      <c r="AA386" s="93"/>
      <c r="AB386" s="93">
        <v>1460</v>
      </c>
      <c r="AC386" s="19" t="s">
        <v>214</v>
      </c>
      <c r="AD386" s="93"/>
      <c r="AE386" s="19">
        <f t="shared" si="107"/>
        <v>18.25</v>
      </c>
      <c r="AF386" s="19" t="s">
        <v>125</v>
      </c>
      <c r="AG386" s="19"/>
      <c r="AH386" s="19"/>
      <c r="AI386" s="19"/>
      <c r="AJ386" s="19">
        <f t="shared" si="108"/>
        <v>6.6</v>
      </c>
      <c r="AK386" s="19" t="s">
        <v>124</v>
      </c>
      <c r="AL386" s="19"/>
      <c r="AM386" s="19" t="s">
        <v>48</v>
      </c>
      <c r="AN386" s="19" t="s">
        <v>181</v>
      </c>
      <c r="AO386" s="19"/>
      <c r="AP386" s="94" t="s">
        <v>182</v>
      </c>
      <c r="AQ386" s="19" t="s">
        <v>126</v>
      </c>
      <c r="AR386" s="108" t="s">
        <v>200</v>
      </c>
      <c r="AS386" s="19"/>
      <c r="AT386" s="65" t="str">
        <f t="shared" si="87"/>
        <v>N</v>
      </c>
      <c r="AU386" s="65" t="str">
        <f t="shared" si="91"/>
        <v>N</v>
      </c>
      <c r="AV386" s="65" t="s">
        <v>162</v>
      </c>
      <c r="AW386" s="99" t="s">
        <v>1468</v>
      </c>
      <c r="AX386" s="99"/>
      <c r="AY386" s="93"/>
      <c r="AZ386" s="96" t="str">
        <f t="shared" si="92"/>
        <v>n</v>
      </c>
      <c r="BA386" s="96" t="str">
        <f>IF(AZ386="n","n",VLOOKUP(AZ386,'Conversion factors'!$C$4:$D$24,2,FALSE))</f>
        <v>n</v>
      </c>
      <c r="BB386" s="96" t="str">
        <f t="shared" si="93"/>
        <v>n</v>
      </c>
      <c r="BC386" s="97"/>
      <c r="BD386" s="96" t="str">
        <f t="shared" si="88"/>
        <v>n</v>
      </c>
      <c r="BE386" s="96" t="str">
        <f t="shared" si="94"/>
        <v>n</v>
      </c>
      <c r="BF386" s="98" t="str">
        <f t="shared" si="89"/>
        <v/>
      </c>
      <c r="BG386" s="96" t="str">
        <f>IF(BF386="","",IF(ISNUMBER(VLOOKUP(BF386,'Conversion factors'!$B$35:$C$52,2,FALSE)),"y","n"))</f>
        <v/>
      </c>
      <c r="BH386" s="99"/>
    </row>
    <row r="387" spans="1:60" s="103" customFormat="1" ht="15.75" customHeight="1" x14ac:dyDescent="0.2">
      <c r="A387" s="18"/>
      <c r="B387" s="107">
        <v>112</v>
      </c>
      <c r="C387" s="36">
        <v>205568</v>
      </c>
      <c r="D387" s="36">
        <v>5568</v>
      </c>
      <c r="E387" s="93" t="s">
        <v>1324</v>
      </c>
      <c r="F387" s="93">
        <v>1979</v>
      </c>
      <c r="G387" s="19"/>
      <c r="H387" s="19" t="s">
        <v>162</v>
      </c>
      <c r="I387" s="19" t="s">
        <v>41</v>
      </c>
      <c r="J387" s="19" t="s">
        <v>123</v>
      </c>
      <c r="K387" s="19" t="s">
        <v>161</v>
      </c>
      <c r="L387" s="19" t="s">
        <v>82</v>
      </c>
      <c r="M387" s="19" t="s">
        <v>82</v>
      </c>
      <c r="N387" s="19" t="s">
        <v>66</v>
      </c>
      <c r="O387" s="19" t="s">
        <v>173</v>
      </c>
      <c r="P387" s="19" t="s">
        <v>51</v>
      </c>
      <c r="Q387" s="19"/>
      <c r="R387" s="19" t="s">
        <v>156</v>
      </c>
      <c r="S387" s="19" t="s">
        <v>156</v>
      </c>
      <c r="T387" s="19" t="s">
        <v>56</v>
      </c>
      <c r="U387" s="19" t="s">
        <v>44</v>
      </c>
      <c r="V387" s="93">
        <v>21</v>
      </c>
      <c r="W387" s="93" t="s">
        <v>45</v>
      </c>
      <c r="X387" s="19" t="s">
        <v>46</v>
      </c>
      <c r="Y387" s="29"/>
      <c r="Z387" s="93"/>
      <c r="AA387" s="93"/>
      <c r="AB387" s="93">
        <v>1600</v>
      </c>
      <c r="AC387" s="19" t="s">
        <v>214</v>
      </c>
      <c r="AD387" s="93"/>
      <c r="AE387" s="19">
        <f t="shared" si="107"/>
        <v>18.25</v>
      </c>
      <c r="AF387" s="19" t="s">
        <v>125</v>
      </c>
      <c r="AG387" s="19"/>
      <c r="AH387" s="19"/>
      <c r="AI387" s="19"/>
      <c r="AJ387" s="19">
        <f t="shared" si="108"/>
        <v>6.6</v>
      </c>
      <c r="AK387" s="19" t="s">
        <v>124</v>
      </c>
      <c r="AL387" s="19"/>
      <c r="AM387" s="19" t="s">
        <v>48</v>
      </c>
      <c r="AN387" s="19" t="s">
        <v>181</v>
      </c>
      <c r="AO387" s="19"/>
      <c r="AP387" s="94" t="s">
        <v>182</v>
      </c>
      <c r="AQ387" s="19" t="s">
        <v>126</v>
      </c>
      <c r="AR387" s="108" t="s">
        <v>200</v>
      </c>
      <c r="AS387" s="19"/>
      <c r="AT387" s="65" t="str">
        <f t="shared" si="87"/>
        <v>N</v>
      </c>
      <c r="AU387" s="65" t="str">
        <f t="shared" si="91"/>
        <v>N</v>
      </c>
      <c r="AV387" s="65" t="s">
        <v>162</v>
      </c>
      <c r="AW387" s="99" t="s">
        <v>1468</v>
      </c>
      <c r="AX387" s="99"/>
      <c r="AY387" s="93"/>
      <c r="AZ387" s="96" t="str">
        <f t="shared" si="92"/>
        <v>n</v>
      </c>
      <c r="BA387" s="96" t="str">
        <f>IF(AZ387="n","n",VLOOKUP(AZ387,'Conversion factors'!$C$4:$D$24,2,FALSE))</f>
        <v>n</v>
      </c>
      <c r="BB387" s="96" t="str">
        <f t="shared" si="93"/>
        <v>n</v>
      </c>
      <c r="BC387" s="97"/>
      <c r="BD387" s="96" t="str">
        <f t="shared" si="88"/>
        <v>n</v>
      </c>
      <c r="BE387" s="96" t="str">
        <f t="shared" si="94"/>
        <v>n</v>
      </c>
      <c r="BF387" s="98" t="str">
        <f t="shared" si="89"/>
        <v/>
      </c>
      <c r="BG387" s="96" t="str">
        <f>IF(BF387="","",IF(ISNUMBER(VLOOKUP(BF387,'Conversion factors'!$B$35:$C$52,2,FALSE)),"y","n"))</f>
        <v/>
      </c>
      <c r="BH387" s="99"/>
    </row>
    <row r="388" spans="1:60" s="103" customFormat="1" ht="15.75" customHeight="1" x14ac:dyDescent="0.2">
      <c r="A388" s="18"/>
      <c r="B388" s="19">
        <v>248</v>
      </c>
      <c r="C388" s="19"/>
      <c r="D388" s="19">
        <v>82986</v>
      </c>
      <c r="E388" s="19" t="s">
        <v>1224</v>
      </c>
      <c r="F388" s="93">
        <v>1993</v>
      </c>
      <c r="G388" s="19" t="s">
        <v>700</v>
      </c>
      <c r="H388" s="19" t="s">
        <v>51</v>
      </c>
      <c r="I388" s="19" t="s">
        <v>41</v>
      </c>
      <c r="J388" s="19" t="s">
        <v>123</v>
      </c>
      <c r="K388" s="19" t="s">
        <v>161</v>
      </c>
      <c r="L388" s="19" t="s">
        <v>82</v>
      </c>
      <c r="M388" s="19" t="s">
        <v>82</v>
      </c>
      <c r="N388" s="19" t="s">
        <v>66</v>
      </c>
      <c r="O388" s="19" t="s">
        <v>292</v>
      </c>
      <c r="P388" s="19" t="s">
        <v>51</v>
      </c>
      <c r="Q388" s="19"/>
      <c r="R388" s="19" t="s">
        <v>81</v>
      </c>
      <c r="S388" s="19" t="s">
        <v>483</v>
      </c>
      <c r="T388" s="19" t="s">
        <v>465</v>
      </c>
      <c r="U388" s="19" t="s">
        <v>54</v>
      </c>
      <c r="V388" s="19" t="s">
        <v>252</v>
      </c>
      <c r="W388" s="19" t="s">
        <v>231</v>
      </c>
      <c r="X388" s="19" t="s">
        <v>46</v>
      </c>
      <c r="Y388" s="29"/>
      <c r="Z388" s="19"/>
      <c r="AA388" s="19"/>
      <c r="AB388" s="19">
        <v>101000</v>
      </c>
      <c r="AC388" s="19" t="s">
        <v>214</v>
      </c>
      <c r="AD388" s="19"/>
      <c r="AE388" s="19"/>
      <c r="AF388" s="19"/>
      <c r="AG388" s="19" t="s">
        <v>235</v>
      </c>
      <c r="AH388" s="19"/>
      <c r="AI388" s="19"/>
      <c r="AJ388" s="19" t="s">
        <v>234</v>
      </c>
      <c r="AK388" s="19" t="s">
        <v>234</v>
      </c>
      <c r="AL388" s="19"/>
      <c r="AM388" s="19" t="s">
        <v>234</v>
      </c>
      <c r="AN388" s="19" t="s">
        <v>234</v>
      </c>
      <c r="AO388" s="19" t="s">
        <v>235</v>
      </c>
      <c r="AP388" s="94"/>
      <c r="AQ388" s="19" t="s">
        <v>701</v>
      </c>
      <c r="AR388" s="19" t="s">
        <v>241</v>
      </c>
      <c r="AS388" s="19"/>
      <c r="AT388" s="65" t="str">
        <f t="shared" ref="AT388:AT451" si="109">IF(F388&lt;1980,"N",IF(AC388="M","Y",IF(AC388="SM","Y","N")))</f>
        <v>Y</v>
      </c>
      <c r="AU388" s="65" t="str">
        <f t="shared" si="91"/>
        <v>N</v>
      </c>
      <c r="AV388" s="65" t="str">
        <f t="shared" ref="AV388:AV398" si="110">AU388</f>
        <v>N</v>
      </c>
      <c r="AW388" s="99"/>
      <c r="AX388" s="99"/>
      <c r="AY388" s="19"/>
      <c r="AZ388" s="96" t="str">
        <f t="shared" si="92"/>
        <v>n</v>
      </c>
      <c r="BA388" s="96" t="str">
        <f>IF(AZ388="n","n",VLOOKUP(AZ388,'Conversion factors'!$C$4:$D$24,2,FALSE))</f>
        <v>n</v>
      </c>
      <c r="BB388" s="96" t="str">
        <f t="shared" si="93"/>
        <v>n</v>
      </c>
      <c r="BC388" s="97"/>
      <c r="BD388" s="96" t="str">
        <f t="shared" ref="BD388:BD451" si="111">IF(AV388="N","n",X388)</f>
        <v>n</v>
      </c>
      <c r="BE388" s="96" t="str">
        <f t="shared" si="94"/>
        <v>n</v>
      </c>
      <c r="BF388" s="98" t="str">
        <f t="shared" si="89"/>
        <v/>
      </c>
      <c r="BG388" s="96" t="str">
        <f>IF(BF388="","",IF(ISNUMBER(VLOOKUP(BF388,'Conversion factors'!$B$35:$C$52,2,FALSE)),"y","n"))</f>
        <v/>
      </c>
      <c r="BH388" s="99" t="s">
        <v>1507</v>
      </c>
    </row>
    <row r="389" spans="1:60" s="103" customFormat="1" ht="15.75" customHeight="1" x14ac:dyDescent="0.2">
      <c r="A389" s="18"/>
      <c r="B389" s="19">
        <v>248</v>
      </c>
      <c r="C389" s="19"/>
      <c r="D389" s="19">
        <v>82986</v>
      </c>
      <c r="E389" s="19" t="s">
        <v>1224</v>
      </c>
      <c r="F389" s="93">
        <v>1993</v>
      </c>
      <c r="G389" s="19" t="s">
        <v>700</v>
      </c>
      <c r="H389" s="19" t="s">
        <v>51</v>
      </c>
      <c r="I389" s="19" t="s">
        <v>41</v>
      </c>
      <c r="J389" s="19" t="s">
        <v>123</v>
      </c>
      <c r="K389" s="19" t="s">
        <v>161</v>
      </c>
      <c r="L389" s="19" t="s">
        <v>82</v>
      </c>
      <c r="M389" s="19" t="s">
        <v>82</v>
      </c>
      <c r="N389" s="19" t="s">
        <v>66</v>
      </c>
      <c r="O389" s="19" t="s">
        <v>292</v>
      </c>
      <c r="P389" s="19" t="s">
        <v>51</v>
      </c>
      <c r="Q389" s="19"/>
      <c r="R389" s="19" t="s">
        <v>81</v>
      </c>
      <c r="S389" s="19" t="s">
        <v>483</v>
      </c>
      <c r="T389" s="19" t="s">
        <v>465</v>
      </c>
      <c r="U389" s="19" t="s">
        <v>54</v>
      </c>
      <c r="V389" s="19" t="s">
        <v>600</v>
      </c>
      <c r="W389" s="19" t="s">
        <v>231</v>
      </c>
      <c r="X389" s="19" t="s">
        <v>46</v>
      </c>
      <c r="Y389" s="29"/>
      <c r="Z389" s="19"/>
      <c r="AA389" s="19"/>
      <c r="AB389" s="19">
        <v>101000</v>
      </c>
      <c r="AC389" s="19" t="s">
        <v>214</v>
      </c>
      <c r="AD389" s="19"/>
      <c r="AE389" s="19"/>
      <c r="AF389" s="19"/>
      <c r="AG389" s="19" t="s">
        <v>235</v>
      </c>
      <c r="AH389" s="19"/>
      <c r="AI389" s="19"/>
      <c r="AJ389" s="19" t="s">
        <v>234</v>
      </c>
      <c r="AK389" s="19" t="s">
        <v>234</v>
      </c>
      <c r="AL389" s="19"/>
      <c r="AM389" s="19" t="s">
        <v>234</v>
      </c>
      <c r="AN389" s="19" t="s">
        <v>234</v>
      </c>
      <c r="AO389" s="19" t="s">
        <v>235</v>
      </c>
      <c r="AP389" s="94"/>
      <c r="AQ389" s="19" t="s">
        <v>701</v>
      </c>
      <c r="AR389" s="19" t="s">
        <v>241</v>
      </c>
      <c r="AS389" s="19"/>
      <c r="AT389" s="65" t="str">
        <f t="shared" si="109"/>
        <v>Y</v>
      </c>
      <c r="AU389" s="65" t="str">
        <f t="shared" si="91"/>
        <v>N</v>
      </c>
      <c r="AV389" s="65" t="str">
        <f t="shared" si="110"/>
        <v>N</v>
      </c>
      <c r="AW389" s="99"/>
      <c r="AX389" s="99"/>
      <c r="AY389" s="19"/>
      <c r="AZ389" s="96" t="str">
        <f t="shared" si="92"/>
        <v>n</v>
      </c>
      <c r="BA389" s="96" t="str">
        <f>IF(AZ389="n","n",VLOOKUP(AZ389,'Conversion factors'!$C$4:$D$24,2,FALSE))</f>
        <v>n</v>
      </c>
      <c r="BB389" s="96" t="str">
        <f t="shared" si="93"/>
        <v>n</v>
      </c>
      <c r="BC389" s="97"/>
      <c r="BD389" s="96" t="str">
        <f t="shared" si="111"/>
        <v>n</v>
      </c>
      <c r="BE389" s="96" t="str">
        <f t="shared" si="94"/>
        <v>n</v>
      </c>
      <c r="BF389" s="98" t="str">
        <f t="shared" ref="BF389:BF452" si="112">IF(BE389="n","",AZ389)</f>
        <v/>
      </c>
      <c r="BG389" s="96" t="str">
        <f>IF(BF389="","",IF(ISNUMBER(VLOOKUP(BF389,'Conversion factors'!$B$35:$C$52,2,FALSE)),"y","n"))</f>
        <v/>
      </c>
      <c r="BH389" s="99" t="s">
        <v>1507</v>
      </c>
    </row>
    <row r="390" spans="1:60" s="103" customFormat="1" ht="15.75" customHeight="1" x14ac:dyDescent="0.2">
      <c r="A390" s="18"/>
      <c r="B390" s="19">
        <v>267</v>
      </c>
      <c r="C390" s="19"/>
      <c r="D390" s="19">
        <v>90601</v>
      </c>
      <c r="E390" s="19" t="s">
        <v>1224</v>
      </c>
      <c r="F390" s="93">
        <v>1994</v>
      </c>
      <c r="G390" s="19" t="s">
        <v>903</v>
      </c>
      <c r="H390" s="19" t="s">
        <v>51</v>
      </c>
      <c r="I390" s="19" t="s">
        <v>41</v>
      </c>
      <c r="J390" s="19" t="s">
        <v>904</v>
      </c>
      <c r="K390" s="19" t="s">
        <v>161</v>
      </c>
      <c r="L390" s="19" t="s">
        <v>82</v>
      </c>
      <c r="M390" s="19" t="s">
        <v>82</v>
      </c>
      <c r="N390" s="19" t="s">
        <v>66</v>
      </c>
      <c r="O390" s="19" t="s">
        <v>899</v>
      </c>
      <c r="P390" s="19" t="s">
        <v>51</v>
      </c>
      <c r="Q390" s="19"/>
      <c r="R390" s="19" t="s">
        <v>237</v>
      </c>
      <c r="S390" s="19" t="s">
        <v>79</v>
      </c>
      <c r="T390" s="19" t="s">
        <v>55</v>
      </c>
      <c r="U390" s="19" t="s">
        <v>55</v>
      </c>
      <c r="V390" s="19" t="s">
        <v>1007</v>
      </c>
      <c r="W390" s="19" t="s">
        <v>231</v>
      </c>
      <c r="X390" s="19" t="s">
        <v>46</v>
      </c>
      <c r="Y390" s="29"/>
      <c r="Z390" s="19"/>
      <c r="AA390" s="19"/>
      <c r="AB390" s="19" t="s">
        <v>905</v>
      </c>
      <c r="AC390" s="19" t="s">
        <v>1322</v>
      </c>
      <c r="AD390" s="19"/>
      <c r="AE390" s="19">
        <v>37.6</v>
      </c>
      <c r="AF390" s="19">
        <v>37.6</v>
      </c>
      <c r="AG390" s="19" t="s">
        <v>216</v>
      </c>
      <c r="AH390" s="19"/>
      <c r="AI390" s="19"/>
      <c r="AJ390" s="19">
        <v>7.21</v>
      </c>
      <c r="AK390" s="19" t="s">
        <v>906</v>
      </c>
      <c r="AL390" s="19"/>
      <c r="AM390" s="19" t="s">
        <v>234</v>
      </c>
      <c r="AN390" s="19" t="s">
        <v>145</v>
      </c>
      <c r="AO390" s="19" t="s">
        <v>216</v>
      </c>
      <c r="AP390" s="94"/>
      <c r="AQ390" s="19" t="s">
        <v>907</v>
      </c>
      <c r="AR390" s="19" t="s">
        <v>908</v>
      </c>
      <c r="AS390" s="19"/>
      <c r="AT390" s="65" t="str">
        <f t="shared" si="109"/>
        <v>N</v>
      </c>
      <c r="AU390" s="65" t="str">
        <f t="shared" si="91"/>
        <v>N</v>
      </c>
      <c r="AV390" s="65" t="str">
        <f t="shared" si="110"/>
        <v>N</v>
      </c>
      <c r="AW390" s="99"/>
      <c r="AX390" s="99"/>
      <c r="AY390" s="19"/>
      <c r="AZ390" s="96" t="str">
        <f t="shared" si="92"/>
        <v>n</v>
      </c>
      <c r="BA390" s="96" t="str">
        <f>IF(AZ390="n","n",VLOOKUP(AZ390,'Conversion factors'!$C$4:$D$24,2,FALSE))</f>
        <v>n</v>
      </c>
      <c r="BB390" s="96" t="str">
        <f t="shared" si="93"/>
        <v>n</v>
      </c>
      <c r="BC390" s="97"/>
      <c r="BD390" s="96" t="str">
        <f t="shared" si="111"/>
        <v>n</v>
      </c>
      <c r="BE390" s="96" t="str">
        <f t="shared" si="94"/>
        <v>n</v>
      </c>
      <c r="BF390" s="98" t="str">
        <f t="shared" si="112"/>
        <v/>
      </c>
      <c r="BG390" s="96" t="str">
        <f>IF(BF390="","",IF(ISNUMBER(VLOOKUP(BF390,'Conversion factors'!$B$35:$C$52,2,FALSE)),"y","n"))</f>
        <v/>
      </c>
      <c r="BH390" s="99" t="s">
        <v>1464</v>
      </c>
    </row>
    <row r="391" spans="1:60" s="103" customFormat="1" ht="15.75" customHeight="1" x14ac:dyDescent="0.2">
      <c r="A391" s="18"/>
      <c r="B391" s="19">
        <v>267</v>
      </c>
      <c r="C391" s="19"/>
      <c r="D391" s="19">
        <v>90601</v>
      </c>
      <c r="E391" s="19" t="s">
        <v>1224</v>
      </c>
      <c r="F391" s="93">
        <v>1994</v>
      </c>
      <c r="G391" s="19" t="s">
        <v>903</v>
      </c>
      <c r="H391" s="19" t="s">
        <v>51</v>
      </c>
      <c r="I391" s="19" t="s">
        <v>41</v>
      </c>
      <c r="J391" s="19" t="s">
        <v>904</v>
      </c>
      <c r="K391" s="19" t="s">
        <v>161</v>
      </c>
      <c r="L391" s="19" t="s">
        <v>82</v>
      </c>
      <c r="M391" s="19" t="s">
        <v>82</v>
      </c>
      <c r="N391" s="19" t="s">
        <v>66</v>
      </c>
      <c r="O391" s="19" t="s">
        <v>899</v>
      </c>
      <c r="P391" s="19" t="s">
        <v>51</v>
      </c>
      <c r="Q391" s="19"/>
      <c r="R391" s="19" t="s">
        <v>237</v>
      </c>
      <c r="S391" s="19" t="s">
        <v>79</v>
      </c>
      <c r="T391" s="19" t="s">
        <v>55</v>
      </c>
      <c r="U391" s="19" t="s">
        <v>55</v>
      </c>
      <c r="V391" s="19" t="s">
        <v>1007</v>
      </c>
      <c r="W391" s="19" t="s">
        <v>231</v>
      </c>
      <c r="X391" s="19" t="s">
        <v>46</v>
      </c>
      <c r="Y391" s="29"/>
      <c r="Z391" s="19"/>
      <c r="AA391" s="19"/>
      <c r="AB391" s="19" t="s">
        <v>905</v>
      </c>
      <c r="AC391" s="19" t="s">
        <v>1322</v>
      </c>
      <c r="AD391" s="19"/>
      <c r="AE391" s="19">
        <v>37.6</v>
      </c>
      <c r="AF391" s="19">
        <v>37.6</v>
      </c>
      <c r="AG391" s="19" t="s">
        <v>216</v>
      </c>
      <c r="AH391" s="19"/>
      <c r="AI391" s="19"/>
      <c r="AJ391" s="19">
        <v>7.21</v>
      </c>
      <c r="AK391" s="19" t="s">
        <v>906</v>
      </c>
      <c r="AL391" s="19"/>
      <c r="AM391" s="19" t="s">
        <v>234</v>
      </c>
      <c r="AN391" s="19" t="s">
        <v>145</v>
      </c>
      <c r="AO391" s="19" t="s">
        <v>216</v>
      </c>
      <c r="AP391" s="94"/>
      <c r="AQ391" s="19" t="s">
        <v>907</v>
      </c>
      <c r="AR391" s="19" t="s">
        <v>908</v>
      </c>
      <c r="AS391" s="19"/>
      <c r="AT391" s="65" t="str">
        <f t="shared" si="109"/>
        <v>N</v>
      </c>
      <c r="AU391" s="65" t="str">
        <f t="shared" si="91"/>
        <v>N</v>
      </c>
      <c r="AV391" s="65" t="str">
        <f t="shared" si="110"/>
        <v>N</v>
      </c>
      <c r="AW391" s="99"/>
      <c r="AX391" s="99"/>
      <c r="AY391" s="19"/>
      <c r="AZ391" s="96" t="str">
        <f t="shared" si="92"/>
        <v>n</v>
      </c>
      <c r="BA391" s="96" t="str">
        <f>IF(AZ391="n","n",VLOOKUP(AZ391,'Conversion factors'!$C$4:$D$24,2,FALSE))</f>
        <v>n</v>
      </c>
      <c r="BB391" s="96" t="str">
        <f t="shared" si="93"/>
        <v>n</v>
      </c>
      <c r="BC391" s="97"/>
      <c r="BD391" s="96" t="str">
        <f t="shared" si="111"/>
        <v>n</v>
      </c>
      <c r="BE391" s="96" t="str">
        <f t="shared" si="94"/>
        <v>n</v>
      </c>
      <c r="BF391" s="98" t="str">
        <f t="shared" si="112"/>
        <v/>
      </c>
      <c r="BG391" s="96" t="str">
        <f>IF(BF391="","",IF(ISNUMBER(VLOOKUP(BF391,'Conversion factors'!$B$35:$C$52,2,FALSE)),"y","n"))</f>
        <v/>
      </c>
      <c r="BH391" s="99" t="s">
        <v>1464</v>
      </c>
    </row>
    <row r="392" spans="1:60" s="103" customFormat="1" ht="15.75" customHeight="1" x14ac:dyDescent="0.2">
      <c r="A392" s="18"/>
      <c r="B392" s="19">
        <v>267</v>
      </c>
      <c r="C392" s="19"/>
      <c r="D392" s="19">
        <v>90601</v>
      </c>
      <c r="E392" s="19" t="s">
        <v>1224</v>
      </c>
      <c r="F392" s="93">
        <v>1994</v>
      </c>
      <c r="G392" s="19" t="s">
        <v>903</v>
      </c>
      <c r="H392" s="19" t="s">
        <v>51</v>
      </c>
      <c r="I392" s="19" t="s">
        <v>41</v>
      </c>
      <c r="J392" s="19" t="s">
        <v>904</v>
      </c>
      <c r="K392" s="19" t="s">
        <v>161</v>
      </c>
      <c r="L392" s="19" t="s">
        <v>82</v>
      </c>
      <c r="M392" s="19" t="s">
        <v>82</v>
      </c>
      <c r="N392" s="19" t="s">
        <v>66</v>
      </c>
      <c r="O392" s="19" t="s">
        <v>909</v>
      </c>
      <c r="P392" s="19" t="s">
        <v>51</v>
      </c>
      <c r="Q392" s="19"/>
      <c r="R392" s="19" t="s">
        <v>237</v>
      </c>
      <c r="S392" s="19" t="s">
        <v>79</v>
      </c>
      <c r="T392" s="19" t="s">
        <v>55</v>
      </c>
      <c r="U392" s="19" t="s">
        <v>55</v>
      </c>
      <c r="V392" s="19" t="s">
        <v>1007</v>
      </c>
      <c r="W392" s="19" t="s">
        <v>231</v>
      </c>
      <c r="X392" s="19" t="s">
        <v>46</v>
      </c>
      <c r="Y392" s="29"/>
      <c r="Z392" s="19"/>
      <c r="AA392" s="19"/>
      <c r="AB392" s="19" t="s">
        <v>905</v>
      </c>
      <c r="AC392" s="19" t="s">
        <v>1322</v>
      </c>
      <c r="AD392" s="19"/>
      <c r="AE392" s="19">
        <v>37.6</v>
      </c>
      <c r="AF392" s="19">
        <v>37.6</v>
      </c>
      <c r="AG392" s="19" t="s">
        <v>216</v>
      </c>
      <c r="AH392" s="19"/>
      <c r="AI392" s="19"/>
      <c r="AJ392" s="19">
        <v>7.21</v>
      </c>
      <c r="AK392" s="19" t="s">
        <v>906</v>
      </c>
      <c r="AL392" s="19"/>
      <c r="AM392" s="19" t="s">
        <v>234</v>
      </c>
      <c r="AN392" s="19" t="s">
        <v>145</v>
      </c>
      <c r="AO392" s="19" t="s">
        <v>216</v>
      </c>
      <c r="AP392" s="94"/>
      <c r="AQ392" s="19" t="s">
        <v>907</v>
      </c>
      <c r="AR392" s="19" t="s">
        <v>908</v>
      </c>
      <c r="AS392" s="19"/>
      <c r="AT392" s="65" t="str">
        <f t="shared" si="109"/>
        <v>N</v>
      </c>
      <c r="AU392" s="65" t="str">
        <f t="shared" si="91"/>
        <v>N</v>
      </c>
      <c r="AV392" s="65" t="str">
        <f t="shared" si="110"/>
        <v>N</v>
      </c>
      <c r="AW392" s="99"/>
      <c r="AX392" s="99"/>
      <c r="AY392" s="19"/>
      <c r="AZ392" s="96" t="str">
        <f t="shared" si="92"/>
        <v>n</v>
      </c>
      <c r="BA392" s="96" t="str">
        <f>IF(AZ392="n","n",VLOOKUP(AZ392,'Conversion factors'!$C$4:$D$24,2,FALSE))</f>
        <v>n</v>
      </c>
      <c r="BB392" s="96" t="str">
        <f t="shared" si="93"/>
        <v>n</v>
      </c>
      <c r="BC392" s="97"/>
      <c r="BD392" s="96" t="str">
        <f t="shared" si="111"/>
        <v>n</v>
      </c>
      <c r="BE392" s="96" t="str">
        <f t="shared" si="94"/>
        <v>n</v>
      </c>
      <c r="BF392" s="98" t="str">
        <f t="shared" si="112"/>
        <v/>
      </c>
      <c r="BG392" s="96" t="str">
        <f>IF(BF392="","",IF(ISNUMBER(VLOOKUP(BF392,'Conversion factors'!$B$35:$C$52,2,FALSE)),"y","n"))</f>
        <v/>
      </c>
      <c r="BH392" s="99" t="s">
        <v>1464</v>
      </c>
    </row>
    <row r="393" spans="1:60" s="103" customFormat="1" ht="15.75" customHeight="1" x14ac:dyDescent="0.2">
      <c r="A393" s="18"/>
      <c r="B393" s="19">
        <v>267</v>
      </c>
      <c r="C393" s="19"/>
      <c r="D393" s="19">
        <v>90601</v>
      </c>
      <c r="E393" s="19" t="s">
        <v>1224</v>
      </c>
      <c r="F393" s="93">
        <v>1994</v>
      </c>
      <c r="G393" s="19" t="s">
        <v>903</v>
      </c>
      <c r="H393" s="19" t="s">
        <v>51</v>
      </c>
      <c r="I393" s="19" t="s">
        <v>41</v>
      </c>
      <c r="J393" s="19" t="s">
        <v>904</v>
      </c>
      <c r="K393" s="19" t="s">
        <v>161</v>
      </c>
      <c r="L393" s="19" t="s">
        <v>82</v>
      </c>
      <c r="M393" s="19" t="s">
        <v>82</v>
      </c>
      <c r="N393" s="19" t="s">
        <v>66</v>
      </c>
      <c r="O393" s="19" t="s">
        <v>899</v>
      </c>
      <c r="P393" s="19" t="s">
        <v>51</v>
      </c>
      <c r="Q393" s="19"/>
      <c r="R393" s="19" t="s">
        <v>237</v>
      </c>
      <c r="S393" s="19" t="s">
        <v>79</v>
      </c>
      <c r="T393" s="19" t="s">
        <v>77</v>
      </c>
      <c r="U393" s="19" t="s">
        <v>77</v>
      </c>
      <c r="V393" s="19" t="s">
        <v>1007</v>
      </c>
      <c r="W393" s="19" t="s">
        <v>231</v>
      </c>
      <c r="X393" s="19" t="s">
        <v>46</v>
      </c>
      <c r="Y393" s="29"/>
      <c r="Z393" s="19"/>
      <c r="AA393" s="19"/>
      <c r="AB393" s="19" t="s">
        <v>910</v>
      </c>
      <c r="AC393" s="19" t="s">
        <v>1322</v>
      </c>
      <c r="AD393" s="19"/>
      <c r="AE393" s="19">
        <v>37.6</v>
      </c>
      <c r="AF393" s="19">
        <v>37.6</v>
      </c>
      <c r="AG393" s="19" t="s">
        <v>216</v>
      </c>
      <c r="AH393" s="19"/>
      <c r="AI393" s="19"/>
      <c r="AJ393" s="19">
        <v>7.21</v>
      </c>
      <c r="AK393" s="19" t="s">
        <v>906</v>
      </c>
      <c r="AL393" s="19"/>
      <c r="AM393" s="19" t="s">
        <v>234</v>
      </c>
      <c r="AN393" s="19" t="s">
        <v>145</v>
      </c>
      <c r="AO393" s="19" t="s">
        <v>216</v>
      </c>
      <c r="AP393" s="94"/>
      <c r="AQ393" s="19" t="s">
        <v>907</v>
      </c>
      <c r="AR393" s="19" t="s">
        <v>908</v>
      </c>
      <c r="AS393" s="19"/>
      <c r="AT393" s="65" t="str">
        <f t="shared" si="109"/>
        <v>N</v>
      </c>
      <c r="AU393" s="65" t="str">
        <f t="shared" si="91"/>
        <v>N</v>
      </c>
      <c r="AV393" s="65" t="str">
        <f t="shared" si="110"/>
        <v>N</v>
      </c>
      <c r="AW393" s="99"/>
      <c r="AX393" s="99"/>
      <c r="AY393" s="19"/>
      <c r="AZ393" s="96" t="str">
        <f t="shared" si="92"/>
        <v>n</v>
      </c>
      <c r="BA393" s="96" t="str">
        <f>IF(AZ393="n","n",VLOOKUP(AZ393,'Conversion factors'!$C$4:$D$24,2,FALSE))</f>
        <v>n</v>
      </c>
      <c r="BB393" s="96" t="str">
        <f t="shared" si="93"/>
        <v>n</v>
      </c>
      <c r="BC393" s="97"/>
      <c r="BD393" s="96" t="str">
        <f t="shared" si="111"/>
        <v>n</v>
      </c>
      <c r="BE393" s="96" t="str">
        <f t="shared" si="94"/>
        <v>n</v>
      </c>
      <c r="BF393" s="98" t="str">
        <f t="shared" si="112"/>
        <v/>
      </c>
      <c r="BG393" s="96" t="str">
        <f>IF(BF393="","",IF(ISNUMBER(VLOOKUP(BF393,'Conversion factors'!$B$35:$C$52,2,FALSE)),"y","n"))</f>
        <v/>
      </c>
      <c r="BH393" s="99" t="s">
        <v>1464</v>
      </c>
    </row>
    <row r="394" spans="1:60" s="103" customFormat="1" ht="15.75" customHeight="1" x14ac:dyDescent="0.2">
      <c r="A394" s="18"/>
      <c r="B394" s="19">
        <v>267</v>
      </c>
      <c r="C394" s="19"/>
      <c r="D394" s="19">
        <v>90601</v>
      </c>
      <c r="E394" s="19" t="s">
        <v>1224</v>
      </c>
      <c r="F394" s="93">
        <v>1994</v>
      </c>
      <c r="G394" s="19" t="s">
        <v>903</v>
      </c>
      <c r="H394" s="19" t="s">
        <v>51</v>
      </c>
      <c r="I394" s="19" t="s">
        <v>41</v>
      </c>
      <c r="J394" s="19" t="s">
        <v>904</v>
      </c>
      <c r="K394" s="19" t="s">
        <v>161</v>
      </c>
      <c r="L394" s="19" t="s">
        <v>82</v>
      </c>
      <c r="M394" s="19" t="s">
        <v>82</v>
      </c>
      <c r="N394" s="19" t="s">
        <v>66</v>
      </c>
      <c r="O394" s="19" t="s">
        <v>899</v>
      </c>
      <c r="P394" s="19" t="s">
        <v>51</v>
      </c>
      <c r="Q394" s="19"/>
      <c r="R394" s="19" t="s">
        <v>237</v>
      </c>
      <c r="S394" s="19" t="s">
        <v>79</v>
      </c>
      <c r="T394" s="19" t="s">
        <v>77</v>
      </c>
      <c r="U394" s="19" t="s">
        <v>77</v>
      </c>
      <c r="V394" s="19" t="s">
        <v>1007</v>
      </c>
      <c r="W394" s="19" t="s">
        <v>231</v>
      </c>
      <c r="X394" s="19" t="s">
        <v>46</v>
      </c>
      <c r="Y394" s="29"/>
      <c r="Z394" s="19"/>
      <c r="AA394" s="19"/>
      <c r="AB394" s="19" t="s">
        <v>910</v>
      </c>
      <c r="AC394" s="19" t="s">
        <v>1322</v>
      </c>
      <c r="AD394" s="19"/>
      <c r="AE394" s="19">
        <v>37.6</v>
      </c>
      <c r="AF394" s="19">
        <v>37.6</v>
      </c>
      <c r="AG394" s="19" t="s">
        <v>216</v>
      </c>
      <c r="AH394" s="19"/>
      <c r="AI394" s="19"/>
      <c r="AJ394" s="19">
        <v>7.21</v>
      </c>
      <c r="AK394" s="19" t="s">
        <v>906</v>
      </c>
      <c r="AL394" s="19"/>
      <c r="AM394" s="19" t="s">
        <v>234</v>
      </c>
      <c r="AN394" s="19" t="s">
        <v>145</v>
      </c>
      <c r="AO394" s="19" t="s">
        <v>216</v>
      </c>
      <c r="AP394" s="94"/>
      <c r="AQ394" s="19" t="s">
        <v>907</v>
      </c>
      <c r="AR394" s="19" t="s">
        <v>908</v>
      </c>
      <c r="AS394" s="19"/>
      <c r="AT394" s="65" t="str">
        <f t="shared" si="109"/>
        <v>N</v>
      </c>
      <c r="AU394" s="65" t="str">
        <f t="shared" si="91"/>
        <v>N</v>
      </c>
      <c r="AV394" s="65" t="str">
        <f t="shared" si="110"/>
        <v>N</v>
      </c>
      <c r="AW394" s="99"/>
      <c r="AX394" s="99"/>
      <c r="AY394" s="19"/>
      <c r="AZ394" s="96" t="str">
        <f t="shared" si="92"/>
        <v>n</v>
      </c>
      <c r="BA394" s="96" t="str">
        <f>IF(AZ394="n","n",VLOOKUP(AZ394,'Conversion factors'!$C$4:$D$24,2,FALSE))</f>
        <v>n</v>
      </c>
      <c r="BB394" s="96" t="str">
        <f t="shared" si="93"/>
        <v>n</v>
      </c>
      <c r="BC394" s="97"/>
      <c r="BD394" s="96" t="str">
        <f t="shared" si="111"/>
        <v>n</v>
      </c>
      <c r="BE394" s="96" t="str">
        <f t="shared" si="94"/>
        <v>n</v>
      </c>
      <c r="BF394" s="98" t="str">
        <f t="shared" si="112"/>
        <v/>
      </c>
      <c r="BG394" s="96" t="str">
        <f>IF(BF394="","",IF(ISNUMBER(VLOOKUP(BF394,'Conversion factors'!$B$35:$C$52,2,FALSE)),"y","n"))</f>
        <v/>
      </c>
      <c r="BH394" s="99" t="s">
        <v>1464</v>
      </c>
    </row>
    <row r="395" spans="1:60" s="103" customFormat="1" ht="15.75" customHeight="1" x14ac:dyDescent="0.2">
      <c r="A395" s="18"/>
      <c r="B395" s="19">
        <v>267</v>
      </c>
      <c r="C395" s="19"/>
      <c r="D395" s="19">
        <v>90601</v>
      </c>
      <c r="E395" s="19" t="s">
        <v>1224</v>
      </c>
      <c r="F395" s="93">
        <v>1994</v>
      </c>
      <c r="G395" s="19" t="s">
        <v>903</v>
      </c>
      <c r="H395" s="19" t="s">
        <v>51</v>
      </c>
      <c r="I395" s="19" t="s">
        <v>41</v>
      </c>
      <c r="J395" s="19" t="s">
        <v>904</v>
      </c>
      <c r="K395" s="19" t="s">
        <v>161</v>
      </c>
      <c r="L395" s="19" t="s">
        <v>82</v>
      </c>
      <c r="M395" s="19" t="s">
        <v>82</v>
      </c>
      <c r="N395" s="19" t="s">
        <v>66</v>
      </c>
      <c r="O395" s="19" t="s">
        <v>909</v>
      </c>
      <c r="P395" s="19" t="s">
        <v>51</v>
      </c>
      <c r="Q395" s="19"/>
      <c r="R395" s="19" t="s">
        <v>237</v>
      </c>
      <c r="S395" s="19" t="s">
        <v>79</v>
      </c>
      <c r="T395" s="19" t="s">
        <v>77</v>
      </c>
      <c r="U395" s="19" t="s">
        <v>77</v>
      </c>
      <c r="V395" s="19" t="s">
        <v>1007</v>
      </c>
      <c r="W395" s="19" t="s">
        <v>231</v>
      </c>
      <c r="X395" s="19" t="s">
        <v>46</v>
      </c>
      <c r="Y395" s="29"/>
      <c r="Z395" s="19"/>
      <c r="AA395" s="19"/>
      <c r="AB395" s="19" t="s">
        <v>910</v>
      </c>
      <c r="AC395" s="19" t="s">
        <v>1322</v>
      </c>
      <c r="AD395" s="19"/>
      <c r="AE395" s="19">
        <v>37.6</v>
      </c>
      <c r="AF395" s="19">
        <v>37.6</v>
      </c>
      <c r="AG395" s="19" t="s">
        <v>216</v>
      </c>
      <c r="AH395" s="19"/>
      <c r="AI395" s="19"/>
      <c r="AJ395" s="19">
        <v>7.21</v>
      </c>
      <c r="AK395" s="19" t="s">
        <v>906</v>
      </c>
      <c r="AL395" s="19"/>
      <c r="AM395" s="19" t="s">
        <v>234</v>
      </c>
      <c r="AN395" s="19" t="s">
        <v>145</v>
      </c>
      <c r="AO395" s="19" t="s">
        <v>216</v>
      </c>
      <c r="AP395" s="94"/>
      <c r="AQ395" s="19" t="s">
        <v>907</v>
      </c>
      <c r="AR395" s="19" t="s">
        <v>908</v>
      </c>
      <c r="AS395" s="19"/>
      <c r="AT395" s="65" t="str">
        <f t="shared" si="109"/>
        <v>N</v>
      </c>
      <c r="AU395" s="65" t="str">
        <f t="shared" si="91"/>
        <v>N</v>
      </c>
      <c r="AV395" s="65" t="str">
        <f t="shared" si="110"/>
        <v>N</v>
      </c>
      <c r="AW395" s="99"/>
      <c r="AX395" s="99"/>
      <c r="AY395" s="19"/>
      <c r="AZ395" s="96" t="str">
        <f t="shared" si="92"/>
        <v>n</v>
      </c>
      <c r="BA395" s="96" t="str">
        <f>IF(AZ395="n","n",VLOOKUP(AZ395,'Conversion factors'!$C$4:$D$24,2,FALSE))</f>
        <v>n</v>
      </c>
      <c r="BB395" s="96" t="str">
        <f t="shared" si="93"/>
        <v>n</v>
      </c>
      <c r="BC395" s="97"/>
      <c r="BD395" s="96" t="str">
        <f t="shared" si="111"/>
        <v>n</v>
      </c>
      <c r="BE395" s="96" t="str">
        <f t="shared" si="94"/>
        <v>n</v>
      </c>
      <c r="BF395" s="98" t="str">
        <f t="shared" si="112"/>
        <v/>
      </c>
      <c r="BG395" s="96" t="str">
        <f>IF(BF395="","",IF(ISNUMBER(VLOOKUP(BF395,'Conversion factors'!$B$35:$C$52,2,FALSE)),"y","n"))</f>
        <v/>
      </c>
      <c r="BH395" s="99" t="s">
        <v>1464</v>
      </c>
    </row>
    <row r="396" spans="1:60" s="103" customFormat="1" ht="15.75" customHeight="1" x14ac:dyDescent="0.2">
      <c r="A396" s="18"/>
      <c r="B396" s="19">
        <v>267</v>
      </c>
      <c r="C396" s="19"/>
      <c r="D396" s="19">
        <v>90601</v>
      </c>
      <c r="E396" s="19" t="s">
        <v>1224</v>
      </c>
      <c r="F396" s="93">
        <v>1994</v>
      </c>
      <c r="G396" s="19" t="s">
        <v>903</v>
      </c>
      <c r="H396" s="19" t="s">
        <v>51</v>
      </c>
      <c r="I396" s="19" t="s">
        <v>41</v>
      </c>
      <c r="J396" s="19" t="s">
        <v>904</v>
      </c>
      <c r="K396" s="19" t="s">
        <v>161</v>
      </c>
      <c r="L396" s="19" t="s">
        <v>82</v>
      </c>
      <c r="M396" s="19" t="s">
        <v>82</v>
      </c>
      <c r="N396" s="19" t="s">
        <v>66</v>
      </c>
      <c r="O396" s="19" t="s">
        <v>909</v>
      </c>
      <c r="P396" s="19" t="s">
        <v>51</v>
      </c>
      <c r="Q396" s="19"/>
      <c r="R396" s="19" t="s">
        <v>237</v>
      </c>
      <c r="S396" s="19" t="s">
        <v>79</v>
      </c>
      <c r="T396" s="19" t="s">
        <v>54</v>
      </c>
      <c r="U396" s="19" t="s">
        <v>54</v>
      </c>
      <c r="V396" s="19" t="s">
        <v>1007</v>
      </c>
      <c r="W396" s="19" t="s">
        <v>231</v>
      </c>
      <c r="X396" s="19" t="s">
        <v>46</v>
      </c>
      <c r="Y396" s="29"/>
      <c r="Z396" s="19"/>
      <c r="AA396" s="19"/>
      <c r="AB396" s="19" t="s">
        <v>859</v>
      </c>
      <c r="AC396" s="19" t="s">
        <v>1322</v>
      </c>
      <c r="AD396" s="19"/>
      <c r="AE396" s="19">
        <v>37.6</v>
      </c>
      <c r="AF396" s="19">
        <v>37.6</v>
      </c>
      <c r="AG396" s="19" t="s">
        <v>216</v>
      </c>
      <c r="AH396" s="19"/>
      <c r="AI396" s="19"/>
      <c r="AJ396" s="19">
        <v>7.21</v>
      </c>
      <c r="AK396" s="19" t="s">
        <v>906</v>
      </c>
      <c r="AL396" s="19"/>
      <c r="AM396" s="19" t="s">
        <v>234</v>
      </c>
      <c r="AN396" s="19" t="s">
        <v>145</v>
      </c>
      <c r="AO396" s="19" t="s">
        <v>216</v>
      </c>
      <c r="AP396" s="94"/>
      <c r="AQ396" s="19" t="s">
        <v>907</v>
      </c>
      <c r="AR396" s="19" t="s">
        <v>908</v>
      </c>
      <c r="AS396" s="19"/>
      <c r="AT396" s="65" t="str">
        <f t="shared" si="109"/>
        <v>N</v>
      </c>
      <c r="AU396" s="65" t="str">
        <f t="shared" si="91"/>
        <v>N</v>
      </c>
      <c r="AV396" s="65" t="str">
        <f t="shared" si="110"/>
        <v>N</v>
      </c>
      <c r="AW396" s="99"/>
      <c r="AX396" s="99"/>
      <c r="AY396" s="19"/>
      <c r="AZ396" s="96" t="str">
        <f t="shared" si="92"/>
        <v>n</v>
      </c>
      <c r="BA396" s="96" t="str">
        <f>IF(AZ396="n","n",VLOOKUP(AZ396,'Conversion factors'!$C$4:$D$24,2,FALSE))</f>
        <v>n</v>
      </c>
      <c r="BB396" s="96" t="str">
        <f t="shared" si="93"/>
        <v>n</v>
      </c>
      <c r="BC396" s="97"/>
      <c r="BD396" s="96" t="str">
        <f t="shared" si="111"/>
        <v>n</v>
      </c>
      <c r="BE396" s="96" t="str">
        <f t="shared" si="94"/>
        <v>n</v>
      </c>
      <c r="BF396" s="98" t="str">
        <f t="shared" si="112"/>
        <v/>
      </c>
      <c r="BG396" s="96" t="str">
        <f>IF(BF396="","",IF(ISNUMBER(VLOOKUP(BF396,'Conversion factors'!$B$35:$C$52,2,FALSE)),"y","n"))</f>
        <v/>
      </c>
      <c r="BH396" s="99" t="s">
        <v>1507</v>
      </c>
    </row>
    <row r="397" spans="1:60" s="103" customFormat="1" ht="15.75" customHeight="1" x14ac:dyDescent="0.2">
      <c r="A397" s="18"/>
      <c r="B397" s="19">
        <v>267</v>
      </c>
      <c r="C397" s="19"/>
      <c r="D397" s="19">
        <v>90601</v>
      </c>
      <c r="E397" s="19" t="s">
        <v>1224</v>
      </c>
      <c r="F397" s="93">
        <v>1994</v>
      </c>
      <c r="G397" s="19" t="s">
        <v>903</v>
      </c>
      <c r="H397" s="19" t="s">
        <v>51</v>
      </c>
      <c r="I397" s="19" t="s">
        <v>41</v>
      </c>
      <c r="J397" s="19" t="s">
        <v>904</v>
      </c>
      <c r="K397" s="19" t="s">
        <v>161</v>
      </c>
      <c r="L397" s="19" t="s">
        <v>82</v>
      </c>
      <c r="M397" s="19" t="s">
        <v>82</v>
      </c>
      <c r="N397" s="19" t="s">
        <v>66</v>
      </c>
      <c r="O397" s="19" t="s">
        <v>899</v>
      </c>
      <c r="P397" s="19" t="s">
        <v>51</v>
      </c>
      <c r="Q397" s="19"/>
      <c r="R397" s="19" t="s">
        <v>237</v>
      </c>
      <c r="S397" s="19" t="s">
        <v>79</v>
      </c>
      <c r="T397" s="19" t="s">
        <v>54</v>
      </c>
      <c r="U397" s="19" t="s">
        <v>54</v>
      </c>
      <c r="V397" s="19" t="s">
        <v>1007</v>
      </c>
      <c r="W397" s="19" t="s">
        <v>231</v>
      </c>
      <c r="X397" s="19" t="s">
        <v>46</v>
      </c>
      <c r="Y397" s="29"/>
      <c r="Z397" s="19"/>
      <c r="AA397" s="19"/>
      <c r="AB397" s="19" t="s">
        <v>859</v>
      </c>
      <c r="AC397" s="19" t="s">
        <v>1322</v>
      </c>
      <c r="AD397" s="19"/>
      <c r="AE397" s="19">
        <v>37.6</v>
      </c>
      <c r="AF397" s="19">
        <v>37.6</v>
      </c>
      <c r="AG397" s="19" t="s">
        <v>216</v>
      </c>
      <c r="AH397" s="19"/>
      <c r="AI397" s="19"/>
      <c r="AJ397" s="19">
        <v>7.21</v>
      </c>
      <c r="AK397" s="19" t="s">
        <v>906</v>
      </c>
      <c r="AL397" s="19"/>
      <c r="AM397" s="19" t="s">
        <v>234</v>
      </c>
      <c r="AN397" s="19" t="s">
        <v>145</v>
      </c>
      <c r="AO397" s="19" t="s">
        <v>216</v>
      </c>
      <c r="AP397" s="94"/>
      <c r="AQ397" s="19" t="s">
        <v>907</v>
      </c>
      <c r="AR397" s="19" t="s">
        <v>908</v>
      </c>
      <c r="AS397" s="19"/>
      <c r="AT397" s="65" t="str">
        <f t="shared" si="109"/>
        <v>N</v>
      </c>
      <c r="AU397" s="65" t="str">
        <f t="shared" si="91"/>
        <v>N</v>
      </c>
      <c r="AV397" s="65" t="str">
        <f t="shared" si="110"/>
        <v>N</v>
      </c>
      <c r="AW397" s="99"/>
      <c r="AX397" s="99"/>
      <c r="AY397" s="19"/>
      <c r="AZ397" s="96" t="str">
        <f t="shared" si="92"/>
        <v>n</v>
      </c>
      <c r="BA397" s="96" t="str">
        <f>IF(AZ397="n","n",VLOOKUP(AZ397,'Conversion factors'!$C$4:$D$24,2,FALSE))</f>
        <v>n</v>
      </c>
      <c r="BB397" s="96" t="str">
        <f t="shared" si="93"/>
        <v>n</v>
      </c>
      <c r="BC397" s="97"/>
      <c r="BD397" s="96" t="str">
        <f t="shared" si="111"/>
        <v>n</v>
      </c>
      <c r="BE397" s="96" t="str">
        <f t="shared" si="94"/>
        <v>n</v>
      </c>
      <c r="BF397" s="98" t="str">
        <f t="shared" si="112"/>
        <v/>
      </c>
      <c r="BG397" s="96" t="str">
        <f>IF(BF397="","",IF(ISNUMBER(VLOOKUP(BF397,'Conversion factors'!$B$35:$C$52,2,FALSE)),"y","n"))</f>
        <v/>
      </c>
      <c r="BH397" s="99" t="s">
        <v>1507</v>
      </c>
    </row>
    <row r="398" spans="1:60" s="103" customFormat="1" ht="15.75" customHeight="1" x14ac:dyDescent="0.2">
      <c r="A398" s="18"/>
      <c r="B398" s="19">
        <v>267</v>
      </c>
      <c r="C398" s="19"/>
      <c r="D398" s="19">
        <v>90601</v>
      </c>
      <c r="E398" s="19" t="s">
        <v>1224</v>
      </c>
      <c r="F398" s="93">
        <v>1994</v>
      </c>
      <c r="G398" s="19" t="s">
        <v>903</v>
      </c>
      <c r="H398" s="19" t="s">
        <v>51</v>
      </c>
      <c r="I398" s="19" t="s">
        <v>41</v>
      </c>
      <c r="J398" s="19" t="s">
        <v>904</v>
      </c>
      <c r="K398" s="19" t="s">
        <v>161</v>
      </c>
      <c r="L398" s="19" t="s">
        <v>82</v>
      </c>
      <c r="M398" s="19" t="s">
        <v>82</v>
      </c>
      <c r="N398" s="19" t="s">
        <v>66</v>
      </c>
      <c r="O398" s="19" t="s">
        <v>899</v>
      </c>
      <c r="P398" s="19" t="s">
        <v>51</v>
      </c>
      <c r="Q398" s="19"/>
      <c r="R398" s="19" t="s">
        <v>237</v>
      </c>
      <c r="S398" s="19" t="s">
        <v>79</v>
      </c>
      <c r="T398" s="19" t="s">
        <v>54</v>
      </c>
      <c r="U398" s="19" t="s">
        <v>54</v>
      </c>
      <c r="V398" s="19" t="s">
        <v>1007</v>
      </c>
      <c r="W398" s="19" t="s">
        <v>231</v>
      </c>
      <c r="X398" s="19" t="s">
        <v>46</v>
      </c>
      <c r="Y398" s="29"/>
      <c r="Z398" s="19"/>
      <c r="AA398" s="19"/>
      <c r="AB398" s="19" t="s">
        <v>859</v>
      </c>
      <c r="AC398" s="19" t="s">
        <v>1322</v>
      </c>
      <c r="AD398" s="19"/>
      <c r="AE398" s="19">
        <v>37.6</v>
      </c>
      <c r="AF398" s="19">
        <v>37.6</v>
      </c>
      <c r="AG398" s="19" t="s">
        <v>216</v>
      </c>
      <c r="AH398" s="19"/>
      <c r="AI398" s="19"/>
      <c r="AJ398" s="19">
        <v>7.21</v>
      </c>
      <c r="AK398" s="19" t="s">
        <v>906</v>
      </c>
      <c r="AL398" s="19"/>
      <c r="AM398" s="19" t="s">
        <v>234</v>
      </c>
      <c r="AN398" s="19" t="s">
        <v>145</v>
      </c>
      <c r="AO398" s="19" t="s">
        <v>216</v>
      </c>
      <c r="AP398" s="94"/>
      <c r="AQ398" s="19" t="s">
        <v>907</v>
      </c>
      <c r="AR398" s="19" t="s">
        <v>908</v>
      </c>
      <c r="AS398" s="19"/>
      <c r="AT398" s="65" t="str">
        <f t="shared" si="109"/>
        <v>N</v>
      </c>
      <c r="AU398" s="65" t="str">
        <f t="shared" ref="AU398:AU468" si="113">IF(AT398="N","N",IF(AJ398&lt;6,"N",IF(AJ398&gt;8.5,"N","Y")))</f>
        <v>N</v>
      </c>
      <c r="AV398" s="65" t="str">
        <f t="shared" si="110"/>
        <v>N</v>
      </c>
      <c r="AW398" s="99"/>
      <c r="AX398" s="99"/>
      <c r="AY398" s="19"/>
      <c r="AZ398" s="96" t="str">
        <f t="shared" si="92"/>
        <v>n</v>
      </c>
      <c r="BA398" s="96" t="str">
        <f>IF(AZ398="n","n",VLOOKUP(AZ398,'Conversion factors'!$C$4:$D$24,2,FALSE))</f>
        <v>n</v>
      </c>
      <c r="BB398" s="96" t="str">
        <f t="shared" si="93"/>
        <v>n</v>
      </c>
      <c r="BC398" s="97"/>
      <c r="BD398" s="96" t="str">
        <f t="shared" si="111"/>
        <v>n</v>
      </c>
      <c r="BE398" s="96" t="str">
        <f t="shared" si="94"/>
        <v>n</v>
      </c>
      <c r="BF398" s="98" t="str">
        <f t="shared" si="112"/>
        <v/>
      </c>
      <c r="BG398" s="96" t="str">
        <f>IF(BF398="","",IF(ISNUMBER(VLOOKUP(BF398,'Conversion factors'!$B$35:$C$52,2,FALSE)),"y","n"))</f>
        <v/>
      </c>
      <c r="BH398" s="99" t="s">
        <v>1507</v>
      </c>
    </row>
    <row r="399" spans="1:60" s="103" customFormat="1" ht="15.75" customHeight="1" x14ac:dyDescent="0.2">
      <c r="A399" s="18"/>
      <c r="B399" s="19">
        <v>328</v>
      </c>
      <c r="C399" s="19"/>
      <c r="D399" s="19">
        <v>169219</v>
      </c>
      <c r="E399" s="19" t="s">
        <v>1224</v>
      </c>
      <c r="F399" s="93">
        <v>2014</v>
      </c>
      <c r="G399" s="19" t="s">
        <v>1182</v>
      </c>
      <c r="H399" s="19" t="s">
        <v>51</v>
      </c>
      <c r="I399" s="19" t="s">
        <v>41</v>
      </c>
      <c r="J399" s="19" t="s">
        <v>904</v>
      </c>
      <c r="K399" s="19" t="s">
        <v>161</v>
      </c>
      <c r="L399" s="19" t="s">
        <v>82</v>
      </c>
      <c r="M399" s="19" t="s">
        <v>82</v>
      </c>
      <c r="N399" s="19" t="s">
        <v>66</v>
      </c>
      <c r="O399" s="19" t="s">
        <v>1046</v>
      </c>
      <c r="P399" s="19" t="s">
        <v>51</v>
      </c>
      <c r="Q399" s="19"/>
      <c r="R399" s="19" t="s">
        <v>81</v>
      </c>
      <c r="S399" s="19" t="s">
        <v>402</v>
      </c>
      <c r="T399" s="19" t="s">
        <v>54</v>
      </c>
      <c r="U399" s="19" t="s">
        <v>54</v>
      </c>
      <c r="V399" s="19" t="s">
        <v>506</v>
      </c>
      <c r="W399" s="19" t="s">
        <v>45</v>
      </c>
      <c r="X399" s="19" t="s">
        <v>46</v>
      </c>
      <c r="Y399" s="29"/>
      <c r="Z399" s="19"/>
      <c r="AA399" s="19"/>
      <c r="AB399" s="19" t="s">
        <v>1183</v>
      </c>
      <c r="AC399" s="19" t="s">
        <v>214</v>
      </c>
      <c r="AD399" s="19"/>
      <c r="AE399" s="19">
        <v>54.1</v>
      </c>
      <c r="AF399" s="19">
        <v>54.1</v>
      </c>
      <c r="AG399" s="19" t="s">
        <v>270</v>
      </c>
      <c r="AH399" s="19"/>
      <c r="AI399" s="19"/>
      <c r="AJ399" s="19">
        <f>MEDIAN(7.3,7.5)</f>
        <v>7.4</v>
      </c>
      <c r="AK399" s="19" t="s">
        <v>177</v>
      </c>
      <c r="AL399" s="19"/>
      <c r="AM399" s="19" t="s">
        <v>234</v>
      </c>
      <c r="AN399" s="19" t="s">
        <v>234</v>
      </c>
      <c r="AO399" s="19" t="s">
        <v>235</v>
      </c>
      <c r="AP399" s="94">
        <v>1.4</v>
      </c>
      <c r="AQ399" s="19" t="s">
        <v>1184</v>
      </c>
      <c r="AR399" s="19" t="s">
        <v>1185</v>
      </c>
      <c r="AS399" s="19"/>
      <c r="AT399" s="65" t="str">
        <f t="shared" si="109"/>
        <v>Y</v>
      </c>
      <c r="AU399" s="65" t="str">
        <f t="shared" si="113"/>
        <v>Y</v>
      </c>
      <c r="AV399" s="65" t="s">
        <v>162</v>
      </c>
      <c r="AW399" s="99" t="s">
        <v>1514</v>
      </c>
      <c r="AX399" s="99"/>
      <c r="AY399" s="19"/>
      <c r="AZ399" s="96" t="str">
        <f t="shared" ref="AZ399:AZ469" si="114">IF(AV399="N","n",T399)</f>
        <v>n</v>
      </c>
      <c r="BA399" s="96" t="str">
        <f>IF(AZ399="n","n",VLOOKUP(AZ399,'Conversion factors'!$C$4:$D$24,2,FALSE))</f>
        <v>n</v>
      </c>
      <c r="BB399" s="96" t="str">
        <f t="shared" ref="BB399:BB469" si="115">IF(BA399="n","n",AB399/BA399)</f>
        <v>n</v>
      </c>
      <c r="BC399" s="97"/>
      <c r="BD399" s="96" t="str">
        <f t="shared" si="111"/>
        <v>n</v>
      </c>
      <c r="BE399" s="96" t="str">
        <f t="shared" ref="BE399:BE469" si="116">IF(BD399="chronic","y","n")</f>
        <v>n</v>
      </c>
      <c r="BF399" s="98" t="str">
        <f t="shared" si="112"/>
        <v/>
      </c>
      <c r="BG399" s="96" t="str">
        <f>IF(BF399="","",IF(ISNUMBER(VLOOKUP(BF399,'Conversion factors'!$B$35:$C$52,2,FALSE)),"y","n"))</f>
        <v/>
      </c>
      <c r="BH399" s="99" t="s">
        <v>1507</v>
      </c>
    </row>
    <row r="400" spans="1:60" s="103" customFormat="1" ht="15.75" customHeight="1" x14ac:dyDescent="0.2">
      <c r="A400" s="18"/>
      <c r="B400" s="19">
        <v>328</v>
      </c>
      <c r="C400" s="19"/>
      <c r="D400" s="19">
        <v>169219</v>
      </c>
      <c r="E400" s="19" t="s">
        <v>1224</v>
      </c>
      <c r="F400" s="93">
        <v>2014</v>
      </c>
      <c r="G400" s="19" t="s">
        <v>1182</v>
      </c>
      <c r="H400" s="19" t="s">
        <v>51</v>
      </c>
      <c r="I400" s="19" t="s">
        <v>41</v>
      </c>
      <c r="J400" s="19" t="s">
        <v>904</v>
      </c>
      <c r="K400" s="19" t="s">
        <v>161</v>
      </c>
      <c r="L400" s="19" t="s">
        <v>82</v>
      </c>
      <c r="M400" s="19" t="s">
        <v>82</v>
      </c>
      <c r="N400" s="19" t="s">
        <v>66</v>
      </c>
      <c r="O400" s="19" t="s">
        <v>1046</v>
      </c>
      <c r="P400" s="19" t="s">
        <v>51</v>
      </c>
      <c r="Q400" s="19"/>
      <c r="R400" s="19" t="s">
        <v>81</v>
      </c>
      <c r="S400" s="19" t="s">
        <v>483</v>
      </c>
      <c r="T400" s="19" t="s">
        <v>54</v>
      </c>
      <c r="U400" s="19" t="s">
        <v>54</v>
      </c>
      <c r="V400" s="19" t="s">
        <v>506</v>
      </c>
      <c r="W400" s="19" t="s">
        <v>45</v>
      </c>
      <c r="X400" s="19" t="s">
        <v>46</v>
      </c>
      <c r="Y400" s="29"/>
      <c r="Z400" s="19"/>
      <c r="AA400" s="19"/>
      <c r="AB400" s="19" t="s">
        <v>1183</v>
      </c>
      <c r="AC400" s="19" t="s">
        <v>214</v>
      </c>
      <c r="AD400" s="19"/>
      <c r="AE400" s="19">
        <v>54.1</v>
      </c>
      <c r="AF400" s="19">
        <v>54.1</v>
      </c>
      <c r="AG400" s="19" t="s">
        <v>270</v>
      </c>
      <c r="AH400" s="19"/>
      <c r="AI400" s="19"/>
      <c r="AJ400" s="101">
        <f>MEDIAN(7.3,7.5)</f>
        <v>7.4</v>
      </c>
      <c r="AK400" s="19" t="s">
        <v>177</v>
      </c>
      <c r="AL400" s="19"/>
      <c r="AM400" s="19"/>
      <c r="AN400" s="19" t="s">
        <v>234</v>
      </c>
      <c r="AO400" s="19" t="s">
        <v>235</v>
      </c>
      <c r="AP400" s="94">
        <v>1.4</v>
      </c>
      <c r="AQ400" s="19" t="s">
        <v>1184</v>
      </c>
      <c r="AR400" s="19" t="s">
        <v>1185</v>
      </c>
      <c r="AS400" s="19"/>
      <c r="AT400" s="65" t="str">
        <f t="shared" si="109"/>
        <v>Y</v>
      </c>
      <c r="AU400" s="65" t="str">
        <f t="shared" si="113"/>
        <v>Y</v>
      </c>
      <c r="AV400" s="65" t="str">
        <f t="shared" ref="AV400:AV411" si="117">AU400</f>
        <v>Y</v>
      </c>
      <c r="AW400" s="99"/>
      <c r="AX400" s="99"/>
      <c r="AY400" s="19"/>
      <c r="AZ400" s="96" t="str">
        <f t="shared" si="114"/>
        <v>NOEC</v>
      </c>
      <c r="BA400" s="96">
        <f>IF(AZ400="n","n",VLOOKUP(AZ400,'Conversion factors'!$C$4:$D$24,2,FALSE))</f>
        <v>1</v>
      </c>
      <c r="BB400" s="96">
        <f t="shared" si="115"/>
        <v>416</v>
      </c>
      <c r="BC400" s="97"/>
      <c r="BD400" s="96" t="str">
        <f t="shared" si="111"/>
        <v>Chronic</v>
      </c>
      <c r="BE400" s="96" t="str">
        <f t="shared" si="116"/>
        <v>y</v>
      </c>
      <c r="BF400" s="98" t="str">
        <f t="shared" si="112"/>
        <v>NOEC</v>
      </c>
      <c r="BG400" s="96" t="str">
        <f>IF(BF400="","",IF(ISNUMBER(VLOOKUP(BF400,'Conversion factors'!$B$35:$C$52,2,FALSE)),"y","n"))</f>
        <v>y</v>
      </c>
      <c r="BH400" s="99" t="s">
        <v>1507</v>
      </c>
    </row>
    <row r="401" spans="1:62" s="103" customFormat="1" ht="15.75" customHeight="1" x14ac:dyDescent="0.2">
      <c r="A401" s="18"/>
      <c r="B401" s="19">
        <v>328</v>
      </c>
      <c r="C401" s="19"/>
      <c r="D401" s="19">
        <v>169219</v>
      </c>
      <c r="E401" s="19" t="s">
        <v>1224</v>
      </c>
      <c r="F401" s="93">
        <v>2014</v>
      </c>
      <c r="G401" s="19" t="s">
        <v>1182</v>
      </c>
      <c r="H401" s="19" t="s">
        <v>51</v>
      </c>
      <c r="I401" s="19" t="s">
        <v>41</v>
      </c>
      <c r="J401" s="19" t="s">
        <v>904</v>
      </c>
      <c r="K401" s="19" t="s">
        <v>161</v>
      </c>
      <c r="L401" s="19" t="s">
        <v>82</v>
      </c>
      <c r="M401" s="19" t="s">
        <v>82</v>
      </c>
      <c r="N401" s="19" t="s">
        <v>66</v>
      </c>
      <c r="O401" s="19" t="s">
        <v>1046</v>
      </c>
      <c r="P401" s="19" t="s">
        <v>51</v>
      </c>
      <c r="Q401" s="19"/>
      <c r="R401" s="19" t="s">
        <v>237</v>
      </c>
      <c r="S401" s="19" t="s">
        <v>414</v>
      </c>
      <c r="T401" s="19" t="s">
        <v>54</v>
      </c>
      <c r="U401" s="19" t="s">
        <v>54</v>
      </c>
      <c r="V401" s="19" t="s">
        <v>230</v>
      </c>
      <c r="W401" s="19" t="s">
        <v>45</v>
      </c>
      <c r="X401" s="19" t="s">
        <v>46</v>
      </c>
      <c r="Y401" s="29"/>
      <c r="Z401" s="19"/>
      <c r="AA401" s="19"/>
      <c r="AB401" s="19" t="s">
        <v>1183</v>
      </c>
      <c r="AC401" s="19" t="s">
        <v>214</v>
      </c>
      <c r="AD401" s="19"/>
      <c r="AE401" s="19">
        <v>54.1</v>
      </c>
      <c r="AF401" s="19">
        <v>54.1</v>
      </c>
      <c r="AG401" s="19" t="s">
        <v>270</v>
      </c>
      <c r="AH401" s="19"/>
      <c r="AI401" s="19"/>
      <c r="AJ401" s="101">
        <f>MEDIAN(7.3,7.5)</f>
        <v>7.4</v>
      </c>
      <c r="AK401" s="19" t="s">
        <v>177</v>
      </c>
      <c r="AL401" s="19"/>
      <c r="AM401" s="19"/>
      <c r="AN401" s="19" t="s">
        <v>234</v>
      </c>
      <c r="AO401" s="19" t="s">
        <v>235</v>
      </c>
      <c r="AP401" s="94">
        <v>1.4</v>
      </c>
      <c r="AQ401" s="19" t="s">
        <v>1184</v>
      </c>
      <c r="AR401" s="19" t="s">
        <v>1185</v>
      </c>
      <c r="AS401" s="19"/>
      <c r="AT401" s="65" t="str">
        <f t="shared" si="109"/>
        <v>Y</v>
      </c>
      <c r="AU401" s="65" t="str">
        <f t="shared" si="113"/>
        <v>Y</v>
      </c>
      <c r="AV401" s="65" t="str">
        <f t="shared" si="117"/>
        <v>Y</v>
      </c>
      <c r="AW401" s="99"/>
      <c r="AX401" s="99"/>
      <c r="AY401" s="19"/>
      <c r="AZ401" s="96" t="str">
        <f t="shared" si="114"/>
        <v>NOEC</v>
      </c>
      <c r="BA401" s="96">
        <f>IF(AZ401="n","n",VLOOKUP(AZ401,'Conversion factors'!$C$4:$D$24,2,FALSE))</f>
        <v>1</v>
      </c>
      <c r="BB401" s="96">
        <f t="shared" si="115"/>
        <v>416</v>
      </c>
      <c r="BC401" s="97"/>
      <c r="BD401" s="96" t="str">
        <f t="shared" si="111"/>
        <v>Chronic</v>
      </c>
      <c r="BE401" s="96" t="str">
        <f t="shared" si="116"/>
        <v>y</v>
      </c>
      <c r="BF401" s="98" t="str">
        <f t="shared" si="112"/>
        <v>NOEC</v>
      </c>
      <c r="BG401" s="96" t="str">
        <f>IF(BF401="","",IF(ISNUMBER(VLOOKUP(BF401,'Conversion factors'!$B$35:$C$52,2,FALSE)),"y","n"))</f>
        <v>y</v>
      </c>
      <c r="BH401" s="99" t="s">
        <v>1507</v>
      </c>
    </row>
    <row r="402" spans="1:62" s="103" customFormat="1" ht="15.75" customHeight="1" x14ac:dyDescent="0.2">
      <c r="A402" s="18"/>
      <c r="B402" s="19">
        <v>328</v>
      </c>
      <c r="C402" s="19"/>
      <c r="D402" s="19">
        <v>169219</v>
      </c>
      <c r="E402" s="19" t="s">
        <v>1224</v>
      </c>
      <c r="F402" s="93">
        <v>2014</v>
      </c>
      <c r="G402" s="19" t="s">
        <v>1182</v>
      </c>
      <c r="H402" s="19" t="s">
        <v>51</v>
      </c>
      <c r="I402" s="19" t="s">
        <v>41</v>
      </c>
      <c r="J402" s="19" t="s">
        <v>904</v>
      </c>
      <c r="K402" s="19" t="s">
        <v>161</v>
      </c>
      <c r="L402" s="19" t="s">
        <v>82</v>
      </c>
      <c r="M402" s="19" t="s">
        <v>82</v>
      </c>
      <c r="N402" s="19" t="s">
        <v>66</v>
      </c>
      <c r="O402" s="19" t="s">
        <v>1046</v>
      </c>
      <c r="P402" s="19" t="s">
        <v>51</v>
      </c>
      <c r="Q402" s="19"/>
      <c r="R402" s="19" t="s">
        <v>237</v>
      </c>
      <c r="S402" s="19" t="s">
        <v>414</v>
      </c>
      <c r="T402" s="19" t="s">
        <v>54</v>
      </c>
      <c r="U402" s="19" t="s">
        <v>54</v>
      </c>
      <c r="V402" s="19" t="s">
        <v>230</v>
      </c>
      <c r="W402" s="19" t="s">
        <v>45</v>
      </c>
      <c r="X402" s="19" t="s">
        <v>46</v>
      </c>
      <c r="Y402" s="29"/>
      <c r="Z402" s="19"/>
      <c r="AA402" s="19"/>
      <c r="AB402" s="19" t="s">
        <v>1183</v>
      </c>
      <c r="AC402" s="19" t="s">
        <v>214</v>
      </c>
      <c r="AD402" s="19"/>
      <c r="AE402" s="19">
        <v>54.1</v>
      </c>
      <c r="AF402" s="19">
        <v>54.1</v>
      </c>
      <c r="AG402" s="19" t="s">
        <v>270</v>
      </c>
      <c r="AH402" s="19"/>
      <c r="AI402" s="19"/>
      <c r="AJ402" s="101">
        <f>MEDIAN(7.3,7.5)</f>
        <v>7.4</v>
      </c>
      <c r="AK402" s="19" t="s">
        <v>177</v>
      </c>
      <c r="AL402" s="19"/>
      <c r="AM402" s="19"/>
      <c r="AN402" s="19" t="s">
        <v>234</v>
      </c>
      <c r="AO402" s="19" t="s">
        <v>235</v>
      </c>
      <c r="AP402" s="94">
        <v>1.4</v>
      </c>
      <c r="AQ402" s="19" t="s">
        <v>1184</v>
      </c>
      <c r="AR402" s="19" t="s">
        <v>1185</v>
      </c>
      <c r="AS402" s="19"/>
      <c r="AT402" s="65" t="str">
        <f t="shared" si="109"/>
        <v>Y</v>
      </c>
      <c r="AU402" s="65" t="str">
        <f t="shared" si="113"/>
        <v>Y</v>
      </c>
      <c r="AV402" s="65" t="str">
        <f t="shared" si="117"/>
        <v>Y</v>
      </c>
      <c r="AW402" s="99"/>
      <c r="AX402" s="99"/>
      <c r="AY402" s="19"/>
      <c r="AZ402" s="96" t="str">
        <f t="shared" si="114"/>
        <v>NOEC</v>
      </c>
      <c r="BA402" s="96">
        <f>IF(AZ402="n","n",VLOOKUP(AZ402,'Conversion factors'!$C$4:$D$24,2,FALSE))</f>
        <v>1</v>
      </c>
      <c r="BB402" s="96">
        <f t="shared" si="115"/>
        <v>416</v>
      </c>
      <c r="BC402" s="97"/>
      <c r="BD402" s="96" t="str">
        <f t="shared" si="111"/>
        <v>Chronic</v>
      </c>
      <c r="BE402" s="96" t="str">
        <f t="shared" si="116"/>
        <v>y</v>
      </c>
      <c r="BF402" s="98" t="str">
        <f t="shared" si="112"/>
        <v>NOEC</v>
      </c>
      <c r="BG402" s="96" t="str">
        <f>IF(BF402="","",IF(ISNUMBER(VLOOKUP(BF402,'Conversion factors'!$B$35:$C$52,2,FALSE)),"y","n"))</f>
        <v>y</v>
      </c>
      <c r="BH402" s="99" t="s">
        <v>1507</v>
      </c>
    </row>
    <row r="403" spans="1:62" s="103" customFormat="1" ht="15.75" customHeight="1" x14ac:dyDescent="0.2">
      <c r="A403" s="18"/>
      <c r="B403" s="19">
        <v>328</v>
      </c>
      <c r="C403" s="19"/>
      <c r="D403" s="19">
        <v>169219</v>
      </c>
      <c r="E403" s="19" t="s">
        <v>1224</v>
      </c>
      <c r="F403" s="93">
        <v>2014</v>
      </c>
      <c r="G403" s="19" t="s">
        <v>1182</v>
      </c>
      <c r="H403" s="19" t="s">
        <v>51</v>
      </c>
      <c r="I403" s="19" t="s">
        <v>41</v>
      </c>
      <c r="J403" s="19" t="s">
        <v>904</v>
      </c>
      <c r="K403" s="19" t="s">
        <v>161</v>
      </c>
      <c r="L403" s="19" t="s">
        <v>82</v>
      </c>
      <c r="M403" s="19" t="s">
        <v>82</v>
      </c>
      <c r="N403" s="19" t="s">
        <v>66</v>
      </c>
      <c r="O403" s="19" t="s">
        <v>1046</v>
      </c>
      <c r="P403" s="19" t="s">
        <v>51</v>
      </c>
      <c r="Q403" s="19"/>
      <c r="R403" s="19" t="s">
        <v>237</v>
      </c>
      <c r="S403" s="19" t="s">
        <v>414</v>
      </c>
      <c r="T403" s="19" t="s">
        <v>54</v>
      </c>
      <c r="U403" s="19" t="s">
        <v>54</v>
      </c>
      <c r="V403" s="19" t="s">
        <v>230</v>
      </c>
      <c r="W403" s="19" t="s">
        <v>45</v>
      </c>
      <c r="X403" s="19" t="s">
        <v>46</v>
      </c>
      <c r="Y403" s="29"/>
      <c r="Z403" s="19"/>
      <c r="AA403" s="19"/>
      <c r="AB403" s="19" t="s">
        <v>1183</v>
      </c>
      <c r="AC403" s="19" t="s">
        <v>214</v>
      </c>
      <c r="AD403" s="19"/>
      <c r="AE403" s="19">
        <v>54.1</v>
      </c>
      <c r="AF403" s="19">
        <v>54.1</v>
      </c>
      <c r="AG403" s="19" t="s">
        <v>270</v>
      </c>
      <c r="AH403" s="19"/>
      <c r="AI403" s="19"/>
      <c r="AJ403" s="101">
        <f>MEDIAN(7.3,7.5)</f>
        <v>7.4</v>
      </c>
      <c r="AK403" s="19" t="s">
        <v>177</v>
      </c>
      <c r="AL403" s="19"/>
      <c r="AM403" s="19"/>
      <c r="AN403" s="19" t="s">
        <v>234</v>
      </c>
      <c r="AO403" s="19" t="s">
        <v>235</v>
      </c>
      <c r="AP403" s="94">
        <v>1.4</v>
      </c>
      <c r="AQ403" s="19" t="s">
        <v>1184</v>
      </c>
      <c r="AR403" s="19" t="s">
        <v>1185</v>
      </c>
      <c r="AS403" s="19"/>
      <c r="AT403" s="65" t="str">
        <f t="shared" si="109"/>
        <v>Y</v>
      </c>
      <c r="AU403" s="65" t="str">
        <f t="shared" si="113"/>
        <v>Y</v>
      </c>
      <c r="AV403" s="65" t="str">
        <f t="shared" si="117"/>
        <v>Y</v>
      </c>
      <c r="AW403" s="99"/>
      <c r="AX403" s="99"/>
      <c r="AY403" s="19"/>
      <c r="AZ403" s="96" t="str">
        <f t="shared" si="114"/>
        <v>NOEC</v>
      </c>
      <c r="BA403" s="96">
        <f>IF(AZ403="n","n",VLOOKUP(AZ403,'Conversion factors'!$C$4:$D$24,2,FALSE))</f>
        <v>1</v>
      </c>
      <c r="BB403" s="96">
        <f t="shared" si="115"/>
        <v>416</v>
      </c>
      <c r="BC403" s="97"/>
      <c r="BD403" s="96" t="str">
        <f t="shared" si="111"/>
        <v>Chronic</v>
      </c>
      <c r="BE403" s="96" t="str">
        <f t="shared" si="116"/>
        <v>y</v>
      </c>
      <c r="BF403" s="98" t="str">
        <f t="shared" si="112"/>
        <v>NOEC</v>
      </c>
      <c r="BG403" s="96" t="str">
        <f>IF(BF403="","",IF(ISNUMBER(VLOOKUP(BF403,'Conversion factors'!$B$35:$C$52,2,FALSE)),"y","n"))</f>
        <v>y</v>
      </c>
      <c r="BH403" s="99" t="s">
        <v>1507</v>
      </c>
    </row>
    <row r="404" spans="1:62" s="103" customFormat="1" ht="15.75" customHeight="1" x14ac:dyDescent="0.2">
      <c r="A404" s="18"/>
      <c r="B404" s="20"/>
      <c r="C404" s="19"/>
      <c r="D404" s="19"/>
      <c r="E404" s="19" t="s">
        <v>1359</v>
      </c>
      <c r="F404" s="93">
        <v>2003</v>
      </c>
      <c r="G404" s="19" t="s">
        <v>1343</v>
      </c>
      <c r="H404" s="19" t="s">
        <v>51</v>
      </c>
      <c r="I404" s="19" t="s">
        <v>41</v>
      </c>
      <c r="J404" s="19" t="s">
        <v>904</v>
      </c>
      <c r="K404" s="19" t="s">
        <v>161</v>
      </c>
      <c r="L404" s="19" t="s">
        <v>82</v>
      </c>
      <c r="M404" s="19" t="s">
        <v>82</v>
      </c>
      <c r="N404" s="19" t="s">
        <v>66</v>
      </c>
      <c r="O404" s="19" t="s">
        <v>1330</v>
      </c>
      <c r="P404" s="19" t="s">
        <v>51</v>
      </c>
      <c r="Q404" s="19"/>
      <c r="R404" s="19" t="s">
        <v>81</v>
      </c>
      <c r="S404" s="158" t="s">
        <v>1624</v>
      </c>
      <c r="T404" s="19" t="s">
        <v>54</v>
      </c>
      <c r="U404" s="19" t="s">
        <v>54</v>
      </c>
      <c r="V404" s="158">
        <v>30</v>
      </c>
      <c r="W404" s="19" t="s">
        <v>45</v>
      </c>
      <c r="X404" s="19" t="s">
        <v>46</v>
      </c>
      <c r="Y404" s="29"/>
      <c r="Z404" s="19"/>
      <c r="AA404" s="19"/>
      <c r="AB404" s="158">
        <v>206</v>
      </c>
      <c r="AC404" s="19" t="s">
        <v>214</v>
      </c>
      <c r="AD404" s="19"/>
      <c r="AE404" s="158">
        <v>27.3</v>
      </c>
      <c r="AF404" s="19"/>
      <c r="AG404" s="19"/>
      <c r="AH404" s="19"/>
      <c r="AI404" s="19"/>
      <c r="AJ404" s="158">
        <v>7.49</v>
      </c>
      <c r="AK404" s="158" t="s">
        <v>718</v>
      </c>
      <c r="AL404" s="19"/>
      <c r="AM404" s="19"/>
      <c r="AN404" s="158" t="s">
        <v>1629</v>
      </c>
      <c r="AO404" s="19"/>
      <c r="AP404" s="161">
        <v>1.9</v>
      </c>
      <c r="AQ404" s="158" t="s">
        <v>1632</v>
      </c>
      <c r="AR404" s="19"/>
      <c r="AS404" s="19"/>
      <c r="AT404" s="65" t="str">
        <f t="shared" si="109"/>
        <v>Y</v>
      </c>
      <c r="AU404" s="65" t="str">
        <f t="shared" ref="AU404:AU410" si="118">IF(AT404="N","N",IF(AJ404&lt;6,"N",IF(AJ404&gt;8.5,"N","Y")))</f>
        <v>Y</v>
      </c>
      <c r="AV404" s="65" t="str">
        <f t="shared" si="117"/>
        <v>Y</v>
      </c>
      <c r="AW404" s="72"/>
      <c r="AX404" s="72"/>
      <c r="AY404" s="20"/>
      <c r="AZ404" s="96" t="str">
        <f t="shared" ref="AZ404:AZ410" si="119">IF(AV404="N","n",T404)</f>
        <v>NOEC</v>
      </c>
      <c r="BA404" s="96">
        <f>IF(AZ404="n","n",VLOOKUP(AZ404,'Conversion factors'!$C$4:$D$24,2,FALSE))</f>
        <v>1</v>
      </c>
      <c r="BB404" s="96">
        <f t="shared" ref="BB404:BB410" si="120">IF(BA404="n","n",AB404/BA404)</f>
        <v>206</v>
      </c>
      <c r="BC404" s="20"/>
      <c r="BD404" s="96" t="str">
        <f t="shared" si="111"/>
        <v>Chronic</v>
      </c>
      <c r="BE404" s="96" t="str">
        <f t="shared" ref="BE404:BE410" si="121">IF(BD404="chronic","y","n")</f>
        <v>y</v>
      </c>
      <c r="BF404" s="98" t="str">
        <f t="shared" si="112"/>
        <v>NOEC</v>
      </c>
      <c r="BG404" s="96"/>
      <c r="BH404" s="99"/>
    </row>
    <row r="405" spans="1:62" s="103" customFormat="1" ht="15.75" customHeight="1" x14ac:dyDescent="0.2">
      <c r="A405" s="18"/>
      <c r="B405" s="20"/>
      <c r="C405" s="19"/>
      <c r="D405" s="19"/>
      <c r="E405" s="19" t="s">
        <v>1359</v>
      </c>
      <c r="F405" s="93">
        <v>2003</v>
      </c>
      <c r="G405" s="19" t="s">
        <v>1343</v>
      </c>
      <c r="H405" s="19" t="s">
        <v>51</v>
      </c>
      <c r="I405" s="19" t="s">
        <v>41</v>
      </c>
      <c r="J405" s="19" t="s">
        <v>904</v>
      </c>
      <c r="K405" s="19" t="s">
        <v>161</v>
      </c>
      <c r="L405" s="19" t="s">
        <v>82</v>
      </c>
      <c r="M405" s="19" t="s">
        <v>82</v>
      </c>
      <c r="N405" s="19" t="s">
        <v>66</v>
      </c>
      <c r="O405" s="19" t="s">
        <v>1623</v>
      </c>
      <c r="P405" s="19" t="s">
        <v>51</v>
      </c>
      <c r="Q405" s="19"/>
      <c r="R405" s="19" t="s">
        <v>81</v>
      </c>
      <c r="S405" s="158" t="s">
        <v>1624</v>
      </c>
      <c r="T405" s="19" t="s">
        <v>54</v>
      </c>
      <c r="U405" s="19" t="s">
        <v>54</v>
      </c>
      <c r="V405" s="158">
        <v>65</v>
      </c>
      <c r="W405" s="19" t="s">
        <v>45</v>
      </c>
      <c r="X405" s="19" t="s">
        <v>46</v>
      </c>
      <c r="Y405" s="29"/>
      <c r="Z405" s="19"/>
      <c r="AA405" s="19"/>
      <c r="AB405" s="158">
        <v>983</v>
      </c>
      <c r="AC405" s="19" t="s">
        <v>214</v>
      </c>
      <c r="AD405" s="19"/>
      <c r="AE405" s="158">
        <v>153</v>
      </c>
      <c r="AF405" s="19"/>
      <c r="AG405" s="19"/>
      <c r="AH405" s="19"/>
      <c r="AI405" s="19"/>
      <c r="AJ405" s="158">
        <v>7.53</v>
      </c>
      <c r="AK405" s="158" t="s">
        <v>1627</v>
      </c>
      <c r="AL405" s="19"/>
      <c r="AM405" s="19"/>
      <c r="AN405" s="158" t="s">
        <v>86</v>
      </c>
      <c r="AO405" s="19"/>
      <c r="AP405" s="161">
        <v>1.9</v>
      </c>
      <c r="AQ405" s="158" t="s">
        <v>83</v>
      </c>
      <c r="AR405" s="19"/>
      <c r="AS405" s="19"/>
      <c r="AT405" s="65" t="str">
        <f t="shared" si="109"/>
        <v>Y</v>
      </c>
      <c r="AU405" s="65" t="str">
        <f t="shared" ref="AU405:AU406" si="122">IF(AT405="N","N",IF(AJ405&lt;6,"N",IF(AJ405&gt;8.5,"N","Y")))</f>
        <v>Y</v>
      </c>
      <c r="AV405" s="65" t="str">
        <f t="shared" ref="AV405:AV406" si="123">AU405</f>
        <v>Y</v>
      </c>
      <c r="AW405" s="72"/>
      <c r="AX405" s="72"/>
      <c r="AY405" s="20"/>
      <c r="AZ405" s="96" t="str">
        <f t="shared" ref="AZ405:AZ406" si="124">IF(AV405="N","n",T405)</f>
        <v>NOEC</v>
      </c>
      <c r="BA405" s="96">
        <f>IF(AZ405="n","n",VLOOKUP(AZ405,'Conversion factors'!$C$4:$D$24,2,FALSE))</f>
        <v>1</v>
      </c>
      <c r="BB405" s="96">
        <f t="shared" ref="BB405:BB406" si="125">IF(BA405="n","n",AB405/BA405)</f>
        <v>983</v>
      </c>
      <c r="BC405" s="20"/>
      <c r="BD405" s="96" t="str">
        <f t="shared" si="111"/>
        <v>Chronic</v>
      </c>
      <c r="BE405" s="96" t="str">
        <f t="shared" ref="BE405:BE406" si="126">IF(BD405="chronic","y","n")</f>
        <v>y</v>
      </c>
      <c r="BF405" s="98" t="str">
        <f t="shared" si="112"/>
        <v>NOEC</v>
      </c>
      <c r="BG405" s="96"/>
      <c r="BH405" s="99"/>
    </row>
    <row r="406" spans="1:62" s="103" customFormat="1" ht="15.75" customHeight="1" x14ac:dyDescent="0.2">
      <c r="A406" s="18"/>
      <c r="B406" s="20"/>
      <c r="C406" s="19"/>
      <c r="D406" s="19"/>
      <c r="E406" s="19" t="s">
        <v>1359</v>
      </c>
      <c r="F406" s="93">
        <v>2003</v>
      </c>
      <c r="G406" s="19" t="s">
        <v>1343</v>
      </c>
      <c r="H406" s="19" t="s">
        <v>51</v>
      </c>
      <c r="I406" s="19" t="s">
        <v>41</v>
      </c>
      <c r="J406" s="19" t="s">
        <v>904</v>
      </c>
      <c r="K406" s="19" t="s">
        <v>161</v>
      </c>
      <c r="L406" s="19" t="s">
        <v>82</v>
      </c>
      <c r="M406" s="19" t="s">
        <v>82</v>
      </c>
      <c r="N406" s="19" t="s">
        <v>66</v>
      </c>
      <c r="O406" s="19" t="s">
        <v>1330</v>
      </c>
      <c r="P406" s="19" t="s">
        <v>51</v>
      </c>
      <c r="Q406" s="19"/>
      <c r="R406" s="19" t="s">
        <v>237</v>
      </c>
      <c r="S406" s="158" t="s">
        <v>1621</v>
      </c>
      <c r="T406" s="19" t="s">
        <v>54</v>
      </c>
      <c r="U406" s="19" t="s">
        <v>54</v>
      </c>
      <c r="V406" s="158">
        <v>30</v>
      </c>
      <c r="W406" s="19" t="s">
        <v>45</v>
      </c>
      <c r="X406" s="19" t="s">
        <v>46</v>
      </c>
      <c r="Y406" s="29"/>
      <c r="Z406" s="19"/>
      <c r="AA406" s="19"/>
      <c r="AB406" s="158">
        <v>106</v>
      </c>
      <c r="AC406" s="19" t="s">
        <v>214</v>
      </c>
      <c r="AD406" s="19"/>
      <c r="AE406" s="158">
        <v>27.3</v>
      </c>
      <c r="AF406" s="19"/>
      <c r="AG406" s="19"/>
      <c r="AH406" s="19"/>
      <c r="AI406" s="19"/>
      <c r="AJ406" s="158">
        <v>7.49</v>
      </c>
      <c r="AK406" s="158" t="s">
        <v>718</v>
      </c>
      <c r="AL406" s="19"/>
      <c r="AM406" s="19"/>
      <c r="AN406" s="158" t="s">
        <v>1629</v>
      </c>
      <c r="AO406" s="19"/>
      <c r="AP406" s="161">
        <v>1.9</v>
      </c>
      <c r="AQ406" s="158" t="s">
        <v>1632</v>
      </c>
      <c r="AR406" s="19"/>
      <c r="AS406" s="19"/>
      <c r="AT406" s="65" t="str">
        <f t="shared" si="109"/>
        <v>Y</v>
      </c>
      <c r="AU406" s="65" t="str">
        <f t="shared" si="122"/>
        <v>Y</v>
      </c>
      <c r="AV406" s="65" t="str">
        <f t="shared" si="123"/>
        <v>Y</v>
      </c>
      <c r="AW406" s="72"/>
      <c r="AX406" s="72"/>
      <c r="AY406" s="20"/>
      <c r="AZ406" s="96" t="str">
        <f t="shared" si="124"/>
        <v>NOEC</v>
      </c>
      <c r="BA406" s="96">
        <f>IF(AZ406="n","n",VLOOKUP(AZ406,'Conversion factors'!$C$4:$D$24,2,FALSE))</f>
        <v>1</v>
      </c>
      <c r="BB406" s="96">
        <f t="shared" si="125"/>
        <v>106</v>
      </c>
      <c r="BC406" s="20"/>
      <c r="BD406" s="96" t="str">
        <f t="shared" si="111"/>
        <v>Chronic</v>
      </c>
      <c r="BE406" s="96" t="str">
        <f t="shared" si="126"/>
        <v>y</v>
      </c>
      <c r="BF406" s="98" t="str">
        <f t="shared" si="112"/>
        <v>NOEC</v>
      </c>
      <c r="BG406" s="96"/>
      <c r="BH406" s="99"/>
    </row>
    <row r="407" spans="1:62" s="103" customFormat="1" ht="15.75" customHeight="1" x14ac:dyDescent="0.2">
      <c r="A407" s="18"/>
      <c r="B407" s="20"/>
      <c r="C407" s="19"/>
      <c r="D407" s="19"/>
      <c r="E407" s="19" t="s">
        <v>1359</v>
      </c>
      <c r="F407" s="93">
        <v>2003</v>
      </c>
      <c r="G407" s="19" t="s">
        <v>1343</v>
      </c>
      <c r="H407" s="19" t="s">
        <v>51</v>
      </c>
      <c r="I407" s="19" t="s">
        <v>41</v>
      </c>
      <c r="J407" s="19" t="s">
        <v>904</v>
      </c>
      <c r="K407" s="19" t="s">
        <v>161</v>
      </c>
      <c r="L407" s="19" t="s">
        <v>82</v>
      </c>
      <c r="M407" s="19" t="s">
        <v>82</v>
      </c>
      <c r="N407" s="19" t="s">
        <v>66</v>
      </c>
      <c r="O407" s="19" t="s">
        <v>1330</v>
      </c>
      <c r="P407" s="19" t="s">
        <v>51</v>
      </c>
      <c r="Q407" s="19"/>
      <c r="R407" s="19" t="s">
        <v>237</v>
      </c>
      <c r="S407" s="158" t="s">
        <v>1621</v>
      </c>
      <c r="T407" s="19" t="s">
        <v>54</v>
      </c>
      <c r="U407" s="19" t="s">
        <v>54</v>
      </c>
      <c r="V407" s="158">
        <v>30</v>
      </c>
      <c r="W407" s="19" t="s">
        <v>45</v>
      </c>
      <c r="X407" s="19" t="s">
        <v>46</v>
      </c>
      <c r="Y407" s="29"/>
      <c r="Z407" s="19"/>
      <c r="AA407" s="19"/>
      <c r="AB407" s="158">
        <v>436</v>
      </c>
      <c r="AC407" s="19" t="s">
        <v>214</v>
      </c>
      <c r="AD407" s="19"/>
      <c r="AE407" s="158">
        <v>131</v>
      </c>
      <c r="AF407" s="19"/>
      <c r="AG407" s="19"/>
      <c r="AH407" s="19"/>
      <c r="AI407" s="19"/>
      <c r="AJ407" s="158">
        <v>7.57</v>
      </c>
      <c r="AK407" s="158" t="s">
        <v>1628</v>
      </c>
      <c r="AL407" s="19"/>
      <c r="AM407" s="19"/>
      <c r="AN407" s="158" t="s">
        <v>1630</v>
      </c>
      <c r="AO407" s="19"/>
      <c r="AP407" s="161">
        <v>1.9</v>
      </c>
      <c r="AQ407" s="158" t="s">
        <v>820</v>
      </c>
      <c r="AR407" s="19"/>
      <c r="AS407" s="19"/>
      <c r="AT407" s="65" t="str">
        <f t="shared" si="109"/>
        <v>Y</v>
      </c>
      <c r="AU407" s="65" t="str">
        <f t="shared" si="118"/>
        <v>Y</v>
      </c>
      <c r="AV407" s="65" t="str">
        <f t="shared" si="117"/>
        <v>Y</v>
      </c>
      <c r="AW407" s="72"/>
      <c r="AX407" s="72"/>
      <c r="AY407" s="20"/>
      <c r="AZ407" s="96" t="str">
        <f t="shared" si="119"/>
        <v>NOEC</v>
      </c>
      <c r="BA407" s="96">
        <f>IF(AZ407="n","n",VLOOKUP(AZ407,'Conversion factors'!$C$4:$D$24,2,FALSE))</f>
        <v>1</v>
      </c>
      <c r="BB407" s="96">
        <f t="shared" si="120"/>
        <v>436</v>
      </c>
      <c r="BC407" s="20"/>
      <c r="BD407" s="96" t="str">
        <f t="shared" si="111"/>
        <v>Chronic</v>
      </c>
      <c r="BE407" s="96" t="str">
        <f t="shared" si="121"/>
        <v>y</v>
      </c>
      <c r="BF407" s="98" t="str">
        <f t="shared" si="112"/>
        <v>NOEC</v>
      </c>
      <c r="BG407" s="96"/>
      <c r="BH407" s="99"/>
    </row>
    <row r="408" spans="1:62" s="103" customFormat="1" ht="15.75" customHeight="1" x14ac:dyDescent="0.2">
      <c r="A408" s="18"/>
      <c r="B408" s="20"/>
      <c r="C408" s="19"/>
      <c r="D408" s="19"/>
      <c r="E408" s="19" t="s">
        <v>1359</v>
      </c>
      <c r="F408" s="93">
        <v>2003</v>
      </c>
      <c r="G408" s="19" t="s">
        <v>1343</v>
      </c>
      <c r="H408" s="19" t="s">
        <v>51</v>
      </c>
      <c r="I408" s="19" t="s">
        <v>41</v>
      </c>
      <c r="J408" s="19" t="s">
        <v>904</v>
      </c>
      <c r="K408" s="19" t="s">
        <v>161</v>
      </c>
      <c r="L408" s="19" t="s">
        <v>82</v>
      </c>
      <c r="M408" s="19" t="s">
        <v>82</v>
      </c>
      <c r="N408" s="19" t="s">
        <v>66</v>
      </c>
      <c r="O408" s="19" t="s">
        <v>1623</v>
      </c>
      <c r="P408" s="19" t="s">
        <v>51</v>
      </c>
      <c r="Q408" s="19"/>
      <c r="R408" s="19" t="s">
        <v>237</v>
      </c>
      <c r="S408" s="158" t="s">
        <v>1621</v>
      </c>
      <c r="T408" s="19" t="s">
        <v>54</v>
      </c>
      <c r="U408" s="19" t="s">
        <v>54</v>
      </c>
      <c r="V408" s="158">
        <v>65</v>
      </c>
      <c r="W408" s="19" t="s">
        <v>45</v>
      </c>
      <c r="X408" s="19" t="s">
        <v>46</v>
      </c>
      <c r="Y408" s="29"/>
      <c r="Z408" s="19"/>
      <c r="AA408" s="19"/>
      <c r="AB408" s="158">
        <v>983</v>
      </c>
      <c r="AC408" s="19" t="s">
        <v>214</v>
      </c>
      <c r="AD408" s="19"/>
      <c r="AE408" s="158">
        <v>153</v>
      </c>
      <c r="AF408" s="19"/>
      <c r="AG408" s="19"/>
      <c r="AH408" s="19"/>
      <c r="AI408" s="19"/>
      <c r="AJ408" s="158">
        <v>7.53</v>
      </c>
      <c r="AK408" s="158" t="s">
        <v>1627</v>
      </c>
      <c r="AL408" s="19"/>
      <c r="AM408" s="19"/>
      <c r="AN408" s="158" t="s">
        <v>86</v>
      </c>
      <c r="AO408" s="19"/>
      <c r="AP408" s="161">
        <v>1.9</v>
      </c>
      <c r="AQ408" s="158" t="s">
        <v>83</v>
      </c>
      <c r="AR408" s="19"/>
      <c r="AS408" s="19"/>
      <c r="AT408" s="65" t="str">
        <f t="shared" si="109"/>
        <v>Y</v>
      </c>
      <c r="AU408" s="65" t="str">
        <f t="shared" si="118"/>
        <v>Y</v>
      </c>
      <c r="AV408" s="65" t="str">
        <f t="shared" si="117"/>
        <v>Y</v>
      </c>
      <c r="AW408" s="72"/>
      <c r="AX408" s="72"/>
      <c r="AY408" s="20"/>
      <c r="AZ408" s="96" t="str">
        <f t="shared" si="119"/>
        <v>NOEC</v>
      </c>
      <c r="BA408" s="96">
        <f>IF(AZ408="n","n",VLOOKUP(AZ408,'Conversion factors'!$C$4:$D$24,2,FALSE))</f>
        <v>1</v>
      </c>
      <c r="BB408" s="96">
        <f t="shared" si="120"/>
        <v>983</v>
      </c>
      <c r="BC408" s="20"/>
      <c r="BD408" s="96" t="str">
        <f t="shared" si="111"/>
        <v>Chronic</v>
      </c>
      <c r="BE408" s="96" t="str">
        <f t="shared" si="121"/>
        <v>y</v>
      </c>
      <c r="BF408" s="98" t="str">
        <f t="shared" si="112"/>
        <v>NOEC</v>
      </c>
      <c r="BG408" s="96"/>
      <c r="BH408" s="99"/>
    </row>
    <row r="409" spans="1:62" s="103" customFormat="1" ht="15.75" customHeight="1" x14ac:dyDescent="0.2">
      <c r="A409" s="18"/>
      <c r="B409" s="20"/>
      <c r="C409" s="19"/>
      <c r="D409" s="19"/>
      <c r="E409" s="19" t="s">
        <v>1359</v>
      </c>
      <c r="F409" s="93">
        <v>2003</v>
      </c>
      <c r="G409" s="19" t="s">
        <v>1343</v>
      </c>
      <c r="H409" s="19" t="s">
        <v>51</v>
      </c>
      <c r="I409" s="19" t="s">
        <v>41</v>
      </c>
      <c r="J409" s="19" t="s">
        <v>904</v>
      </c>
      <c r="K409" s="19" t="s">
        <v>161</v>
      </c>
      <c r="L409" s="19" t="s">
        <v>82</v>
      </c>
      <c r="M409" s="19" t="s">
        <v>82</v>
      </c>
      <c r="N409" s="19" t="s">
        <v>66</v>
      </c>
      <c r="O409" s="19" t="s">
        <v>1623</v>
      </c>
      <c r="P409" s="19" t="s">
        <v>51</v>
      </c>
      <c r="Q409" s="19"/>
      <c r="R409" s="19" t="s">
        <v>237</v>
      </c>
      <c r="S409" s="158" t="s">
        <v>1622</v>
      </c>
      <c r="T409" s="19" t="s">
        <v>54</v>
      </c>
      <c r="U409" s="19" t="s">
        <v>54</v>
      </c>
      <c r="V409" s="158">
        <v>65</v>
      </c>
      <c r="W409" s="19" t="s">
        <v>45</v>
      </c>
      <c r="X409" s="19" t="s">
        <v>46</v>
      </c>
      <c r="Y409" s="29"/>
      <c r="Z409" s="19"/>
      <c r="AA409" s="19"/>
      <c r="AB409" s="158">
        <v>1734</v>
      </c>
      <c r="AC409" s="19" t="s">
        <v>214</v>
      </c>
      <c r="AD409" s="19"/>
      <c r="AE409" s="158">
        <v>153</v>
      </c>
      <c r="AF409" s="19"/>
      <c r="AG409" s="19"/>
      <c r="AH409" s="19"/>
      <c r="AI409" s="19"/>
      <c r="AJ409" s="158">
        <v>7.53</v>
      </c>
      <c r="AK409" s="158" t="s">
        <v>1627</v>
      </c>
      <c r="AL409" s="19"/>
      <c r="AM409" s="19"/>
      <c r="AN409" s="158" t="s">
        <v>86</v>
      </c>
      <c r="AO409" s="19"/>
      <c r="AP409" s="161">
        <v>1.9</v>
      </c>
      <c r="AQ409" s="158" t="s">
        <v>83</v>
      </c>
      <c r="AR409" s="19"/>
      <c r="AS409" s="19"/>
      <c r="AT409" s="65" t="str">
        <f t="shared" si="109"/>
        <v>Y</v>
      </c>
      <c r="AU409" s="65" t="str">
        <f t="shared" ref="AU409" si="127">IF(AT409="N","N",IF(AJ409&lt;6,"N",IF(AJ409&gt;8.5,"N","Y")))</f>
        <v>Y</v>
      </c>
      <c r="AV409" s="65" t="str">
        <f t="shared" ref="AV409" si="128">AU409</f>
        <v>Y</v>
      </c>
      <c r="AW409" s="72"/>
      <c r="AX409" s="72"/>
      <c r="AY409" s="20"/>
      <c r="AZ409" s="96" t="str">
        <f t="shared" ref="AZ409" si="129">IF(AV409="N","n",T409)</f>
        <v>NOEC</v>
      </c>
      <c r="BA409" s="96">
        <f>IF(AZ409="n","n",VLOOKUP(AZ409,'Conversion factors'!$C$4:$D$24,2,FALSE))</f>
        <v>1</v>
      </c>
      <c r="BB409" s="96">
        <f t="shared" ref="BB409" si="130">IF(BA409="n","n",AB409/BA409)</f>
        <v>1734</v>
      </c>
      <c r="BC409" s="20"/>
      <c r="BD409" s="96" t="str">
        <f t="shared" si="111"/>
        <v>Chronic</v>
      </c>
      <c r="BE409" s="96" t="str">
        <f t="shared" ref="BE409" si="131">IF(BD409="chronic","y","n")</f>
        <v>y</v>
      </c>
      <c r="BF409" s="98" t="str">
        <f t="shared" si="112"/>
        <v>NOEC</v>
      </c>
      <c r="BG409" s="96"/>
      <c r="BH409" s="99"/>
    </row>
    <row r="410" spans="1:62" s="103" customFormat="1" ht="15.75" customHeight="1" x14ac:dyDescent="0.2">
      <c r="A410" s="18"/>
      <c r="B410" s="20"/>
      <c r="C410" s="19"/>
      <c r="D410" s="19"/>
      <c r="E410" s="19" t="s">
        <v>1359</v>
      </c>
      <c r="F410" s="93">
        <v>2003</v>
      </c>
      <c r="G410" s="19" t="s">
        <v>1343</v>
      </c>
      <c r="H410" s="19" t="s">
        <v>51</v>
      </c>
      <c r="I410" s="19" t="s">
        <v>41</v>
      </c>
      <c r="J410" s="19" t="s">
        <v>904</v>
      </c>
      <c r="K410" s="19" t="s">
        <v>161</v>
      </c>
      <c r="L410" s="19" t="s">
        <v>82</v>
      </c>
      <c r="M410" s="19" t="s">
        <v>82</v>
      </c>
      <c r="N410" s="19" t="s">
        <v>66</v>
      </c>
      <c r="O410" s="19" t="s">
        <v>1623</v>
      </c>
      <c r="P410" s="19" t="s">
        <v>51</v>
      </c>
      <c r="Q410" s="19"/>
      <c r="R410" s="19" t="s">
        <v>1626</v>
      </c>
      <c r="S410" s="159" t="s">
        <v>1625</v>
      </c>
      <c r="T410" s="19" t="s">
        <v>54</v>
      </c>
      <c r="U410" s="19" t="s">
        <v>54</v>
      </c>
      <c r="V410" s="159">
        <v>30</v>
      </c>
      <c r="W410" s="19" t="s">
        <v>45</v>
      </c>
      <c r="X410" s="19" t="s">
        <v>46</v>
      </c>
      <c r="Y410" s="29"/>
      <c r="Z410" s="19"/>
      <c r="AA410" s="19"/>
      <c r="AB410" s="159">
        <v>119</v>
      </c>
      <c r="AC410" s="19" t="s">
        <v>214</v>
      </c>
      <c r="AD410" s="19"/>
      <c r="AE410" s="160">
        <v>26.8</v>
      </c>
      <c r="AF410" s="19"/>
      <c r="AG410" s="19"/>
      <c r="AH410" s="19"/>
      <c r="AI410" s="19"/>
      <c r="AJ410" s="160">
        <v>7.45</v>
      </c>
      <c r="AK410" s="160" t="s">
        <v>707</v>
      </c>
      <c r="AL410" s="19"/>
      <c r="AM410" s="19"/>
      <c r="AN410" s="160" t="s">
        <v>1631</v>
      </c>
      <c r="AO410" s="19"/>
      <c r="AP410" s="161">
        <v>1.9</v>
      </c>
      <c r="AQ410" s="160" t="s">
        <v>1633</v>
      </c>
      <c r="AR410" s="19"/>
      <c r="AS410" s="19"/>
      <c r="AT410" s="65" t="str">
        <f t="shared" si="109"/>
        <v>Y</v>
      </c>
      <c r="AU410" s="65" t="str">
        <f t="shared" si="118"/>
        <v>Y</v>
      </c>
      <c r="AV410" s="65" t="s">
        <v>47</v>
      </c>
      <c r="AW410" s="72" t="s">
        <v>1634</v>
      </c>
      <c r="AX410" s="72"/>
      <c r="AY410" s="20"/>
      <c r="AZ410" s="96" t="str">
        <f t="shared" si="119"/>
        <v>n</v>
      </c>
      <c r="BA410" s="96" t="str">
        <f>IF(AZ410="n","n",VLOOKUP(AZ410,'Conversion factors'!$C$4:$D$24,2,FALSE))</f>
        <v>n</v>
      </c>
      <c r="BB410" s="96" t="str">
        <f t="shared" si="120"/>
        <v>n</v>
      </c>
      <c r="BC410" s="20"/>
      <c r="BD410" s="96" t="str">
        <f t="shared" si="111"/>
        <v>n</v>
      </c>
      <c r="BE410" s="96" t="str">
        <f t="shared" si="121"/>
        <v>n</v>
      </c>
      <c r="BF410" s="98" t="str">
        <f t="shared" si="112"/>
        <v/>
      </c>
      <c r="BG410" s="96"/>
      <c r="BH410" s="99"/>
    </row>
    <row r="411" spans="1:62" s="103" customFormat="1" ht="15.75" customHeight="1" x14ac:dyDescent="0.2">
      <c r="A411" s="18"/>
      <c r="B411" s="20">
        <v>339</v>
      </c>
      <c r="C411" s="19"/>
      <c r="D411" s="19"/>
      <c r="E411" s="19" t="s">
        <v>1359</v>
      </c>
      <c r="F411" s="93">
        <v>2002</v>
      </c>
      <c r="G411" s="19" t="s">
        <v>1343</v>
      </c>
      <c r="H411" s="19" t="s">
        <v>51</v>
      </c>
      <c r="I411" s="19" t="s">
        <v>41</v>
      </c>
      <c r="J411" s="19" t="s">
        <v>904</v>
      </c>
      <c r="K411" s="19" t="s">
        <v>161</v>
      </c>
      <c r="L411" s="99" t="s">
        <v>82</v>
      </c>
      <c r="M411" s="19" t="s">
        <v>82</v>
      </c>
      <c r="N411" s="19" t="s">
        <v>66</v>
      </c>
      <c r="O411" s="19" t="s">
        <v>1116</v>
      </c>
      <c r="P411" s="19" t="s">
        <v>51</v>
      </c>
      <c r="Q411" s="19"/>
      <c r="R411" s="19" t="s">
        <v>81</v>
      </c>
      <c r="S411" s="19" t="s">
        <v>1353</v>
      </c>
      <c r="T411" s="19" t="s">
        <v>54</v>
      </c>
      <c r="U411" s="19" t="s">
        <v>54</v>
      </c>
      <c r="V411" s="19">
        <v>58</v>
      </c>
      <c r="W411" s="19" t="s">
        <v>45</v>
      </c>
      <c r="X411" s="19" t="s">
        <v>46</v>
      </c>
      <c r="Y411" s="29"/>
      <c r="Z411" s="19"/>
      <c r="AA411" s="19"/>
      <c r="AB411" s="19">
        <v>141</v>
      </c>
      <c r="AC411" s="19" t="s">
        <v>214</v>
      </c>
      <c r="AD411" s="19"/>
      <c r="AE411" s="19">
        <v>47.7</v>
      </c>
      <c r="AF411" s="19" t="s">
        <v>1350</v>
      </c>
      <c r="AG411" s="19" t="s">
        <v>270</v>
      </c>
      <c r="AH411" s="19"/>
      <c r="AI411" s="19"/>
      <c r="AJ411" s="101">
        <v>7.59</v>
      </c>
      <c r="AK411" s="19" t="s">
        <v>1349</v>
      </c>
      <c r="AL411" s="19">
        <v>94.8</v>
      </c>
      <c r="AM411" s="19"/>
      <c r="AN411" s="19">
        <v>33.6</v>
      </c>
      <c r="AO411" s="19"/>
      <c r="AP411" s="161">
        <v>1.9</v>
      </c>
      <c r="AQ411" s="19" t="s">
        <v>1351</v>
      </c>
      <c r="AR411" s="19" t="s">
        <v>1352</v>
      </c>
      <c r="AS411" s="19"/>
      <c r="AT411" s="65" t="str">
        <f t="shared" si="109"/>
        <v>Y</v>
      </c>
      <c r="AU411" s="65" t="str">
        <f t="shared" si="113"/>
        <v>Y</v>
      </c>
      <c r="AV411" s="65" t="str">
        <f t="shared" si="117"/>
        <v>Y</v>
      </c>
      <c r="AW411" s="19" t="s">
        <v>1348</v>
      </c>
      <c r="AX411" s="19"/>
      <c r="AY411" s="19"/>
      <c r="AZ411" s="96" t="str">
        <f t="shared" si="114"/>
        <v>NOEC</v>
      </c>
      <c r="BA411" s="96">
        <f>IF(AZ411="n","n",VLOOKUP(AZ411,'Conversion factors'!$C$4:$D$24,2,FALSE))</f>
        <v>1</v>
      </c>
      <c r="BB411" s="96">
        <f t="shared" si="115"/>
        <v>141</v>
      </c>
      <c r="BC411" s="97"/>
      <c r="BD411" s="96" t="str">
        <f t="shared" si="111"/>
        <v>Chronic</v>
      </c>
      <c r="BE411" s="96" t="str">
        <f t="shared" si="116"/>
        <v>y</v>
      </c>
      <c r="BF411" s="98" t="str">
        <f t="shared" si="112"/>
        <v>NOEC</v>
      </c>
      <c r="BG411" s="96" t="str">
        <f>IF(BF411="","",IF(ISNUMBER(VLOOKUP(BF411,'Conversion factors'!$B$35:$C$52,2,FALSE)),"y","n"))</f>
        <v>y</v>
      </c>
      <c r="BH411" s="99" t="s">
        <v>1507</v>
      </c>
    </row>
    <row r="412" spans="1:62" s="103" customFormat="1" ht="15.75" customHeight="1" x14ac:dyDescent="0.2">
      <c r="A412" s="18"/>
      <c r="B412" s="20">
        <v>339</v>
      </c>
      <c r="C412" s="19"/>
      <c r="D412" s="19"/>
      <c r="E412" s="19" t="s">
        <v>1359</v>
      </c>
      <c r="F412" s="93">
        <v>2002</v>
      </c>
      <c r="G412" s="19" t="s">
        <v>1343</v>
      </c>
      <c r="H412" s="19" t="s">
        <v>51</v>
      </c>
      <c r="I412" s="19" t="s">
        <v>41</v>
      </c>
      <c r="J412" s="19" t="s">
        <v>904</v>
      </c>
      <c r="K412" s="19" t="s">
        <v>161</v>
      </c>
      <c r="L412" s="99" t="s">
        <v>82</v>
      </c>
      <c r="M412" s="19" t="s">
        <v>82</v>
      </c>
      <c r="N412" s="19" t="s">
        <v>66</v>
      </c>
      <c r="O412" s="19" t="s">
        <v>1116</v>
      </c>
      <c r="P412" s="19" t="s">
        <v>51</v>
      </c>
      <c r="Q412" s="19"/>
      <c r="R412" s="19" t="s">
        <v>81</v>
      </c>
      <c r="S412" s="19" t="s">
        <v>1354</v>
      </c>
      <c r="T412" s="19" t="s">
        <v>54</v>
      </c>
      <c r="U412" s="19" t="s">
        <v>54</v>
      </c>
      <c r="V412" s="19">
        <v>58</v>
      </c>
      <c r="W412" s="19" t="s">
        <v>45</v>
      </c>
      <c r="X412" s="19" t="s">
        <v>46</v>
      </c>
      <c r="Y412" s="29"/>
      <c r="Z412" s="19"/>
      <c r="AA412" s="19"/>
      <c r="AB412" s="19">
        <v>275</v>
      </c>
      <c r="AC412" s="19" t="s">
        <v>214</v>
      </c>
      <c r="AD412" s="19"/>
      <c r="AE412" s="19">
        <v>47.7</v>
      </c>
      <c r="AF412" s="19" t="s">
        <v>1350</v>
      </c>
      <c r="AG412" s="19" t="s">
        <v>270</v>
      </c>
      <c r="AH412" s="19"/>
      <c r="AI412" s="19"/>
      <c r="AJ412" s="19">
        <v>7.59</v>
      </c>
      <c r="AK412" s="19" t="s">
        <v>1349</v>
      </c>
      <c r="AL412" s="19">
        <v>94.8</v>
      </c>
      <c r="AM412" s="19"/>
      <c r="AN412" s="19">
        <v>33.6</v>
      </c>
      <c r="AO412" s="19"/>
      <c r="AP412" s="161">
        <v>1.9</v>
      </c>
      <c r="AQ412" s="19" t="s">
        <v>1351</v>
      </c>
      <c r="AR412" s="19" t="s">
        <v>1352</v>
      </c>
      <c r="AS412" s="19"/>
      <c r="AT412" s="65" t="str">
        <f t="shared" si="109"/>
        <v>Y</v>
      </c>
      <c r="AU412" s="65" t="str">
        <f t="shared" si="113"/>
        <v>Y</v>
      </c>
      <c r="AV412" s="65" t="s">
        <v>162</v>
      </c>
      <c r="AW412" s="99" t="s">
        <v>1514</v>
      </c>
      <c r="AX412" s="99"/>
      <c r="AY412" s="19"/>
      <c r="AZ412" s="96" t="str">
        <f t="shared" si="114"/>
        <v>n</v>
      </c>
      <c r="BA412" s="96" t="str">
        <f>IF(AZ412="n","n",VLOOKUP(AZ412,'Conversion factors'!$C$4:$D$24,2,FALSE))</f>
        <v>n</v>
      </c>
      <c r="BB412" s="96" t="str">
        <f t="shared" si="115"/>
        <v>n</v>
      </c>
      <c r="BC412" s="97"/>
      <c r="BD412" s="96" t="str">
        <f t="shared" si="111"/>
        <v>n</v>
      </c>
      <c r="BE412" s="96" t="str">
        <f t="shared" si="116"/>
        <v>n</v>
      </c>
      <c r="BF412" s="98" t="str">
        <f t="shared" si="112"/>
        <v/>
      </c>
      <c r="BG412" s="96" t="str">
        <f>IF(BF412="","",IF(ISNUMBER(VLOOKUP(BF412,'Conversion factors'!$B$35:$C$52,2,FALSE)),"y","n"))</f>
        <v/>
      </c>
      <c r="BH412" s="99" t="s">
        <v>1507</v>
      </c>
    </row>
    <row r="413" spans="1:62" s="103" customFormat="1" ht="15.75" customHeight="1" x14ac:dyDescent="0.2">
      <c r="A413" s="18"/>
      <c r="B413" s="20">
        <v>339</v>
      </c>
      <c r="C413" s="19"/>
      <c r="D413" s="19"/>
      <c r="E413" s="19" t="s">
        <v>1359</v>
      </c>
      <c r="F413" s="93">
        <v>2002</v>
      </c>
      <c r="G413" s="19" t="s">
        <v>1343</v>
      </c>
      <c r="H413" s="19" t="s">
        <v>51</v>
      </c>
      <c r="I413" s="19" t="s">
        <v>41</v>
      </c>
      <c r="J413" s="19" t="s">
        <v>904</v>
      </c>
      <c r="K413" s="19" t="s">
        <v>161</v>
      </c>
      <c r="L413" s="99" t="s">
        <v>82</v>
      </c>
      <c r="M413" s="19" t="s">
        <v>82</v>
      </c>
      <c r="N413" s="19" t="s">
        <v>66</v>
      </c>
      <c r="O413" s="19" t="s">
        <v>1116</v>
      </c>
      <c r="P413" s="19" t="s">
        <v>51</v>
      </c>
      <c r="Q413" s="19"/>
      <c r="R413" s="19" t="s">
        <v>237</v>
      </c>
      <c r="S413" s="19" t="s">
        <v>79</v>
      </c>
      <c r="T413" s="19" t="s">
        <v>54</v>
      </c>
      <c r="U413" s="19" t="s">
        <v>54</v>
      </c>
      <c r="V413" s="19">
        <v>58</v>
      </c>
      <c r="W413" s="19" t="s">
        <v>45</v>
      </c>
      <c r="X413" s="19" t="s">
        <v>46</v>
      </c>
      <c r="Y413" s="29"/>
      <c r="Z413" s="19"/>
      <c r="AA413" s="19"/>
      <c r="AB413" s="19">
        <v>1090</v>
      </c>
      <c r="AC413" s="19" t="s">
        <v>214</v>
      </c>
      <c r="AD413" s="19"/>
      <c r="AE413" s="19">
        <v>47.7</v>
      </c>
      <c r="AF413" s="19" t="s">
        <v>1350</v>
      </c>
      <c r="AG413" s="19" t="s">
        <v>270</v>
      </c>
      <c r="AH413" s="19"/>
      <c r="AI413" s="19"/>
      <c r="AJ413" s="101">
        <v>7.59</v>
      </c>
      <c r="AK413" s="19" t="s">
        <v>1349</v>
      </c>
      <c r="AL413" s="19">
        <v>94.8</v>
      </c>
      <c r="AM413" s="19"/>
      <c r="AN413" s="19">
        <v>33.6</v>
      </c>
      <c r="AO413" s="19"/>
      <c r="AP413" s="161">
        <v>1.9</v>
      </c>
      <c r="AQ413" s="19" t="s">
        <v>1351</v>
      </c>
      <c r="AR413" s="19" t="s">
        <v>1352</v>
      </c>
      <c r="AS413" s="19"/>
      <c r="AT413" s="65" t="str">
        <f t="shared" si="109"/>
        <v>Y</v>
      </c>
      <c r="AU413" s="65" t="str">
        <f t="shared" si="113"/>
        <v>Y</v>
      </c>
      <c r="AV413" s="65" t="str">
        <f>AU413</f>
        <v>Y</v>
      </c>
      <c r="AW413" s="19" t="s">
        <v>1348</v>
      </c>
      <c r="AX413" s="19"/>
      <c r="AY413" s="19"/>
      <c r="AZ413" s="96" t="str">
        <f t="shared" si="114"/>
        <v>NOEC</v>
      </c>
      <c r="BA413" s="96">
        <f>IF(AZ413="n","n",VLOOKUP(AZ413,'Conversion factors'!$C$4:$D$24,2,FALSE))</f>
        <v>1</v>
      </c>
      <c r="BB413" s="96">
        <f t="shared" si="115"/>
        <v>1090</v>
      </c>
      <c r="BC413" s="97"/>
      <c r="BD413" s="96" t="str">
        <f t="shared" si="111"/>
        <v>Chronic</v>
      </c>
      <c r="BE413" s="96" t="str">
        <f t="shared" si="116"/>
        <v>y</v>
      </c>
      <c r="BF413" s="98" t="str">
        <f t="shared" si="112"/>
        <v>NOEC</v>
      </c>
      <c r="BG413" s="96" t="str">
        <f>IF(BF413="","",IF(ISNUMBER(VLOOKUP(BF413,'Conversion factors'!$B$35:$C$52,2,FALSE)),"y","n"))</f>
        <v>y</v>
      </c>
      <c r="BH413" s="99" t="s">
        <v>1507</v>
      </c>
    </row>
    <row r="414" spans="1:62" s="103" customFormat="1" ht="15.75" customHeight="1" x14ac:dyDescent="0.2">
      <c r="A414" s="18"/>
      <c r="B414" s="20">
        <v>338</v>
      </c>
      <c r="C414" s="20"/>
      <c r="D414" s="20"/>
      <c r="E414" s="20" t="s">
        <v>1359</v>
      </c>
      <c r="F414" s="93">
        <v>1999</v>
      </c>
      <c r="G414" s="19" t="s">
        <v>903</v>
      </c>
      <c r="H414" s="19" t="s">
        <v>51</v>
      </c>
      <c r="I414" s="19" t="s">
        <v>41</v>
      </c>
      <c r="J414" s="19" t="s">
        <v>904</v>
      </c>
      <c r="K414" s="19" t="s">
        <v>161</v>
      </c>
      <c r="L414" s="99" t="s">
        <v>82</v>
      </c>
      <c r="M414" s="19" t="s">
        <v>82</v>
      </c>
      <c r="N414" s="19" t="s">
        <v>66</v>
      </c>
      <c r="O414" s="19" t="s">
        <v>1116</v>
      </c>
      <c r="P414" s="19" t="s">
        <v>51</v>
      </c>
      <c r="Q414" s="20"/>
      <c r="R414" s="19" t="s">
        <v>1309</v>
      </c>
      <c r="S414" s="19" t="s">
        <v>1244</v>
      </c>
      <c r="T414" s="19" t="s">
        <v>54</v>
      </c>
      <c r="U414" s="19" t="s">
        <v>54</v>
      </c>
      <c r="V414" s="19">
        <v>68</v>
      </c>
      <c r="W414" s="19" t="s">
        <v>45</v>
      </c>
      <c r="X414" s="19" t="s">
        <v>46</v>
      </c>
      <c r="Y414" s="20"/>
      <c r="Z414" s="20"/>
      <c r="AA414" s="20"/>
      <c r="AB414" s="19">
        <v>280</v>
      </c>
      <c r="AC414" s="19" t="s">
        <v>214</v>
      </c>
      <c r="AD414" s="20"/>
      <c r="AE414" s="20">
        <v>54.1</v>
      </c>
      <c r="AF414" s="20">
        <v>54.1</v>
      </c>
      <c r="AG414" s="19" t="s">
        <v>270</v>
      </c>
      <c r="AH414" s="19"/>
      <c r="AI414" s="19"/>
      <c r="AJ414" s="101">
        <v>7.52</v>
      </c>
      <c r="AK414" s="19">
        <v>7.52</v>
      </c>
      <c r="AL414" s="19">
        <v>92.1</v>
      </c>
      <c r="AM414" s="20"/>
      <c r="AN414" s="19">
        <v>35.299999999999997</v>
      </c>
      <c r="AO414" s="20"/>
      <c r="AP414" s="94"/>
      <c r="AQ414" s="19">
        <v>12</v>
      </c>
      <c r="AR414" s="19">
        <v>9.09</v>
      </c>
      <c r="AS414" s="20"/>
      <c r="AT414" s="65" t="str">
        <f t="shared" si="109"/>
        <v>Y</v>
      </c>
      <c r="AU414" s="65" t="str">
        <f t="shared" si="113"/>
        <v>Y</v>
      </c>
      <c r="AV414" s="65" t="s">
        <v>162</v>
      </c>
      <c r="AW414" s="72" t="s">
        <v>1640</v>
      </c>
      <c r="AX414" s="72"/>
      <c r="AY414" s="20"/>
      <c r="AZ414" s="96" t="str">
        <f t="shared" si="114"/>
        <v>n</v>
      </c>
      <c r="BA414" s="96" t="str">
        <f>IF(AZ414="n","n",VLOOKUP(AZ414,'Conversion factors'!$C$4:$D$24,2,FALSE))</f>
        <v>n</v>
      </c>
      <c r="BB414" s="96" t="str">
        <f t="shared" si="115"/>
        <v>n</v>
      </c>
      <c r="BC414" s="20"/>
      <c r="BD414" s="96" t="str">
        <f t="shared" si="111"/>
        <v>n</v>
      </c>
      <c r="BE414" s="96" t="str">
        <f t="shared" si="116"/>
        <v>n</v>
      </c>
      <c r="BF414" s="98" t="str">
        <f t="shared" si="112"/>
        <v/>
      </c>
      <c r="BG414" s="96" t="str">
        <f>IF(BF414="","",IF(ISNUMBER(VLOOKUP(BF414,'Conversion factors'!$B$35:$C$52,2,FALSE)),"y","n"))</f>
        <v/>
      </c>
      <c r="BH414" s="99" t="s">
        <v>1507</v>
      </c>
      <c r="BI414" s="20"/>
      <c r="BJ414" s="20"/>
    </row>
    <row r="415" spans="1:62" s="103" customFormat="1" ht="15.75" customHeight="1" x14ac:dyDescent="0.2">
      <c r="A415" s="18"/>
      <c r="B415" s="20">
        <v>338</v>
      </c>
      <c r="C415" s="20"/>
      <c r="D415" s="20"/>
      <c r="E415" s="20" t="s">
        <v>1359</v>
      </c>
      <c r="F415" s="93">
        <v>1999</v>
      </c>
      <c r="G415" s="19" t="s">
        <v>903</v>
      </c>
      <c r="H415" s="19" t="s">
        <v>51</v>
      </c>
      <c r="I415" s="19" t="s">
        <v>41</v>
      </c>
      <c r="J415" s="19" t="s">
        <v>904</v>
      </c>
      <c r="K415" s="19" t="s">
        <v>161</v>
      </c>
      <c r="L415" s="99" t="s">
        <v>82</v>
      </c>
      <c r="M415" s="19" t="s">
        <v>82</v>
      </c>
      <c r="N415" s="19" t="s">
        <v>66</v>
      </c>
      <c r="O415" s="19" t="s">
        <v>1116</v>
      </c>
      <c r="P415" s="19" t="s">
        <v>51</v>
      </c>
      <c r="Q415" s="20"/>
      <c r="R415" s="19" t="s">
        <v>81</v>
      </c>
      <c r="S415" s="19" t="s">
        <v>1354</v>
      </c>
      <c r="T415" s="19" t="s">
        <v>54</v>
      </c>
      <c r="U415" s="19" t="s">
        <v>54</v>
      </c>
      <c r="V415" s="19">
        <v>68</v>
      </c>
      <c r="W415" s="19" t="s">
        <v>45</v>
      </c>
      <c r="X415" s="19" t="s">
        <v>46</v>
      </c>
      <c r="Y415" s="20"/>
      <c r="Z415" s="20"/>
      <c r="AA415" s="20"/>
      <c r="AB415" s="19">
        <v>208</v>
      </c>
      <c r="AC415" s="19" t="s">
        <v>214</v>
      </c>
      <c r="AD415" s="20"/>
      <c r="AE415" s="20">
        <v>54.1</v>
      </c>
      <c r="AF415" s="20">
        <v>54.1</v>
      </c>
      <c r="AG415" s="19" t="s">
        <v>270</v>
      </c>
      <c r="AH415" s="19"/>
      <c r="AI415" s="19"/>
      <c r="AJ415" s="19">
        <v>7.52</v>
      </c>
      <c r="AK415" s="19">
        <v>7.52</v>
      </c>
      <c r="AL415" s="19">
        <v>92.1</v>
      </c>
      <c r="AM415" s="20"/>
      <c r="AN415" s="19">
        <v>35.299999999999997</v>
      </c>
      <c r="AO415" s="20"/>
      <c r="AP415" s="94"/>
      <c r="AQ415" s="19">
        <v>12</v>
      </c>
      <c r="AR415" s="19">
        <v>9.09</v>
      </c>
      <c r="AS415" s="20"/>
      <c r="AT415" s="65" t="str">
        <f t="shared" si="109"/>
        <v>Y</v>
      </c>
      <c r="AU415" s="65" t="str">
        <f t="shared" si="113"/>
        <v>Y</v>
      </c>
      <c r="AV415" s="65" t="s">
        <v>162</v>
      </c>
      <c r="AW415" s="99" t="s">
        <v>1514</v>
      </c>
      <c r="AX415" s="99"/>
      <c r="AY415" s="20"/>
      <c r="AZ415" s="96" t="str">
        <f t="shared" si="114"/>
        <v>n</v>
      </c>
      <c r="BA415" s="96" t="str">
        <f>IF(AZ415="n","n",VLOOKUP(AZ415,'Conversion factors'!$C$4:$D$24,2,FALSE))</f>
        <v>n</v>
      </c>
      <c r="BB415" s="96" t="str">
        <f t="shared" si="115"/>
        <v>n</v>
      </c>
      <c r="BC415" s="20"/>
      <c r="BD415" s="96" t="str">
        <f t="shared" si="111"/>
        <v>n</v>
      </c>
      <c r="BE415" s="96" t="str">
        <f t="shared" si="116"/>
        <v>n</v>
      </c>
      <c r="BF415" s="98" t="str">
        <f t="shared" si="112"/>
        <v/>
      </c>
      <c r="BG415" s="96" t="str">
        <f>IF(BF415="","",IF(ISNUMBER(VLOOKUP(BF415,'Conversion factors'!$B$35:$C$52,2,FALSE)),"y","n"))</f>
        <v/>
      </c>
      <c r="BH415" s="99" t="s">
        <v>1507</v>
      </c>
      <c r="BI415" s="20"/>
      <c r="BJ415" s="20"/>
    </row>
    <row r="416" spans="1:62" s="103" customFormat="1" ht="15.75" customHeight="1" x14ac:dyDescent="0.2">
      <c r="A416" s="18"/>
      <c r="B416" s="20">
        <v>338</v>
      </c>
      <c r="C416" s="20"/>
      <c r="D416" s="20"/>
      <c r="E416" s="20" t="s">
        <v>1359</v>
      </c>
      <c r="F416" s="93">
        <v>1999</v>
      </c>
      <c r="G416" s="19" t="s">
        <v>903</v>
      </c>
      <c r="H416" s="19" t="s">
        <v>51</v>
      </c>
      <c r="I416" s="19" t="s">
        <v>41</v>
      </c>
      <c r="J416" s="19" t="s">
        <v>904</v>
      </c>
      <c r="K416" s="19" t="s">
        <v>161</v>
      </c>
      <c r="L416" s="99" t="s">
        <v>82</v>
      </c>
      <c r="M416" s="19" t="s">
        <v>82</v>
      </c>
      <c r="N416" s="19" t="s">
        <v>66</v>
      </c>
      <c r="O416" s="19" t="s">
        <v>1116</v>
      </c>
      <c r="P416" s="19" t="s">
        <v>51</v>
      </c>
      <c r="Q416" s="20"/>
      <c r="R416" s="19" t="s">
        <v>81</v>
      </c>
      <c r="S416" s="19" t="s">
        <v>1353</v>
      </c>
      <c r="T416" s="19" t="s">
        <v>54</v>
      </c>
      <c r="U416" s="19" t="s">
        <v>54</v>
      </c>
      <c r="V416" s="19">
        <v>68</v>
      </c>
      <c r="W416" s="19" t="s">
        <v>45</v>
      </c>
      <c r="X416" s="19" t="s">
        <v>46</v>
      </c>
      <c r="Y416" s="20"/>
      <c r="Z416" s="20"/>
      <c r="AA416" s="20"/>
      <c r="AB416" s="19">
        <v>208</v>
      </c>
      <c r="AC416" s="19" t="s">
        <v>214</v>
      </c>
      <c r="AD416" s="20"/>
      <c r="AE416" s="20">
        <v>54.1</v>
      </c>
      <c r="AF416" s="20">
        <v>54.1</v>
      </c>
      <c r="AG416" s="19" t="s">
        <v>270</v>
      </c>
      <c r="AH416" s="19"/>
      <c r="AI416" s="19"/>
      <c r="AJ416" s="101">
        <v>7.52</v>
      </c>
      <c r="AK416" s="19">
        <v>7.52</v>
      </c>
      <c r="AL416" s="19">
        <v>92.1</v>
      </c>
      <c r="AM416" s="20"/>
      <c r="AN416" s="19">
        <v>35.299999999999997</v>
      </c>
      <c r="AO416" s="20"/>
      <c r="AP416" s="94"/>
      <c r="AQ416" s="19">
        <v>12</v>
      </c>
      <c r="AR416" s="19">
        <v>9.09</v>
      </c>
      <c r="AS416" s="20"/>
      <c r="AT416" s="65" t="str">
        <f t="shared" si="109"/>
        <v>Y</v>
      </c>
      <c r="AU416" s="65" t="str">
        <f t="shared" si="113"/>
        <v>Y</v>
      </c>
      <c r="AV416" s="65" t="s">
        <v>162</v>
      </c>
      <c r="AW416" s="72" t="s">
        <v>1640</v>
      </c>
      <c r="AX416" s="72"/>
      <c r="AY416" s="20"/>
      <c r="AZ416" s="96" t="str">
        <f t="shared" si="114"/>
        <v>n</v>
      </c>
      <c r="BA416" s="96" t="str">
        <f>IF(AZ416="n","n",VLOOKUP(AZ416,'Conversion factors'!$C$4:$D$24,2,FALSE))</f>
        <v>n</v>
      </c>
      <c r="BB416" s="96" t="str">
        <f t="shared" si="115"/>
        <v>n</v>
      </c>
      <c r="BC416" s="20"/>
      <c r="BD416" s="96" t="str">
        <f t="shared" si="111"/>
        <v>n</v>
      </c>
      <c r="BE416" s="96" t="str">
        <f t="shared" si="116"/>
        <v>n</v>
      </c>
      <c r="BF416" s="98" t="str">
        <f t="shared" si="112"/>
        <v/>
      </c>
      <c r="BG416" s="96" t="str">
        <f>IF(BF416="","",IF(ISNUMBER(VLOOKUP(BF416,'Conversion factors'!$B$35:$C$52,2,FALSE)),"y","n"))</f>
        <v/>
      </c>
      <c r="BH416" s="99" t="s">
        <v>1507</v>
      </c>
      <c r="BI416" s="20"/>
      <c r="BJ416" s="20"/>
    </row>
    <row r="417" spans="1:62" s="103" customFormat="1" ht="15.75" customHeight="1" x14ac:dyDescent="0.2">
      <c r="A417" s="18"/>
      <c r="B417" s="20">
        <v>338</v>
      </c>
      <c r="C417" s="20"/>
      <c r="D417" s="20"/>
      <c r="E417" s="20" t="s">
        <v>1359</v>
      </c>
      <c r="F417" s="93">
        <v>1999</v>
      </c>
      <c r="G417" s="19" t="s">
        <v>903</v>
      </c>
      <c r="H417" s="19" t="s">
        <v>51</v>
      </c>
      <c r="I417" s="19" t="s">
        <v>41</v>
      </c>
      <c r="J417" s="19" t="s">
        <v>904</v>
      </c>
      <c r="K417" s="19" t="s">
        <v>161</v>
      </c>
      <c r="L417" s="99" t="s">
        <v>82</v>
      </c>
      <c r="M417" s="19" t="s">
        <v>82</v>
      </c>
      <c r="N417" s="19" t="s">
        <v>66</v>
      </c>
      <c r="O417" s="19" t="s">
        <v>160</v>
      </c>
      <c r="P417" s="19" t="s">
        <v>51</v>
      </c>
      <c r="Q417" s="20"/>
      <c r="R417" s="19" t="s">
        <v>237</v>
      </c>
      <c r="S417" s="19" t="s">
        <v>79</v>
      </c>
      <c r="T417" s="19" t="s">
        <v>54</v>
      </c>
      <c r="U417" s="19" t="s">
        <v>54</v>
      </c>
      <c r="V417" s="19">
        <v>31</v>
      </c>
      <c r="W417" s="19" t="s">
        <v>45</v>
      </c>
      <c r="X417" s="19" t="s">
        <v>46</v>
      </c>
      <c r="Y417" s="20"/>
      <c r="Z417" s="20"/>
      <c r="AA417" s="20"/>
      <c r="AB417" s="19">
        <v>210</v>
      </c>
      <c r="AC417" s="19" t="s">
        <v>214</v>
      </c>
      <c r="AD417" s="20"/>
      <c r="AE417" s="20">
        <v>50.9</v>
      </c>
      <c r="AF417" s="20">
        <v>50.9</v>
      </c>
      <c r="AG417" s="19" t="s">
        <v>270</v>
      </c>
      <c r="AH417" s="19"/>
      <c r="AI417" s="19"/>
      <c r="AJ417" s="101">
        <v>7.58</v>
      </c>
      <c r="AK417" s="19">
        <v>7.58</v>
      </c>
      <c r="AL417" s="19">
        <v>88.4</v>
      </c>
      <c r="AM417" s="20"/>
      <c r="AN417" s="19">
        <v>33.1</v>
      </c>
      <c r="AO417" s="20"/>
      <c r="AP417" s="94"/>
      <c r="AQ417" s="19">
        <v>12.9</v>
      </c>
      <c r="AR417" s="19">
        <v>8.7799999999999994</v>
      </c>
      <c r="AS417" s="20"/>
      <c r="AT417" s="65" t="str">
        <f t="shared" si="109"/>
        <v>Y</v>
      </c>
      <c r="AU417" s="65" t="str">
        <f t="shared" si="113"/>
        <v>Y</v>
      </c>
      <c r="AV417" s="65" t="s">
        <v>162</v>
      </c>
      <c r="AW417" s="72" t="s">
        <v>1640</v>
      </c>
      <c r="AX417" s="72"/>
      <c r="AY417" s="20"/>
      <c r="AZ417" s="96" t="str">
        <f t="shared" si="114"/>
        <v>n</v>
      </c>
      <c r="BA417" s="96" t="str">
        <f>IF(AZ417="n","n",VLOOKUP(AZ417,'Conversion factors'!$C$4:$D$24,2,FALSE))</f>
        <v>n</v>
      </c>
      <c r="BB417" s="96" t="str">
        <f t="shared" si="115"/>
        <v>n</v>
      </c>
      <c r="BC417" s="20"/>
      <c r="BD417" s="96" t="str">
        <f t="shared" si="111"/>
        <v>n</v>
      </c>
      <c r="BE417" s="96" t="str">
        <f t="shared" si="116"/>
        <v>n</v>
      </c>
      <c r="BF417" s="98" t="str">
        <f t="shared" si="112"/>
        <v/>
      </c>
      <c r="BG417" s="96" t="str">
        <f>IF(BF417="","",IF(ISNUMBER(VLOOKUP(BF417,'Conversion factors'!$B$35:$C$52,2,FALSE)),"y","n"))</f>
        <v/>
      </c>
      <c r="BH417" s="99" t="s">
        <v>1507</v>
      </c>
      <c r="BI417" s="20"/>
      <c r="BJ417" s="20"/>
    </row>
    <row r="418" spans="1:62" s="103" customFormat="1" ht="15.75" customHeight="1" x14ac:dyDescent="0.2">
      <c r="A418" s="18"/>
      <c r="B418" s="20">
        <v>338</v>
      </c>
      <c r="C418" s="20"/>
      <c r="D418" s="20"/>
      <c r="E418" s="20" t="s">
        <v>1359</v>
      </c>
      <c r="F418" s="93">
        <v>1999</v>
      </c>
      <c r="G418" s="19" t="s">
        <v>903</v>
      </c>
      <c r="H418" s="19" t="s">
        <v>51</v>
      </c>
      <c r="I418" s="19" t="s">
        <v>41</v>
      </c>
      <c r="J418" s="19" t="s">
        <v>904</v>
      </c>
      <c r="K418" s="19" t="s">
        <v>161</v>
      </c>
      <c r="L418" s="99" t="s">
        <v>82</v>
      </c>
      <c r="M418" s="19" t="s">
        <v>82</v>
      </c>
      <c r="N418" s="19" t="s">
        <v>66</v>
      </c>
      <c r="O418" s="19" t="s">
        <v>1116</v>
      </c>
      <c r="P418" s="19" t="s">
        <v>51</v>
      </c>
      <c r="Q418" s="19" t="s">
        <v>1365</v>
      </c>
      <c r="R418" s="19" t="s">
        <v>237</v>
      </c>
      <c r="S418" s="19" t="s">
        <v>79</v>
      </c>
      <c r="T418" s="19" t="s">
        <v>54</v>
      </c>
      <c r="U418" s="19" t="s">
        <v>54</v>
      </c>
      <c r="V418" s="19">
        <v>30</v>
      </c>
      <c r="W418" s="19" t="s">
        <v>45</v>
      </c>
      <c r="X418" s="19" t="s">
        <v>46</v>
      </c>
      <c r="Y418" s="20"/>
      <c r="Z418" s="20"/>
      <c r="AA418" s="20"/>
      <c r="AB418" s="19">
        <v>134</v>
      </c>
      <c r="AC418" s="19" t="s">
        <v>214</v>
      </c>
      <c r="AD418" s="20"/>
      <c r="AE418" s="20">
        <v>54.4</v>
      </c>
      <c r="AF418" s="20">
        <v>54.4</v>
      </c>
      <c r="AG418" s="19" t="s">
        <v>270</v>
      </c>
      <c r="AH418" s="19"/>
      <c r="AI418" s="19"/>
      <c r="AJ418" s="101">
        <v>7.54</v>
      </c>
      <c r="AK418" s="19">
        <v>7.54</v>
      </c>
      <c r="AL418" s="19">
        <v>97.6</v>
      </c>
      <c r="AM418" s="20"/>
      <c r="AN418" s="19">
        <v>37.4</v>
      </c>
      <c r="AO418" s="20"/>
      <c r="AP418" s="94"/>
      <c r="AQ418" s="19">
        <v>13.5</v>
      </c>
      <c r="AR418" s="19">
        <v>9.2899999999999991</v>
      </c>
      <c r="AS418" s="20"/>
      <c r="AT418" s="65" t="str">
        <f t="shared" si="109"/>
        <v>Y</v>
      </c>
      <c r="AU418" s="65" t="str">
        <f t="shared" si="113"/>
        <v>Y</v>
      </c>
      <c r="AV418" s="65" t="s">
        <v>162</v>
      </c>
      <c r="AW418" s="72" t="s">
        <v>1640</v>
      </c>
      <c r="AX418" s="72"/>
      <c r="AY418" s="20"/>
      <c r="AZ418" s="96" t="str">
        <f t="shared" si="114"/>
        <v>n</v>
      </c>
      <c r="BA418" s="96" t="str">
        <f>IF(AZ418="n","n",VLOOKUP(AZ418,'Conversion factors'!$C$4:$D$24,2,FALSE))</f>
        <v>n</v>
      </c>
      <c r="BB418" s="96" t="str">
        <f t="shared" si="115"/>
        <v>n</v>
      </c>
      <c r="BC418" s="20"/>
      <c r="BD418" s="96" t="str">
        <f t="shared" si="111"/>
        <v>n</v>
      </c>
      <c r="BE418" s="96" t="str">
        <f t="shared" si="116"/>
        <v>n</v>
      </c>
      <c r="BF418" s="98" t="str">
        <f t="shared" si="112"/>
        <v/>
      </c>
      <c r="BG418" s="96" t="str">
        <f>IF(BF418="","",IF(ISNUMBER(VLOOKUP(BF418,'Conversion factors'!$B$35:$C$52,2,FALSE)),"y","n"))</f>
        <v/>
      </c>
      <c r="BH418" s="99" t="s">
        <v>1507</v>
      </c>
      <c r="BI418" s="20"/>
      <c r="BJ418" s="20"/>
    </row>
    <row r="419" spans="1:62" s="103" customFormat="1" ht="15.75" customHeight="1" x14ac:dyDescent="0.2">
      <c r="A419" s="18"/>
      <c r="B419" s="20">
        <v>338</v>
      </c>
      <c r="C419" s="20"/>
      <c r="D419" s="20"/>
      <c r="E419" s="20" t="s">
        <v>1359</v>
      </c>
      <c r="F419" s="93">
        <v>1999</v>
      </c>
      <c r="G419" s="19" t="s">
        <v>903</v>
      </c>
      <c r="H419" s="19" t="s">
        <v>51</v>
      </c>
      <c r="I419" s="19" t="s">
        <v>41</v>
      </c>
      <c r="J419" s="19" t="s">
        <v>904</v>
      </c>
      <c r="K419" s="19" t="s">
        <v>161</v>
      </c>
      <c r="L419" s="99" t="s">
        <v>82</v>
      </c>
      <c r="M419" s="19" t="s">
        <v>82</v>
      </c>
      <c r="N419" s="19" t="s">
        <v>66</v>
      </c>
      <c r="O419" s="19" t="s">
        <v>1116</v>
      </c>
      <c r="P419" s="19" t="s">
        <v>51</v>
      </c>
      <c r="Q419" s="19" t="s">
        <v>1366</v>
      </c>
      <c r="R419" s="19" t="s">
        <v>237</v>
      </c>
      <c r="S419" s="19" t="s">
        <v>79</v>
      </c>
      <c r="T419" s="19" t="s">
        <v>54</v>
      </c>
      <c r="U419" s="19" t="s">
        <v>54</v>
      </c>
      <c r="V419" s="19">
        <v>30</v>
      </c>
      <c r="W419" s="19" t="s">
        <v>45</v>
      </c>
      <c r="X419" s="19" t="s">
        <v>46</v>
      </c>
      <c r="Y419" s="20"/>
      <c r="Z419" s="20"/>
      <c r="AA419" s="20"/>
      <c r="AB419" s="19">
        <v>743</v>
      </c>
      <c r="AC419" s="19" t="s">
        <v>214</v>
      </c>
      <c r="AD419" s="20"/>
      <c r="AE419" s="20">
        <v>206.7</v>
      </c>
      <c r="AF419" s="20">
        <v>206.7</v>
      </c>
      <c r="AG419" s="19" t="s">
        <v>270</v>
      </c>
      <c r="AH419" s="19"/>
      <c r="AI419" s="19"/>
      <c r="AJ419" s="101">
        <v>7.69</v>
      </c>
      <c r="AK419" s="19">
        <v>7.69</v>
      </c>
      <c r="AL419" s="19">
        <v>371.2</v>
      </c>
      <c r="AM419" s="20"/>
      <c r="AN419" s="19">
        <v>37.5</v>
      </c>
      <c r="AO419" s="20"/>
      <c r="AP419" s="94"/>
      <c r="AQ419" s="19">
        <v>13.6</v>
      </c>
      <c r="AR419" s="19">
        <v>9.18</v>
      </c>
      <c r="AS419" s="20"/>
      <c r="AT419" s="65" t="str">
        <f t="shared" si="109"/>
        <v>Y</v>
      </c>
      <c r="AU419" s="65" t="str">
        <f t="shared" si="113"/>
        <v>Y</v>
      </c>
      <c r="AV419" s="65" t="s">
        <v>162</v>
      </c>
      <c r="AW419" s="72" t="s">
        <v>1640</v>
      </c>
      <c r="AX419" s="72"/>
      <c r="AY419" s="20"/>
      <c r="AZ419" s="96" t="str">
        <f t="shared" si="114"/>
        <v>n</v>
      </c>
      <c r="BA419" s="96" t="str">
        <f>IF(AZ419="n","n",VLOOKUP(AZ419,'Conversion factors'!$C$4:$D$24,2,FALSE))</f>
        <v>n</v>
      </c>
      <c r="BB419" s="96" t="str">
        <f t="shared" si="115"/>
        <v>n</v>
      </c>
      <c r="BC419" s="20"/>
      <c r="BD419" s="96" t="str">
        <f t="shared" si="111"/>
        <v>n</v>
      </c>
      <c r="BE419" s="96" t="str">
        <f t="shared" si="116"/>
        <v>n</v>
      </c>
      <c r="BF419" s="98" t="str">
        <f t="shared" si="112"/>
        <v/>
      </c>
      <c r="BG419" s="96" t="str">
        <f>IF(BF419="","",IF(ISNUMBER(VLOOKUP(BF419,'Conversion factors'!$B$35:$C$52,2,FALSE)),"y","n"))</f>
        <v/>
      </c>
      <c r="BH419" s="99" t="s">
        <v>1507</v>
      </c>
      <c r="BI419" s="20"/>
      <c r="BJ419" s="20"/>
    </row>
    <row r="420" spans="1:62" s="103" customFormat="1" ht="15.75" customHeight="1" x14ac:dyDescent="0.2">
      <c r="A420" s="18"/>
      <c r="B420" s="20">
        <v>338</v>
      </c>
      <c r="C420" s="20"/>
      <c r="D420" s="20"/>
      <c r="E420" s="20" t="s">
        <v>1359</v>
      </c>
      <c r="F420" s="93">
        <v>1999</v>
      </c>
      <c r="G420" s="19" t="s">
        <v>903</v>
      </c>
      <c r="H420" s="19" t="s">
        <v>51</v>
      </c>
      <c r="I420" s="19" t="s">
        <v>41</v>
      </c>
      <c r="J420" s="19" t="s">
        <v>904</v>
      </c>
      <c r="K420" s="19" t="s">
        <v>161</v>
      </c>
      <c r="L420" s="99" t="s">
        <v>82</v>
      </c>
      <c r="M420" s="19" t="s">
        <v>82</v>
      </c>
      <c r="N420" s="19" t="s">
        <v>66</v>
      </c>
      <c r="O420" s="19" t="s">
        <v>1116</v>
      </c>
      <c r="P420" s="19" t="s">
        <v>51</v>
      </c>
      <c r="Q420" s="19" t="s">
        <v>1367</v>
      </c>
      <c r="R420" s="19" t="s">
        <v>237</v>
      </c>
      <c r="S420" s="19" t="s">
        <v>79</v>
      </c>
      <c r="T420" s="19" t="s">
        <v>54</v>
      </c>
      <c r="U420" s="19" t="s">
        <v>54</v>
      </c>
      <c r="V420" s="19">
        <v>30</v>
      </c>
      <c r="W420" s="19" t="s">
        <v>45</v>
      </c>
      <c r="X420" s="19" t="s">
        <v>46</v>
      </c>
      <c r="Y420" s="20"/>
      <c r="Z420" s="20"/>
      <c r="AA420" s="20"/>
      <c r="AB420" s="19">
        <v>162</v>
      </c>
      <c r="AC420" s="19" t="s">
        <v>214</v>
      </c>
      <c r="AD420" s="20"/>
      <c r="AE420" s="20">
        <v>54</v>
      </c>
      <c r="AF420" s="20">
        <v>54</v>
      </c>
      <c r="AG420" s="19" t="s">
        <v>270</v>
      </c>
      <c r="AH420" s="19"/>
      <c r="AI420" s="19"/>
      <c r="AJ420" s="101">
        <v>8.41</v>
      </c>
      <c r="AK420" s="19">
        <v>8.41</v>
      </c>
      <c r="AL420" s="19">
        <v>233.8</v>
      </c>
      <c r="AM420" s="20"/>
      <c r="AN420" s="19">
        <v>139.6</v>
      </c>
      <c r="AO420" s="20"/>
      <c r="AP420" s="94"/>
      <c r="AQ420" s="19">
        <v>13.6</v>
      </c>
      <c r="AR420" s="19">
        <v>9.32</v>
      </c>
      <c r="AS420" s="20"/>
      <c r="AT420" s="65" t="str">
        <f t="shared" si="109"/>
        <v>Y</v>
      </c>
      <c r="AU420" s="65" t="str">
        <f t="shared" si="113"/>
        <v>Y</v>
      </c>
      <c r="AV420" s="65" t="s">
        <v>162</v>
      </c>
      <c r="AW420" s="72" t="s">
        <v>1640</v>
      </c>
      <c r="AX420" s="72"/>
      <c r="AY420" s="20"/>
      <c r="AZ420" s="96" t="str">
        <f t="shared" si="114"/>
        <v>n</v>
      </c>
      <c r="BA420" s="96" t="str">
        <f>IF(AZ420="n","n",VLOOKUP(AZ420,'Conversion factors'!$C$4:$D$24,2,FALSE))</f>
        <v>n</v>
      </c>
      <c r="BB420" s="96" t="str">
        <f t="shared" si="115"/>
        <v>n</v>
      </c>
      <c r="BC420" s="20"/>
      <c r="BD420" s="96" t="str">
        <f t="shared" si="111"/>
        <v>n</v>
      </c>
      <c r="BE420" s="96" t="str">
        <f t="shared" si="116"/>
        <v>n</v>
      </c>
      <c r="BF420" s="98" t="str">
        <f t="shared" si="112"/>
        <v/>
      </c>
      <c r="BG420" s="96" t="str">
        <f>IF(BF420="","",IF(ISNUMBER(VLOOKUP(BF420,'Conversion factors'!$B$35:$C$52,2,FALSE)),"y","n"))</f>
        <v/>
      </c>
      <c r="BH420" s="99" t="s">
        <v>1507</v>
      </c>
      <c r="BI420" s="20"/>
      <c r="BJ420" s="20"/>
    </row>
    <row r="421" spans="1:62" s="103" customFormat="1" ht="15.75" customHeight="1" x14ac:dyDescent="0.2">
      <c r="A421" s="18"/>
      <c r="B421" s="20">
        <v>338</v>
      </c>
      <c r="C421" s="20"/>
      <c r="D421" s="20"/>
      <c r="E421" s="20" t="s">
        <v>1359</v>
      </c>
      <c r="F421" s="93">
        <v>1999</v>
      </c>
      <c r="G421" s="19" t="s">
        <v>903</v>
      </c>
      <c r="H421" s="19" t="s">
        <v>51</v>
      </c>
      <c r="I421" s="19" t="s">
        <v>41</v>
      </c>
      <c r="J421" s="19" t="s">
        <v>904</v>
      </c>
      <c r="K421" s="19" t="s">
        <v>161</v>
      </c>
      <c r="L421" s="19" t="s">
        <v>82</v>
      </c>
      <c r="M421" s="19" t="s">
        <v>82</v>
      </c>
      <c r="N421" s="19" t="s">
        <v>66</v>
      </c>
      <c r="O421" s="19" t="s">
        <v>1116</v>
      </c>
      <c r="P421" s="19" t="s">
        <v>51</v>
      </c>
      <c r="Q421" s="19" t="s">
        <v>1368</v>
      </c>
      <c r="R421" s="19" t="s">
        <v>237</v>
      </c>
      <c r="S421" s="19" t="s">
        <v>79</v>
      </c>
      <c r="T421" s="19" t="s">
        <v>54</v>
      </c>
      <c r="U421" s="19" t="s">
        <v>54</v>
      </c>
      <c r="V421" s="19">
        <v>30</v>
      </c>
      <c r="W421" s="19" t="s">
        <v>45</v>
      </c>
      <c r="X421" s="19" t="s">
        <v>46</v>
      </c>
      <c r="Y421" s="20"/>
      <c r="Z421" s="20"/>
      <c r="AA421" s="20"/>
      <c r="AB421" s="19" t="s">
        <v>1369</v>
      </c>
      <c r="AC421" s="19" t="s">
        <v>214</v>
      </c>
      <c r="AD421" s="20"/>
      <c r="AE421" s="20">
        <v>207.2</v>
      </c>
      <c r="AF421" s="20">
        <v>207.2</v>
      </c>
      <c r="AG421" s="19" t="s">
        <v>270</v>
      </c>
      <c r="AH421" s="19"/>
      <c r="AI421" s="19"/>
      <c r="AJ421" s="19">
        <v>7.92</v>
      </c>
      <c r="AK421" s="19">
        <v>7.92</v>
      </c>
      <c r="AL421" s="19">
        <v>360</v>
      </c>
      <c r="AM421" s="20"/>
      <c r="AN421" s="19">
        <v>141.4</v>
      </c>
      <c r="AO421" s="20"/>
      <c r="AP421" s="94"/>
      <c r="AQ421" s="19">
        <v>14.5</v>
      </c>
      <c r="AR421" s="19">
        <v>8.9600000000000009</v>
      </c>
      <c r="AS421" s="20"/>
      <c r="AT421" s="65" t="str">
        <f t="shared" si="109"/>
        <v>Y</v>
      </c>
      <c r="AU421" s="65" t="str">
        <f t="shared" si="113"/>
        <v>Y</v>
      </c>
      <c r="AV421" s="65" t="s">
        <v>162</v>
      </c>
      <c r="AW421" s="72" t="s">
        <v>1640</v>
      </c>
      <c r="AX421" s="72"/>
      <c r="AY421" s="20"/>
      <c r="AZ421" s="96" t="str">
        <f t="shared" si="114"/>
        <v>n</v>
      </c>
      <c r="BA421" s="96" t="str">
        <f>IF(AZ421="n","n",VLOOKUP(AZ421,'Conversion factors'!$C$4:$D$24,2,FALSE))</f>
        <v>n</v>
      </c>
      <c r="BB421" s="96" t="str">
        <f t="shared" si="115"/>
        <v>n</v>
      </c>
      <c r="BC421" s="20"/>
      <c r="BD421" s="96" t="str">
        <f t="shared" si="111"/>
        <v>n</v>
      </c>
      <c r="BE421" s="96" t="str">
        <f t="shared" si="116"/>
        <v>n</v>
      </c>
      <c r="BF421" s="98" t="str">
        <f t="shared" si="112"/>
        <v/>
      </c>
      <c r="BG421" s="96" t="str">
        <f>IF(BF421="","",IF(ISNUMBER(VLOOKUP(BF421,'Conversion factors'!$B$35:$C$52,2,FALSE)),"y","n"))</f>
        <v/>
      </c>
      <c r="BH421" s="99" t="s">
        <v>1507</v>
      </c>
      <c r="BI421" s="20"/>
      <c r="BJ421" s="20"/>
    </row>
    <row r="422" spans="1:62" s="103" customFormat="1" ht="15.75" customHeight="1" x14ac:dyDescent="0.25">
      <c r="A422" s="18"/>
      <c r="B422" s="20">
        <v>340</v>
      </c>
      <c r="C422" s="20"/>
      <c r="D422" s="20"/>
      <c r="E422" s="20" t="s">
        <v>1384</v>
      </c>
      <c r="F422" s="93">
        <v>2003</v>
      </c>
      <c r="G422" s="112" t="s">
        <v>1385</v>
      </c>
      <c r="H422" s="20"/>
      <c r="I422" s="19" t="s">
        <v>1386</v>
      </c>
      <c r="J422" s="19" t="s">
        <v>904</v>
      </c>
      <c r="K422" s="19" t="s">
        <v>161</v>
      </c>
      <c r="L422" s="99" t="s">
        <v>82</v>
      </c>
      <c r="M422" s="19" t="s">
        <v>82</v>
      </c>
      <c r="N422" s="19" t="s">
        <v>66</v>
      </c>
      <c r="O422" s="19" t="s">
        <v>1387</v>
      </c>
      <c r="P422" s="19" t="s">
        <v>51</v>
      </c>
      <c r="Q422" s="19"/>
      <c r="R422" s="19" t="s">
        <v>76</v>
      </c>
      <c r="S422" s="19" t="s">
        <v>1388</v>
      </c>
      <c r="T422" s="19" t="s">
        <v>54</v>
      </c>
      <c r="U422" s="19" t="s">
        <v>54</v>
      </c>
      <c r="V422" s="19">
        <v>120</v>
      </c>
      <c r="W422" s="19" t="s">
        <v>45</v>
      </c>
      <c r="X422" s="19" t="s">
        <v>46</v>
      </c>
      <c r="Y422" s="20"/>
      <c r="Z422" s="20"/>
      <c r="AA422" s="20"/>
      <c r="AB422" s="19">
        <v>61</v>
      </c>
      <c r="AC422" s="19" t="s">
        <v>214</v>
      </c>
      <c r="AD422" s="20"/>
      <c r="AE422" s="19">
        <v>8</v>
      </c>
      <c r="AF422" s="19">
        <v>8</v>
      </c>
      <c r="AG422" s="20"/>
      <c r="AH422" s="20"/>
      <c r="AI422" s="20"/>
      <c r="AJ422" s="101">
        <v>6.7</v>
      </c>
      <c r="AK422" s="19">
        <v>6.7</v>
      </c>
      <c r="AL422" s="20"/>
      <c r="AM422" s="20"/>
      <c r="AN422" s="20"/>
      <c r="AO422" s="20"/>
      <c r="AP422" s="94"/>
      <c r="AQ422" s="20"/>
      <c r="AR422" s="20"/>
      <c r="AS422" s="20"/>
      <c r="AT422" s="65" t="str">
        <f t="shared" si="109"/>
        <v>Y</v>
      </c>
      <c r="AU422" s="65" t="str">
        <f t="shared" si="113"/>
        <v>Y</v>
      </c>
      <c r="AV422" s="65" t="str">
        <f t="shared" ref="AV422:AV424" si="132">AU422</f>
        <v>Y</v>
      </c>
      <c r="AW422" s="72"/>
      <c r="AX422" s="72"/>
      <c r="AY422" s="20"/>
      <c r="AZ422" s="96" t="str">
        <f t="shared" si="114"/>
        <v>NOEC</v>
      </c>
      <c r="BA422" s="96">
        <f>IF(AZ422="n","n",VLOOKUP(AZ422,'Conversion factors'!$C$4:$D$24,2,FALSE))</f>
        <v>1</v>
      </c>
      <c r="BB422" s="96">
        <f t="shared" si="115"/>
        <v>61</v>
      </c>
      <c r="BC422" s="20"/>
      <c r="BD422" s="96" t="str">
        <f t="shared" si="111"/>
        <v>Chronic</v>
      </c>
      <c r="BE422" s="96" t="str">
        <f t="shared" si="116"/>
        <v>y</v>
      </c>
      <c r="BF422" s="98" t="str">
        <f t="shared" si="112"/>
        <v>NOEC</v>
      </c>
      <c r="BG422" s="96" t="str">
        <f>IF(BF422="","",IF(ISNUMBER(VLOOKUP(BF422,'Conversion factors'!$B$35:$C$52,2,FALSE)),"y","n"))</f>
        <v>y</v>
      </c>
      <c r="BH422" s="99" t="s">
        <v>1507</v>
      </c>
      <c r="BI422" s="20"/>
      <c r="BJ422" s="20"/>
    </row>
    <row r="423" spans="1:62" s="103" customFormat="1" ht="15.75" customHeight="1" x14ac:dyDescent="0.25">
      <c r="A423" s="18"/>
      <c r="B423" s="20">
        <v>340</v>
      </c>
      <c r="C423" s="20"/>
      <c r="D423" s="20"/>
      <c r="E423" s="20" t="s">
        <v>1384</v>
      </c>
      <c r="F423" s="93">
        <v>2003</v>
      </c>
      <c r="G423" s="112" t="s">
        <v>1385</v>
      </c>
      <c r="H423" s="20"/>
      <c r="I423" s="19" t="s">
        <v>1386</v>
      </c>
      <c r="J423" s="19" t="s">
        <v>904</v>
      </c>
      <c r="K423" s="19" t="s">
        <v>161</v>
      </c>
      <c r="L423" s="19" t="s">
        <v>82</v>
      </c>
      <c r="M423" s="19" t="s">
        <v>82</v>
      </c>
      <c r="N423" s="19" t="s">
        <v>66</v>
      </c>
      <c r="O423" s="19" t="s">
        <v>1387</v>
      </c>
      <c r="P423" s="19" t="s">
        <v>51</v>
      </c>
      <c r="Q423" s="19"/>
      <c r="R423" s="19" t="s">
        <v>76</v>
      </c>
      <c r="S423" s="19" t="s">
        <v>1388</v>
      </c>
      <c r="T423" s="19" t="s">
        <v>54</v>
      </c>
      <c r="U423" s="19" t="s">
        <v>54</v>
      </c>
      <c r="V423" s="19">
        <v>120</v>
      </c>
      <c r="W423" s="19" t="s">
        <v>45</v>
      </c>
      <c r="X423" s="19" t="s">
        <v>46</v>
      </c>
      <c r="Y423" s="20"/>
      <c r="Z423" s="20"/>
      <c r="AA423" s="20"/>
      <c r="AB423" s="19">
        <v>57</v>
      </c>
      <c r="AC423" s="19" t="s">
        <v>214</v>
      </c>
      <c r="AD423" s="20"/>
      <c r="AE423" s="19">
        <v>100</v>
      </c>
      <c r="AF423" s="19">
        <v>100</v>
      </c>
      <c r="AG423" s="20"/>
      <c r="AH423" s="20"/>
      <c r="AI423" s="20"/>
      <c r="AJ423" s="19">
        <f>MEDIAN(6.2,6.6)</f>
        <v>6.4</v>
      </c>
      <c r="AK423" s="20" t="s">
        <v>235</v>
      </c>
      <c r="AL423" s="20"/>
      <c r="AM423" s="20"/>
      <c r="AN423" s="20"/>
      <c r="AO423" s="20"/>
      <c r="AP423" s="94"/>
      <c r="AQ423" s="20"/>
      <c r="AR423" s="20"/>
      <c r="AS423" s="20"/>
      <c r="AT423" s="65" t="str">
        <f t="shared" si="109"/>
        <v>Y</v>
      </c>
      <c r="AU423" s="65" t="str">
        <f t="shared" si="113"/>
        <v>Y</v>
      </c>
      <c r="AV423" s="65" t="s">
        <v>162</v>
      </c>
      <c r="AW423" s="99" t="s">
        <v>1824</v>
      </c>
      <c r="AX423" s="99"/>
      <c r="AY423" s="20"/>
      <c r="AZ423" s="96" t="str">
        <f t="shared" si="114"/>
        <v>n</v>
      </c>
      <c r="BA423" s="96" t="str">
        <f>IF(AZ423="n","n",VLOOKUP(AZ423,'Conversion factors'!$C$4:$D$24,2,FALSE))</f>
        <v>n</v>
      </c>
      <c r="BB423" s="96" t="str">
        <f t="shared" si="115"/>
        <v>n</v>
      </c>
      <c r="BC423" s="20"/>
      <c r="BD423" s="96" t="str">
        <f t="shared" si="111"/>
        <v>n</v>
      </c>
      <c r="BE423" s="96" t="str">
        <f t="shared" si="116"/>
        <v>n</v>
      </c>
      <c r="BF423" s="98" t="str">
        <f t="shared" si="112"/>
        <v/>
      </c>
      <c r="BG423" s="96" t="str">
        <f>IF(BF423="","",IF(ISNUMBER(VLOOKUP(BF423,'Conversion factors'!$B$35:$C$52,2,FALSE)),"y","n"))</f>
        <v/>
      </c>
      <c r="BH423" s="99" t="s">
        <v>1507</v>
      </c>
      <c r="BI423" s="20"/>
      <c r="BJ423" s="20"/>
    </row>
    <row r="424" spans="1:62" s="103" customFormat="1" ht="15.75" customHeight="1" x14ac:dyDescent="0.25">
      <c r="A424" s="18"/>
      <c r="B424" s="20">
        <v>340</v>
      </c>
      <c r="C424" s="20"/>
      <c r="D424" s="20"/>
      <c r="E424" s="20" t="s">
        <v>1384</v>
      </c>
      <c r="F424" s="93">
        <v>2003</v>
      </c>
      <c r="G424" s="112" t="s">
        <v>1385</v>
      </c>
      <c r="H424" s="20"/>
      <c r="I424" s="19" t="s">
        <v>1389</v>
      </c>
      <c r="J424" s="19" t="s">
        <v>904</v>
      </c>
      <c r="K424" s="19" t="s">
        <v>161</v>
      </c>
      <c r="L424" s="19" t="s">
        <v>82</v>
      </c>
      <c r="M424" s="19" t="s">
        <v>82</v>
      </c>
      <c r="N424" s="19" t="s">
        <v>66</v>
      </c>
      <c r="O424" s="19" t="s">
        <v>1387</v>
      </c>
      <c r="P424" s="19" t="s">
        <v>51</v>
      </c>
      <c r="Q424" s="19"/>
      <c r="R424" s="19" t="s">
        <v>76</v>
      </c>
      <c r="S424" s="19" t="s">
        <v>1388</v>
      </c>
      <c r="T424" s="19" t="s">
        <v>54</v>
      </c>
      <c r="U424" s="19" t="s">
        <v>54</v>
      </c>
      <c r="V424" s="19">
        <v>120</v>
      </c>
      <c r="W424" s="19" t="s">
        <v>45</v>
      </c>
      <c r="X424" s="19" t="s">
        <v>46</v>
      </c>
      <c r="Y424" s="20"/>
      <c r="Z424" s="20"/>
      <c r="AA424" s="20"/>
      <c r="AB424" s="19">
        <v>56</v>
      </c>
      <c r="AC424" s="19" t="s">
        <v>214</v>
      </c>
      <c r="AD424" s="20"/>
      <c r="AE424" s="19">
        <v>6.1</v>
      </c>
      <c r="AF424" s="19">
        <v>6.1</v>
      </c>
      <c r="AG424" s="20"/>
      <c r="AH424" s="20"/>
      <c r="AI424" s="20"/>
      <c r="AJ424" s="19">
        <v>6.4</v>
      </c>
      <c r="AK424" s="19">
        <v>6.4</v>
      </c>
      <c r="AL424" s="20"/>
      <c r="AM424" s="20"/>
      <c r="AN424" s="20"/>
      <c r="AO424" s="20"/>
      <c r="AP424" s="94"/>
      <c r="AQ424" s="20"/>
      <c r="AR424" s="20"/>
      <c r="AS424" s="20"/>
      <c r="AT424" s="65" t="str">
        <f t="shared" si="109"/>
        <v>Y</v>
      </c>
      <c r="AU424" s="65" t="str">
        <f t="shared" si="113"/>
        <v>Y</v>
      </c>
      <c r="AV424" s="65" t="str">
        <f t="shared" si="132"/>
        <v>Y</v>
      </c>
      <c r="AW424" s="99"/>
      <c r="AX424" s="99"/>
      <c r="AY424" s="20"/>
      <c r="AZ424" s="96" t="str">
        <f t="shared" si="114"/>
        <v>NOEC</v>
      </c>
      <c r="BA424" s="96">
        <f>IF(AZ424="n","n",VLOOKUP(AZ424,'Conversion factors'!$C$4:$D$24,2,FALSE))</f>
        <v>1</v>
      </c>
      <c r="BB424" s="96">
        <f t="shared" si="115"/>
        <v>56</v>
      </c>
      <c r="BC424" s="20"/>
      <c r="BD424" s="96" t="str">
        <f t="shared" si="111"/>
        <v>Chronic</v>
      </c>
      <c r="BE424" s="96" t="str">
        <f t="shared" si="116"/>
        <v>y</v>
      </c>
      <c r="BF424" s="98" t="str">
        <f t="shared" si="112"/>
        <v>NOEC</v>
      </c>
      <c r="BG424" s="96" t="str">
        <f>IF(BF424="","",IF(ISNUMBER(VLOOKUP(BF424,'Conversion factors'!$B$35:$C$52,2,FALSE)),"y","n"))</f>
        <v>y</v>
      </c>
      <c r="BH424" s="99" t="s">
        <v>1507</v>
      </c>
      <c r="BI424" s="20"/>
      <c r="BJ424" s="20"/>
    </row>
    <row r="425" spans="1:62" s="103" customFormat="1" ht="15.75" customHeight="1" x14ac:dyDescent="0.25">
      <c r="A425" s="18"/>
      <c r="B425" s="20">
        <v>340</v>
      </c>
      <c r="C425" s="20"/>
      <c r="D425" s="20"/>
      <c r="E425" s="20" t="s">
        <v>1384</v>
      </c>
      <c r="F425" s="93">
        <v>2003</v>
      </c>
      <c r="G425" s="112" t="s">
        <v>1385</v>
      </c>
      <c r="H425" s="20"/>
      <c r="I425" s="19" t="s">
        <v>1389</v>
      </c>
      <c r="J425" s="19" t="s">
        <v>904</v>
      </c>
      <c r="K425" s="19" t="s">
        <v>161</v>
      </c>
      <c r="L425" s="99" t="s">
        <v>82</v>
      </c>
      <c r="M425" s="19" t="s">
        <v>82</v>
      </c>
      <c r="N425" s="19" t="s">
        <v>66</v>
      </c>
      <c r="O425" s="19" t="s">
        <v>1387</v>
      </c>
      <c r="P425" s="19" t="s">
        <v>51</v>
      </c>
      <c r="Q425" s="19"/>
      <c r="R425" s="19" t="s">
        <v>76</v>
      </c>
      <c r="S425" s="19" t="s">
        <v>1388</v>
      </c>
      <c r="T425" s="19" t="s">
        <v>54</v>
      </c>
      <c r="U425" s="19" t="s">
        <v>54</v>
      </c>
      <c r="V425" s="19">
        <v>120</v>
      </c>
      <c r="W425" s="19" t="s">
        <v>45</v>
      </c>
      <c r="X425" s="19" t="s">
        <v>46</v>
      </c>
      <c r="Y425" s="20"/>
      <c r="Z425" s="20"/>
      <c r="AA425" s="20"/>
      <c r="AB425" s="19">
        <v>250</v>
      </c>
      <c r="AC425" s="19" t="s">
        <v>214</v>
      </c>
      <c r="AD425" s="20"/>
      <c r="AE425" s="19">
        <v>100</v>
      </c>
      <c r="AF425" s="19">
        <v>100</v>
      </c>
      <c r="AG425" s="20"/>
      <c r="AH425" s="20"/>
      <c r="AI425" s="20"/>
      <c r="AJ425" s="101">
        <f>MEDIAN(6.6,6.9)</f>
        <v>6.75</v>
      </c>
      <c r="AK425" s="20" t="s">
        <v>235</v>
      </c>
      <c r="AL425" s="20"/>
      <c r="AM425" s="20"/>
      <c r="AN425" s="20"/>
      <c r="AO425" s="20"/>
      <c r="AP425" s="94"/>
      <c r="AQ425" s="20"/>
      <c r="AR425" s="20"/>
      <c r="AS425" s="20"/>
      <c r="AT425" s="65" t="str">
        <f t="shared" si="109"/>
        <v>Y</v>
      </c>
      <c r="AU425" s="65" t="str">
        <f t="shared" si="113"/>
        <v>Y</v>
      </c>
      <c r="AV425" s="65" t="s">
        <v>162</v>
      </c>
      <c r="AW425" s="99" t="s">
        <v>1824</v>
      </c>
      <c r="AX425" s="72"/>
      <c r="AY425" s="20"/>
      <c r="AZ425" s="96" t="str">
        <f t="shared" si="114"/>
        <v>n</v>
      </c>
      <c r="BA425" s="96" t="str">
        <f>IF(AZ425="n","n",VLOOKUP(AZ425,'Conversion factors'!$C$4:$D$24,2,FALSE))</f>
        <v>n</v>
      </c>
      <c r="BB425" s="96" t="str">
        <f t="shared" si="115"/>
        <v>n</v>
      </c>
      <c r="BC425" s="20"/>
      <c r="BD425" s="96" t="str">
        <f t="shared" si="111"/>
        <v>n</v>
      </c>
      <c r="BE425" s="96" t="str">
        <f t="shared" si="116"/>
        <v>n</v>
      </c>
      <c r="BF425" s="98" t="str">
        <f t="shared" si="112"/>
        <v/>
      </c>
      <c r="BG425" s="96" t="str">
        <f>IF(BF425="","",IF(ISNUMBER(VLOOKUP(BF425,'Conversion factors'!$B$35:$C$52,2,FALSE)),"y","n"))</f>
        <v/>
      </c>
      <c r="BH425" s="99" t="s">
        <v>1507</v>
      </c>
      <c r="BI425" s="20"/>
      <c r="BJ425" s="20"/>
    </row>
    <row r="426" spans="1:62" s="103" customFormat="1" ht="15.75" customHeight="1" x14ac:dyDescent="0.2">
      <c r="A426" s="18"/>
      <c r="B426" s="19">
        <v>273</v>
      </c>
      <c r="C426" s="19"/>
      <c r="D426" s="19">
        <v>100026</v>
      </c>
      <c r="E426" s="19" t="s">
        <v>1224</v>
      </c>
      <c r="F426" s="93">
        <v>2007</v>
      </c>
      <c r="G426" s="19" t="s">
        <v>943</v>
      </c>
      <c r="H426" s="19"/>
      <c r="I426" s="19" t="s">
        <v>41</v>
      </c>
      <c r="J426" s="19" t="s">
        <v>944</v>
      </c>
      <c r="K426" s="19" t="s">
        <v>161</v>
      </c>
      <c r="L426" s="19" t="s">
        <v>82</v>
      </c>
      <c r="M426" s="19" t="s">
        <v>82</v>
      </c>
      <c r="N426" s="19" t="s">
        <v>66</v>
      </c>
      <c r="O426" s="156" t="s">
        <v>1591</v>
      </c>
      <c r="P426" s="19" t="s">
        <v>51</v>
      </c>
      <c r="Q426" s="19"/>
      <c r="R426" s="19" t="s">
        <v>81</v>
      </c>
      <c r="S426" s="19" t="s">
        <v>483</v>
      </c>
      <c r="T426" s="19" t="s">
        <v>346</v>
      </c>
      <c r="U426" s="19" t="s">
        <v>346</v>
      </c>
      <c r="V426" s="19">
        <v>7</v>
      </c>
      <c r="W426" s="19" t="s">
        <v>231</v>
      </c>
      <c r="X426" s="19" t="s">
        <v>46</v>
      </c>
      <c r="Y426" s="29"/>
      <c r="Z426" s="19"/>
      <c r="AA426" s="19"/>
      <c r="AB426" s="19" t="s">
        <v>945</v>
      </c>
      <c r="AC426" s="19" t="s">
        <v>1322</v>
      </c>
      <c r="AD426" s="19"/>
      <c r="AE426" s="19"/>
      <c r="AF426" s="19"/>
      <c r="AG426" s="19" t="s">
        <v>235</v>
      </c>
      <c r="AH426" s="19"/>
      <c r="AI426" s="19"/>
      <c r="AJ426" s="19" t="s">
        <v>1503</v>
      </c>
      <c r="AK426" s="19" t="s">
        <v>234</v>
      </c>
      <c r="AL426" s="19"/>
      <c r="AM426" s="19" t="s">
        <v>234</v>
      </c>
      <c r="AN426" s="19" t="s">
        <v>234</v>
      </c>
      <c r="AO426" s="19" t="s">
        <v>235</v>
      </c>
      <c r="AP426" s="94"/>
      <c r="AQ426" s="19" t="s">
        <v>101</v>
      </c>
      <c r="AR426" s="19" t="s">
        <v>946</v>
      </c>
      <c r="AS426" s="19"/>
      <c r="AT426" s="65" t="str">
        <f t="shared" si="109"/>
        <v>N</v>
      </c>
      <c r="AU426" s="65" t="str">
        <f t="shared" si="113"/>
        <v>N</v>
      </c>
      <c r="AV426" s="65" t="str">
        <f t="shared" ref="AV426:AV431" si="133">AU426</f>
        <v>N</v>
      </c>
      <c r="AW426" s="99"/>
      <c r="AX426" s="99"/>
      <c r="AY426" s="19"/>
      <c r="AZ426" s="96" t="str">
        <f t="shared" si="114"/>
        <v>n</v>
      </c>
      <c r="BA426" s="96" t="str">
        <f>IF(AZ426="n","n",VLOOKUP(AZ426,'Conversion factors'!$C$4:$D$24,2,FALSE))</f>
        <v>n</v>
      </c>
      <c r="BB426" s="96" t="str">
        <f t="shared" si="115"/>
        <v>n</v>
      </c>
      <c r="BC426" s="97"/>
      <c r="BD426" s="96" t="str">
        <f t="shared" si="111"/>
        <v>n</v>
      </c>
      <c r="BE426" s="96" t="str">
        <f t="shared" si="116"/>
        <v>n</v>
      </c>
      <c r="BF426" s="98" t="str">
        <f t="shared" si="112"/>
        <v/>
      </c>
      <c r="BG426" s="96" t="str">
        <f>IF(BF426="","",IF(ISNUMBER(VLOOKUP(BF426,'Conversion factors'!$B$35:$C$52,2,FALSE)),"y","n"))</f>
        <v/>
      </c>
      <c r="BH426" s="99" t="s">
        <v>1464</v>
      </c>
    </row>
    <row r="427" spans="1:62" s="103" customFormat="1" ht="15.75" customHeight="1" x14ac:dyDescent="0.2">
      <c r="A427" s="18"/>
      <c r="B427" s="19">
        <v>273</v>
      </c>
      <c r="C427" s="19"/>
      <c r="D427" s="19">
        <v>100026</v>
      </c>
      <c r="E427" s="19" t="s">
        <v>1224</v>
      </c>
      <c r="F427" s="93">
        <v>2007</v>
      </c>
      <c r="G427" s="19" t="s">
        <v>943</v>
      </c>
      <c r="H427" s="19"/>
      <c r="I427" s="19" t="s">
        <v>41</v>
      </c>
      <c r="J427" s="19" t="s">
        <v>944</v>
      </c>
      <c r="K427" s="19" t="s">
        <v>161</v>
      </c>
      <c r="L427" s="19" t="s">
        <v>82</v>
      </c>
      <c r="M427" s="19" t="s">
        <v>82</v>
      </c>
      <c r="N427" s="19" t="s">
        <v>66</v>
      </c>
      <c r="O427" s="156" t="s">
        <v>1591</v>
      </c>
      <c r="P427" s="19" t="s">
        <v>51</v>
      </c>
      <c r="Q427" s="19"/>
      <c r="R427" s="19" t="s">
        <v>81</v>
      </c>
      <c r="S427" s="19" t="s">
        <v>483</v>
      </c>
      <c r="T427" s="19" t="s">
        <v>55</v>
      </c>
      <c r="U427" s="19" t="s">
        <v>55</v>
      </c>
      <c r="V427" s="19">
        <v>7</v>
      </c>
      <c r="W427" s="19" t="s">
        <v>231</v>
      </c>
      <c r="X427" s="19" t="s">
        <v>46</v>
      </c>
      <c r="Y427" s="29"/>
      <c r="Z427" s="19"/>
      <c r="AA427" s="19"/>
      <c r="AB427" s="19" t="s">
        <v>950</v>
      </c>
      <c r="AC427" s="19" t="s">
        <v>1322</v>
      </c>
      <c r="AD427" s="19"/>
      <c r="AE427" s="19"/>
      <c r="AF427" s="19"/>
      <c r="AG427" s="19" t="s">
        <v>235</v>
      </c>
      <c r="AH427" s="19"/>
      <c r="AI427" s="19"/>
      <c r="AJ427" s="19" t="s">
        <v>1503</v>
      </c>
      <c r="AK427" s="19" t="s">
        <v>234</v>
      </c>
      <c r="AL427" s="19"/>
      <c r="AM427" s="19" t="s">
        <v>234</v>
      </c>
      <c r="AN427" s="19" t="s">
        <v>234</v>
      </c>
      <c r="AO427" s="19" t="s">
        <v>235</v>
      </c>
      <c r="AP427" s="94"/>
      <c r="AQ427" s="19" t="s">
        <v>101</v>
      </c>
      <c r="AR427" s="19" t="s">
        <v>946</v>
      </c>
      <c r="AS427" s="19"/>
      <c r="AT427" s="65" t="str">
        <f t="shared" si="109"/>
        <v>N</v>
      </c>
      <c r="AU427" s="65" t="str">
        <f t="shared" si="113"/>
        <v>N</v>
      </c>
      <c r="AV427" s="65" t="str">
        <f t="shared" si="133"/>
        <v>N</v>
      </c>
      <c r="AW427" s="99"/>
      <c r="AX427" s="99"/>
      <c r="AY427" s="19"/>
      <c r="AZ427" s="96" t="str">
        <f t="shared" si="114"/>
        <v>n</v>
      </c>
      <c r="BA427" s="96" t="str">
        <f>IF(AZ427="n","n",VLOOKUP(AZ427,'Conversion factors'!$C$4:$D$24,2,FALSE))</f>
        <v>n</v>
      </c>
      <c r="BB427" s="96" t="str">
        <f t="shared" si="115"/>
        <v>n</v>
      </c>
      <c r="BC427" s="97"/>
      <c r="BD427" s="96" t="str">
        <f t="shared" si="111"/>
        <v>n</v>
      </c>
      <c r="BE427" s="96" t="str">
        <f t="shared" si="116"/>
        <v>n</v>
      </c>
      <c r="BF427" s="98" t="str">
        <f t="shared" si="112"/>
        <v/>
      </c>
      <c r="BG427" s="96" t="str">
        <f>IF(BF427="","",IF(ISNUMBER(VLOOKUP(BF427,'Conversion factors'!$B$35:$C$52,2,FALSE)),"y","n"))</f>
        <v/>
      </c>
      <c r="BH427" s="99" t="s">
        <v>1464</v>
      </c>
    </row>
    <row r="428" spans="1:62" s="103" customFormat="1" ht="15.75" customHeight="1" x14ac:dyDescent="0.2">
      <c r="A428" s="18"/>
      <c r="B428" s="19">
        <v>273</v>
      </c>
      <c r="C428" s="19"/>
      <c r="D428" s="19">
        <v>100026</v>
      </c>
      <c r="E428" s="19" t="s">
        <v>1224</v>
      </c>
      <c r="F428" s="93">
        <v>2007</v>
      </c>
      <c r="G428" s="19" t="s">
        <v>943</v>
      </c>
      <c r="H428" s="19"/>
      <c r="I428" s="19" t="s">
        <v>41</v>
      </c>
      <c r="J428" s="19" t="s">
        <v>944</v>
      </c>
      <c r="K428" s="19" t="s">
        <v>161</v>
      </c>
      <c r="L428" s="19" t="s">
        <v>82</v>
      </c>
      <c r="M428" s="19" t="s">
        <v>82</v>
      </c>
      <c r="N428" s="19" t="s">
        <v>66</v>
      </c>
      <c r="O428" s="156" t="s">
        <v>1591</v>
      </c>
      <c r="P428" s="19" t="s">
        <v>51</v>
      </c>
      <c r="Q428" s="19"/>
      <c r="R428" s="19" t="s">
        <v>81</v>
      </c>
      <c r="S428" s="19" t="s">
        <v>483</v>
      </c>
      <c r="T428" s="19" t="s">
        <v>54</v>
      </c>
      <c r="U428" s="19" t="s">
        <v>54</v>
      </c>
      <c r="V428" s="19">
        <v>7</v>
      </c>
      <c r="W428" s="19" t="s">
        <v>231</v>
      </c>
      <c r="X428" s="19" t="s">
        <v>46</v>
      </c>
      <c r="Y428" s="29"/>
      <c r="Z428" s="19"/>
      <c r="AA428" s="19"/>
      <c r="AB428" s="19" t="s">
        <v>952</v>
      </c>
      <c r="AC428" s="19" t="s">
        <v>1322</v>
      </c>
      <c r="AD428" s="19"/>
      <c r="AE428" s="19"/>
      <c r="AF428" s="19"/>
      <c r="AG428" s="19" t="s">
        <v>235</v>
      </c>
      <c r="AH428" s="19"/>
      <c r="AI428" s="19"/>
      <c r="AJ428" s="19" t="s">
        <v>1503</v>
      </c>
      <c r="AK428" s="19" t="s">
        <v>234</v>
      </c>
      <c r="AL428" s="19"/>
      <c r="AM428" s="19" t="s">
        <v>234</v>
      </c>
      <c r="AN428" s="19" t="s">
        <v>234</v>
      </c>
      <c r="AO428" s="19" t="s">
        <v>235</v>
      </c>
      <c r="AP428" s="94"/>
      <c r="AQ428" s="19" t="s">
        <v>101</v>
      </c>
      <c r="AR428" s="19" t="s">
        <v>946</v>
      </c>
      <c r="AS428" s="19"/>
      <c r="AT428" s="65" t="str">
        <f t="shared" si="109"/>
        <v>N</v>
      </c>
      <c r="AU428" s="65" t="str">
        <f t="shared" si="113"/>
        <v>N</v>
      </c>
      <c r="AV428" s="65" t="str">
        <f t="shared" si="133"/>
        <v>N</v>
      </c>
      <c r="AW428" s="99"/>
      <c r="AX428" s="99"/>
      <c r="AY428" s="19"/>
      <c r="AZ428" s="96" t="str">
        <f t="shared" si="114"/>
        <v>n</v>
      </c>
      <c r="BA428" s="96" t="str">
        <f>IF(AZ428="n","n",VLOOKUP(AZ428,'Conversion factors'!$C$4:$D$24,2,FALSE))</f>
        <v>n</v>
      </c>
      <c r="BB428" s="96" t="str">
        <f t="shared" si="115"/>
        <v>n</v>
      </c>
      <c r="BC428" s="97"/>
      <c r="BD428" s="96" t="str">
        <f t="shared" si="111"/>
        <v>n</v>
      </c>
      <c r="BE428" s="96" t="str">
        <f t="shared" si="116"/>
        <v>n</v>
      </c>
      <c r="BF428" s="98" t="str">
        <f t="shared" si="112"/>
        <v/>
      </c>
      <c r="BG428" s="96" t="str">
        <f>IF(BF428="","",IF(ISNUMBER(VLOOKUP(BF428,'Conversion factors'!$B$35:$C$52,2,FALSE)),"y","n"))</f>
        <v/>
      </c>
      <c r="BH428" s="99" t="s">
        <v>1507</v>
      </c>
    </row>
    <row r="429" spans="1:62" s="103" customFormat="1" ht="15.75" customHeight="1" x14ac:dyDescent="0.2">
      <c r="A429" s="18"/>
      <c r="B429" s="19">
        <v>273</v>
      </c>
      <c r="C429" s="19"/>
      <c r="D429" s="19">
        <v>100026</v>
      </c>
      <c r="E429" s="19" t="s">
        <v>1224</v>
      </c>
      <c r="F429" s="93">
        <v>2007</v>
      </c>
      <c r="G429" s="19" t="s">
        <v>943</v>
      </c>
      <c r="H429" s="19"/>
      <c r="I429" s="19" t="s">
        <v>41</v>
      </c>
      <c r="J429" s="19" t="s">
        <v>944</v>
      </c>
      <c r="K429" s="19" t="s">
        <v>161</v>
      </c>
      <c r="L429" s="19" t="s">
        <v>82</v>
      </c>
      <c r="M429" s="19" t="s">
        <v>82</v>
      </c>
      <c r="N429" s="19" t="s">
        <v>66</v>
      </c>
      <c r="O429" s="156" t="s">
        <v>1591</v>
      </c>
      <c r="P429" s="19" t="s">
        <v>51</v>
      </c>
      <c r="Q429" s="19"/>
      <c r="R429" s="19" t="s">
        <v>237</v>
      </c>
      <c r="S429" s="19" t="s">
        <v>79</v>
      </c>
      <c r="T429" s="19" t="s">
        <v>56</v>
      </c>
      <c r="U429" s="19" t="s">
        <v>44</v>
      </c>
      <c r="V429" s="19">
        <v>7</v>
      </c>
      <c r="W429" s="19" t="s">
        <v>231</v>
      </c>
      <c r="X429" s="19" t="s">
        <v>46</v>
      </c>
      <c r="Y429" s="29"/>
      <c r="Z429" s="19"/>
      <c r="AA429" s="19"/>
      <c r="AB429" s="19" t="s">
        <v>948</v>
      </c>
      <c r="AC429" s="19" t="s">
        <v>1322</v>
      </c>
      <c r="AD429" s="19"/>
      <c r="AE429" s="19"/>
      <c r="AF429" s="19"/>
      <c r="AG429" s="19" t="s">
        <v>235</v>
      </c>
      <c r="AH429" s="19"/>
      <c r="AI429" s="19"/>
      <c r="AJ429" s="19" t="s">
        <v>1503</v>
      </c>
      <c r="AK429" s="19" t="s">
        <v>234</v>
      </c>
      <c r="AL429" s="19"/>
      <c r="AM429" s="19" t="s">
        <v>234</v>
      </c>
      <c r="AN429" s="19" t="s">
        <v>234</v>
      </c>
      <c r="AO429" s="19" t="s">
        <v>235</v>
      </c>
      <c r="AP429" s="94"/>
      <c r="AQ429" s="19" t="s">
        <v>101</v>
      </c>
      <c r="AR429" s="19" t="s">
        <v>946</v>
      </c>
      <c r="AS429" s="19"/>
      <c r="AT429" s="65" t="str">
        <f t="shared" si="109"/>
        <v>N</v>
      </c>
      <c r="AU429" s="65" t="str">
        <f t="shared" si="113"/>
        <v>N</v>
      </c>
      <c r="AV429" s="65" t="str">
        <f t="shared" si="133"/>
        <v>N</v>
      </c>
      <c r="AW429" s="99"/>
      <c r="AX429" s="99"/>
      <c r="AY429" s="19"/>
      <c r="AZ429" s="96" t="str">
        <f t="shared" si="114"/>
        <v>n</v>
      </c>
      <c r="BA429" s="96" t="str">
        <f>IF(AZ429="n","n",VLOOKUP(AZ429,'Conversion factors'!$C$4:$D$24,2,FALSE))</f>
        <v>n</v>
      </c>
      <c r="BB429" s="96" t="str">
        <f t="shared" si="115"/>
        <v>n</v>
      </c>
      <c r="BC429" s="97"/>
      <c r="BD429" s="96" t="str">
        <f t="shared" si="111"/>
        <v>n</v>
      </c>
      <c r="BE429" s="96" t="str">
        <f t="shared" si="116"/>
        <v>n</v>
      </c>
      <c r="BF429" s="98" t="str">
        <f t="shared" si="112"/>
        <v/>
      </c>
      <c r="BG429" s="96" t="str">
        <f>IF(BF429="","",IF(ISNUMBER(VLOOKUP(BF429,'Conversion factors'!$B$35:$C$52,2,FALSE)),"y","n"))</f>
        <v/>
      </c>
      <c r="BH429" s="99" t="s">
        <v>1464</v>
      </c>
    </row>
    <row r="430" spans="1:62" s="103" customFormat="1" ht="15.75" customHeight="1" x14ac:dyDescent="0.2">
      <c r="A430" s="18"/>
      <c r="B430" s="19">
        <v>273</v>
      </c>
      <c r="C430" s="19"/>
      <c r="D430" s="19">
        <v>100026</v>
      </c>
      <c r="E430" s="19" t="s">
        <v>1224</v>
      </c>
      <c r="F430" s="93">
        <v>2007</v>
      </c>
      <c r="G430" s="19" t="s">
        <v>943</v>
      </c>
      <c r="H430" s="19"/>
      <c r="I430" s="19" t="s">
        <v>41</v>
      </c>
      <c r="J430" s="19" t="s">
        <v>944</v>
      </c>
      <c r="K430" s="19" t="s">
        <v>161</v>
      </c>
      <c r="L430" s="19" t="s">
        <v>82</v>
      </c>
      <c r="M430" s="19" t="s">
        <v>82</v>
      </c>
      <c r="N430" s="19" t="s">
        <v>66</v>
      </c>
      <c r="O430" s="156" t="s">
        <v>1591</v>
      </c>
      <c r="P430" s="19" t="s">
        <v>51</v>
      </c>
      <c r="Q430" s="19"/>
      <c r="R430" s="19" t="s">
        <v>237</v>
      </c>
      <c r="S430" s="19" t="s">
        <v>414</v>
      </c>
      <c r="T430" s="19" t="s">
        <v>55</v>
      </c>
      <c r="U430" s="19" t="s">
        <v>55</v>
      </c>
      <c r="V430" s="19">
        <v>7</v>
      </c>
      <c r="W430" s="19" t="s">
        <v>231</v>
      </c>
      <c r="X430" s="19" t="s">
        <v>46</v>
      </c>
      <c r="Y430" s="29"/>
      <c r="Z430" s="19"/>
      <c r="AA430" s="19"/>
      <c r="AB430" s="19" t="s">
        <v>950</v>
      </c>
      <c r="AC430" s="19" t="s">
        <v>1322</v>
      </c>
      <c r="AD430" s="19"/>
      <c r="AE430" s="19"/>
      <c r="AF430" s="19"/>
      <c r="AG430" s="19" t="s">
        <v>235</v>
      </c>
      <c r="AH430" s="19"/>
      <c r="AI430" s="19"/>
      <c r="AJ430" s="19" t="s">
        <v>1503</v>
      </c>
      <c r="AK430" s="19" t="s">
        <v>234</v>
      </c>
      <c r="AL430" s="19"/>
      <c r="AM430" s="19" t="s">
        <v>234</v>
      </c>
      <c r="AN430" s="19" t="s">
        <v>234</v>
      </c>
      <c r="AO430" s="19" t="s">
        <v>235</v>
      </c>
      <c r="AP430" s="94"/>
      <c r="AQ430" s="19" t="s">
        <v>101</v>
      </c>
      <c r="AR430" s="19" t="s">
        <v>946</v>
      </c>
      <c r="AS430" s="19"/>
      <c r="AT430" s="65" t="str">
        <f t="shared" si="109"/>
        <v>N</v>
      </c>
      <c r="AU430" s="65" t="str">
        <f t="shared" si="113"/>
        <v>N</v>
      </c>
      <c r="AV430" s="65" t="str">
        <f t="shared" si="133"/>
        <v>N</v>
      </c>
      <c r="AW430" s="99"/>
      <c r="AX430" s="99"/>
      <c r="AY430" s="19"/>
      <c r="AZ430" s="96" t="str">
        <f t="shared" si="114"/>
        <v>n</v>
      </c>
      <c r="BA430" s="96" t="str">
        <f>IF(AZ430="n","n",VLOOKUP(AZ430,'Conversion factors'!$C$4:$D$24,2,FALSE))</f>
        <v>n</v>
      </c>
      <c r="BB430" s="96" t="str">
        <f t="shared" si="115"/>
        <v>n</v>
      </c>
      <c r="BC430" s="97"/>
      <c r="BD430" s="96" t="str">
        <f t="shared" si="111"/>
        <v>n</v>
      </c>
      <c r="BE430" s="96" t="str">
        <f t="shared" si="116"/>
        <v>n</v>
      </c>
      <c r="BF430" s="98" t="str">
        <f t="shared" si="112"/>
        <v/>
      </c>
      <c r="BG430" s="96" t="str">
        <f>IF(BF430="","",IF(ISNUMBER(VLOOKUP(BF430,'Conversion factors'!$B$35:$C$52,2,FALSE)),"y","n"))</f>
        <v/>
      </c>
      <c r="BH430" s="99" t="s">
        <v>1464</v>
      </c>
    </row>
    <row r="431" spans="1:62" s="103" customFormat="1" ht="15.75" customHeight="1" x14ac:dyDescent="0.2">
      <c r="A431" s="18"/>
      <c r="B431" s="19">
        <v>273</v>
      </c>
      <c r="C431" s="19"/>
      <c r="D431" s="19">
        <v>100026</v>
      </c>
      <c r="E431" s="19" t="s">
        <v>1224</v>
      </c>
      <c r="F431" s="93">
        <v>2007</v>
      </c>
      <c r="G431" s="19" t="s">
        <v>943</v>
      </c>
      <c r="H431" s="19"/>
      <c r="I431" s="19" t="s">
        <v>41</v>
      </c>
      <c r="J431" s="19" t="s">
        <v>944</v>
      </c>
      <c r="K431" s="19" t="s">
        <v>161</v>
      </c>
      <c r="L431" s="19" t="s">
        <v>82</v>
      </c>
      <c r="M431" s="19" t="s">
        <v>82</v>
      </c>
      <c r="N431" s="19" t="s">
        <v>66</v>
      </c>
      <c r="O431" s="156" t="s">
        <v>1591</v>
      </c>
      <c r="P431" s="19" t="s">
        <v>51</v>
      </c>
      <c r="Q431" s="19"/>
      <c r="R431" s="19" t="s">
        <v>237</v>
      </c>
      <c r="S431" s="19" t="s">
        <v>414</v>
      </c>
      <c r="T431" s="19" t="s">
        <v>54</v>
      </c>
      <c r="U431" s="19" t="s">
        <v>54</v>
      </c>
      <c r="V431" s="19">
        <v>7</v>
      </c>
      <c r="W431" s="19" t="s">
        <v>231</v>
      </c>
      <c r="X431" s="19" t="s">
        <v>46</v>
      </c>
      <c r="Y431" s="29"/>
      <c r="Z431" s="19"/>
      <c r="AA431" s="19"/>
      <c r="AB431" s="19" t="s">
        <v>951</v>
      </c>
      <c r="AC431" s="19" t="s">
        <v>1322</v>
      </c>
      <c r="AD431" s="19"/>
      <c r="AE431" s="19"/>
      <c r="AF431" s="19"/>
      <c r="AG431" s="19" t="s">
        <v>235</v>
      </c>
      <c r="AH431" s="19"/>
      <c r="AI431" s="19"/>
      <c r="AJ431" s="19" t="s">
        <v>1503</v>
      </c>
      <c r="AK431" s="19" t="s">
        <v>234</v>
      </c>
      <c r="AL431" s="19"/>
      <c r="AM431" s="19" t="s">
        <v>234</v>
      </c>
      <c r="AN431" s="19" t="s">
        <v>234</v>
      </c>
      <c r="AO431" s="19" t="s">
        <v>235</v>
      </c>
      <c r="AP431" s="94"/>
      <c r="AQ431" s="19" t="s">
        <v>101</v>
      </c>
      <c r="AR431" s="19" t="s">
        <v>946</v>
      </c>
      <c r="AS431" s="19"/>
      <c r="AT431" s="65" t="str">
        <f t="shared" si="109"/>
        <v>N</v>
      </c>
      <c r="AU431" s="65" t="str">
        <f t="shared" si="113"/>
        <v>N</v>
      </c>
      <c r="AV431" s="65" t="str">
        <f t="shared" si="133"/>
        <v>N</v>
      </c>
      <c r="AW431" s="99"/>
      <c r="AX431" s="99"/>
      <c r="AY431" s="19"/>
      <c r="AZ431" s="96" t="str">
        <f t="shared" si="114"/>
        <v>n</v>
      </c>
      <c r="BA431" s="96" t="str">
        <f>IF(AZ431="n","n",VLOOKUP(AZ431,'Conversion factors'!$C$4:$D$24,2,FALSE))</f>
        <v>n</v>
      </c>
      <c r="BB431" s="96" t="str">
        <f t="shared" si="115"/>
        <v>n</v>
      </c>
      <c r="BC431" s="97"/>
      <c r="BD431" s="96" t="str">
        <f t="shared" si="111"/>
        <v>n</v>
      </c>
      <c r="BE431" s="96" t="str">
        <f t="shared" si="116"/>
        <v>n</v>
      </c>
      <c r="BF431" s="98" t="str">
        <f t="shared" si="112"/>
        <v/>
      </c>
      <c r="BG431" s="96" t="str">
        <f>IF(BF431="","",IF(ISNUMBER(VLOOKUP(BF431,'Conversion factors'!$B$35:$C$52,2,FALSE)),"y","n"))</f>
        <v/>
      </c>
      <c r="BH431" s="99" t="s">
        <v>1507</v>
      </c>
    </row>
    <row r="432" spans="1:62" s="103" customFormat="1" ht="15.75" customHeight="1" x14ac:dyDescent="0.2">
      <c r="A432" s="18"/>
      <c r="B432" s="20">
        <v>339</v>
      </c>
      <c r="C432" s="19"/>
      <c r="D432" s="19"/>
      <c r="E432" s="19" t="s">
        <v>1359</v>
      </c>
      <c r="F432" s="93">
        <v>2002</v>
      </c>
      <c r="G432" s="19" t="s">
        <v>1343</v>
      </c>
      <c r="H432" s="19" t="s">
        <v>162</v>
      </c>
      <c r="I432" s="19" t="s">
        <v>41</v>
      </c>
      <c r="J432" s="19" t="s">
        <v>944</v>
      </c>
      <c r="K432" s="19" t="s">
        <v>161</v>
      </c>
      <c r="L432" s="99" t="s">
        <v>82</v>
      </c>
      <c r="M432" s="19" t="s">
        <v>82</v>
      </c>
      <c r="N432" s="19" t="s">
        <v>66</v>
      </c>
      <c r="O432" s="19" t="s">
        <v>1116</v>
      </c>
      <c r="P432" s="19" t="s">
        <v>51</v>
      </c>
      <c r="Q432" s="19"/>
      <c r="R432" s="19" t="s">
        <v>81</v>
      </c>
      <c r="S432" s="19" t="s">
        <v>1354</v>
      </c>
      <c r="T432" s="19" t="s">
        <v>54</v>
      </c>
      <c r="U432" s="19" t="s">
        <v>54</v>
      </c>
      <c r="V432" s="19">
        <v>71</v>
      </c>
      <c r="W432" s="19" t="s">
        <v>45</v>
      </c>
      <c r="X432" s="19" t="s">
        <v>46</v>
      </c>
      <c r="Y432" s="29"/>
      <c r="Z432" s="19"/>
      <c r="AA432" s="19"/>
      <c r="AB432" s="19">
        <v>188</v>
      </c>
      <c r="AC432" s="19" t="s">
        <v>214</v>
      </c>
      <c r="AD432" s="19"/>
      <c r="AE432" s="19">
        <v>48.1</v>
      </c>
      <c r="AF432" s="19" t="s">
        <v>1356</v>
      </c>
      <c r="AG432" s="19" t="s">
        <v>270</v>
      </c>
      <c r="AH432" s="19"/>
      <c r="AI432" s="19"/>
      <c r="AJ432" s="19">
        <v>7.6</v>
      </c>
      <c r="AK432" s="19" t="s">
        <v>1355</v>
      </c>
      <c r="AL432" s="19">
        <v>94.8</v>
      </c>
      <c r="AM432" s="19"/>
      <c r="AN432" s="19">
        <v>34.700000000000003</v>
      </c>
      <c r="AO432" s="19"/>
      <c r="AP432" s="94"/>
      <c r="AQ432" s="19" t="s">
        <v>1357</v>
      </c>
      <c r="AR432" s="19" t="s">
        <v>1358</v>
      </c>
      <c r="AS432" s="19"/>
      <c r="AT432" s="65" t="str">
        <f t="shared" si="109"/>
        <v>Y</v>
      </c>
      <c r="AU432" s="65" t="str">
        <f t="shared" si="113"/>
        <v>Y</v>
      </c>
      <c r="AV432" s="65" t="s">
        <v>162</v>
      </c>
      <c r="AW432" s="72" t="s">
        <v>1642</v>
      </c>
      <c r="AX432" s="99" t="s">
        <v>1641</v>
      </c>
      <c r="AY432" s="19"/>
      <c r="AZ432" s="96" t="str">
        <f t="shared" si="114"/>
        <v>n</v>
      </c>
      <c r="BA432" s="96" t="str">
        <f>IF(AZ432="n","n",VLOOKUP(AZ432,'Conversion factors'!$C$4:$D$24,2,FALSE))</f>
        <v>n</v>
      </c>
      <c r="BB432" s="96" t="str">
        <f t="shared" si="115"/>
        <v>n</v>
      </c>
      <c r="BC432" s="97"/>
      <c r="BD432" s="96" t="str">
        <f t="shared" si="111"/>
        <v>n</v>
      </c>
      <c r="BE432" s="96" t="str">
        <f t="shared" si="116"/>
        <v>n</v>
      </c>
      <c r="BF432" s="98" t="str">
        <f t="shared" si="112"/>
        <v/>
      </c>
      <c r="BG432" s="96" t="str">
        <f>IF(BF432="","",IF(ISNUMBER(VLOOKUP(BF432,'Conversion factors'!$B$35:$C$52,2,FALSE)),"y","n"))</f>
        <v/>
      </c>
      <c r="BH432" s="99" t="s">
        <v>1507</v>
      </c>
    </row>
    <row r="433" spans="1:62" s="103" customFormat="1" ht="15.75" customHeight="1" x14ac:dyDescent="0.2">
      <c r="A433" s="18"/>
      <c r="B433" s="19">
        <v>239</v>
      </c>
      <c r="C433" s="19"/>
      <c r="D433" s="19">
        <v>75379</v>
      </c>
      <c r="E433" s="19" t="s">
        <v>1224</v>
      </c>
      <c r="F433" s="93">
        <v>2003</v>
      </c>
      <c r="G433" s="19" t="s">
        <v>670</v>
      </c>
      <c r="H433" s="19"/>
      <c r="I433" s="19" t="s">
        <v>41</v>
      </c>
      <c r="J433" s="19" t="s">
        <v>671</v>
      </c>
      <c r="K433" s="19" t="s">
        <v>300</v>
      </c>
      <c r="L433" s="19" t="s">
        <v>151</v>
      </c>
      <c r="M433" s="19" t="s">
        <v>222</v>
      </c>
      <c r="N433" s="19"/>
      <c r="O433" s="19" t="s">
        <v>235</v>
      </c>
      <c r="P433" s="19" t="s">
        <v>162</v>
      </c>
      <c r="Q433" s="19"/>
      <c r="R433" s="19" t="s">
        <v>237</v>
      </c>
      <c r="S433" s="19" t="s">
        <v>79</v>
      </c>
      <c r="T433" s="19" t="s">
        <v>56</v>
      </c>
      <c r="U433" s="19" t="s">
        <v>44</v>
      </c>
      <c r="V433" s="19" t="s">
        <v>253</v>
      </c>
      <c r="W433" s="19" t="s">
        <v>231</v>
      </c>
      <c r="X433" s="19" t="s">
        <v>46</v>
      </c>
      <c r="Y433" s="29"/>
      <c r="Z433" s="19" t="s">
        <v>305</v>
      </c>
      <c r="AA433" s="19"/>
      <c r="AB433" s="19"/>
      <c r="AC433" s="19" t="s">
        <v>1322</v>
      </c>
      <c r="AD433" s="19"/>
      <c r="AE433" s="19"/>
      <c r="AF433" s="19"/>
      <c r="AG433" s="19" t="s">
        <v>235</v>
      </c>
      <c r="AH433" s="19"/>
      <c r="AI433" s="19"/>
      <c r="AJ433" s="19" t="s">
        <v>234</v>
      </c>
      <c r="AK433" s="19" t="s">
        <v>234</v>
      </c>
      <c r="AL433" s="19"/>
      <c r="AM433" s="19" t="s">
        <v>234</v>
      </c>
      <c r="AN433" s="19" t="s">
        <v>234</v>
      </c>
      <c r="AO433" s="19" t="s">
        <v>235</v>
      </c>
      <c r="AP433" s="94"/>
      <c r="AQ433" s="19" t="s">
        <v>126</v>
      </c>
      <c r="AR433" s="19" t="s">
        <v>241</v>
      </c>
      <c r="AS433" s="19"/>
      <c r="AT433" s="65" t="str">
        <f t="shared" si="109"/>
        <v>N</v>
      </c>
      <c r="AU433" s="65" t="str">
        <f t="shared" si="113"/>
        <v>N</v>
      </c>
      <c r="AV433" s="65" t="str">
        <f t="shared" ref="AV433:AV478" si="134">AU433</f>
        <v>N</v>
      </c>
      <c r="AW433" s="99"/>
      <c r="AX433" s="99"/>
      <c r="AY433" s="19"/>
      <c r="AZ433" s="96" t="str">
        <f t="shared" si="114"/>
        <v>n</v>
      </c>
      <c r="BA433" s="96" t="str">
        <f>IF(AZ433="n","n",VLOOKUP(AZ433,'Conversion factors'!$C$4:$D$24,2,FALSE))</f>
        <v>n</v>
      </c>
      <c r="BB433" s="96" t="str">
        <f t="shared" si="115"/>
        <v>n</v>
      </c>
      <c r="BC433" s="97"/>
      <c r="BD433" s="96" t="str">
        <f t="shared" si="111"/>
        <v>n</v>
      </c>
      <c r="BE433" s="96" t="str">
        <f t="shared" si="116"/>
        <v>n</v>
      </c>
      <c r="BF433" s="98" t="str">
        <f t="shared" si="112"/>
        <v/>
      </c>
      <c r="BG433" s="96" t="str">
        <f>IF(BF433="","",IF(ISNUMBER(VLOOKUP(BF433,'Conversion factors'!$B$35:$C$52,2,FALSE)),"y","n"))</f>
        <v/>
      </c>
      <c r="BH433" s="99"/>
      <c r="BI433" s="20"/>
      <c r="BJ433" s="20"/>
    </row>
    <row r="434" spans="1:62" s="103" customFormat="1" ht="15.75" customHeight="1" x14ac:dyDescent="0.2">
      <c r="A434" s="18"/>
      <c r="B434" s="19">
        <v>239</v>
      </c>
      <c r="C434" s="19"/>
      <c r="D434" s="19">
        <v>75379</v>
      </c>
      <c r="E434" s="19" t="s">
        <v>1224</v>
      </c>
      <c r="F434" s="93">
        <v>2003</v>
      </c>
      <c r="G434" s="19" t="s">
        <v>670</v>
      </c>
      <c r="H434" s="19"/>
      <c r="I434" s="19" t="s">
        <v>41</v>
      </c>
      <c r="J434" s="19" t="s">
        <v>671</v>
      </c>
      <c r="K434" s="19" t="s">
        <v>300</v>
      </c>
      <c r="L434" s="19" t="s">
        <v>151</v>
      </c>
      <c r="M434" s="19" t="s">
        <v>222</v>
      </c>
      <c r="N434" s="19"/>
      <c r="O434" s="19" t="s">
        <v>235</v>
      </c>
      <c r="P434" s="19" t="s">
        <v>162</v>
      </c>
      <c r="Q434" s="19"/>
      <c r="R434" s="19" t="s">
        <v>237</v>
      </c>
      <c r="S434" s="19" t="s">
        <v>79</v>
      </c>
      <c r="T434" s="19" t="s">
        <v>56</v>
      </c>
      <c r="U434" s="19" t="s">
        <v>44</v>
      </c>
      <c r="V434" s="19" t="s">
        <v>253</v>
      </c>
      <c r="W434" s="19" t="s">
        <v>231</v>
      </c>
      <c r="X434" s="19" t="s">
        <v>46</v>
      </c>
      <c r="Y434" s="29"/>
      <c r="Z434" s="19" t="s">
        <v>674</v>
      </c>
      <c r="AA434" s="19"/>
      <c r="AB434" s="19"/>
      <c r="AC434" s="19" t="s">
        <v>1322</v>
      </c>
      <c r="AD434" s="19"/>
      <c r="AE434" s="19"/>
      <c r="AF434" s="19"/>
      <c r="AG434" s="19" t="s">
        <v>235</v>
      </c>
      <c r="AH434" s="19"/>
      <c r="AI434" s="19"/>
      <c r="AJ434" s="19" t="s">
        <v>234</v>
      </c>
      <c r="AK434" s="19" t="s">
        <v>234</v>
      </c>
      <c r="AL434" s="19"/>
      <c r="AM434" s="19" t="s">
        <v>234</v>
      </c>
      <c r="AN434" s="19" t="s">
        <v>234</v>
      </c>
      <c r="AO434" s="19" t="s">
        <v>235</v>
      </c>
      <c r="AP434" s="94"/>
      <c r="AQ434" s="19" t="s">
        <v>126</v>
      </c>
      <c r="AR434" s="19" t="s">
        <v>241</v>
      </c>
      <c r="AS434" s="19"/>
      <c r="AT434" s="65" t="str">
        <f t="shared" si="109"/>
        <v>N</v>
      </c>
      <c r="AU434" s="65" t="str">
        <f t="shared" si="113"/>
        <v>N</v>
      </c>
      <c r="AV434" s="65" t="str">
        <f t="shared" si="134"/>
        <v>N</v>
      </c>
      <c r="AW434" s="99"/>
      <c r="AX434" s="99"/>
      <c r="AY434" s="19"/>
      <c r="AZ434" s="96" t="str">
        <f t="shared" si="114"/>
        <v>n</v>
      </c>
      <c r="BA434" s="96" t="str">
        <f>IF(AZ434="n","n",VLOOKUP(AZ434,'Conversion factors'!$C$4:$D$24,2,FALSE))</f>
        <v>n</v>
      </c>
      <c r="BB434" s="96" t="str">
        <f t="shared" si="115"/>
        <v>n</v>
      </c>
      <c r="BC434" s="97"/>
      <c r="BD434" s="96" t="str">
        <f t="shared" si="111"/>
        <v>n</v>
      </c>
      <c r="BE434" s="96" t="str">
        <f t="shared" si="116"/>
        <v>n</v>
      </c>
      <c r="BF434" s="98" t="str">
        <f t="shared" si="112"/>
        <v/>
      </c>
      <c r="BG434" s="96" t="str">
        <f>IF(BF434="","",IF(ISNUMBER(VLOOKUP(BF434,'Conversion factors'!$B$35:$C$52,2,FALSE)),"y","n"))</f>
        <v/>
      </c>
      <c r="BH434" s="99"/>
      <c r="BI434" s="20"/>
      <c r="BJ434" s="20"/>
    </row>
    <row r="435" spans="1:62" s="103" customFormat="1" ht="15.75" customHeight="1" x14ac:dyDescent="0.2">
      <c r="A435" s="18"/>
      <c r="B435" s="19">
        <v>239</v>
      </c>
      <c r="C435" s="19"/>
      <c r="D435" s="19">
        <v>75379</v>
      </c>
      <c r="E435" s="19" t="s">
        <v>1224</v>
      </c>
      <c r="F435" s="93">
        <v>2003</v>
      </c>
      <c r="G435" s="19" t="s">
        <v>670</v>
      </c>
      <c r="H435" s="19"/>
      <c r="I435" s="19" t="s">
        <v>41</v>
      </c>
      <c r="J435" s="19" t="s">
        <v>671</v>
      </c>
      <c r="K435" s="19" t="s">
        <v>300</v>
      </c>
      <c r="L435" s="19" t="s">
        <v>151</v>
      </c>
      <c r="M435" s="19" t="s">
        <v>222</v>
      </c>
      <c r="N435" s="19"/>
      <c r="O435" s="19" t="s">
        <v>235</v>
      </c>
      <c r="P435" s="19" t="s">
        <v>162</v>
      </c>
      <c r="Q435" s="19"/>
      <c r="R435" s="19" t="s">
        <v>237</v>
      </c>
      <c r="S435" s="19" t="s">
        <v>79</v>
      </c>
      <c r="T435" s="19" t="s">
        <v>56</v>
      </c>
      <c r="U435" s="19" t="s">
        <v>44</v>
      </c>
      <c r="V435" s="19" t="s">
        <v>94</v>
      </c>
      <c r="W435" s="19" t="s">
        <v>231</v>
      </c>
      <c r="X435" s="19" t="s">
        <v>46</v>
      </c>
      <c r="Y435" s="29"/>
      <c r="Z435" s="19" t="s">
        <v>673</v>
      </c>
      <c r="AA435" s="19"/>
      <c r="AB435" s="19"/>
      <c r="AC435" s="19" t="s">
        <v>1322</v>
      </c>
      <c r="AD435" s="19"/>
      <c r="AE435" s="19"/>
      <c r="AF435" s="19"/>
      <c r="AG435" s="19" t="s">
        <v>235</v>
      </c>
      <c r="AH435" s="19"/>
      <c r="AI435" s="19"/>
      <c r="AJ435" s="19" t="s">
        <v>234</v>
      </c>
      <c r="AK435" s="19" t="s">
        <v>234</v>
      </c>
      <c r="AL435" s="19"/>
      <c r="AM435" s="19" t="s">
        <v>234</v>
      </c>
      <c r="AN435" s="19" t="s">
        <v>234</v>
      </c>
      <c r="AO435" s="19" t="s">
        <v>235</v>
      </c>
      <c r="AP435" s="94"/>
      <c r="AQ435" s="19" t="s">
        <v>126</v>
      </c>
      <c r="AR435" s="19" t="s">
        <v>241</v>
      </c>
      <c r="AS435" s="19"/>
      <c r="AT435" s="65" t="str">
        <f t="shared" si="109"/>
        <v>N</v>
      </c>
      <c r="AU435" s="65" t="str">
        <f t="shared" si="113"/>
        <v>N</v>
      </c>
      <c r="AV435" s="65" t="str">
        <f t="shared" si="134"/>
        <v>N</v>
      </c>
      <c r="AW435" s="99"/>
      <c r="AX435" s="99"/>
      <c r="AY435" s="19"/>
      <c r="AZ435" s="96" t="str">
        <f t="shared" si="114"/>
        <v>n</v>
      </c>
      <c r="BA435" s="96" t="str">
        <f>IF(AZ435="n","n",VLOOKUP(AZ435,'Conversion factors'!$C$4:$D$24,2,FALSE))</f>
        <v>n</v>
      </c>
      <c r="BB435" s="96" t="str">
        <f t="shared" si="115"/>
        <v>n</v>
      </c>
      <c r="BC435" s="97"/>
      <c r="BD435" s="96" t="str">
        <f t="shared" si="111"/>
        <v>n</v>
      </c>
      <c r="BE435" s="96" t="str">
        <f t="shared" si="116"/>
        <v>n</v>
      </c>
      <c r="BF435" s="98" t="str">
        <f t="shared" si="112"/>
        <v/>
      </c>
      <c r="BG435" s="96" t="str">
        <f>IF(BF435="","",IF(ISNUMBER(VLOOKUP(BF435,'Conversion factors'!$B$35:$C$52,2,FALSE)),"y","n"))</f>
        <v/>
      </c>
      <c r="BH435" s="99"/>
      <c r="BI435" s="20"/>
      <c r="BJ435" s="20"/>
    </row>
    <row r="436" spans="1:62" s="103" customFormat="1" ht="15.75" customHeight="1" x14ac:dyDescent="0.2">
      <c r="A436" s="18"/>
      <c r="B436" s="19">
        <v>239</v>
      </c>
      <c r="C436" s="19"/>
      <c r="D436" s="19">
        <v>75379</v>
      </c>
      <c r="E436" s="19" t="s">
        <v>1224</v>
      </c>
      <c r="F436" s="93">
        <v>2003</v>
      </c>
      <c r="G436" s="19" t="s">
        <v>670</v>
      </c>
      <c r="H436" s="19"/>
      <c r="I436" s="19" t="s">
        <v>41</v>
      </c>
      <c r="J436" s="19" t="s">
        <v>671</v>
      </c>
      <c r="K436" s="19" t="s">
        <v>300</v>
      </c>
      <c r="L436" s="19" t="s">
        <v>151</v>
      </c>
      <c r="M436" s="19" t="s">
        <v>222</v>
      </c>
      <c r="N436" s="19"/>
      <c r="O436" s="19" t="s">
        <v>235</v>
      </c>
      <c r="P436" s="19" t="s">
        <v>162</v>
      </c>
      <c r="Q436" s="19"/>
      <c r="R436" s="19" t="s">
        <v>237</v>
      </c>
      <c r="S436" s="19" t="s">
        <v>79</v>
      </c>
      <c r="T436" s="19" t="s">
        <v>56</v>
      </c>
      <c r="U436" s="19" t="s">
        <v>44</v>
      </c>
      <c r="V436" s="19" t="s">
        <v>94</v>
      </c>
      <c r="W436" s="19" t="s">
        <v>231</v>
      </c>
      <c r="X436" s="19" t="s">
        <v>46</v>
      </c>
      <c r="Y436" s="29"/>
      <c r="Z436" s="19" t="s">
        <v>673</v>
      </c>
      <c r="AA436" s="19"/>
      <c r="AB436" s="19"/>
      <c r="AC436" s="19" t="s">
        <v>1322</v>
      </c>
      <c r="AD436" s="19"/>
      <c r="AE436" s="19"/>
      <c r="AF436" s="19"/>
      <c r="AG436" s="19" t="s">
        <v>235</v>
      </c>
      <c r="AH436" s="19"/>
      <c r="AI436" s="19"/>
      <c r="AJ436" s="19" t="s">
        <v>234</v>
      </c>
      <c r="AK436" s="19" t="s">
        <v>234</v>
      </c>
      <c r="AL436" s="19"/>
      <c r="AM436" s="19" t="s">
        <v>234</v>
      </c>
      <c r="AN436" s="19" t="s">
        <v>234</v>
      </c>
      <c r="AO436" s="19" t="s">
        <v>235</v>
      </c>
      <c r="AP436" s="94"/>
      <c r="AQ436" s="19" t="s">
        <v>126</v>
      </c>
      <c r="AR436" s="19" t="s">
        <v>241</v>
      </c>
      <c r="AS436" s="19"/>
      <c r="AT436" s="65" t="str">
        <f t="shared" si="109"/>
        <v>N</v>
      </c>
      <c r="AU436" s="65" t="str">
        <f t="shared" si="113"/>
        <v>N</v>
      </c>
      <c r="AV436" s="65" t="str">
        <f t="shared" si="134"/>
        <v>N</v>
      </c>
      <c r="AW436" s="99"/>
      <c r="AX436" s="99"/>
      <c r="AY436" s="19"/>
      <c r="AZ436" s="96" t="str">
        <f t="shared" si="114"/>
        <v>n</v>
      </c>
      <c r="BA436" s="96" t="str">
        <f>IF(AZ436="n","n",VLOOKUP(AZ436,'Conversion factors'!$C$4:$D$24,2,FALSE))</f>
        <v>n</v>
      </c>
      <c r="BB436" s="96" t="str">
        <f t="shared" si="115"/>
        <v>n</v>
      </c>
      <c r="BC436" s="97"/>
      <c r="BD436" s="96" t="str">
        <f t="shared" si="111"/>
        <v>n</v>
      </c>
      <c r="BE436" s="96" t="str">
        <f t="shared" si="116"/>
        <v>n</v>
      </c>
      <c r="BF436" s="98" t="str">
        <f t="shared" si="112"/>
        <v/>
      </c>
      <c r="BG436" s="96" t="str">
        <f>IF(BF436="","",IF(ISNUMBER(VLOOKUP(BF436,'Conversion factors'!$B$35:$C$52,2,FALSE)),"y","n"))</f>
        <v/>
      </c>
      <c r="BH436" s="99"/>
      <c r="BI436" s="20"/>
      <c r="BJ436" s="20"/>
    </row>
    <row r="437" spans="1:62" s="103" customFormat="1" ht="15.75" customHeight="1" x14ac:dyDescent="0.2">
      <c r="A437" s="18"/>
      <c r="B437" s="19">
        <v>260</v>
      </c>
      <c r="C437" s="19"/>
      <c r="D437" s="19">
        <v>84090</v>
      </c>
      <c r="E437" s="19" t="s">
        <v>1224</v>
      </c>
      <c r="F437" s="93">
        <v>2001</v>
      </c>
      <c r="G437" s="19" t="s">
        <v>886</v>
      </c>
      <c r="H437" s="19"/>
      <c r="I437" s="19" t="s">
        <v>41</v>
      </c>
      <c r="J437" s="19" t="s">
        <v>671</v>
      </c>
      <c r="K437" s="19" t="s">
        <v>300</v>
      </c>
      <c r="L437" s="19" t="s">
        <v>151</v>
      </c>
      <c r="M437" s="19" t="s">
        <v>222</v>
      </c>
      <c r="N437" s="19" t="s">
        <v>66</v>
      </c>
      <c r="O437" s="19" t="s">
        <v>235</v>
      </c>
      <c r="P437" s="19" t="s">
        <v>162</v>
      </c>
      <c r="Q437" s="19"/>
      <c r="R437" s="19" t="s">
        <v>237</v>
      </c>
      <c r="S437" s="19" t="s">
        <v>79</v>
      </c>
      <c r="T437" s="19" t="s">
        <v>56</v>
      </c>
      <c r="U437" s="19" t="s">
        <v>44</v>
      </c>
      <c r="V437" s="19" t="s">
        <v>126</v>
      </c>
      <c r="W437" s="19" t="s">
        <v>231</v>
      </c>
      <c r="X437" s="19" t="s">
        <v>46</v>
      </c>
      <c r="Y437" s="29"/>
      <c r="Z437" s="19"/>
      <c r="AA437" s="19"/>
      <c r="AB437" s="19" t="s">
        <v>887</v>
      </c>
      <c r="AC437" s="19" t="s">
        <v>1322</v>
      </c>
      <c r="AD437" s="19"/>
      <c r="AE437" s="19"/>
      <c r="AF437" s="19"/>
      <c r="AG437" s="19" t="s">
        <v>235</v>
      </c>
      <c r="AH437" s="19"/>
      <c r="AI437" s="19"/>
      <c r="AJ437" s="19">
        <v>7.5</v>
      </c>
      <c r="AK437" s="19" t="s">
        <v>544</v>
      </c>
      <c r="AL437" s="19"/>
      <c r="AM437" s="19" t="s">
        <v>234</v>
      </c>
      <c r="AN437" s="19" t="s">
        <v>234</v>
      </c>
      <c r="AO437" s="19" t="s">
        <v>235</v>
      </c>
      <c r="AP437" s="94"/>
      <c r="AQ437" s="19" t="s">
        <v>97</v>
      </c>
      <c r="AR437" s="19" t="s">
        <v>888</v>
      </c>
      <c r="AS437" s="19"/>
      <c r="AT437" s="65" t="str">
        <f t="shared" si="109"/>
        <v>N</v>
      </c>
      <c r="AU437" s="65" t="str">
        <f t="shared" si="113"/>
        <v>N</v>
      </c>
      <c r="AV437" s="65" t="str">
        <f t="shared" si="134"/>
        <v>N</v>
      </c>
      <c r="AW437" s="99"/>
      <c r="AX437" s="99"/>
      <c r="AY437" s="19"/>
      <c r="AZ437" s="96" t="str">
        <f t="shared" si="114"/>
        <v>n</v>
      </c>
      <c r="BA437" s="96" t="str">
        <f>IF(AZ437="n","n",VLOOKUP(AZ437,'Conversion factors'!$C$4:$D$24,2,FALSE))</f>
        <v>n</v>
      </c>
      <c r="BB437" s="96" t="str">
        <f t="shared" si="115"/>
        <v>n</v>
      </c>
      <c r="BC437" s="97"/>
      <c r="BD437" s="96" t="str">
        <f t="shared" si="111"/>
        <v>n</v>
      </c>
      <c r="BE437" s="96" t="str">
        <f t="shared" si="116"/>
        <v>n</v>
      </c>
      <c r="BF437" s="98" t="str">
        <f t="shared" si="112"/>
        <v/>
      </c>
      <c r="BG437" s="96" t="str">
        <f>IF(BF437="","",IF(ISNUMBER(VLOOKUP(BF437,'Conversion factors'!$B$35:$C$52,2,FALSE)),"y","n"))</f>
        <v/>
      </c>
      <c r="BH437" s="99"/>
      <c r="BI437" s="100"/>
      <c r="BJ437" s="100"/>
    </row>
    <row r="438" spans="1:62" s="103" customFormat="1" ht="15.75" customHeight="1" x14ac:dyDescent="0.2">
      <c r="A438" s="18"/>
      <c r="B438" s="19">
        <v>260</v>
      </c>
      <c r="C438" s="19"/>
      <c r="D438" s="19">
        <v>84090</v>
      </c>
      <c r="E438" s="19" t="s">
        <v>1224</v>
      </c>
      <c r="F438" s="93">
        <v>2001</v>
      </c>
      <c r="G438" s="19" t="s">
        <v>886</v>
      </c>
      <c r="H438" s="19"/>
      <c r="I438" s="19" t="s">
        <v>41</v>
      </c>
      <c r="J438" s="19" t="s">
        <v>671</v>
      </c>
      <c r="K438" s="19" t="s">
        <v>300</v>
      </c>
      <c r="L438" s="19" t="s">
        <v>151</v>
      </c>
      <c r="M438" s="19" t="s">
        <v>222</v>
      </c>
      <c r="N438" s="19" t="s">
        <v>66</v>
      </c>
      <c r="O438" s="19" t="s">
        <v>235</v>
      </c>
      <c r="P438" s="19" t="s">
        <v>162</v>
      </c>
      <c r="Q438" s="19"/>
      <c r="R438" s="19" t="s">
        <v>237</v>
      </c>
      <c r="S438" s="19" t="s">
        <v>79</v>
      </c>
      <c r="T438" s="19" t="s">
        <v>56</v>
      </c>
      <c r="U438" s="19" t="s">
        <v>44</v>
      </c>
      <c r="V438" s="19" t="s">
        <v>126</v>
      </c>
      <c r="W438" s="19" t="s">
        <v>231</v>
      </c>
      <c r="X438" s="19" t="s">
        <v>46</v>
      </c>
      <c r="Y438" s="29"/>
      <c r="Z438" s="19"/>
      <c r="AA438" s="19"/>
      <c r="AB438" s="19" t="s">
        <v>890</v>
      </c>
      <c r="AC438" s="19" t="s">
        <v>1322</v>
      </c>
      <c r="AD438" s="19"/>
      <c r="AE438" s="19"/>
      <c r="AF438" s="19"/>
      <c r="AG438" s="19" t="s">
        <v>235</v>
      </c>
      <c r="AH438" s="19"/>
      <c r="AI438" s="19"/>
      <c r="AJ438" s="19">
        <v>7.5</v>
      </c>
      <c r="AK438" s="19" t="s">
        <v>544</v>
      </c>
      <c r="AL438" s="19"/>
      <c r="AM438" s="19" t="s">
        <v>234</v>
      </c>
      <c r="AN438" s="19" t="s">
        <v>234</v>
      </c>
      <c r="AO438" s="19" t="s">
        <v>235</v>
      </c>
      <c r="AP438" s="94"/>
      <c r="AQ438" s="19" t="s">
        <v>97</v>
      </c>
      <c r="AR438" s="19" t="s">
        <v>888</v>
      </c>
      <c r="AS438" s="19"/>
      <c r="AT438" s="65" t="str">
        <f t="shared" si="109"/>
        <v>N</v>
      </c>
      <c r="AU438" s="65" t="str">
        <f t="shared" si="113"/>
        <v>N</v>
      </c>
      <c r="AV438" s="65" t="str">
        <f t="shared" si="134"/>
        <v>N</v>
      </c>
      <c r="AW438" s="99"/>
      <c r="AX438" s="99"/>
      <c r="AY438" s="19"/>
      <c r="AZ438" s="96" t="str">
        <f t="shared" si="114"/>
        <v>n</v>
      </c>
      <c r="BA438" s="96" t="str">
        <f>IF(AZ438="n","n",VLOOKUP(AZ438,'Conversion factors'!$C$4:$D$24,2,FALSE))</f>
        <v>n</v>
      </c>
      <c r="BB438" s="96" t="str">
        <f t="shared" si="115"/>
        <v>n</v>
      </c>
      <c r="BC438" s="97"/>
      <c r="BD438" s="96" t="str">
        <f t="shared" si="111"/>
        <v>n</v>
      </c>
      <c r="BE438" s="96" t="str">
        <f t="shared" si="116"/>
        <v>n</v>
      </c>
      <c r="BF438" s="98" t="str">
        <f t="shared" si="112"/>
        <v/>
      </c>
      <c r="BG438" s="96" t="str">
        <f>IF(BF438="","",IF(ISNUMBER(VLOOKUP(BF438,'Conversion factors'!$B$35:$C$52,2,FALSE)),"y","n"))</f>
        <v/>
      </c>
      <c r="BH438" s="99"/>
      <c r="BI438" s="100"/>
      <c r="BJ438" s="100"/>
    </row>
    <row r="439" spans="1:62" s="103" customFormat="1" ht="15.75" customHeight="1" x14ac:dyDescent="0.2">
      <c r="A439" s="18"/>
      <c r="B439" s="19">
        <v>260</v>
      </c>
      <c r="C439" s="19"/>
      <c r="D439" s="19">
        <v>84090</v>
      </c>
      <c r="E439" s="19" t="s">
        <v>1224</v>
      </c>
      <c r="F439" s="93">
        <v>2001</v>
      </c>
      <c r="G439" s="19" t="s">
        <v>886</v>
      </c>
      <c r="H439" s="19"/>
      <c r="I439" s="19" t="s">
        <v>41</v>
      </c>
      <c r="J439" s="19" t="s">
        <v>671</v>
      </c>
      <c r="K439" s="19" t="s">
        <v>300</v>
      </c>
      <c r="L439" s="19" t="s">
        <v>151</v>
      </c>
      <c r="M439" s="19" t="s">
        <v>222</v>
      </c>
      <c r="N439" s="19" t="s">
        <v>66</v>
      </c>
      <c r="O439" s="19" t="s">
        <v>235</v>
      </c>
      <c r="P439" s="19" t="s">
        <v>162</v>
      </c>
      <c r="Q439" s="19"/>
      <c r="R439" s="19" t="s">
        <v>237</v>
      </c>
      <c r="S439" s="19" t="s">
        <v>79</v>
      </c>
      <c r="T439" s="19" t="s">
        <v>56</v>
      </c>
      <c r="U439" s="19" t="s">
        <v>44</v>
      </c>
      <c r="V439" s="19" t="s">
        <v>252</v>
      </c>
      <c r="W439" s="19" t="s">
        <v>231</v>
      </c>
      <c r="X439" s="19" t="s">
        <v>46</v>
      </c>
      <c r="Y439" s="29"/>
      <c r="Z439" s="19"/>
      <c r="AA439" s="19"/>
      <c r="AB439" s="19" t="s">
        <v>889</v>
      </c>
      <c r="AC439" s="19" t="s">
        <v>1322</v>
      </c>
      <c r="AD439" s="19"/>
      <c r="AE439" s="19"/>
      <c r="AF439" s="19"/>
      <c r="AG439" s="19" t="s">
        <v>235</v>
      </c>
      <c r="AH439" s="19"/>
      <c r="AI439" s="19"/>
      <c r="AJ439" s="19">
        <v>7.5</v>
      </c>
      <c r="AK439" s="19" t="s">
        <v>544</v>
      </c>
      <c r="AL439" s="19"/>
      <c r="AM439" s="19" t="s">
        <v>234</v>
      </c>
      <c r="AN439" s="19" t="s">
        <v>234</v>
      </c>
      <c r="AO439" s="19" t="s">
        <v>235</v>
      </c>
      <c r="AP439" s="94"/>
      <c r="AQ439" s="19" t="s">
        <v>97</v>
      </c>
      <c r="AR439" s="19" t="s">
        <v>888</v>
      </c>
      <c r="AS439" s="19"/>
      <c r="AT439" s="65" t="str">
        <f t="shared" si="109"/>
        <v>N</v>
      </c>
      <c r="AU439" s="65" t="str">
        <f t="shared" si="113"/>
        <v>N</v>
      </c>
      <c r="AV439" s="65" t="str">
        <f t="shared" si="134"/>
        <v>N</v>
      </c>
      <c r="AW439" s="99"/>
      <c r="AX439" s="99"/>
      <c r="AY439" s="19"/>
      <c r="AZ439" s="96" t="str">
        <f t="shared" si="114"/>
        <v>n</v>
      </c>
      <c r="BA439" s="96" t="str">
        <f>IF(AZ439="n","n",VLOOKUP(AZ439,'Conversion factors'!$C$4:$D$24,2,FALSE))</f>
        <v>n</v>
      </c>
      <c r="BB439" s="96" t="str">
        <f t="shared" si="115"/>
        <v>n</v>
      </c>
      <c r="BC439" s="97"/>
      <c r="BD439" s="96" t="str">
        <f t="shared" si="111"/>
        <v>n</v>
      </c>
      <c r="BE439" s="96" t="str">
        <f t="shared" si="116"/>
        <v>n</v>
      </c>
      <c r="BF439" s="98" t="str">
        <f t="shared" si="112"/>
        <v/>
      </c>
      <c r="BG439" s="96" t="str">
        <f>IF(BF439="","",IF(ISNUMBER(VLOOKUP(BF439,'Conversion factors'!$B$35:$C$52,2,FALSE)),"y","n"))</f>
        <v/>
      </c>
      <c r="BH439" s="99"/>
      <c r="BI439" s="100"/>
      <c r="BJ439" s="100"/>
    </row>
    <row r="440" spans="1:62" s="103" customFormat="1" ht="15.75" customHeight="1" x14ac:dyDescent="0.2">
      <c r="A440" s="18"/>
      <c r="B440" s="19">
        <v>260</v>
      </c>
      <c r="C440" s="19"/>
      <c r="D440" s="19">
        <v>84090</v>
      </c>
      <c r="E440" s="19" t="s">
        <v>1224</v>
      </c>
      <c r="F440" s="93">
        <v>2001</v>
      </c>
      <c r="G440" s="19" t="s">
        <v>886</v>
      </c>
      <c r="H440" s="19"/>
      <c r="I440" s="19" t="s">
        <v>41</v>
      </c>
      <c r="J440" s="19" t="s">
        <v>671</v>
      </c>
      <c r="K440" s="19" t="s">
        <v>300</v>
      </c>
      <c r="L440" s="19" t="s">
        <v>151</v>
      </c>
      <c r="M440" s="19" t="s">
        <v>222</v>
      </c>
      <c r="N440" s="19" t="s">
        <v>66</v>
      </c>
      <c r="O440" s="19" t="s">
        <v>235</v>
      </c>
      <c r="P440" s="19" t="s">
        <v>162</v>
      </c>
      <c r="Q440" s="19"/>
      <c r="R440" s="19" t="s">
        <v>237</v>
      </c>
      <c r="S440" s="19" t="s">
        <v>79</v>
      </c>
      <c r="T440" s="19" t="s">
        <v>56</v>
      </c>
      <c r="U440" s="19" t="s">
        <v>44</v>
      </c>
      <c r="V440" s="19" t="s">
        <v>252</v>
      </c>
      <c r="W440" s="19" t="s">
        <v>231</v>
      </c>
      <c r="X440" s="19" t="s">
        <v>46</v>
      </c>
      <c r="Y440" s="29"/>
      <c r="Z440" s="19"/>
      <c r="AA440" s="19"/>
      <c r="AB440" s="19" t="s">
        <v>891</v>
      </c>
      <c r="AC440" s="19" t="s">
        <v>1322</v>
      </c>
      <c r="AD440" s="19"/>
      <c r="AE440" s="19"/>
      <c r="AF440" s="19"/>
      <c r="AG440" s="19" t="s">
        <v>235</v>
      </c>
      <c r="AH440" s="19"/>
      <c r="AI440" s="19"/>
      <c r="AJ440" s="19">
        <v>7.5</v>
      </c>
      <c r="AK440" s="19" t="s">
        <v>544</v>
      </c>
      <c r="AL440" s="19"/>
      <c r="AM440" s="19" t="s">
        <v>234</v>
      </c>
      <c r="AN440" s="19" t="s">
        <v>234</v>
      </c>
      <c r="AO440" s="19" t="s">
        <v>235</v>
      </c>
      <c r="AP440" s="94"/>
      <c r="AQ440" s="19" t="s">
        <v>97</v>
      </c>
      <c r="AR440" s="19" t="s">
        <v>888</v>
      </c>
      <c r="AS440" s="19"/>
      <c r="AT440" s="65" t="str">
        <f t="shared" si="109"/>
        <v>N</v>
      </c>
      <c r="AU440" s="65" t="str">
        <f t="shared" si="113"/>
        <v>N</v>
      </c>
      <c r="AV440" s="65" t="str">
        <f t="shared" si="134"/>
        <v>N</v>
      </c>
      <c r="AW440" s="99"/>
      <c r="AX440" s="99"/>
      <c r="AY440" s="19"/>
      <c r="AZ440" s="96" t="str">
        <f t="shared" si="114"/>
        <v>n</v>
      </c>
      <c r="BA440" s="96" t="str">
        <f>IF(AZ440="n","n",VLOOKUP(AZ440,'Conversion factors'!$C$4:$D$24,2,FALSE))</f>
        <v>n</v>
      </c>
      <c r="BB440" s="96" t="str">
        <f t="shared" si="115"/>
        <v>n</v>
      </c>
      <c r="BC440" s="97"/>
      <c r="BD440" s="96" t="str">
        <f t="shared" si="111"/>
        <v>n</v>
      </c>
      <c r="BE440" s="96" t="str">
        <f t="shared" si="116"/>
        <v>n</v>
      </c>
      <c r="BF440" s="98" t="str">
        <f t="shared" si="112"/>
        <v/>
      </c>
      <c r="BG440" s="96" t="str">
        <f>IF(BF440="","",IF(ISNUMBER(VLOOKUP(BF440,'Conversion factors'!$B$35:$C$52,2,FALSE)),"y","n"))</f>
        <v/>
      </c>
      <c r="BH440" s="99"/>
      <c r="BI440" s="100"/>
      <c r="BJ440" s="100"/>
    </row>
    <row r="441" spans="1:62" s="103" customFormat="1" ht="15.75" customHeight="1" x14ac:dyDescent="0.2">
      <c r="A441" s="18"/>
      <c r="B441" s="19">
        <v>177</v>
      </c>
      <c r="C441" s="19"/>
      <c r="D441" s="19">
        <v>14907</v>
      </c>
      <c r="E441" s="19" t="s">
        <v>1224</v>
      </c>
      <c r="F441" s="93">
        <v>1995</v>
      </c>
      <c r="G441" s="19" t="s">
        <v>295</v>
      </c>
      <c r="H441" s="19"/>
      <c r="I441" s="19" t="s">
        <v>1475</v>
      </c>
      <c r="J441" s="19" t="s">
        <v>299</v>
      </c>
      <c r="K441" s="19" t="s">
        <v>300</v>
      </c>
      <c r="L441" s="99" t="s">
        <v>151</v>
      </c>
      <c r="M441" s="19" t="s">
        <v>222</v>
      </c>
      <c r="N441" s="19" t="s">
        <v>66</v>
      </c>
      <c r="O441" s="19" t="s">
        <v>235</v>
      </c>
      <c r="P441" s="19" t="s">
        <v>51</v>
      </c>
      <c r="Q441" s="19"/>
      <c r="R441" s="19" t="s">
        <v>237</v>
      </c>
      <c r="S441" s="19" t="s">
        <v>79</v>
      </c>
      <c r="T441" s="19" t="s">
        <v>56</v>
      </c>
      <c r="U441" s="19" t="s">
        <v>44</v>
      </c>
      <c r="V441" s="19">
        <v>10</v>
      </c>
      <c r="W441" s="19" t="s">
        <v>231</v>
      </c>
      <c r="X441" s="19" t="s">
        <v>46</v>
      </c>
      <c r="Y441" s="29"/>
      <c r="Z441" s="19"/>
      <c r="AA441" s="19"/>
      <c r="AB441" s="19" t="s">
        <v>301</v>
      </c>
      <c r="AC441" s="19" t="s">
        <v>214</v>
      </c>
      <c r="AD441" s="19"/>
      <c r="AE441" s="19">
        <v>45</v>
      </c>
      <c r="AF441" s="19">
        <v>45</v>
      </c>
      <c r="AG441" s="19"/>
      <c r="AH441" s="19"/>
      <c r="AI441" s="19"/>
      <c r="AJ441" s="19">
        <v>8</v>
      </c>
      <c r="AK441" s="19" t="s">
        <v>234</v>
      </c>
      <c r="AL441" s="19"/>
      <c r="AM441" s="19" t="s">
        <v>234</v>
      </c>
      <c r="AN441" s="19" t="s">
        <v>234</v>
      </c>
      <c r="AO441" s="19" t="s">
        <v>235</v>
      </c>
      <c r="AP441" s="94">
        <v>0.5</v>
      </c>
      <c r="AQ441" s="19" t="s">
        <v>298</v>
      </c>
      <c r="AR441" s="19" t="s">
        <v>241</v>
      </c>
      <c r="AS441" s="19"/>
      <c r="AT441" s="65" t="str">
        <f t="shared" si="109"/>
        <v>Y</v>
      </c>
      <c r="AU441" s="65" t="str">
        <f t="shared" si="113"/>
        <v>Y</v>
      </c>
      <c r="AV441" s="65" t="str">
        <f t="shared" si="134"/>
        <v>Y</v>
      </c>
      <c r="AW441" s="99"/>
      <c r="AX441" s="99"/>
      <c r="AY441" s="19"/>
      <c r="AZ441" s="96" t="str">
        <f t="shared" si="114"/>
        <v>LC50</v>
      </c>
      <c r="BA441" s="96">
        <f>IF(AZ441="n","n",VLOOKUP(AZ441,'Conversion factors'!$C$4:$D$24,2,FALSE))</f>
        <v>5</v>
      </c>
      <c r="BB441" s="96">
        <f t="shared" si="115"/>
        <v>596.79999999999995</v>
      </c>
      <c r="BC441" s="97"/>
      <c r="BD441" s="96" t="str">
        <f t="shared" si="111"/>
        <v>Chronic</v>
      </c>
      <c r="BE441" s="96" t="str">
        <f t="shared" si="116"/>
        <v>y</v>
      </c>
      <c r="BF441" s="98" t="str">
        <f t="shared" si="112"/>
        <v>LC50</v>
      </c>
      <c r="BG441" s="96" t="str">
        <f>IF(BF441="","",IF(ISNUMBER(VLOOKUP(BF441,'Conversion factors'!$B$35:$C$52,2,FALSE)),"y","n"))</f>
        <v>n</v>
      </c>
      <c r="BH441" s="99"/>
      <c r="BI441" s="100"/>
      <c r="BJ441" s="100"/>
    </row>
    <row r="442" spans="1:62" s="103" customFormat="1" ht="15.75" customHeight="1" x14ac:dyDescent="0.2">
      <c r="A442" s="18"/>
      <c r="B442" s="19">
        <v>277</v>
      </c>
      <c r="C442" s="19"/>
      <c r="D442" s="19">
        <v>100816</v>
      </c>
      <c r="E442" s="19" t="s">
        <v>1224</v>
      </c>
      <c r="F442" s="93">
        <v>1995</v>
      </c>
      <c r="G442" s="19" t="s">
        <v>976</v>
      </c>
      <c r="H442" s="19"/>
      <c r="I442" s="19" t="s">
        <v>41</v>
      </c>
      <c r="J442" s="19" t="s">
        <v>977</v>
      </c>
      <c r="K442" s="19" t="s">
        <v>300</v>
      </c>
      <c r="L442" s="19" t="s">
        <v>151</v>
      </c>
      <c r="M442" s="19" t="s">
        <v>222</v>
      </c>
      <c r="N442" s="19" t="s">
        <v>66</v>
      </c>
      <c r="O442" s="19" t="s">
        <v>235</v>
      </c>
      <c r="P442" s="19" t="s">
        <v>162</v>
      </c>
      <c r="Q442" s="19"/>
      <c r="R442" s="19" t="s">
        <v>81</v>
      </c>
      <c r="S442" s="19" t="s">
        <v>302</v>
      </c>
      <c r="T442" s="19" t="s">
        <v>465</v>
      </c>
      <c r="U442" s="19" t="s">
        <v>54</v>
      </c>
      <c r="V442" s="19" t="s">
        <v>1057</v>
      </c>
      <c r="W442" s="19" t="s">
        <v>231</v>
      </c>
      <c r="X442" s="19" t="s">
        <v>46</v>
      </c>
      <c r="Y442" s="29"/>
      <c r="Z442" s="19"/>
      <c r="AA442" s="19"/>
      <c r="AB442" s="19" t="s">
        <v>594</v>
      </c>
      <c r="AC442" s="19" t="s">
        <v>1322</v>
      </c>
      <c r="AD442" s="19"/>
      <c r="AE442" s="19">
        <v>63</v>
      </c>
      <c r="AF442" s="19">
        <v>63</v>
      </c>
      <c r="AG442" s="19" t="s">
        <v>270</v>
      </c>
      <c r="AH442" s="19"/>
      <c r="AI442" s="19"/>
      <c r="AJ442" s="19">
        <f t="shared" ref="AJ442:AJ453" si="135">MEDIAN(6,7)</f>
        <v>6.5</v>
      </c>
      <c r="AK442" s="19" t="s">
        <v>378</v>
      </c>
      <c r="AL442" s="19"/>
      <c r="AM442" s="19" t="s">
        <v>234</v>
      </c>
      <c r="AN442" s="19" t="s">
        <v>234</v>
      </c>
      <c r="AO442" s="19" t="s">
        <v>235</v>
      </c>
      <c r="AP442" s="94"/>
      <c r="AQ442" s="19" t="s">
        <v>97</v>
      </c>
      <c r="AR442" s="19" t="s">
        <v>978</v>
      </c>
      <c r="AS442" s="19"/>
      <c r="AT442" s="65" t="str">
        <f t="shared" si="109"/>
        <v>N</v>
      </c>
      <c r="AU442" s="65" t="str">
        <f t="shared" si="113"/>
        <v>N</v>
      </c>
      <c r="AV442" s="65" t="str">
        <f t="shared" si="134"/>
        <v>N</v>
      </c>
      <c r="AW442" s="99"/>
      <c r="AX442" s="99"/>
      <c r="AY442" s="19"/>
      <c r="AZ442" s="96" t="str">
        <f t="shared" si="114"/>
        <v>n</v>
      </c>
      <c r="BA442" s="96" t="str">
        <f>IF(AZ442="n","n",VLOOKUP(AZ442,'Conversion factors'!$C$4:$D$24,2,FALSE))</f>
        <v>n</v>
      </c>
      <c r="BB442" s="96" t="str">
        <f t="shared" si="115"/>
        <v>n</v>
      </c>
      <c r="BC442" s="97"/>
      <c r="BD442" s="96" t="str">
        <f t="shared" si="111"/>
        <v>n</v>
      </c>
      <c r="BE442" s="96" t="str">
        <f t="shared" si="116"/>
        <v>n</v>
      </c>
      <c r="BF442" s="98" t="str">
        <f t="shared" si="112"/>
        <v/>
      </c>
      <c r="BG442" s="96" t="str">
        <f>IF(BF442="","",IF(ISNUMBER(VLOOKUP(BF442,'Conversion factors'!$B$35:$C$52,2,FALSE)),"y","n"))</f>
        <v/>
      </c>
      <c r="BH442" s="99" t="s">
        <v>1507</v>
      </c>
      <c r="BI442" s="100"/>
      <c r="BJ442" s="100"/>
    </row>
    <row r="443" spans="1:62" s="103" customFormat="1" ht="15.75" customHeight="1" x14ac:dyDescent="0.2">
      <c r="A443" s="18"/>
      <c r="B443" s="19">
        <v>277</v>
      </c>
      <c r="C443" s="19"/>
      <c r="D443" s="19">
        <v>100816</v>
      </c>
      <c r="E443" s="19" t="s">
        <v>1224</v>
      </c>
      <c r="F443" s="93">
        <v>1995</v>
      </c>
      <c r="G443" s="19" t="s">
        <v>976</v>
      </c>
      <c r="H443" s="19"/>
      <c r="I443" s="19" t="s">
        <v>41</v>
      </c>
      <c r="J443" s="19" t="s">
        <v>977</v>
      </c>
      <c r="K443" s="19" t="s">
        <v>300</v>
      </c>
      <c r="L443" s="19" t="s">
        <v>151</v>
      </c>
      <c r="M443" s="19" t="s">
        <v>222</v>
      </c>
      <c r="N443" s="19" t="s">
        <v>66</v>
      </c>
      <c r="O443" s="19" t="s">
        <v>235</v>
      </c>
      <c r="P443" s="19" t="s">
        <v>162</v>
      </c>
      <c r="Q443" s="19"/>
      <c r="R443" s="19" t="s">
        <v>81</v>
      </c>
      <c r="S443" s="19" t="s">
        <v>302</v>
      </c>
      <c r="T443" s="19" t="s">
        <v>465</v>
      </c>
      <c r="U443" s="19" t="s">
        <v>54</v>
      </c>
      <c r="V443" s="19" t="s">
        <v>1057</v>
      </c>
      <c r="W443" s="19" t="s">
        <v>231</v>
      </c>
      <c r="X443" s="19" t="s">
        <v>46</v>
      </c>
      <c r="Y443" s="29"/>
      <c r="Z443" s="19"/>
      <c r="AA443" s="19"/>
      <c r="AB443" s="19" t="s">
        <v>979</v>
      </c>
      <c r="AC443" s="19" t="s">
        <v>1322</v>
      </c>
      <c r="AD443" s="19"/>
      <c r="AE443" s="19">
        <v>165</v>
      </c>
      <c r="AF443" s="19">
        <v>165</v>
      </c>
      <c r="AG443" s="19" t="s">
        <v>270</v>
      </c>
      <c r="AH443" s="19"/>
      <c r="AI443" s="19"/>
      <c r="AJ443" s="19">
        <f t="shared" si="135"/>
        <v>6.5</v>
      </c>
      <c r="AK443" s="19" t="s">
        <v>378</v>
      </c>
      <c r="AL443" s="19"/>
      <c r="AM443" s="19" t="s">
        <v>234</v>
      </c>
      <c r="AN443" s="19" t="s">
        <v>234</v>
      </c>
      <c r="AO443" s="19" t="s">
        <v>235</v>
      </c>
      <c r="AP443" s="94"/>
      <c r="AQ443" s="19" t="s">
        <v>97</v>
      </c>
      <c r="AR443" s="19" t="s">
        <v>978</v>
      </c>
      <c r="AS443" s="19"/>
      <c r="AT443" s="65" t="str">
        <f t="shared" si="109"/>
        <v>N</v>
      </c>
      <c r="AU443" s="65" t="str">
        <f t="shared" si="113"/>
        <v>N</v>
      </c>
      <c r="AV443" s="65" t="str">
        <f t="shared" si="134"/>
        <v>N</v>
      </c>
      <c r="AW443" s="99"/>
      <c r="AX443" s="99"/>
      <c r="AY443" s="19"/>
      <c r="AZ443" s="96" t="str">
        <f t="shared" si="114"/>
        <v>n</v>
      </c>
      <c r="BA443" s="96" t="str">
        <f>IF(AZ443="n","n",VLOOKUP(AZ443,'Conversion factors'!$C$4:$D$24,2,FALSE))</f>
        <v>n</v>
      </c>
      <c r="BB443" s="96" t="str">
        <f t="shared" si="115"/>
        <v>n</v>
      </c>
      <c r="BC443" s="97"/>
      <c r="BD443" s="96" t="str">
        <f t="shared" si="111"/>
        <v>n</v>
      </c>
      <c r="BE443" s="96" t="str">
        <f t="shared" si="116"/>
        <v>n</v>
      </c>
      <c r="BF443" s="98" t="str">
        <f t="shared" si="112"/>
        <v/>
      </c>
      <c r="BG443" s="96" t="str">
        <f>IF(BF443="","",IF(ISNUMBER(VLOOKUP(BF443,'Conversion factors'!$B$35:$C$52,2,FALSE)),"y","n"))</f>
        <v/>
      </c>
      <c r="BH443" s="99" t="s">
        <v>1507</v>
      </c>
      <c r="BI443" s="100"/>
      <c r="BJ443" s="100"/>
    </row>
    <row r="444" spans="1:62" s="103" customFormat="1" ht="15.75" customHeight="1" x14ac:dyDescent="0.2">
      <c r="A444" s="18"/>
      <c r="B444" s="19">
        <v>277</v>
      </c>
      <c r="C444" s="19"/>
      <c r="D444" s="19">
        <v>100816</v>
      </c>
      <c r="E444" s="19" t="s">
        <v>1224</v>
      </c>
      <c r="F444" s="93">
        <v>1995</v>
      </c>
      <c r="G444" s="19" t="s">
        <v>976</v>
      </c>
      <c r="H444" s="19"/>
      <c r="I444" s="19" t="s">
        <v>41</v>
      </c>
      <c r="J444" s="19" t="s">
        <v>977</v>
      </c>
      <c r="K444" s="19" t="s">
        <v>300</v>
      </c>
      <c r="L444" s="19" t="s">
        <v>151</v>
      </c>
      <c r="M444" s="19" t="s">
        <v>222</v>
      </c>
      <c r="N444" s="19" t="s">
        <v>66</v>
      </c>
      <c r="O444" s="19" t="s">
        <v>235</v>
      </c>
      <c r="P444" s="19" t="s">
        <v>162</v>
      </c>
      <c r="Q444" s="19"/>
      <c r="R444" s="19" t="s">
        <v>81</v>
      </c>
      <c r="S444" s="19" t="s">
        <v>302</v>
      </c>
      <c r="T444" s="19" t="s">
        <v>465</v>
      </c>
      <c r="U444" s="19" t="s">
        <v>54</v>
      </c>
      <c r="V444" s="19" t="s">
        <v>150</v>
      </c>
      <c r="W444" s="19" t="s">
        <v>231</v>
      </c>
      <c r="X444" s="19" t="s">
        <v>46</v>
      </c>
      <c r="Y444" s="29"/>
      <c r="Z444" s="19"/>
      <c r="AA444" s="19"/>
      <c r="AB444" s="19" t="s">
        <v>979</v>
      </c>
      <c r="AC444" s="19" t="s">
        <v>1322</v>
      </c>
      <c r="AD444" s="19"/>
      <c r="AE444" s="19">
        <v>165</v>
      </c>
      <c r="AF444" s="19">
        <v>165</v>
      </c>
      <c r="AG444" s="19" t="s">
        <v>270</v>
      </c>
      <c r="AH444" s="19"/>
      <c r="AI444" s="19"/>
      <c r="AJ444" s="19">
        <f t="shared" si="135"/>
        <v>6.5</v>
      </c>
      <c r="AK444" s="19" t="s">
        <v>378</v>
      </c>
      <c r="AL444" s="19"/>
      <c r="AM444" s="19" t="s">
        <v>234</v>
      </c>
      <c r="AN444" s="19" t="s">
        <v>234</v>
      </c>
      <c r="AO444" s="19" t="s">
        <v>235</v>
      </c>
      <c r="AP444" s="94"/>
      <c r="AQ444" s="19" t="s">
        <v>97</v>
      </c>
      <c r="AR444" s="19" t="s">
        <v>978</v>
      </c>
      <c r="AS444" s="19"/>
      <c r="AT444" s="65" t="str">
        <f t="shared" si="109"/>
        <v>N</v>
      </c>
      <c r="AU444" s="65" t="str">
        <f t="shared" si="113"/>
        <v>N</v>
      </c>
      <c r="AV444" s="65" t="str">
        <f t="shared" si="134"/>
        <v>N</v>
      </c>
      <c r="AW444" s="99"/>
      <c r="AX444" s="99"/>
      <c r="AY444" s="19"/>
      <c r="AZ444" s="96" t="str">
        <f t="shared" si="114"/>
        <v>n</v>
      </c>
      <c r="BA444" s="96" t="str">
        <f>IF(AZ444="n","n",VLOOKUP(AZ444,'Conversion factors'!$C$4:$D$24,2,FALSE))</f>
        <v>n</v>
      </c>
      <c r="BB444" s="96" t="str">
        <f t="shared" si="115"/>
        <v>n</v>
      </c>
      <c r="BC444" s="97"/>
      <c r="BD444" s="96" t="str">
        <f t="shared" si="111"/>
        <v>n</v>
      </c>
      <c r="BE444" s="96" t="str">
        <f t="shared" si="116"/>
        <v>n</v>
      </c>
      <c r="BF444" s="98" t="str">
        <f t="shared" si="112"/>
        <v/>
      </c>
      <c r="BG444" s="96" t="str">
        <f>IF(BF444="","",IF(ISNUMBER(VLOOKUP(BF444,'Conversion factors'!$B$35:$C$52,2,FALSE)),"y","n"))</f>
        <v/>
      </c>
      <c r="BH444" s="99" t="s">
        <v>1507</v>
      </c>
      <c r="BI444" s="100"/>
      <c r="BJ444" s="100"/>
    </row>
    <row r="445" spans="1:62" s="103" customFormat="1" ht="15.75" customHeight="1" x14ac:dyDescent="0.2">
      <c r="A445" s="18"/>
      <c r="B445" s="19">
        <v>277</v>
      </c>
      <c r="C445" s="19"/>
      <c r="D445" s="19">
        <v>100816</v>
      </c>
      <c r="E445" s="19" t="s">
        <v>1224</v>
      </c>
      <c r="F445" s="93">
        <v>1995</v>
      </c>
      <c r="G445" s="19" t="s">
        <v>976</v>
      </c>
      <c r="H445" s="19"/>
      <c r="I445" s="19" t="s">
        <v>41</v>
      </c>
      <c r="J445" s="19" t="s">
        <v>977</v>
      </c>
      <c r="K445" s="19" t="s">
        <v>300</v>
      </c>
      <c r="L445" s="19" t="s">
        <v>151</v>
      </c>
      <c r="M445" s="19" t="s">
        <v>222</v>
      </c>
      <c r="N445" s="19" t="s">
        <v>66</v>
      </c>
      <c r="O445" s="19" t="s">
        <v>235</v>
      </c>
      <c r="P445" s="19" t="s">
        <v>162</v>
      </c>
      <c r="Q445" s="19"/>
      <c r="R445" s="19" t="s">
        <v>81</v>
      </c>
      <c r="S445" s="19" t="s">
        <v>302</v>
      </c>
      <c r="T445" s="19" t="s">
        <v>465</v>
      </c>
      <c r="U445" s="19" t="s">
        <v>54</v>
      </c>
      <c r="V445" s="19" t="s">
        <v>150</v>
      </c>
      <c r="W445" s="19" t="s">
        <v>231</v>
      </c>
      <c r="X445" s="19" t="s">
        <v>46</v>
      </c>
      <c r="Y445" s="29"/>
      <c r="Z445" s="19"/>
      <c r="AA445" s="19"/>
      <c r="AB445" s="19" t="s">
        <v>594</v>
      </c>
      <c r="AC445" s="19" t="s">
        <v>1322</v>
      </c>
      <c r="AD445" s="19"/>
      <c r="AE445" s="19">
        <v>63</v>
      </c>
      <c r="AF445" s="19">
        <v>63</v>
      </c>
      <c r="AG445" s="19" t="s">
        <v>270</v>
      </c>
      <c r="AH445" s="19"/>
      <c r="AI445" s="19"/>
      <c r="AJ445" s="19">
        <f t="shared" si="135"/>
        <v>6.5</v>
      </c>
      <c r="AK445" s="19" t="s">
        <v>378</v>
      </c>
      <c r="AL445" s="19"/>
      <c r="AM445" s="19" t="s">
        <v>234</v>
      </c>
      <c r="AN445" s="19" t="s">
        <v>234</v>
      </c>
      <c r="AO445" s="19" t="s">
        <v>235</v>
      </c>
      <c r="AP445" s="94"/>
      <c r="AQ445" s="19" t="s">
        <v>97</v>
      </c>
      <c r="AR445" s="19" t="s">
        <v>978</v>
      </c>
      <c r="AS445" s="19"/>
      <c r="AT445" s="65" t="str">
        <f t="shared" si="109"/>
        <v>N</v>
      </c>
      <c r="AU445" s="65" t="str">
        <f t="shared" si="113"/>
        <v>N</v>
      </c>
      <c r="AV445" s="65" t="str">
        <f t="shared" si="134"/>
        <v>N</v>
      </c>
      <c r="AW445" s="99"/>
      <c r="AX445" s="99"/>
      <c r="AY445" s="19"/>
      <c r="AZ445" s="96" t="str">
        <f t="shared" si="114"/>
        <v>n</v>
      </c>
      <c r="BA445" s="96" t="str">
        <f>IF(AZ445="n","n",VLOOKUP(AZ445,'Conversion factors'!$C$4:$D$24,2,FALSE))</f>
        <v>n</v>
      </c>
      <c r="BB445" s="96" t="str">
        <f t="shared" si="115"/>
        <v>n</v>
      </c>
      <c r="BC445" s="97"/>
      <c r="BD445" s="96" t="str">
        <f t="shared" si="111"/>
        <v>n</v>
      </c>
      <c r="BE445" s="96" t="str">
        <f t="shared" si="116"/>
        <v>n</v>
      </c>
      <c r="BF445" s="98" t="str">
        <f t="shared" si="112"/>
        <v/>
      </c>
      <c r="BG445" s="96" t="str">
        <f>IF(BF445="","",IF(ISNUMBER(VLOOKUP(BF445,'Conversion factors'!$B$35:$C$52,2,FALSE)),"y","n"))</f>
        <v/>
      </c>
      <c r="BH445" s="99" t="s">
        <v>1507</v>
      </c>
      <c r="BI445" s="100"/>
      <c r="BJ445" s="100"/>
    </row>
    <row r="446" spans="1:62" s="103" customFormat="1" ht="15.75" customHeight="1" x14ac:dyDescent="0.2">
      <c r="A446" s="18"/>
      <c r="B446" s="19">
        <v>277</v>
      </c>
      <c r="C446" s="19"/>
      <c r="D446" s="19">
        <v>100816</v>
      </c>
      <c r="E446" s="19" t="s">
        <v>1224</v>
      </c>
      <c r="F446" s="93">
        <v>1995</v>
      </c>
      <c r="G446" s="19" t="s">
        <v>976</v>
      </c>
      <c r="H446" s="19"/>
      <c r="I446" s="19" t="s">
        <v>41</v>
      </c>
      <c r="J446" s="19" t="s">
        <v>977</v>
      </c>
      <c r="K446" s="19" t="s">
        <v>300</v>
      </c>
      <c r="L446" s="19" t="s">
        <v>151</v>
      </c>
      <c r="M446" s="19" t="s">
        <v>222</v>
      </c>
      <c r="N446" s="19" t="s">
        <v>66</v>
      </c>
      <c r="O446" s="19" t="s">
        <v>235</v>
      </c>
      <c r="P446" s="19" t="s">
        <v>162</v>
      </c>
      <c r="Q446" s="19"/>
      <c r="R446" s="19" t="s">
        <v>81</v>
      </c>
      <c r="S446" s="19" t="s">
        <v>302</v>
      </c>
      <c r="T446" s="19" t="s">
        <v>465</v>
      </c>
      <c r="U446" s="19" t="s">
        <v>54</v>
      </c>
      <c r="V446" s="19" t="s">
        <v>80</v>
      </c>
      <c r="W446" s="19" t="s">
        <v>231</v>
      </c>
      <c r="X446" s="19" t="s">
        <v>46</v>
      </c>
      <c r="Y446" s="29"/>
      <c r="Z446" s="19"/>
      <c r="AA446" s="19"/>
      <c r="AB446" s="19" t="s">
        <v>594</v>
      </c>
      <c r="AC446" s="19" t="s">
        <v>1322</v>
      </c>
      <c r="AD446" s="19"/>
      <c r="AE446" s="19">
        <v>63</v>
      </c>
      <c r="AF446" s="19">
        <v>63</v>
      </c>
      <c r="AG446" s="19" t="s">
        <v>270</v>
      </c>
      <c r="AH446" s="19"/>
      <c r="AI446" s="19"/>
      <c r="AJ446" s="19">
        <f t="shared" si="135"/>
        <v>6.5</v>
      </c>
      <c r="AK446" s="19" t="s">
        <v>378</v>
      </c>
      <c r="AL446" s="19"/>
      <c r="AM446" s="19" t="s">
        <v>234</v>
      </c>
      <c r="AN446" s="19" t="s">
        <v>234</v>
      </c>
      <c r="AO446" s="19" t="s">
        <v>235</v>
      </c>
      <c r="AP446" s="94"/>
      <c r="AQ446" s="19" t="s">
        <v>97</v>
      </c>
      <c r="AR446" s="19" t="s">
        <v>978</v>
      </c>
      <c r="AS446" s="19"/>
      <c r="AT446" s="65" t="str">
        <f t="shared" si="109"/>
        <v>N</v>
      </c>
      <c r="AU446" s="65" t="str">
        <f t="shared" si="113"/>
        <v>N</v>
      </c>
      <c r="AV446" s="65" t="str">
        <f t="shared" si="134"/>
        <v>N</v>
      </c>
      <c r="AW446" s="99"/>
      <c r="AX446" s="99"/>
      <c r="AY446" s="19"/>
      <c r="AZ446" s="96" t="str">
        <f t="shared" si="114"/>
        <v>n</v>
      </c>
      <c r="BA446" s="96" t="str">
        <f>IF(AZ446="n","n",VLOOKUP(AZ446,'Conversion factors'!$C$4:$D$24,2,FALSE))</f>
        <v>n</v>
      </c>
      <c r="BB446" s="96" t="str">
        <f t="shared" si="115"/>
        <v>n</v>
      </c>
      <c r="BC446" s="97"/>
      <c r="BD446" s="96" t="str">
        <f t="shared" si="111"/>
        <v>n</v>
      </c>
      <c r="BE446" s="96" t="str">
        <f t="shared" si="116"/>
        <v>n</v>
      </c>
      <c r="BF446" s="98" t="str">
        <f t="shared" si="112"/>
        <v/>
      </c>
      <c r="BG446" s="96" t="str">
        <f>IF(BF446="","",IF(ISNUMBER(VLOOKUP(BF446,'Conversion factors'!$B$35:$C$52,2,FALSE)),"y","n"))</f>
        <v/>
      </c>
      <c r="BH446" s="99" t="s">
        <v>1507</v>
      </c>
      <c r="BI446" s="100"/>
      <c r="BJ446" s="100"/>
    </row>
    <row r="447" spans="1:62" s="103" customFormat="1" ht="15.75" customHeight="1" x14ac:dyDescent="0.2">
      <c r="A447" s="18"/>
      <c r="B447" s="19">
        <v>277</v>
      </c>
      <c r="C447" s="19"/>
      <c r="D447" s="19">
        <v>100816</v>
      </c>
      <c r="E447" s="19" t="s">
        <v>1224</v>
      </c>
      <c r="F447" s="93">
        <v>1995</v>
      </c>
      <c r="G447" s="19" t="s">
        <v>976</v>
      </c>
      <c r="H447" s="19"/>
      <c r="I447" s="19" t="s">
        <v>41</v>
      </c>
      <c r="J447" s="19" t="s">
        <v>977</v>
      </c>
      <c r="K447" s="19" t="s">
        <v>300</v>
      </c>
      <c r="L447" s="19" t="s">
        <v>151</v>
      </c>
      <c r="M447" s="19" t="s">
        <v>222</v>
      </c>
      <c r="N447" s="19" t="s">
        <v>66</v>
      </c>
      <c r="O447" s="19" t="s">
        <v>235</v>
      </c>
      <c r="P447" s="19" t="s">
        <v>162</v>
      </c>
      <c r="Q447" s="19"/>
      <c r="R447" s="19" t="s">
        <v>81</v>
      </c>
      <c r="S447" s="19" t="s">
        <v>302</v>
      </c>
      <c r="T447" s="19" t="s">
        <v>465</v>
      </c>
      <c r="U447" s="19" t="s">
        <v>54</v>
      </c>
      <c r="V447" s="19" t="s">
        <v>80</v>
      </c>
      <c r="W447" s="19" t="s">
        <v>231</v>
      </c>
      <c r="X447" s="19" t="s">
        <v>46</v>
      </c>
      <c r="Y447" s="29"/>
      <c r="Z447" s="19"/>
      <c r="AA447" s="19"/>
      <c r="AB447" s="19" t="s">
        <v>979</v>
      </c>
      <c r="AC447" s="19" t="s">
        <v>1322</v>
      </c>
      <c r="AD447" s="19"/>
      <c r="AE447" s="19">
        <v>165</v>
      </c>
      <c r="AF447" s="19">
        <v>165</v>
      </c>
      <c r="AG447" s="19" t="s">
        <v>270</v>
      </c>
      <c r="AH447" s="19"/>
      <c r="AI447" s="19"/>
      <c r="AJ447" s="19">
        <f t="shared" si="135"/>
        <v>6.5</v>
      </c>
      <c r="AK447" s="19" t="s">
        <v>378</v>
      </c>
      <c r="AL447" s="19"/>
      <c r="AM447" s="19" t="s">
        <v>234</v>
      </c>
      <c r="AN447" s="19" t="s">
        <v>234</v>
      </c>
      <c r="AO447" s="19" t="s">
        <v>235</v>
      </c>
      <c r="AP447" s="94"/>
      <c r="AQ447" s="19" t="s">
        <v>97</v>
      </c>
      <c r="AR447" s="19" t="s">
        <v>978</v>
      </c>
      <c r="AS447" s="19"/>
      <c r="AT447" s="65" t="str">
        <f t="shared" si="109"/>
        <v>N</v>
      </c>
      <c r="AU447" s="65" t="str">
        <f t="shared" si="113"/>
        <v>N</v>
      </c>
      <c r="AV447" s="65" t="str">
        <f t="shared" si="134"/>
        <v>N</v>
      </c>
      <c r="AW447" s="99"/>
      <c r="AX447" s="99"/>
      <c r="AY447" s="19"/>
      <c r="AZ447" s="96" t="str">
        <f t="shared" si="114"/>
        <v>n</v>
      </c>
      <c r="BA447" s="96" t="str">
        <f>IF(AZ447="n","n",VLOOKUP(AZ447,'Conversion factors'!$C$4:$D$24,2,FALSE))</f>
        <v>n</v>
      </c>
      <c r="BB447" s="96" t="str">
        <f t="shared" si="115"/>
        <v>n</v>
      </c>
      <c r="BC447" s="97"/>
      <c r="BD447" s="96" t="str">
        <f t="shared" si="111"/>
        <v>n</v>
      </c>
      <c r="BE447" s="96" t="str">
        <f t="shared" si="116"/>
        <v>n</v>
      </c>
      <c r="BF447" s="98" t="str">
        <f t="shared" si="112"/>
        <v/>
      </c>
      <c r="BG447" s="96" t="str">
        <f>IF(BF447="","",IF(ISNUMBER(VLOOKUP(BF447,'Conversion factors'!$B$35:$C$52,2,FALSE)),"y","n"))</f>
        <v/>
      </c>
      <c r="BH447" s="99" t="s">
        <v>1507</v>
      </c>
      <c r="BI447" s="100"/>
      <c r="BJ447" s="100"/>
    </row>
    <row r="448" spans="1:62" s="103" customFormat="1" ht="15.75" customHeight="1" x14ac:dyDescent="0.2">
      <c r="A448" s="18"/>
      <c r="B448" s="19">
        <v>277</v>
      </c>
      <c r="C448" s="19"/>
      <c r="D448" s="19">
        <v>100816</v>
      </c>
      <c r="E448" s="19" t="s">
        <v>1224</v>
      </c>
      <c r="F448" s="93">
        <v>1995</v>
      </c>
      <c r="G448" s="19" t="s">
        <v>976</v>
      </c>
      <c r="H448" s="19"/>
      <c r="I448" s="19" t="s">
        <v>41</v>
      </c>
      <c r="J448" s="19" t="s">
        <v>977</v>
      </c>
      <c r="K448" s="19" t="s">
        <v>300</v>
      </c>
      <c r="L448" s="19" t="s">
        <v>151</v>
      </c>
      <c r="M448" s="19" t="s">
        <v>222</v>
      </c>
      <c r="N448" s="19" t="s">
        <v>66</v>
      </c>
      <c r="O448" s="19" t="s">
        <v>235</v>
      </c>
      <c r="P448" s="19" t="s">
        <v>162</v>
      </c>
      <c r="Q448" s="19"/>
      <c r="R448" s="19" t="s">
        <v>81</v>
      </c>
      <c r="S448" s="19" t="s">
        <v>302</v>
      </c>
      <c r="T448" s="19" t="s">
        <v>465</v>
      </c>
      <c r="U448" s="19" t="s">
        <v>54</v>
      </c>
      <c r="V448" s="19" t="s">
        <v>98</v>
      </c>
      <c r="W448" s="19" t="s">
        <v>231</v>
      </c>
      <c r="X448" s="19" t="s">
        <v>46</v>
      </c>
      <c r="Y448" s="29"/>
      <c r="Z448" s="19"/>
      <c r="AA448" s="19"/>
      <c r="AB448" s="19" t="s">
        <v>979</v>
      </c>
      <c r="AC448" s="19" t="s">
        <v>1322</v>
      </c>
      <c r="AD448" s="19"/>
      <c r="AE448" s="19">
        <v>165</v>
      </c>
      <c r="AF448" s="19">
        <v>165</v>
      </c>
      <c r="AG448" s="19" t="s">
        <v>270</v>
      </c>
      <c r="AH448" s="19"/>
      <c r="AI448" s="19"/>
      <c r="AJ448" s="19">
        <f t="shared" si="135"/>
        <v>6.5</v>
      </c>
      <c r="AK448" s="19" t="s">
        <v>378</v>
      </c>
      <c r="AL448" s="19"/>
      <c r="AM448" s="19" t="s">
        <v>234</v>
      </c>
      <c r="AN448" s="19" t="s">
        <v>234</v>
      </c>
      <c r="AO448" s="19" t="s">
        <v>235</v>
      </c>
      <c r="AP448" s="94"/>
      <c r="AQ448" s="19" t="s">
        <v>97</v>
      </c>
      <c r="AR448" s="19" t="s">
        <v>978</v>
      </c>
      <c r="AS448" s="19"/>
      <c r="AT448" s="65" t="str">
        <f t="shared" si="109"/>
        <v>N</v>
      </c>
      <c r="AU448" s="65" t="str">
        <f t="shared" si="113"/>
        <v>N</v>
      </c>
      <c r="AV448" s="65" t="str">
        <f t="shared" si="134"/>
        <v>N</v>
      </c>
      <c r="AW448" s="99"/>
      <c r="AX448" s="99"/>
      <c r="AY448" s="19"/>
      <c r="AZ448" s="96" t="str">
        <f t="shared" si="114"/>
        <v>n</v>
      </c>
      <c r="BA448" s="96" t="str">
        <f>IF(AZ448="n","n",VLOOKUP(AZ448,'Conversion factors'!$C$4:$D$24,2,FALSE))</f>
        <v>n</v>
      </c>
      <c r="BB448" s="96" t="str">
        <f t="shared" si="115"/>
        <v>n</v>
      </c>
      <c r="BC448" s="97"/>
      <c r="BD448" s="96" t="str">
        <f t="shared" si="111"/>
        <v>n</v>
      </c>
      <c r="BE448" s="96" t="str">
        <f t="shared" si="116"/>
        <v>n</v>
      </c>
      <c r="BF448" s="98" t="str">
        <f t="shared" si="112"/>
        <v/>
      </c>
      <c r="BG448" s="96" t="str">
        <f>IF(BF448="","",IF(ISNUMBER(VLOOKUP(BF448,'Conversion factors'!$B$35:$C$52,2,FALSE)),"y","n"))</f>
        <v/>
      </c>
      <c r="BH448" s="99" t="s">
        <v>1507</v>
      </c>
      <c r="BI448" s="100"/>
      <c r="BJ448" s="100"/>
    </row>
    <row r="449" spans="1:62" s="103" customFormat="1" ht="15.75" customHeight="1" x14ac:dyDescent="0.2">
      <c r="A449" s="18"/>
      <c r="B449" s="19">
        <v>277</v>
      </c>
      <c r="C449" s="19"/>
      <c r="D449" s="19">
        <v>100816</v>
      </c>
      <c r="E449" s="19" t="s">
        <v>1224</v>
      </c>
      <c r="F449" s="93">
        <v>1995</v>
      </c>
      <c r="G449" s="19" t="s">
        <v>976</v>
      </c>
      <c r="H449" s="19"/>
      <c r="I449" s="19" t="s">
        <v>41</v>
      </c>
      <c r="J449" s="19" t="s">
        <v>977</v>
      </c>
      <c r="K449" s="19" t="s">
        <v>300</v>
      </c>
      <c r="L449" s="19" t="s">
        <v>151</v>
      </c>
      <c r="M449" s="19" t="s">
        <v>222</v>
      </c>
      <c r="N449" s="19" t="s">
        <v>66</v>
      </c>
      <c r="O449" s="19" t="s">
        <v>235</v>
      </c>
      <c r="P449" s="19" t="s">
        <v>162</v>
      </c>
      <c r="Q449" s="19"/>
      <c r="R449" s="19" t="s">
        <v>81</v>
      </c>
      <c r="S449" s="19" t="s">
        <v>302</v>
      </c>
      <c r="T449" s="19" t="s">
        <v>465</v>
      </c>
      <c r="U449" s="19" t="s">
        <v>54</v>
      </c>
      <c r="V449" s="19" t="s">
        <v>98</v>
      </c>
      <c r="W449" s="19" t="s">
        <v>231</v>
      </c>
      <c r="X449" s="19" t="s">
        <v>46</v>
      </c>
      <c r="Y449" s="29"/>
      <c r="Z449" s="19"/>
      <c r="AA449" s="19"/>
      <c r="AB449" s="19" t="s">
        <v>594</v>
      </c>
      <c r="AC449" s="19" t="s">
        <v>1322</v>
      </c>
      <c r="AD449" s="19"/>
      <c r="AE449" s="19">
        <v>63</v>
      </c>
      <c r="AF449" s="19">
        <v>63</v>
      </c>
      <c r="AG449" s="19" t="s">
        <v>270</v>
      </c>
      <c r="AH449" s="19"/>
      <c r="AI449" s="19"/>
      <c r="AJ449" s="19">
        <f t="shared" si="135"/>
        <v>6.5</v>
      </c>
      <c r="AK449" s="19" t="s">
        <v>378</v>
      </c>
      <c r="AL449" s="19"/>
      <c r="AM449" s="19" t="s">
        <v>234</v>
      </c>
      <c r="AN449" s="19" t="s">
        <v>234</v>
      </c>
      <c r="AO449" s="19" t="s">
        <v>235</v>
      </c>
      <c r="AP449" s="94"/>
      <c r="AQ449" s="19" t="s">
        <v>97</v>
      </c>
      <c r="AR449" s="19" t="s">
        <v>978</v>
      </c>
      <c r="AS449" s="19"/>
      <c r="AT449" s="65" t="str">
        <f t="shared" si="109"/>
        <v>N</v>
      </c>
      <c r="AU449" s="65" t="str">
        <f t="shared" si="113"/>
        <v>N</v>
      </c>
      <c r="AV449" s="65" t="str">
        <f t="shared" si="134"/>
        <v>N</v>
      </c>
      <c r="AW449" s="99"/>
      <c r="AX449" s="99"/>
      <c r="AY449" s="19"/>
      <c r="AZ449" s="96" t="str">
        <f t="shared" si="114"/>
        <v>n</v>
      </c>
      <c r="BA449" s="96" t="str">
        <f>IF(AZ449="n","n",VLOOKUP(AZ449,'Conversion factors'!$C$4:$D$24,2,FALSE))</f>
        <v>n</v>
      </c>
      <c r="BB449" s="96" t="str">
        <f t="shared" si="115"/>
        <v>n</v>
      </c>
      <c r="BC449" s="97"/>
      <c r="BD449" s="96" t="str">
        <f t="shared" si="111"/>
        <v>n</v>
      </c>
      <c r="BE449" s="96" t="str">
        <f t="shared" si="116"/>
        <v>n</v>
      </c>
      <c r="BF449" s="98" t="str">
        <f t="shared" si="112"/>
        <v/>
      </c>
      <c r="BG449" s="96" t="str">
        <f>IF(BF449="","",IF(ISNUMBER(VLOOKUP(BF449,'Conversion factors'!$B$35:$C$52,2,FALSE)),"y","n"))</f>
        <v/>
      </c>
      <c r="BH449" s="99" t="s">
        <v>1507</v>
      </c>
      <c r="BI449" s="100"/>
      <c r="BJ449" s="100"/>
    </row>
    <row r="450" spans="1:62" s="103" customFormat="1" ht="15.75" customHeight="1" x14ac:dyDescent="0.2">
      <c r="A450" s="18"/>
      <c r="B450" s="19">
        <v>277</v>
      </c>
      <c r="C450" s="19"/>
      <c r="D450" s="19">
        <v>100816</v>
      </c>
      <c r="E450" s="19" t="s">
        <v>1224</v>
      </c>
      <c r="F450" s="93">
        <v>1995</v>
      </c>
      <c r="G450" s="19" t="s">
        <v>976</v>
      </c>
      <c r="H450" s="19"/>
      <c r="I450" s="19" t="s">
        <v>41</v>
      </c>
      <c r="J450" s="19" t="s">
        <v>977</v>
      </c>
      <c r="K450" s="19" t="s">
        <v>300</v>
      </c>
      <c r="L450" s="19" t="s">
        <v>151</v>
      </c>
      <c r="M450" s="19" t="s">
        <v>222</v>
      </c>
      <c r="N450" s="19" t="s">
        <v>66</v>
      </c>
      <c r="O450" s="19" t="s">
        <v>235</v>
      </c>
      <c r="P450" s="19" t="s">
        <v>162</v>
      </c>
      <c r="Q450" s="19"/>
      <c r="R450" s="19" t="s">
        <v>81</v>
      </c>
      <c r="S450" s="19" t="s">
        <v>302</v>
      </c>
      <c r="T450" s="19" t="s">
        <v>465</v>
      </c>
      <c r="U450" s="19" t="s">
        <v>54</v>
      </c>
      <c r="V450" s="19" t="s">
        <v>1217</v>
      </c>
      <c r="W450" s="19" t="s">
        <v>231</v>
      </c>
      <c r="X450" s="19" t="s">
        <v>46</v>
      </c>
      <c r="Y450" s="29"/>
      <c r="Z450" s="19"/>
      <c r="AA450" s="19"/>
      <c r="AB450" s="19" t="s">
        <v>594</v>
      </c>
      <c r="AC450" s="19" t="s">
        <v>1322</v>
      </c>
      <c r="AD450" s="19"/>
      <c r="AE450" s="19">
        <v>63</v>
      </c>
      <c r="AF450" s="19">
        <v>63</v>
      </c>
      <c r="AG450" s="19" t="s">
        <v>270</v>
      </c>
      <c r="AH450" s="19"/>
      <c r="AI450" s="19"/>
      <c r="AJ450" s="19">
        <f t="shared" si="135"/>
        <v>6.5</v>
      </c>
      <c r="AK450" s="19" t="s">
        <v>378</v>
      </c>
      <c r="AL450" s="19"/>
      <c r="AM450" s="19" t="s">
        <v>234</v>
      </c>
      <c r="AN450" s="19" t="s">
        <v>234</v>
      </c>
      <c r="AO450" s="19" t="s">
        <v>235</v>
      </c>
      <c r="AP450" s="94"/>
      <c r="AQ450" s="19" t="s">
        <v>97</v>
      </c>
      <c r="AR450" s="19" t="s">
        <v>978</v>
      </c>
      <c r="AS450" s="19"/>
      <c r="AT450" s="65" t="str">
        <f t="shared" si="109"/>
        <v>N</v>
      </c>
      <c r="AU450" s="65" t="str">
        <f t="shared" si="113"/>
        <v>N</v>
      </c>
      <c r="AV450" s="65" t="str">
        <f t="shared" si="134"/>
        <v>N</v>
      </c>
      <c r="AW450" s="99"/>
      <c r="AX450" s="99"/>
      <c r="AY450" s="19"/>
      <c r="AZ450" s="96" t="str">
        <f t="shared" si="114"/>
        <v>n</v>
      </c>
      <c r="BA450" s="96" t="str">
        <f>IF(AZ450="n","n",VLOOKUP(AZ450,'Conversion factors'!$C$4:$D$24,2,FALSE))</f>
        <v>n</v>
      </c>
      <c r="BB450" s="96" t="str">
        <f t="shared" si="115"/>
        <v>n</v>
      </c>
      <c r="BC450" s="97"/>
      <c r="BD450" s="96" t="str">
        <f t="shared" si="111"/>
        <v>n</v>
      </c>
      <c r="BE450" s="96" t="str">
        <f t="shared" si="116"/>
        <v>n</v>
      </c>
      <c r="BF450" s="98" t="str">
        <f t="shared" si="112"/>
        <v/>
      </c>
      <c r="BG450" s="96" t="str">
        <f>IF(BF450="","",IF(ISNUMBER(VLOOKUP(BF450,'Conversion factors'!$B$35:$C$52,2,FALSE)),"y","n"))</f>
        <v/>
      </c>
      <c r="BH450" s="99" t="s">
        <v>1507</v>
      </c>
      <c r="BI450" s="100"/>
      <c r="BJ450" s="100"/>
    </row>
    <row r="451" spans="1:62" s="103" customFormat="1" ht="15.75" customHeight="1" x14ac:dyDescent="0.2">
      <c r="A451" s="18"/>
      <c r="B451" s="19">
        <v>277</v>
      </c>
      <c r="C451" s="19"/>
      <c r="D451" s="19">
        <v>100816</v>
      </c>
      <c r="E451" s="19" t="s">
        <v>1224</v>
      </c>
      <c r="F451" s="93">
        <v>1995</v>
      </c>
      <c r="G451" s="19" t="s">
        <v>976</v>
      </c>
      <c r="H451" s="19"/>
      <c r="I451" s="19" t="s">
        <v>41</v>
      </c>
      <c r="J451" s="19" t="s">
        <v>977</v>
      </c>
      <c r="K451" s="19" t="s">
        <v>300</v>
      </c>
      <c r="L451" s="19" t="s">
        <v>151</v>
      </c>
      <c r="M451" s="19" t="s">
        <v>222</v>
      </c>
      <c r="N451" s="19" t="s">
        <v>66</v>
      </c>
      <c r="O451" s="19" t="s">
        <v>235</v>
      </c>
      <c r="P451" s="19" t="s">
        <v>162</v>
      </c>
      <c r="Q451" s="19"/>
      <c r="R451" s="19" t="s">
        <v>81</v>
      </c>
      <c r="S451" s="19" t="s">
        <v>302</v>
      </c>
      <c r="T451" s="19" t="s">
        <v>465</v>
      </c>
      <c r="U451" s="19" t="s">
        <v>54</v>
      </c>
      <c r="V451" s="19" t="s">
        <v>1217</v>
      </c>
      <c r="W451" s="19" t="s">
        <v>231</v>
      </c>
      <c r="X451" s="19" t="s">
        <v>46</v>
      </c>
      <c r="Y451" s="29"/>
      <c r="Z451" s="19"/>
      <c r="AA451" s="19"/>
      <c r="AB451" s="19" t="s">
        <v>979</v>
      </c>
      <c r="AC451" s="19" t="s">
        <v>1322</v>
      </c>
      <c r="AD451" s="19"/>
      <c r="AE451" s="19">
        <v>165</v>
      </c>
      <c r="AF451" s="19">
        <v>165</v>
      </c>
      <c r="AG451" s="19" t="s">
        <v>270</v>
      </c>
      <c r="AH451" s="19"/>
      <c r="AI451" s="19"/>
      <c r="AJ451" s="19">
        <f t="shared" si="135"/>
        <v>6.5</v>
      </c>
      <c r="AK451" s="19" t="s">
        <v>378</v>
      </c>
      <c r="AL451" s="19"/>
      <c r="AM451" s="19" t="s">
        <v>234</v>
      </c>
      <c r="AN451" s="19" t="s">
        <v>234</v>
      </c>
      <c r="AO451" s="19" t="s">
        <v>235</v>
      </c>
      <c r="AP451" s="94"/>
      <c r="AQ451" s="19" t="s">
        <v>97</v>
      </c>
      <c r="AR451" s="19" t="s">
        <v>978</v>
      </c>
      <c r="AS451" s="19"/>
      <c r="AT451" s="65" t="str">
        <f t="shared" si="109"/>
        <v>N</v>
      </c>
      <c r="AU451" s="65" t="str">
        <f t="shared" si="113"/>
        <v>N</v>
      </c>
      <c r="AV451" s="65" t="str">
        <f t="shared" si="134"/>
        <v>N</v>
      </c>
      <c r="AW451" s="99"/>
      <c r="AX451" s="99"/>
      <c r="AY451" s="19"/>
      <c r="AZ451" s="96" t="str">
        <f t="shared" si="114"/>
        <v>n</v>
      </c>
      <c r="BA451" s="96" t="str">
        <f>IF(AZ451="n","n",VLOOKUP(AZ451,'Conversion factors'!$C$4:$D$24,2,FALSE))</f>
        <v>n</v>
      </c>
      <c r="BB451" s="96" t="str">
        <f t="shared" si="115"/>
        <v>n</v>
      </c>
      <c r="BC451" s="97"/>
      <c r="BD451" s="96" t="str">
        <f t="shared" si="111"/>
        <v>n</v>
      </c>
      <c r="BE451" s="96" t="str">
        <f t="shared" si="116"/>
        <v>n</v>
      </c>
      <c r="BF451" s="98" t="str">
        <f t="shared" si="112"/>
        <v/>
      </c>
      <c r="BG451" s="96" t="str">
        <f>IF(BF451="","",IF(ISNUMBER(VLOOKUP(BF451,'Conversion factors'!$B$35:$C$52,2,FALSE)),"y","n"))</f>
        <v/>
      </c>
      <c r="BH451" s="99" t="s">
        <v>1507</v>
      </c>
      <c r="BI451" s="100"/>
      <c r="BJ451" s="100"/>
    </row>
    <row r="452" spans="1:62" s="103" customFormat="1" ht="15.75" customHeight="1" x14ac:dyDescent="0.2">
      <c r="A452" s="18"/>
      <c r="B452" s="19">
        <v>277</v>
      </c>
      <c r="C452" s="19"/>
      <c r="D452" s="19">
        <v>100816</v>
      </c>
      <c r="E452" s="19" t="s">
        <v>1224</v>
      </c>
      <c r="F452" s="93">
        <v>1995</v>
      </c>
      <c r="G452" s="19" t="s">
        <v>976</v>
      </c>
      <c r="H452" s="19"/>
      <c r="I452" s="19" t="s">
        <v>41</v>
      </c>
      <c r="J452" s="19" t="s">
        <v>977</v>
      </c>
      <c r="K452" s="19" t="s">
        <v>300</v>
      </c>
      <c r="L452" s="19" t="s">
        <v>151</v>
      </c>
      <c r="M452" s="19" t="s">
        <v>222</v>
      </c>
      <c r="N452" s="19" t="s">
        <v>66</v>
      </c>
      <c r="O452" s="19" t="s">
        <v>235</v>
      </c>
      <c r="P452" s="19" t="s">
        <v>162</v>
      </c>
      <c r="Q452" s="19"/>
      <c r="R452" s="19" t="s">
        <v>81</v>
      </c>
      <c r="S452" s="19" t="s">
        <v>302</v>
      </c>
      <c r="T452" s="19" t="s">
        <v>465</v>
      </c>
      <c r="U452" s="19" t="s">
        <v>54</v>
      </c>
      <c r="V452" s="19" t="s">
        <v>1118</v>
      </c>
      <c r="W452" s="19" t="s">
        <v>231</v>
      </c>
      <c r="X452" s="19" t="s">
        <v>46</v>
      </c>
      <c r="Y452" s="29"/>
      <c r="Z452" s="19"/>
      <c r="AA452" s="19"/>
      <c r="AB452" s="19" t="s">
        <v>979</v>
      </c>
      <c r="AC452" s="19" t="s">
        <v>1322</v>
      </c>
      <c r="AD452" s="19"/>
      <c r="AE452" s="19">
        <v>165</v>
      </c>
      <c r="AF452" s="19">
        <v>165</v>
      </c>
      <c r="AG452" s="19" t="s">
        <v>270</v>
      </c>
      <c r="AH452" s="19"/>
      <c r="AI452" s="19"/>
      <c r="AJ452" s="19">
        <f t="shared" si="135"/>
        <v>6.5</v>
      </c>
      <c r="AK452" s="19" t="s">
        <v>378</v>
      </c>
      <c r="AL452" s="19"/>
      <c r="AM452" s="19" t="s">
        <v>234</v>
      </c>
      <c r="AN452" s="19" t="s">
        <v>234</v>
      </c>
      <c r="AO452" s="19" t="s">
        <v>235</v>
      </c>
      <c r="AP452" s="94"/>
      <c r="AQ452" s="19" t="s">
        <v>97</v>
      </c>
      <c r="AR452" s="19" t="s">
        <v>978</v>
      </c>
      <c r="AS452" s="19"/>
      <c r="AT452" s="65" t="str">
        <f t="shared" ref="AT452:AT515" si="136">IF(F452&lt;1980,"N",IF(AC452="M","Y",IF(AC452="SM","Y","N")))</f>
        <v>N</v>
      </c>
      <c r="AU452" s="65" t="str">
        <f t="shared" si="113"/>
        <v>N</v>
      </c>
      <c r="AV452" s="65" t="str">
        <f t="shared" si="134"/>
        <v>N</v>
      </c>
      <c r="AW452" s="99"/>
      <c r="AX452" s="99"/>
      <c r="AY452" s="19"/>
      <c r="AZ452" s="96" t="str">
        <f t="shared" si="114"/>
        <v>n</v>
      </c>
      <c r="BA452" s="96" t="str">
        <f>IF(AZ452="n","n",VLOOKUP(AZ452,'Conversion factors'!$C$4:$D$24,2,FALSE))</f>
        <v>n</v>
      </c>
      <c r="BB452" s="96" t="str">
        <f t="shared" si="115"/>
        <v>n</v>
      </c>
      <c r="BC452" s="97"/>
      <c r="BD452" s="96" t="str">
        <f t="shared" ref="BD452:BD515" si="137">IF(AV452="N","n",X452)</f>
        <v>n</v>
      </c>
      <c r="BE452" s="96" t="str">
        <f t="shared" si="116"/>
        <v>n</v>
      </c>
      <c r="BF452" s="98" t="str">
        <f t="shared" si="112"/>
        <v/>
      </c>
      <c r="BG452" s="96" t="str">
        <f>IF(BF452="","",IF(ISNUMBER(VLOOKUP(BF452,'Conversion factors'!$B$35:$C$52,2,FALSE)),"y","n"))</f>
        <v/>
      </c>
      <c r="BH452" s="99" t="s">
        <v>1507</v>
      </c>
      <c r="BI452" s="100"/>
      <c r="BJ452" s="100"/>
    </row>
    <row r="453" spans="1:62" s="103" customFormat="1" ht="15.75" customHeight="1" x14ac:dyDescent="0.2">
      <c r="A453" s="18"/>
      <c r="B453" s="19">
        <v>277</v>
      </c>
      <c r="C453" s="19"/>
      <c r="D453" s="19">
        <v>100816</v>
      </c>
      <c r="E453" s="19" t="s">
        <v>1224</v>
      </c>
      <c r="F453" s="93">
        <v>1995</v>
      </c>
      <c r="G453" s="19" t="s">
        <v>976</v>
      </c>
      <c r="H453" s="19"/>
      <c r="I453" s="19" t="s">
        <v>41</v>
      </c>
      <c r="J453" s="19" t="s">
        <v>977</v>
      </c>
      <c r="K453" s="19" t="s">
        <v>300</v>
      </c>
      <c r="L453" s="19" t="s">
        <v>151</v>
      </c>
      <c r="M453" s="19" t="s">
        <v>222</v>
      </c>
      <c r="N453" s="19" t="s">
        <v>66</v>
      </c>
      <c r="O453" s="19" t="s">
        <v>235</v>
      </c>
      <c r="P453" s="19" t="s">
        <v>162</v>
      </c>
      <c r="Q453" s="19"/>
      <c r="R453" s="19" t="s">
        <v>81</v>
      </c>
      <c r="S453" s="19" t="s">
        <v>302</v>
      </c>
      <c r="T453" s="19" t="s">
        <v>465</v>
      </c>
      <c r="U453" s="19" t="s">
        <v>54</v>
      </c>
      <c r="V453" s="19" t="s">
        <v>1118</v>
      </c>
      <c r="W453" s="19" t="s">
        <v>231</v>
      </c>
      <c r="X453" s="19" t="s">
        <v>46</v>
      </c>
      <c r="Y453" s="29"/>
      <c r="Z453" s="19"/>
      <c r="AA453" s="19"/>
      <c r="AB453" s="19" t="s">
        <v>594</v>
      </c>
      <c r="AC453" s="19" t="s">
        <v>1322</v>
      </c>
      <c r="AD453" s="19"/>
      <c r="AE453" s="19">
        <v>63</v>
      </c>
      <c r="AF453" s="19">
        <v>63</v>
      </c>
      <c r="AG453" s="19" t="s">
        <v>270</v>
      </c>
      <c r="AH453" s="19"/>
      <c r="AI453" s="19"/>
      <c r="AJ453" s="19">
        <f t="shared" si="135"/>
        <v>6.5</v>
      </c>
      <c r="AK453" s="19" t="s">
        <v>378</v>
      </c>
      <c r="AL453" s="19"/>
      <c r="AM453" s="19" t="s">
        <v>234</v>
      </c>
      <c r="AN453" s="19" t="s">
        <v>234</v>
      </c>
      <c r="AO453" s="19" t="s">
        <v>235</v>
      </c>
      <c r="AP453" s="94"/>
      <c r="AQ453" s="19" t="s">
        <v>97</v>
      </c>
      <c r="AR453" s="19" t="s">
        <v>978</v>
      </c>
      <c r="AS453" s="19"/>
      <c r="AT453" s="65" t="str">
        <f t="shared" si="136"/>
        <v>N</v>
      </c>
      <c r="AU453" s="65" t="str">
        <f t="shared" si="113"/>
        <v>N</v>
      </c>
      <c r="AV453" s="65" t="str">
        <f t="shared" si="134"/>
        <v>N</v>
      </c>
      <c r="AW453" s="99"/>
      <c r="AX453" s="99"/>
      <c r="AY453" s="19"/>
      <c r="AZ453" s="96" t="str">
        <f t="shared" si="114"/>
        <v>n</v>
      </c>
      <c r="BA453" s="96" t="str">
        <f>IF(AZ453="n","n",VLOOKUP(AZ453,'Conversion factors'!$C$4:$D$24,2,FALSE))</f>
        <v>n</v>
      </c>
      <c r="BB453" s="96" t="str">
        <f t="shared" si="115"/>
        <v>n</v>
      </c>
      <c r="BC453" s="97"/>
      <c r="BD453" s="96" t="str">
        <f t="shared" si="137"/>
        <v>n</v>
      </c>
      <c r="BE453" s="96" t="str">
        <f t="shared" si="116"/>
        <v>n</v>
      </c>
      <c r="BF453" s="98" t="str">
        <f t="shared" ref="BF453:BF516" si="138">IF(BE453="n","",AZ453)</f>
        <v/>
      </c>
      <c r="BG453" s="96" t="str">
        <f>IF(BF453="","",IF(ISNUMBER(VLOOKUP(BF453,'Conversion factors'!$B$35:$C$52,2,FALSE)),"y","n"))</f>
        <v/>
      </c>
      <c r="BH453" s="99" t="s">
        <v>1507</v>
      </c>
      <c r="BI453" s="100"/>
      <c r="BJ453" s="100"/>
    </row>
    <row r="454" spans="1:62" s="103" customFormat="1" ht="15.75" customHeight="1" x14ac:dyDescent="0.2">
      <c r="A454" s="18"/>
      <c r="B454" s="113">
        <v>116</v>
      </c>
      <c r="C454" s="36">
        <v>211975</v>
      </c>
      <c r="D454" s="36">
        <v>1975</v>
      </c>
      <c r="E454" s="93" t="s">
        <v>1584</v>
      </c>
      <c r="F454" s="93">
        <v>1986</v>
      </c>
      <c r="G454" s="19" t="s">
        <v>1635</v>
      </c>
      <c r="H454" s="19"/>
      <c r="I454" s="19" t="s">
        <v>41</v>
      </c>
      <c r="J454" s="19" t="s">
        <v>146</v>
      </c>
      <c r="K454" s="19" t="s">
        <v>64</v>
      </c>
      <c r="L454" s="19" t="s">
        <v>151</v>
      </c>
      <c r="M454" s="114" t="s">
        <v>260</v>
      </c>
      <c r="N454" s="19" t="s">
        <v>66</v>
      </c>
      <c r="O454" s="19" t="s">
        <v>187</v>
      </c>
      <c r="P454" s="19" t="s">
        <v>162</v>
      </c>
      <c r="Q454" s="19"/>
      <c r="R454" s="19" t="s">
        <v>156</v>
      </c>
      <c r="S454" s="19" t="s">
        <v>156</v>
      </c>
      <c r="T454" s="19" t="s">
        <v>174</v>
      </c>
      <c r="U454" s="19" t="s">
        <v>49</v>
      </c>
      <c r="V454" s="93">
        <v>14</v>
      </c>
      <c r="W454" s="93" t="s">
        <v>45</v>
      </c>
      <c r="X454" s="19" t="s">
        <v>46</v>
      </c>
      <c r="Y454" s="29"/>
      <c r="Z454" s="93"/>
      <c r="AA454" s="93"/>
      <c r="AB454" s="93">
        <v>9920</v>
      </c>
      <c r="AC454" s="19" t="s">
        <v>214</v>
      </c>
      <c r="AD454" s="93"/>
      <c r="AE454" s="19">
        <v>26</v>
      </c>
      <c r="AF454" s="19">
        <v>26</v>
      </c>
      <c r="AG454" s="19"/>
      <c r="AH454" s="19"/>
      <c r="AI454" s="19"/>
      <c r="AJ454" s="19">
        <v>7.1</v>
      </c>
      <c r="AK454" s="19" t="s">
        <v>90</v>
      </c>
      <c r="AL454" s="19"/>
      <c r="AM454" s="19"/>
      <c r="AN454" s="19">
        <v>15</v>
      </c>
      <c r="AO454" s="19"/>
      <c r="AP454" s="94">
        <v>1.6</v>
      </c>
      <c r="AQ454" s="19" t="s">
        <v>88</v>
      </c>
      <c r="AR454" s="108" t="s">
        <v>200</v>
      </c>
      <c r="AS454" s="19"/>
      <c r="AT454" s="65" t="str">
        <f t="shared" si="136"/>
        <v>Y</v>
      </c>
      <c r="AU454" s="65" t="str">
        <f t="shared" ref="AU454" si="139">IF(AT454="N","N",IF(AJ454&lt;6,"N",IF(AJ454&gt;8.5,"N","Y")))</f>
        <v>Y</v>
      </c>
      <c r="AV454" s="65" t="str">
        <f t="shared" ref="AV454" si="140">AU454</f>
        <v>Y</v>
      </c>
      <c r="AW454" s="99"/>
      <c r="AX454" s="99" t="s">
        <v>1616</v>
      </c>
      <c r="AY454" s="93"/>
      <c r="AZ454" s="96" t="str">
        <f t="shared" ref="AZ454" si="141">IF(AV454="N","n",T454)</f>
        <v>LC10</v>
      </c>
      <c r="BA454" s="96">
        <f>IF(AZ454="n","n",VLOOKUP(AZ454,'Conversion factors'!$C$4:$D$24,2,FALSE))</f>
        <v>1</v>
      </c>
      <c r="BB454" s="96">
        <f t="shared" ref="BB454" si="142">IF(BA454="n","n",AB454/BA454)</f>
        <v>9920</v>
      </c>
      <c r="BC454" s="97"/>
      <c r="BD454" s="96" t="str">
        <f t="shared" si="137"/>
        <v>Chronic</v>
      </c>
      <c r="BE454" s="96" t="str">
        <f t="shared" ref="BE454" si="143">IF(BD454="chronic","y","n")</f>
        <v>y</v>
      </c>
      <c r="BF454" s="98" t="str">
        <f t="shared" si="138"/>
        <v>LC10</v>
      </c>
      <c r="BG454" s="96" t="str">
        <f>IF(BF454="","",IF(ISNUMBER(VLOOKUP(BF454,'Conversion factors'!$B$35:$C$52,2,FALSE)),"y","n"))</f>
        <v>y</v>
      </c>
      <c r="BH454" s="99" t="s">
        <v>1617</v>
      </c>
      <c r="BI454" s="100"/>
      <c r="BJ454" s="100"/>
    </row>
    <row r="455" spans="1:62" s="103" customFormat="1" ht="15.75" customHeight="1" x14ac:dyDescent="0.2">
      <c r="A455" s="18"/>
      <c r="B455" s="113">
        <v>116</v>
      </c>
      <c r="C455" s="36">
        <v>211975</v>
      </c>
      <c r="D455" s="36">
        <v>1975</v>
      </c>
      <c r="E455" s="93" t="s">
        <v>1324</v>
      </c>
      <c r="F455" s="93">
        <v>1986</v>
      </c>
      <c r="G455" s="19" t="s">
        <v>1635</v>
      </c>
      <c r="H455" s="19"/>
      <c r="I455" s="19" t="s">
        <v>41</v>
      </c>
      <c r="J455" s="19" t="s">
        <v>146</v>
      </c>
      <c r="K455" s="19" t="s">
        <v>64</v>
      </c>
      <c r="L455" s="19" t="s">
        <v>151</v>
      </c>
      <c r="M455" s="114" t="s">
        <v>260</v>
      </c>
      <c r="N455" s="19" t="s">
        <v>66</v>
      </c>
      <c r="O455" s="19" t="s">
        <v>187</v>
      </c>
      <c r="P455" s="19" t="s">
        <v>162</v>
      </c>
      <c r="Q455" s="19"/>
      <c r="R455" s="19" t="s">
        <v>156</v>
      </c>
      <c r="S455" s="19" t="s">
        <v>156</v>
      </c>
      <c r="T455" s="19" t="s">
        <v>56</v>
      </c>
      <c r="U455" s="19" t="s">
        <v>44</v>
      </c>
      <c r="V455" s="93">
        <v>14</v>
      </c>
      <c r="W455" s="93" t="s">
        <v>45</v>
      </c>
      <c r="X455" s="19" t="s">
        <v>46</v>
      </c>
      <c r="Y455" s="29"/>
      <c r="Z455" s="93"/>
      <c r="AA455" s="93"/>
      <c r="AB455" s="93">
        <v>84000</v>
      </c>
      <c r="AC455" s="19" t="s">
        <v>214</v>
      </c>
      <c r="AD455" s="93"/>
      <c r="AE455" s="19">
        <v>26</v>
      </c>
      <c r="AF455" s="19">
        <v>26</v>
      </c>
      <c r="AG455" s="19"/>
      <c r="AH455" s="19"/>
      <c r="AI455" s="19"/>
      <c r="AJ455" s="19">
        <v>7.1</v>
      </c>
      <c r="AK455" s="19" t="s">
        <v>90</v>
      </c>
      <c r="AL455" s="19"/>
      <c r="AM455" s="19" t="s">
        <v>48</v>
      </c>
      <c r="AN455" s="19">
        <v>15</v>
      </c>
      <c r="AO455" s="19"/>
      <c r="AP455" s="94">
        <v>1.6</v>
      </c>
      <c r="AQ455" s="19" t="s">
        <v>88</v>
      </c>
      <c r="AR455" s="108" t="s">
        <v>200</v>
      </c>
      <c r="AS455" s="19"/>
      <c r="AT455" s="65" t="str">
        <f t="shared" si="136"/>
        <v>Y</v>
      </c>
      <c r="AU455" s="65" t="str">
        <f t="shared" si="113"/>
        <v>Y</v>
      </c>
      <c r="AV455" s="65" t="str">
        <f t="shared" si="134"/>
        <v>Y</v>
      </c>
      <c r="AW455" s="99"/>
      <c r="AX455" s="99" t="s">
        <v>1616</v>
      </c>
      <c r="AY455" s="93"/>
      <c r="AZ455" s="96" t="str">
        <f t="shared" si="114"/>
        <v>LC50</v>
      </c>
      <c r="BA455" s="96">
        <f>IF(AZ455="n","n",VLOOKUP(AZ455,'Conversion factors'!$C$4:$D$24,2,FALSE))</f>
        <v>5</v>
      </c>
      <c r="BB455" s="96">
        <f t="shared" si="115"/>
        <v>16800</v>
      </c>
      <c r="BC455" s="97"/>
      <c r="BD455" s="96" t="str">
        <f t="shared" si="137"/>
        <v>Chronic</v>
      </c>
      <c r="BE455" s="96" t="str">
        <f t="shared" si="116"/>
        <v>y</v>
      </c>
      <c r="BF455" s="98" t="str">
        <f t="shared" si="138"/>
        <v>LC50</v>
      </c>
      <c r="BG455" s="96" t="str">
        <f>IF(BF455="","",IF(ISNUMBER(VLOOKUP(BF455,'Conversion factors'!$B$35:$C$52,2,FALSE)),"y","n"))</f>
        <v>n</v>
      </c>
      <c r="BH455" s="99"/>
      <c r="BI455" s="100"/>
      <c r="BJ455" s="100"/>
    </row>
    <row r="456" spans="1:62" s="103" customFormat="1" ht="15.75" customHeight="1" x14ac:dyDescent="0.2">
      <c r="A456" s="18"/>
      <c r="B456" s="19">
        <v>175</v>
      </c>
      <c r="C456" s="19"/>
      <c r="D456" s="19">
        <v>10515</v>
      </c>
      <c r="E456" s="19" t="s">
        <v>1224</v>
      </c>
      <c r="F456" s="93">
        <v>1990</v>
      </c>
      <c r="G456" s="19" t="s">
        <v>290</v>
      </c>
      <c r="H456" s="19"/>
      <c r="I456" s="19" t="s">
        <v>41</v>
      </c>
      <c r="J456" s="19" t="s">
        <v>291</v>
      </c>
      <c r="K456" s="19" t="s">
        <v>64</v>
      </c>
      <c r="L456" s="19" t="s">
        <v>151</v>
      </c>
      <c r="M456" s="19" t="s">
        <v>260</v>
      </c>
      <c r="N456" s="19" t="s">
        <v>66</v>
      </c>
      <c r="O456" s="19" t="s">
        <v>292</v>
      </c>
      <c r="P456" s="19" t="s">
        <v>162</v>
      </c>
      <c r="Q456" s="19"/>
      <c r="R456" s="19" t="s">
        <v>237</v>
      </c>
      <c r="S456" s="19" t="s">
        <v>79</v>
      </c>
      <c r="T456" s="19" t="s">
        <v>261</v>
      </c>
      <c r="U456" s="19" t="s">
        <v>261</v>
      </c>
      <c r="V456" s="19" t="s">
        <v>88</v>
      </c>
      <c r="W456" s="19" t="s">
        <v>231</v>
      </c>
      <c r="X456" s="19" t="s">
        <v>46</v>
      </c>
      <c r="Y456" s="29"/>
      <c r="Z456" s="19"/>
      <c r="AA456" s="19"/>
      <c r="AB456" s="19" t="s">
        <v>126</v>
      </c>
      <c r="AC456" s="19" t="s">
        <v>1322</v>
      </c>
      <c r="AD456" s="19"/>
      <c r="AE456" s="19"/>
      <c r="AF456" s="19"/>
      <c r="AG456" s="19" t="s">
        <v>235</v>
      </c>
      <c r="AH456" s="19"/>
      <c r="AI456" s="19"/>
      <c r="AJ456" s="19" t="s">
        <v>1503</v>
      </c>
      <c r="AK456" s="19" t="s">
        <v>234</v>
      </c>
      <c r="AL456" s="19"/>
      <c r="AM456" s="19" t="s">
        <v>234</v>
      </c>
      <c r="AN456" s="19" t="s">
        <v>234</v>
      </c>
      <c r="AO456" s="19" t="s">
        <v>235</v>
      </c>
      <c r="AP456" s="94"/>
      <c r="AQ456" s="19" t="s">
        <v>234</v>
      </c>
      <c r="AR456" s="19" t="s">
        <v>241</v>
      </c>
      <c r="AS456" s="19"/>
      <c r="AT456" s="65" t="str">
        <f t="shared" si="136"/>
        <v>N</v>
      </c>
      <c r="AU456" s="65" t="str">
        <f t="shared" si="113"/>
        <v>N</v>
      </c>
      <c r="AV456" s="65" t="str">
        <f t="shared" si="134"/>
        <v>N</v>
      </c>
      <c r="AW456" s="99"/>
      <c r="AX456" s="99"/>
      <c r="AY456" s="19"/>
      <c r="AZ456" s="96" t="str">
        <f t="shared" si="114"/>
        <v>n</v>
      </c>
      <c r="BA456" s="96" t="str">
        <f>IF(AZ456="n","n",VLOOKUP(AZ456,'Conversion factors'!$C$4:$D$24,2,FALSE))</f>
        <v>n</v>
      </c>
      <c r="BB456" s="96" t="str">
        <f t="shared" si="115"/>
        <v>n</v>
      </c>
      <c r="BC456" s="97"/>
      <c r="BD456" s="96" t="str">
        <f t="shared" si="137"/>
        <v>n</v>
      </c>
      <c r="BE456" s="96" t="str">
        <f t="shared" si="116"/>
        <v>n</v>
      </c>
      <c r="BF456" s="98" t="str">
        <f t="shared" si="138"/>
        <v/>
      </c>
      <c r="BG456" s="96" t="str">
        <f>IF(BF456="","",IF(ISNUMBER(VLOOKUP(BF456,'Conversion factors'!$B$35:$C$52,2,FALSE)),"y","n"))</f>
        <v/>
      </c>
      <c r="BH456" s="99"/>
    </row>
    <row r="457" spans="1:62" s="103" customFormat="1" ht="15.75" customHeight="1" x14ac:dyDescent="0.2">
      <c r="A457" s="18"/>
      <c r="B457" s="20">
        <v>337</v>
      </c>
      <c r="C457" s="19"/>
      <c r="D457" s="19">
        <v>9248</v>
      </c>
      <c r="E457" s="19" t="s">
        <v>1224</v>
      </c>
      <c r="F457" s="19">
        <v>1993</v>
      </c>
      <c r="G457" s="19" t="s">
        <v>1342</v>
      </c>
      <c r="H457" s="19"/>
      <c r="I457" s="19" t="s">
        <v>41</v>
      </c>
      <c r="J457" s="19" t="s">
        <v>553</v>
      </c>
      <c r="K457" s="19" t="s">
        <v>64</v>
      </c>
      <c r="L457" s="99" t="s">
        <v>151</v>
      </c>
      <c r="M457" s="19" t="s">
        <v>260</v>
      </c>
      <c r="N457" s="19" t="s">
        <v>66</v>
      </c>
      <c r="O457" s="19" t="s">
        <v>235</v>
      </c>
      <c r="P457" s="19" t="s">
        <v>162</v>
      </c>
      <c r="Q457" s="19"/>
      <c r="R457" s="19" t="s">
        <v>237</v>
      </c>
      <c r="S457" s="19" t="s">
        <v>79</v>
      </c>
      <c r="T457" s="19" t="s">
        <v>54</v>
      </c>
      <c r="U457" s="19" t="s">
        <v>54</v>
      </c>
      <c r="V457" s="19">
        <v>42</v>
      </c>
      <c r="W457" s="19" t="s">
        <v>45</v>
      </c>
      <c r="X457" s="19" t="s">
        <v>46</v>
      </c>
      <c r="Y457" s="29"/>
      <c r="Z457" s="19"/>
      <c r="AA457" s="19"/>
      <c r="AB457" s="19">
        <v>108</v>
      </c>
      <c r="AC457" s="19" t="s">
        <v>214</v>
      </c>
      <c r="AD457" s="19"/>
      <c r="AE457" s="19">
        <v>130</v>
      </c>
      <c r="AF457" s="19">
        <v>130</v>
      </c>
      <c r="AG457" s="19"/>
      <c r="AH457" s="19"/>
      <c r="AI457" s="19"/>
      <c r="AJ457" s="101">
        <f t="shared" ref="AJ457:AJ463" si="144">MEDIAN(7.9,8.6)</f>
        <v>8.25</v>
      </c>
      <c r="AK457" s="19" t="s">
        <v>556</v>
      </c>
      <c r="AL457" s="19"/>
      <c r="AM457" s="19"/>
      <c r="AN457" s="19" t="s">
        <v>557</v>
      </c>
      <c r="AO457" s="19"/>
      <c r="AP457" s="94"/>
      <c r="AQ457" s="19"/>
      <c r="AR457" s="19" t="s">
        <v>241</v>
      </c>
      <c r="AS457" s="19"/>
      <c r="AT457" s="65" t="str">
        <f t="shared" si="136"/>
        <v>Y</v>
      </c>
      <c r="AU457" s="65" t="str">
        <f t="shared" si="113"/>
        <v>Y</v>
      </c>
      <c r="AV457" s="65" t="str">
        <f t="shared" si="134"/>
        <v>Y</v>
      </c>
      <c r="AW457" s="99"/>
      <c r="AX457" s="99"/>
      <c r="AY457" s="19"/>
      <c r="AZ457" s="96" t="str">
        <f t="shared" si="114"/>
        <v>NOEC</v>
      </c>
      <c r="BA457" s="96">
        <f>IF(AZ457="n","n",VLOOKUP(AZ457,'Conversion factors'!$C$4:$D$24,2,FALSE))</f>
        <v>1</v>
      </c>
      <c r="BB457" s="96">
        <f t="shared" si="115"/>
        <v>108</v>
      </c>
      <c r="BC457" s="97"/>
      <c r="BD457" s="96" t="str">
        <f t="shared" si="137"/>
        <v>Chronic</v>
      </c>
      <c r="BE457" s="96" t="str">
        <f t="shared" si="116"/>
        <v>y</v>
      </c>
      <c r="BF457" s="98" t="str">
        <f t="shared" si="138"/>
        <v>NOEC</v>
      </c>
      <c r="BG457" s="96" t="str">
        <f>IF(BF457="","",IF(ISNUMBER(VLOOKUP(BF457,'Conversion factors'!$B$35:$C$52,2,FALSE)),"y","n"))</f>
        <v>y</v>
      </c>
      <c r="BH457" s="99" t="s">
        <v>1507</v>
      </c>
      <c r="BI457" s="100"/>
      <c r="BJ457" s="100"/>
    </row>
    <row r="458" spans="1:62" s="103" customFormat="1" ht="15.75" customHeight="1" x14ac:dyDescent="0.2">
      <c r="A458" s="18"/>
      <c r="B458" s="20">
        <v>337</v>
      </c>
      <c r="C458" s="19"/>
      <c r="D458" s="19">
        <v>9248</v>
      </c>
      <c r="E458" s="19" t="s">
        <v>1224</v>
      </c>
      <c r="F458" s="19">
        <v>1993</v>
      </c>
      <c r="G458" s="19" t="s">
        <v>1342</v>
      </c>
      <c r="H458" s="19"/>
      <c r="I458" s="19" t="s">
        <v>41</v>
      </c>
      <c r="J458" s="19" t="s">
        <v>553</v>
      </c>
      <c r="K458" s="19" t="s">
        <v>64</v>
      </c>
      <c r="L458" s="19" t="s">
        <v>151</v>
      </c>
      <c r="M458" s="19" t="s">
        <v>260</v>
      </c>
      <c r="N458" s="19" t="s">
        <v>66</v>
      </c>
      <c r="O458" s="19" t="s">
        <v>235</v>
      </c>
      <c r="P458" s="19" t="s">
        <v>162</v>
      </c>
      <c r="Q458" s="19"/>
      <c r="R458" s="19" t="s">
        <v>237</v>
      </c>
      <c r="S458" s="19" t="s">
        <v>79</v>
      </c>
      <c r="T458" s="19" t="s">
        <v>55</v>
      </c>
      <c r="U458" s="19" t="s">
        <v>55</v>
      </c>
      <c r="V458" s="19">
        <v>70</v>
      </c>
      <c r="W458" s="19" t="s">
        <v>45</v>
      </c>
      <c r="X458" s="19" t="s">
        <v>46</v>
      </c>
      <c r="Y458" s="29"/>
      <c r="Z458" s="19"/>
      <c r="AA458" s="19"/>
      <c r="AB458" s="19">
        <v>108</v>
      </c>
      <c r="AC458" s="19" t="s">
        <v>214</v>
      </c>
      <c r="AD458" s="19"/>
      <c r="AE458" s="19">
        <v>130</v>
      </c>
      <c r="AF458" s="19">
        <v>130</v>
      </c>
      <c r="AG458" s="19"/>
      <c r="AH458" s="19"/>
      <c r="AI458" s="19"/>
      <c r="AJ458" s="19">
        <f t="shared" si="144"/>
        <v>8.25</v>
      </c>
      <c r="AK458" s="19" t="s">
        <v>556</v>
      </c>
      <c r="AL458" s="19"/>
      <c r="AM458" s="19" t="s">
        <v>234</v>
      </c>
      <c r="AN458" s="19" t="s">
        <v>557</v>
      </c>
      <c r="AO458" s="19"/>
      <c r="AP458" s="94"/>
      <c r="AQ458" s="19"/>
      <c r="AR458" s="19" t="s">
        <v>241</v>
      </c>
      <c r="AS458" s="19"/>
      <c r="AT458" s="65" t="str">
        <f t="shared" si="136"/>
        <v>Y</v>
      </c>
      <c r="AU458" s="65" t="str">
        <f t="shared" si="113"/>
        <v>Y</v>
      </c>
      <c r="AV458" s="65" t="str">
        <f t="shared" si="134"/>
        <v>Y</v>
      </c>
      <c r="AW458" s="99"/>
      <c r="AX458" s="99"/>
      <c r="AY458" s="19"/>
      <c r="AZ458" s="96" t="str">
        <f t="shared" si="114"/>
        <v>LOEC</v>
      </c>
      <c r="BA458" s="96">
        <f>IF(AZ458="n","n",VLOOKUP(AZ458,'Conversion factors'!$C$4:$D$24,2,FALSE))</f>
        <v>2.5</v>
      </c>
      <c r="BB458" s="96">
        <f t="shared" si="115"/>
        <v>43.2</v>
      </c>
      <c r="BC458" s="97"/>
      <c r="BD458" s="96" t="str">
        <f t="shared" si="137"/>
        <v>Chronic</v>
      </c>
      <c r="BE458" s="96" t="str">
        <f t="shared" si="116"/>
        <v>y</v>
      </c>
      <c r="BF458" s="98" t="str">
        <f t="shared" si="138"/>
        <v>LOEC</v>
      </c>
      <c r="BG458" s="96" t="str">
        <f>IF(BF458="","",IF(ISNUMBER(VLOOKUP(BF458,'Conversion factors'!$B$35:$C$52,2,FALSE)),"y","n"))</f>
        <v>n</v>
      </c>
      <c r="BH458" s="99"/>
      <c r="BI458" s="100"/>
      <c r="BJ458" s="100"/>
    </row>
    <row r="459" spans="1:62" s="103" customFormat="1" ht="15.75" customHeight="1" x14ac:dyDescent="0.2">
      <c r="A459" s="18"/>
      <c r="B459" s="20">
        <v>337</v>
      </c>
      <c r="C459" s="19"/>
      <c r="D459" s="19">
        <v>9248</v>
      </c>
      <c r="E459" s="19" t="s">
        <v>1224</v>
      </c>
      <c r="F459" s="19">
        <v>1993</v>
      </c>
      <c r="G459" s="19" t="s">
        <v>1342</v>
      </c>
      <c r="H459" s="19"/>
      <c r="I459" s="19" t="s">
        <v>41</v>
      </c>
      <c r="J459" s="19" t="s">
        <v>553</v>
      </c>
      <c r="K459" s="19" t="s">
        <v>64</v>
      </c>
      <c r="L459" s="19" t="s">
        <v>151</v>
      </c>
      <c r="M459" s="19" t="s">
        <v>260</v>
      </c>
      <c r="N459" s="19" t="s">
        <v>66</v>
      </c>
      <c r="O459" s="19" t="s">
        <v>235</v>
      </c>
      <c r="P459" s="19" t="s">
        <v>162</v>
      </c>
      <c r="Q459" s="19"/>
      <c r="R459" s="19" t="s">
        <v>237</v>
      </c>
      <c r="S459" s="19" t="s">
        <v>79</v>
      </c>
      <c r="T459" s="19" t="s">
        <v>55</v>
      </c>
      <c r="U459" s="19" t="s">
        <v>55</v>
      </c>
      <c r="V459" s="19">
        <v>42</v>
      </c>
      <c r="W459" s="19" t="s">
        <v>45</v>
      </c>
      <c r="X459" s="19" t="s">
        <v>46</v>
      </c>
      <c r="Y459" s="29"/>
      <c r="Z459" s="19"/>
      <c r="AA459" s="19"/>
      <c r="AB459" s="19">
        <v>185</v>
      </c>
      <c r="AC459" s="19" t="s">
        <v>214</v>
      </c>
      <c r="AD459" s="19"/>
      <c r="AE459" s="19">
        <v>130</v>
      </c>
      <c r="AF459" s="19">
        <v>130</v>
      </c>
      <c r="AG459" s="19"/>
      <c r="AH459" s="19"/>
      <c r="AI459" s="19"/>
      <c r="AJ459" s="19">
        <f t="shared" si="144"/>
        <v>8.25</v>
      </c>
      <c r="AK459" s="19" t="s">
        <v>556</v>
      </c>
      <c r="AL459" s="19"/>
      <c r="AM459" s="19" t="s">
        <v>234</v>
      </c>
      <c r="AN459" s="19" t="s">
        <v>557</v>
      </c>
      <c r="AO459" s="19"/>
      <c r="AP459" s="94"/>
      <c r="AQ459" s="19"/>
      <c r="AR459" s="19" t="s">
        <v>241</v>
      </c>
      <c r="AS459" s="19"/>
      <c r="AT459" s="65" t="str">
        <f t="shared" si="136"/>
        <v>Y</v>
      </c>
      <c r="AU459" s="65" t="str">
        <f t="shared" si="113"/>
        <v>Y</v>
      </c>
      <c r="AV459" s="65" t="str">
        <f t="shared" si="134"/>
        <v>Y</v>
      </c>
      <c r="AW459" s="99"/>
      <c r="AX459" s="99"/>
      <c r="AY459" s="19"/>
      <c r="AZ459" s="96" t="str">
        <f t="shared" si="114"/>
        <v>LOEC</v>
      </c>
      <c r="BA459" s="96">
        <f>IF(AZ459="n","n",VLOOKUP(AZ459,'Conversion factors'!$C$4:$D$24,2,FALSE))</f>
        <v>2.5</v>
      </c>
      <c r="BB459" s="96">
        <f t="shared" si="115"/>
        <v>74</v>
      </c>
      <c r="BC459" s="97"/>
      <c r="BD459" s="96" t="str">
        <f t="shared" si="137"/>
        <v>Chronic</v>
      </c>
      <c r="BE459" s="96" t="str">
        <f t="shared" si="116"/>
        <v>y</v>
      </c>
      <c r="BF459" s="98" t="str">
        <f t="shared" si="138"/>
        <v>LOEC</v>
      </c>
      <c r="BG459" s="96" t="str">
        <f>IF(BF459="","",IF(ISNUMBER(VLOOKUP(BF459,'Conversion factors'!$B$35:$C$52,2,FALSE)),"y","n"))</f>
        <v>n</v>
      </c>
      <c r="BH459" s="99"/>
      <c r="BI459" s="100"/>
      <c r="BJ459" s="100"/>
    </row>
    <row r="460" spans="1:62" s="103" customFormat="1" ht="15.75" customHeight="1" x14ac:dyDescent="0.2">
      <c r="A460" s="18"/>
      <c r="B460" s="20">
        <v>337</v>
      </c>
      <c r="C460" s="19"/>
      <c r="D460" s="19">
        <v>9248</v>
      </c>
      <c r="E460" s="19" t="s">
        <v>1224</v>
      </c>
      <c r="F460" s="93">
        <v>1993</v>
      </c>
      <c r="G460" s="19" t="s">
        <v>1342</v>
      </c>
      <c r="H460" s="19"/>
      <c r="I460" s="19" t="s">
        <v>41</v>
      </c>
      <c r="J460" s="19" t="s">
        <v>553</v>
      </c>
      <c r="K460" s="19" t="s">
        <v>64</v>
      </c>
      <c r="L460" s="99" t="s">
        <v>151</v>
      </c>
      <c r="M460" s="19" t="s">
        <v>260</v>
      </c>
      <c r="N460" s="19" t="s">
        <v>66</v>
      </c>
      <c r="O460" s="19" t="s">
        <v>235</v>
      </c>
      <c r="P460" s="19" t="s">
        <v>162</v>
      </c>
      <c r="Q460" s="19"/>
      <c r="R460" s="19" t="s">
        <v>237</v>
      </c>
      <c r="S460" s="19" t="s">
        <v>79</v>
      </c>
      <c r="T460" s="19" t="s">
        <v>54</v>
      </c>
      <c r="U460" s="19" t="s">
        <v>54</v>
      </c>
      <c r="V460" s="19">
        <v>70</v>
      </c>
      <c r="W460" s="19" t="s">
        <v>45</v>
      </c>
      <c r="X460" s="19" t="s">
        <v>46</v>
      </c>
      <c r="Y460" s="29"/>
      <c r="Z460" s="19"/>
      <c r="AA460" s="19"/>
      <c r="AB460" s="19">
        <v>42.3</v>
      </c>
      <c r="AC460" s="19" t="s">
        <v>214</v>
      </c>
      <c r="AD460" s="19"/>
      <c r="AE460" s="19">
        <v>130</v>
      </c>
      <c r="AF460" s="19">
        <v>130</v>
      </c>
      <c r="AG460" s="19"/>
      <c r="AH460" s="19"/>
      <c r="AI460" s="19"/>
      <c r="AJ460" s="101">
        <f t="shared" si="144"/>
        <v>8.25</v>
      </c>
      <c r="AK460" s="19" t="s">
        <v>556</v>
      </c>
      <c r="AL460" s="19"/>
      <c r="AM460" s="19"/>
      <c r="AN460" s="19" t="s">
        <v>557</v>
      </c>
      <c r="AO460" s="19"/>
      <c r="AP460" s="94"/>
      <c r="AQ460" s="19"/>
      <c r="AR460" s="19" t="s">
        <v>241</v>
      </c>
      <c r="AS460" s="19"/>
      <c r="AT460" s="65" t="str">
        <f t="shared" si="136"/>
        <v>Y</v>
      </c>
      <c r="AU460" s="65" t="str">
        <f t="shared" si="113"/>
        <v>Y</v>
      </c>
      <c r="AV460" s="65" t="str">
        <f t="shared" si="134"/>
        <v>Y</v>
      </c>
      <c r="AW460" s="99"/>
      <c r="AX460" s="99"/>
      <c r="AY460" s="19"/>
      <c r="AZ460" s="96" t="str">
        <f t="shared" si="114"/>
        <v>NOEC</v>
      </c>
      <c r="BA460" s="96">
        <f>IF(AZ460="n","n",VLOOKUP(AZ460,'Conversion factors'!$C$4:$D$24,2,FALSE))</f>
        <v>1</v>
      </c>
      <c r="BB460" s="96">
        <f t="shared" si="115"/>
        <v>42.3</v>
      </c>
      <c r="BC460" s="97"/>
      <c r="BD460" s="96" t="str">
        <f t="shared" si="137"/>
        <v>Chronic</v>
      </c>
      <c r="BE460" s="96" t="str">
        <f t="shared" si="116"/>
        <v>y</v>
      </c>
      <c r="BF460" s="98" t="str">
        <f t="shared" si="138"/>
        <v>NOEC</v>
      </c>
      <c r="BG460" s="96" t="str">
        <f>IF(BF460="","",IF(ISNUMBER(VLOOKUP(BF460,'Conversion factors'!$B$35:$C$52,2,FALSE)),"y","n"))</f>
        <v>y</v>
      </c>
      <c r="BH460" s="99" t="s">
        <v>1507</v>
      </c>
      <c r="BI460" s="100"/>
      <c r="BJ460" s="100"/>
    </row>
    <row r="461" spans="1:62" s="103" customFormat="1" ht="15.75" customHeight="1" x14ac:dyDescent="0.2">
      <c r="A461" s="18"/>
      <c r="B461" s="19">
        <v>225</v>
      </c>
      <c r="C461" s="19"/>
      <c r="D461" s="19">
        <v>67044</v>
      </c>
      <c r="E461" s="19" t="s">
        <v>1224</v>
      </c>
      <c r="F461" s="93">
        <v>1997</v>
      </c>
      <c r="G461" s="19" t="s">
        <v>552</v>
      </c>
      <c r="H461" s="19"/>
      <c r="I461" s="19" t="s">
        <v>41</v>
      </c>
      <c r="J461" s="19" t="s">
        <v>553</v>
      </c>
      <c r="K461" s="19" t="s">
        <v>64</v>
      </c>
      <c r="L461" s="19" t="s">
        <v>151</v>
      </c>
      <c r="M461" s="19" t="s">
        <v>260</v>
      </c>
      <c r="N461" s="19" t="s">
        <v>66</v>
      </c>
      <c r="O461" s="19" t="s">
        <v>235</v>
      </c>
      <c r="P461" s="19" t="s">
        <v>162</v>
      </c>
      <c r="Q461" s="19"/>
      <c r="R461" s="19" t="s">
        <v>237</v>
      </c>
      <c r="S461" s="19" t="s">
        <v>79</v>
      </c>
      <c r="T461" s="19" t="s">
        <v>554</v>
      </c>
      <c r="U461" s="19" t="s">
        <v>554</v>
      </c>
      <c r="V461" s="19" t="s">
        <v>252</v>
      </c>
      <c r="W461" s="19" t="s">
        <v>231</v>
      </c>
      <c r="X461" s="19" t="s">
        <v>46</v>
      </c>
      <c r="Y461" s="29"/>
      <c r="Z461" s="19" t="s">
        <v>555</v>
      </c>
      <c r="AA461" s="19"/>
      <c r="AB461" s="19">
        <f>Z461*65.39</f>
        <v>215.13310000000001</v>
      </c>
      <c r="AC461" s="19" t="s">
        <v>214</v>
      </c>
      <c r="AD461" s="19"/>
      <c r="AE461" s="19">
        <v>130</v>
      </c>
      <c r="AF461" s="19">
        <v>130</v>
      </c>
      <c r="AG461" s="19" t="s">
        <v>270</v>
      </c>
      <c r="AH461" s="19"/>
      <c r="AI461" s="19"/>
      <c r="AJ461" s="19">
        <f t="shared" si="144"/>
        <v>8.25</v>
      </c>
      <c r="AK461" s="19" t="s">
        <v>556</v>
      </c>
      <c r="AL461" s="19"/>
      <c r="AM461" s="19" t="s">
        <v>234</v>
      </c>
      <c r="AN461" s="19" t="s">
        <v>557</v>
      </c>
      <c r="AO461" s="19" t="s">
        <v>216</v>
      </c>
      <c r="AP461" s="94"/>
      <c r="AQ461" s="19" t="s">
        <v>102</v>
      </c>
      <c r="AR461" s="19" t="s">
        <v>241</v>
      </c>
      <c r="AS461" s="19"/>
      <c r="AT461" s="65" t="str">
        <f t="shared" si="136"/>
        <v>Y</v>
      </c>
      <c r="AU461" s="65" t="str">
        <f t="shared" si="113"/>
        <v>Y</v>
      </c>
      <c r="AV461" s="65" t="s">
        <v>162</v>
      </c>
      <c r="AW461" s="19" t="s">
        <v>1454</v>
      </c>
      <c r="AX461" s="19"/>
      <c r="AY461" s="19"/>
      <c r="AZ461" s="96" t="str">
        <f t="shared" si="114"/>
        <v>n</v>
      </c>
      <c r="BA461" s="96" t="str">
        <f>IF(AZ461="n","n",VLOOKUP(AZ461,'Conversion factors'!$C$4:$D$24,2,FALSE))</f>
        <v>n</v>
      </c>
      <c r="BB461" s="96" t="str">
        <f t="shared" si="115"/>
        <v>n</v>
      </c>
      <c r="BC461" s="97"/>
      <c r="BD461" s="96" t="str">
        <f t="shared" si="137"/>
        <v>n</v>
      </c>
      <c r="BE461" s="96" t="str">
        <f t="shared" si="116"/>
        <v>n</v>
      </c>
      <c r="BF461" s="98" t="str">
        <f t="shared" si="138"/>
        <v/>
      </c>
      <c r="BG461" s="96" t="str">
        <f>IF(BF461="","",IF(ISNUMBER(VLOOKUP(BF461,'Conversion factors'!$B$35:$C$52,2,FALSE)),"y","n"))</f>
        <v/>
      </c>
      <c r="BH461" s="99"/>
      <c r="BI461" s="100"/>
      <c r="BJ461" s="100"/>
    </row>
    <row r="462" spans="1:62" s="103" customFormat="1" ht="15.75" customHeight="1" x14ac:dyDescent="0.2">
      <c r="A462" s="18"/>
      <c r="B462" s="19">
        <v>225</v>
      </c>
      <c r="C462" s="19"/>
      <c r="D462" s="19">
        <v>67044</v>
      </c>
      <c r="E462" s="19" t="s">
        <v>1224</v>
      </c>
      <c r="F462" s="93">
        <v>1997</v>
      </c>
      <c r="G462" s="19" t="s">
        <v>552</v>
      </c>
      <c r="H462" s="19"/>
      <c r="I462" s="19" t="s">
        <v>41</v>
      </c>
      <c r="J462" s="19" t="s">
        <v>553</v>
      </c>
      <c r="K462" s="19" t="s">
        <v>64</v>
      </c>
      <c r="L462" s="19" t="s">
        <v>151</v>
      </c>
      <c r="M462" s="19" t="s">
        <v>260</v>
      </c>
      <c r="N462" s="19" t="s">
        <v>66</v>
      </c>
      <c r="O462" s="19" t="s">
        <v>235</v>
      </c>
      <c r="P462" s="19" t="s">
        <v>162</v>
      </c>
      <c r="Q462" s="19"/>
      <c r="R462" s="19" t="s">
        <v>237</v>
      </c>
      <c r="S462" s="19" t="s">
        <v>79</v>
      </c>
      <c r="T462" s="19" t="s">
        <v>55</v>
      </c>
      <c r="U462" s="19" t="s">
        <v>55</v>
      </c>
      <c r="V462" s="19" t="s">
        <v>252</v>
      </c>
      <c r="W462" s="19" t="s">
        <v>231</v>
      </c>
      <c r="X462" s="19" t="s">
        <v>46</v>
      </c>
      <c r="Y462" s="29"/>
      <c r="Z462" s="19" t="s">
        <v>558</v>
      </c>
      <c r="AA462" s="19"/>
      <c r="AB462" s="19">
        <f>Z462*65.39</f>
        <v>214.47919999999999</v>
      </c>
      <c r="AC462" s="19" t="s">
        <v>214</v>
      </c>
      <c r="AD462" s="19"/>
      <c r="AE462" s="19">
        <v>130</v>
      </c>
      <c r="AF462" s="19">
        <v>130</v>
      </c>
      <c r="AG462" s="19" t="s">
        <v>270</v>
      </c>
      <c r="AH462" s="19"/>
      <c r="AI462" s="19"/>
      <c r="AJ462" s="19">
        <f t="shared" si="144"/>
        <v>8.25</v>
      </c>
      <c r="AK462" s="19" t="s">
        <v>556</v>
      </c>
      <c r="AL462" s="19"/>
      <c r="AM462" s="19" t="s">
        <v>234</v>
      </c>
      <c r="AN462" s="19" t="s">
        <v>557</v>
      </c>
      <c r="AO462" s="19" t="s">
        <v>216</v>
      </c>
      <c r="AP462" s="94"/>
      <c r="AQ462" s="19" t="s">
        <v>102</v>
      </c>
      <c r="AR462" s="19" t="s">
        <v>241</v>
      </c>
      <c r="AS462" s="19"/>
      <c r="AT462" s="65" t="str">
        <f t="shared" si="136"/>
        <v>Y</v>
      </c>
      <c r="AU462" s="65" t="str">
        <f t="shared" si="113"/>
        <v>Y</v>
      </c>
      <c r="AV462" s="65" t="s">
        <v>162</v>
      </c>
      <c r="AW462" s="19" t="s">
        <v>1454</v>
      </c>
      <c r="AX462" s="19"/>
      <c r="AY462" s="19"/>
      <c r="AZ462" s="96" t="str">
        <f t="shared" si="114"/>
        <v>n</v>
      </c>
      <c r="BA462" s="96" t="str">
        <f>IF(AZ462="n","n",VLOOKUP(AZ462,'Conversion factors'!$C$4:$D$24,2,FALSE))</f>
        <v>n</v>
      </c>
      <c r="BB462" s="96" t="str">
        <f t="shared" si="115"/>
        <v>n</v>
      </c>
      <c r="BC462" s="97"/>
      <c r="BD462" s="96" t="str">
        <f t="shared" si="137"/>
        <v>n</v>
      </c>
      <c r="BE462" s="96" t="str">
        <f t="shared" si="116"/>
        <v>n</v>
      </c>
      <c r="BF462" s="98" t="str">
        <f t="shared" si="138"/>
        <v/>
      </c>
      <c r="BG462" s="96" t="str">
        <f>IF(BF462="","",IF(ISNUMBER(VLOOKUP(BF462,'Conversion factors'!$B$35:$C$52,2,FALSE)),"y","n"))</f>
        <v/>
      </c>
      <c r="BH462" s="99"/>
      <c r="BI462" s="100"/>
      <c r="BJ462" s="100"/>
    </row>
    <row r="463" spans="1:62" s="146" customFormat="1" ht="15.75" customHeight="1" x14ac:dyDescent="0.2">
      <c r="A463" s="137"/>
      <c r="B463" s="109">
        <v>225</v>
      </c>
      <c r="C463" s="109"/>
      <c r="D463" s="109">
        <v>67044</v>
      </c>
      <c r="E463" s="109" t="s">
        <v>1224</v>
      </c>
      <c r="F463" s="123">
        <v>1997</v>
      </c>
      <c r="G463" s="109" t="s">
        <v>552</v>
      </c>
      <c r="H463" s="109"/>
      <c r="I463" s="109" t="s">
        <v>41</v>
      </c>
      <c r="J463" s="109" t="s">
        <v>553</v>
      </c>
      <c r="K463" s="109" t="s">
        <v>64</v>
      </c>
      <c r="L463" s="138" t="s">
        <v>151</v>
      </c>
      <c r="M463" s="109" t="s">
        <v>260</v>
      </c>
      <c r="N463" s="109" t="s">
        <v>66</v>
      </c>
      <c r="O463" s="109" t="s">
        <v>235</v>
      </c>
      <c r="P463" s="109" t="s">
        <v>162</v>
      </c>
      <c r="Q463" s="109"/>
      <c r="R463" s="109" t="s">
        <v>237</v>
      </c>
      <c r="S463" s="109" t="s">
        <v>79</v>
      </c>
      <c r="T463" s="109" t="s">
        <v>54</v>
      </c>
      <c r="U463" s="109" t="s">
        <v>54</v>
      </c>
      <c r="V463" s="109">
        <v>28</v>
      </c>
      <c r="W463" s="109" t="s">
        <v>231</v>
      </c>
      <c r="X463" s="109" t="s">
        <v>46</v>
      </c>
      <c r="Y463" s="139"/>
      <c r="Z463" s="109" t="s">
        <v>559</v>
      </c>
      <c r="AA463" s="109"/>
      <c r="AB463" s="109">
        <f>Z463*65.39</f>
        <v>170.6679</v>
      </c>
      <c r="AC463" s="109" t="s">
        <v>214</v>
      </c>
      <c r="AD463" s="109"/>
      <c r="AE463" s="109">
        <v>130</v>
      </c>
      <c r="AF463" s="109">
        <v>130</v>
      </c>
      <c r="AG463" s="109" t="s">
        <v>270</v>
      </c>
      <c r="AH463" s="109"/>
      <c r="AI463" s="109"/>
      <c r="AJ463" s="140">
        <f t="shared" si="144"/>
        <v>8.25</v>
      </c>
      <c r="AK463" s="109" t="s">
        <v>556</v>
      </c>
      <c r="AL463" s="109"/>
      <c r="AM463" s="109"/>
      <c r="AN463" s="109" t="s">
        <v>557</v>
      </c>
      <c r="AO463" s="109" t="s">
        <v>216</v>
      </c>
      <c r="AP463" s="141"/>
      <c r="AQ463" s="109" t="s">
        <v>102</v>
      </c>
      <c r="AR463" s="109" t="s">
        <v>241</v>
      </c>
      <c r="AS463" s="109"/>
      <c r="AT463" s="142" t="str">
        <f t="shared" si="136"/>
        <v>Y</v>
      </c>
      <c r="AU463" s="142" t="str">
        <f t="shared" si="113"/>
        <v>Y</v>
      </c>
      <c r="AV463" s="142" t="s">
        <v>162</v>
      </c>
      <c r="AW463" s="109" t="s">
        <v>1454</v>
      </c>
      <c r="AX463" s="109"/>
      <c r="AY463" s="109"/>
      <c r="AZ463" s="96" t="str">
        <f t="shared" si="114"/>
        <v>n</v>
      </c>
      <c r="BA463" s="96" t="str">
        <f>IF(AZ463="n","n",VLOOKUP(AZ463,'Conversion factors'!$C$4:$D$24,2,FALSE))</f>
        <v>n</v>
      </c>
      <c r="BB463" s="96" t="str">
        <f t="shared" si="115"/>
        <v>n</v>
      </c>
      <c r="BC463" s="97"/>
      <c r="BD463" s="143" t="str">
        <f t="shared" si="137"/>
        <v>n</v>
      </c>
      <c r="BE463" s="143" t="str">
        <f t="shared" si="116"/>
        <v>n</v>
      </c>
      <c r="BF463" s="144" t="str">
        <f t="shared" si="138"/>
        <v/>
      </c>
      <c r="BG463" s="143" t="str">
        <f>IF(BF463="","",IF(ISNUMBER(VLOOKUP(BF463,'Conversion factors'!$B$35:$C$52,2,FALSE)),"y","n"))</f>
        <v/>
      </c>
      <c r="BH463" s="138" t="s">
        <v>1507</v>
      </c>
      <c r="BI463" s="145"/>
      <c r="BJ463" s="145"/>
    </row>
    <row r="464" spans="1:62" s="103" customFormat="1" ht="15.75" customHeight="1" x14ac:dyDescent="0.2">
      <c r="A464" s="18"/>
      <c r="B464" s="19">
        <v>330</v>
      </c>
      <c r="C464" s="19"/>
      <c r="D464" s="19">
        <v>169735</v>
      </c>
      <c r="E464" s="19" t="s">
        <v>1224</v>
      </c>
      <c r="F464" s="93">
        <v>2001</v>
      </c>
      <c r="G464" s="19" t="s">
        <v>1190</v>
      </c>
      <c r="H464" s="19"/>
      <c r="I464" s="19" t="s">
        <v>41</v>
      </c>
      <c r="J464" s="19" t="s">
        <v>553</v>
      </c>
      <c r="K464" s="19" t="s">
        <v>64</v>
      </c>
      <c r="L464" s="19" t="s">
        <v>151</v>
      </c>
      <c r="M464" s="19" t="s">
        <v>260</v>
      </c>
      <c r="N464" s="19" t="s">
        <v>66</v>
      </c>
      <c r="O464" s="19" t="s">
        <v>387</v>
      </c>
      <c r="P464" s="19" t="s">
        <v>162</v>
      </c>
      <c r="Q464" s="19"/>
      <c r="R464" s="19" t="s">
        <v>237</v>
      </c>
      <c r="S464" s="19" t="s">
        <v>79</v>
      </c>
      <c r="T464" s="19" t="s">
        <v>56</v>
      </c>
      <c r="U464" s="19" t="s">
        <v>44</v>
      </c>
      <c r="V464" s="19" t="s">
        <v>253</v>
      </c>
      <c r="W464" s="19" t="s">
        <v>45</v>
      </c>
      <c r="X464" s="19" t="s">
        <v>46</v>
      </c>
      <c r="Y464" s="29"/>
      <c r="Z464" s="19"/>
      <c r="AA464" s="19"/>
      <c r="AB464" s="19" t="s">
        <v>645</v>
      </c>
      <c r="AC464" s="19" t="s">
        <v>214</v>
      </c>
      <c r="AD464" s="19"/>
      <c r="AE464" s="19">
        <v>146.9</v>
      </c>
      <c r="AF464" s="19">
        <v>146.9</v>
      </c>
      <c r="AG464" s="19" t="s">
        <v>270</v>
      </c>
      <c r="AH464" s="19"/>
      <c r="AI464" s="19"/>
      <c r="AJ464" s="19">
        <v>7.58</v>
      </c>
      <c r="AK464" s="19" t="s">
        <v>715</v>
      </c>
      <c r="AL464" s="19"/>
      <c r="AM464" s="19" t="s">
        <v>234</v>
      </c>
      <c r="AN464" s="19" t="s">
        <v>234</v>
      </c>
      <c r="AO464" s="19" t="s">
        <v>235</v>
      </c>
      <c r="AP464" s="94"/>
      <c r="AQ464" s="19" t="s">
        <v>116</v>
      </c>
      <c r="AR464" s="19" t="s">
        <v>1192</v>
      </c>
      <c r="AS464" s="19"/>
      <c r="AT464" s="65" t="str">
        <f t="shared" si="136"/>
        <v>Y</v>
      </c>
      <c r="AU464" s="65" t="str">
        <f t="shared" si="113"/>
        <v>Y</v>
      </c>
      <c r="AV464" s="65" t="str">
        <f t="shared" si="134"/>
        <v>Y</v>
      </c>
      <c r="AW464" s="99"/>
      <c r="AX464" s="99"/>
      <c r="AY464" s="19"/>
      <c r="AZ464" s="96" t="str">
        <f t="shared" si="114"/>
        <v>LC50</v>
      </c>
      <c r="BA464" s="96">
        <f>IF(AZ464="n","n",VLOOKUP(AZ464,'Conversion factors'!$C$4:$D$24,2,FALSE))</f>
        <v>5</v>
      </c>
      <c r="BB464" s="96">
        <f t="shared" si="115"/>
        <v>64</v>
      </c>
      <c r="BC464" s="97"/>
      <c r="BD464" s="96" t="str">
        <f t="shared" si="137"/>
        <v>Chronic</v>
      </c>
      <c r="BE464" s="96" t="str">
        <f t="shared" si="116"/>
        <v>y</v>
      </c>
      <c r="BF464" s="98" t="str">
        <f t="shared" si="138"/>
        <v>LC50</v>
      </c>
      <c r="BG464" s="96" t="str">
        <f>IF(BF464="","",IF(ISNUMBER(VLOOKUP(BF464,'Conversion factors'!$B$35:$C$52,2,FALSE)),"y","n"))</f>
        <v>n</v>
      </c>
      <c r="BH464" s="99"/>
      <c r="BI464" s="100"/>
      <c r="BJ464" s="100"/>
    </row>
    <row r="465" spans="1:62" s="103" customFormat="1" ht="15.75" customHeight="1" x14ac:dyDescent="0.2">
      <c r="A465" s="18"/>
      <c r="B465" s="19">
        <v>330</v>
      </c>
      <c r="C465" s="19"/>
      <c r="D465" s="19">
        <v>169735</v>
      </c>
      <c r="E465" s="19" t="s">
        <v>1224</v>
      </c>
      <c r="F465" s="93">
        <v>2001</v>
      </c>
      <c r="G465" s="19" t="s">
        <v>1190</v>
      </c>
      <c r="H465" s="19"/>
      <c r="I465" s="19" t="s">
        <v>41</v>
      </c>
      <c r="J465" s="19" t="s">
        <v>553</v>
      </c>
      <c r="K465" s="19" t="s">
        <v>64</v>
      </c>
      <c r="L465" s="19" t="s">
        <v>151</v>
      </c>
      <c r="M465" s="19" t="s">
        <v>260</v>
      </c>
      <c r="N465" s="19" t="s">
        <v>66</v>
      </c>
      <c r="O465" s="19" t="s">
        <v>387</v>
      </c>
      <c r="P465" s="19" t="s">
        <v>162</v>
      </c>
      <c r="Q465" s="19"/>
      <c r="R465" s="19" t="s">
        <v>237</v>
      </c>
      <c r="S465" s="19" t="s">
        <v>79</v>
      </c>
      <c r="T465" s="19" t="s">
        <v>56</v>
      </c>
      <c r="U465" s="19" t="s">
        <v>44</v>
      </c>
      <c r="V465" s="19" t="s">
        <v>101</v>
      </c>
      <c r="W465" s="19" t="s">
        <v>45</v>
      </c>
      <c r="X465" s="19" t="s">
        <v>46</v>
      </c>
      <c r="Y465" s="29"/>
      <c r="Z465" s="19"/>
      <c r="AA465" s="19"/>
      <c r="AB465" s="19" t="s">
        <v>538</v>
      </c>
      <c r="AC465" s="19" t="s">
        <v>214</v>
      </c>
      <c r="AD465" s="19"/>
      <c r="AE465" s="19">
        <v>146.9</v>
      </c>
      <c r="AF465" s="19">
        <v>146.9</v>
      </c>
      <c r="AG465" s="19" t="s">
        <v>270</v>
      </c>
      <c r="AH465" s="19"/>
      <c r="AI465" s="19"/>
      <c r="AJ465" s="19">
        <v>7.58</v>
      </c>
      <c r="AK465" s="19" t="s">
        <v>715</v>
      </c>
      <c r="AL465" s="19"/>
      <c r="AM465" s="19" t="s">
        <v>234</v>
      </c>
      <c r="AN465" s="19" t="s">
        <v>234</v>
      </c>
      <c r="AO465" s="19" t="s">
        <v>235</v>
      </c>
      <c r="AP465" s="94"/>
      <c r="AQ465" s="19" t="s">
        <v>116</v>
      </c>
      <c r="AR465" s="19" t="s">
        <v>1192</v>
      </c>
      <c r="AS465" s="19"/>
      <c r="AT465" s="65" t="str">
        <f t="shared" si="136"/>
        <v>Y</v>
      </c>
      <c r="AU465" s="65" t="str">
        <f t="shared" si="113"/>
        <v>Y</v>
      </c>
      <c r="AV465" s="65" t="str">
        <f t="shared" si="134"/>
        <v>Y</v>
      </c>
      <c r="AW465" s="99"/>
      <c r="AX465" s="99"/>
      <c r="AY465" s="19"/>
      <c r="AZ465" s="96" t="str">
        <f t="shared" si="114"/>
        <v>LC50</v>
      </c>
      <c r="BA465" s="96">
        <f>IF(AZ465="n","n",VLOOKUP(AZ465,'Conversion factors'!$C$4:$D$24,2,FALSE))</f>
        <v>5</v>
      </c>
      <c r="BB465" s="96">
        <f t="shared" si="115"/>
        <v>60</v>
      </c>
      <c r="BC465" s="97"/>
      <c r="BD465" s="96" t="str">
        <f t="shared" si="137"/>
        <v>Chronic</v>
      </c>
      <c r="BE465" s="96" t="str">
        <f t="shared" si="116"/>
        <v>y</v>
      </c>
      <c r="BF465" s="98" t="str">
        <f t="shared" si="138"/>
        <v>LC50</v>
      </c>
      <c r="BG465" s="96" t="str">
        <f>IF(BF465="","",IF(ISNUMBER(VLOOKUP(BF465,'Conversion factors'!$B$35:$C$52,2,FALSE)),"y","n"))</f>
        <v>n</v>
      </c>
      <c r="BH465" s="99"/>
      <c r="BI465" s="100"/>
      <c r="BJ465" s="100"/>
    </row>
    <row r="466" spans="1:62" s="103" customFormat="1" ht="15.75" customHeight="1" x14ac:dyDescent="0.2">
      <c r="A466" s="18"/>
      <c r="B466" s="19">
        <v>330</v>
      </c>
      <c r="C466" s="19"/>
      <c r="D466" s="19">
        <v>169735</v>
      </c>
      <c r="E466" s="19" t="s">
        <v>1224</v>
      </c>
      <c r="F466" s="93">
        <v>2001</v>
      </c>
      <c r="G466" s="19" t="s">
        <v>1190</v>
      </c>
      <c r="H466" s="19"/>
      <c r="I466" s="19" t="s">
        <v>41</v>
      </c>
      <c r="J466" s="19" t="s">
        <v>553</v>
      </c>
      <c r="K466" s="19" t="s">
        <v>64</v>
      </c>
      <c r="L466" s="19" t="s">
        <v>151</v>
      </c>
      <c r="M466" s="19" t="s">
        <v>260</v>
      </c>
      <c r="N466" s="19" t="s">
        <v>66</v>
      </c>
      <c r="O466" s="19" t="s">
        <v>387</v>
      </c>
      <c r="P466" s="19" t="s">
        <v>162</v>
      </c>
      <c r="Q466" s="19"/>
      <c r="R466" s="19" t="s">
        <v>237</v>
      </c>
      <c r="S466" s="19" t="s">
        <v>79</v>
      </c>
      <c r="T466" s="19" t="s">
        <v>56</v>
      </c>
      <c r="U466" s="19" t="s">
        <v>44</v>
      </c>
      <c r="V466" s="19" t="s">
        <v>360</v>
      </c>
      <c r="W466" s="19" t="s">
        <v>45</v>
      </c>
      <c r="X466" s="19" t="s">
        <v>46</v>
      </c>
      <c r="Y466" s="29"/>
      <c r="Z466" s="19"/>
      <c r="AA466" s="19"/>
      <c r="AB466" s="19" t="s">
        <v>384</v>
      </c>
      <c r="AC466" s="19" t="s">
        <v>214</v>
      </c>
      <c r="AD466" s="19"/>
      <c r="AE466" s="19">
        <v>146.9</v>
      </c>
      <c r="AF466" s="19">
        <v>146.9</v>
      </c>
      <c r="AG466" s="19" t="s">
        <v>270</v>
      </c>
      <c r="AH466" s="19"/>
      <c r="AI466" s="19"/>
      <c r="AJ466" s="19">
        <v>7.58</v>
      </c>
      <c r="AK466" s="19" t="s">
        <v>715</v>
      </c>
      <c r="AL466" s="19"/>
      <c r="AM466" s="19" t="s">
        <v>234</v>
      </c>
      <c r="AN466" s="19" t="s">
        <v>234</v>
      </c>
      <c r="AO466" s="19" t="s">
        <v>235</v>
      </c>
      <c r="AP466" s="94"/>
      <c r="AQ466" s="19" t="s">
        <v>116</v>
      </c>
      <c r="AR466" s="19" t="s">
        <v>1192</v>
      </c>
      <c r="AS466" s="19"/>
      <c r="AT466" s="65" t="str">
        <f t="shared" si="136"/>
        <v>Y</v>
      </c>
      <c r="AU466" s="65" t="str">
        <f t="shared" si="113"/>
        <v>Y</v>
      </c>
      <c r="AV466" s="65" t="str">
        <f t="shared" si="134"/>
        <v>Y</v>
      </c>
      <c r="AW466" s="99"/>
      <c r="AX466" s="99"/>
      <c r="AY466" s="19"/>
      <c r="AZ466" s="96" t="str">
        <f t="shared" si="114"/>
        <v>LC50</v>
      </c>
      <c r="BA466" s="96">
        <f>IF(AZ466="n","n",VLOOKUP(AZ466,'Conversion factors'!$C$4:$D$24,2,FALSE))</f>
        <v>5</v>
      </c>
      <c r="BB466" s="96">
        <f t="shared" si="115"/>
        <v>56</v>
      </c>
      <c r="BC466" s="97"/>
      <c r="BD466" s="96" t="str">
        <f t="shared" si="137"/>
        <v>Chronic</v>
      </c>
      <c r="BE466" s="96" t="str">
        <f t="shared" si="116"/>
        <v>y</v>
      </c>
      <c r="BF466" s="98" t="str">
        <f t="shared" si="138"/>
        <v>LC50</v>
      </c>
      <c r="BG466" s="96" t="str">
        <f>IF(BF466="","",IF(ISNUMBER(VLOOKUP(BF466,'Conversion factors'!$B$35:$C$52,2,FALSE)),"y","n"))</f>
        <v>n</v>
      </c>
      <c r="BH466" s="99"/>
      <c r="BI466" s="100"/>
      <c r="BJ466" s="100"/>
    </row>
    <row r="467" spans="1:62" s="103" customFormat="1" ht="15.75" customHeight="1" x14ac:dyDescent="0.2">
      <c r="A467" s="18"/>
      <c r="B467" s="19">
        <v>330</v>
      </c>
      <c r="C467" s="19"/>
      <c r="D467" s="19">
        <v>169735</v>
      </c>
      <c r="E467" s="19" t="s">
        <v>1224</v>
      </c>
      <c r="F467" s="93">
        <v>2001</v>
      </c>
      <c r="G467" s="19" t="s">
        <v>1190</v>
      </c>
      <c r="H467" s="19"/>
      <c r="I467" s="19" t="s">
        <v>41</v>
      </c>
      <c r="J467" s="19" t="s">
        <v>553</v>
      </c>
      <c r="K467" s="19" t="s">
        <v>64</v>
      </c>
      <c r="L467" s="19" t="s">
        <v>151</v>
      </c>
      <c r="M467" s="19" t="s">
        <v>260</v>
      </c>
      <c r="N467" s="19" t="s">
        <v>66</v>
      </c>
      <c r="O467" s="19" t="s">
        <v>387</v>
      </c>
      <c r="P467" s="19" t="s">
        <v>162</v>
      </c>
      <c r="Q467" s="19"/>
      <c r="R467" s="19" t="s">
        <v>237</v>
      </c>
      <c r="S467" s="19" t="s">
        <v>79</v>
      </c>
      <c r="T467" s="19" t="s">
        <v>56</v>
      </c>
      <c r="U467" s="19" t="s">
        <v>44</v>
      </c>
      <c r="V467" s="19" t="s">
        <v>1057</v>
      </c>
      <c r="W467" s="19" t="s">
        <v>45</v>
      </c>
      <c r="X467" s="19" t="s">
        <v>46</v>
      </c>
      <c r="Y467" s="29"/>
      <c r="Z467" s="19"/>
      <c r="AA467" s="19"/>
      <c r="AB467" s="19" t="s">
        <v>1194</v>
      </c>
      <c r="AC467" s="19" t="s">
        <v>214</v>
      </c>
      <c r="AD467" s="19"/>
      <c r="AE467" s="19">
        <v>146.9</v>
      </c>
      <c r="AF467" s="19">
        <v>146.9</v>
      </c>
      <c r="AG467" s="19" t="s">
        <v>270</v>
      </c>
      <c r="AH467" s="19"/>
      <c r="AI467" s="19"/>
      <c r="AJ467" s="19">
        <v>7.58</v>
      </c>
      <c r="AK467" s="19" t="s">
        <v>715</v>
      </c>
      <c r="AL467" s="19"/>
      <c r="AM467" s="19" t="s">
        <v>234</v>
      </c>
      <c r="AN467" s="19" t="s">
        <v>234</v>
      </c>
      <c r="AO467" s="19" t="s">
        <v>235</v>
      </c>
      <c r="AP467" s="94"/>
      <c r="AQ467" s="19" t="s">
        <v>116</v>
      </c>
      <c r="AR467" s="19" t="s">
        <v>1192</v>
      </c>
      <c r="AS467" s="19"/>
      <c r="AT467" s="65" t="str">
        <f t="shared" si="136"/>
        <v>Y</v>
      </c>
      <c r="AU467" s="65" t="str">
        <f t="shared" si="113"/>
        <v>Y</v>
      </c>
      <c r="AV467" s="65" t="str">
        <f t="shared" si="134"/>
        <v>Y</v>
      </c>
      <c r="AW467" s="99"/>
      <c r="AX467" s="99"/>
      <c r="AY467" s="19"/>
      <c r="AZ467" s="96" t="str">
        <f t="shared" si="114"/>
        <v>LC50</v>
      </c>
      <c r="BA467" s="96">
        <f>IF(AZ467="n","n",VLOOKUP(AZ467,'Conversion factors'!$C$4:$D$24,2,FALSE))</f>
        <v>5</v>
      </c>
      <c r="BB467" s="96">
        <f t="shared" si="115"/>
        <v>54</v>
      </c>
      <c r="BC467" s="97"/>
      <c r="BD467" s="96" t="str">
        <f t="shared" si="137"/>
        <v>Chronic</v>
      </c>
      <c r="BE467" s="96" t="str">
        <f t="shared" si="116"/>
        <v>y</v>
      </c>
      <c r="BF467" s="98" t="str">
        <f t="shared" si="138"/>
        <v>LC50</v>
      </c>
      <c r="BG467" s="96" t="str">
        <f>IF(BF467="","",IF(ISNUMBER(VLOOKUP(BF467,'Conversion factors'!$B$35:$C$52,2,FALSE)),"y","n"))</f>
        <v>n</v>
      </c>
      <c r="BH467" s="99"/>
      <c r="BI467" s="100"/>
      <c r="BJ467" s="100"/>
    </row>
    <row r="468" spans="1:62" s="103" customFormat="1" ht="15.75" customHeight="1" x14ac:dyDescent="0.2">
      <c r="A468" s="18"/>
      <c r="B468" s="19">
        <v>330</v>
      </c>
      <c r="C468" s="19"/>
      <c r="D468" s="19">
        <v>169735</v>
      </c>
      <c r="E468" s="19" t="s">
        <v>1224</v>
      </c>
      <c r="F468" s="93">
        <v>2001</v>
      </c>
      <c r="G468" s="19" t="s">
        <v>1190</v>
      </c>
      <c r="H468" s="19"/>
      <c r="I468" s="19" t="s">
        <v>41</v>
      </c>
      <c r="J468" s="19" t="s">
        <v>553</v>
      </c>
      <c r="K468" s="19" t="s">
        <v>64</v>
      </c>
      <c r="L468" s="19" t="s">
        <v>151</v>
      </c>
      <c r="M468" s="19" t="s">
        <v>260</v>
      </c>
      <c r="N468" s="19" t="s">
        <v>66</v>
      </c>
      <c r="O468" s="19" t="s">
        <v>387</v>
      </c>
      <c r="P468" s="19" t="s">
        <v>162</v>
      </c>
      <c r="Q468" s="19"/>
      <c r="R468" s="19" t="s">
        <v>237</v>
      </c>
      <c r="S468" s="19" t="s">
        <v>79</v>
      </c>
      <c r="T468" s="19" t="s">
        <v>56</v>
      </c>
      <c r="U468" s="19" t="s">
        <v>44</v>
      </c>
      <c r="V468" s="19" t="s">
        <v>88</v>
      </c>
      <c r="W468" s="19" t="s">
        <v>45</v>
      </c>
      <c r="X468" s="19" t="s">
        <v>46</v>
      </c>
      <c r="Y468" s="29"/>
      <c r="Z468" s="19"/>
      <c r="AA468" s="19"/>
      <c r="AB468" s="19" t="s">
        <v>1193</v>
      </c>
      <c r="AC468" s="19" t="s">
        <v>214</v>
      </c>
      <c r="AD468" s="19"/>
      <c r="AE468" s="19">
        <v>146.9</v>
      </c>
      <c r="AF468" s="19">
        <v>146.9</v>
      </c>
      <c r="AG468" s="19" t="s">
        <v>270</v>
      </c>
      <c r="AH468" s="19"/>
      <c r="AI468" s="19"/>
      <c r="AJ468" s="19">
        <v>7.58</v>
      </c>
      <c r="AK468" s="19" t="s">
        <v>715</v>
      </c>
      <c r="AL468" s="19"/>
      <c r="AM468" s="19" t="s">
        <v>234</v>
      </c>
      <c r="AN468" s="19" t="s">
        <v>234</v>
      </c>
      <c r="AO468" s="19" t="s">
        <v>235</v>
      </c>
      <c r="AP468" s="94"/>
      <c r="AQ468" s="19" t="s">
        <v>116</v>
      </c>
      <c r="AR468" s="19" t="s">
        <v>1192</v>
      </c>
      <c r="AS468" s="19"/>
      <c r="AT468" s="65" t="str">
        <f t="shared" si="136"/>
        <v>Y</v>
      </c>
      <c r="AU468" s="65" t="str">
        <f t="shared" si="113"/>
        <v>Y</v>
      </c>
      <c r="AV468" s="65" t="str">
        <f t="shared" si="134"/>
        <v>Y</v>
      </c>
      <c r="AW468" s="99"/>
      <c r="AX468" s="99"/>
      <c r="AY468" s="19"/>
      <c r="AZ468" s="96" t="str">
        <f t="shared" si="114"/>
        <v>LC50</v>
      </c>
      <c r="BA468" s="96">
        <f>IF(AZ468="n","n",VLOOKUP(AZ468,'Conversion factors'!$C$4:$D$24,2,FALSE))</f>
        <v>5</v>
      </c>
      <c r="BB468" s="96">
        <f t="shared" si="115"/>
        <v>52</v>
      </c>
      <c r="BC468" s="97"/>
      <c r="BD468" s="96" t="str">
        <f t="shared" si="137"/>
        <v>Chronic</v>
      </c>
      <c r="BE468" s="96" t="str">
        <f t="shared" si="116"/>
        <v>y</v>
      </c>
      <c r="BF468" s="98" t="str">
        <f t="shared" si="138"/>
        <v>LC50</v>
      </c>
      <c r="BG468" s="96" t="str">
        <f>IF(BF468="","",IF(ISNUMBER(VLOOKUP(BF468,'Conversion factors'!$B$35:$C$52,2,FALSE)),"y","n"))</f>
        <v>n</v>
      </c>
      <c r="BH468" s="99"/>
      <c r="BI468" s="100"/>
      <c r="BJ468" s="100"/>
    </row>
    <row r="469" spans="1:62" s="103" customFormat="1" ht="15.75" customHeight="1" x14ac:dyDescent="0.2">
      <c r="A469" s="18"/>
      <c r="B469" s="19">
        <v>330</v>
      </c>
      <c r="C469" s="19"/>
      <c r="D469" s="19">
        <v>169735</v>
      </c>
      <c r="E469" s="19" t="s">
        <v>1224</v>
      </c>
      <c r="F469" s="93">
        <v>2001</v>
      </c>
      <c r="G469" s="19" t="s">
        <v>1190</v>
      </c>
      <c r="H469" s="19"/>
      <c r="I469" s="19" t="s">
        <v>41</v>
      </c>
      <c r="J469" s="19" t="s">
        <v>553</v>
      </c>
      <c r="K469" s="19" t="s">
        <v>64</v>
      </c>
      <c r="L469" s="19" t="s">
        <v>151</v>
      </c>
      <c r="M469" s="19" t="s">
        <v>260</v>
      </c>
      <c r="N469" s="19" t="s">
        <v>66</v>
      </c>
      <c r="O469" s="19" t="s">
        <v>387</v>
      </c>
      <c r="P469" s="19" t="s">
        <v>162</v>
      </c>
      <c r="Q469" s="19"/>
      <c r="R469" s="19" t="s">
        <v>237</v>
      </c>
      <c r="S469" s="19" t="s">
        <v>79</v>
      </c>
      <c r="T469" s="19" t="s">
        <v>261</v>
      </c>
      <c r="U469" s="19" t="s">
        <v>261</v>
      </c>
      <c r="V469" s="19" t="s">
        <v>1191</v>
      </c>
      <c r="W469" s="19" t="s">
        <v>45</v>
      </c>
      <c r="X469" s="19" t="s">
        <v>46</v>
      </c>
      <c r="Y469" s="29"/>
      <c r="Z469" s="19"/>
      <c r="AA469" s="19"/>
      <c r="AB469" s="19" t="s">
        <v>280</v>
      </c>
      <c r="AC469" s="19" t="s">
        <v>214</v>
      </c>
      <c r="AD469" s="19"/>
      <c r="AE469" s="19">
        <v>146.9</v>
      </c>
      <c r="AF469" s="19">
        <v>146.9</v>
      </c>
      <c r="AG469" s="19" t="s">
        <v>270</v>
      </c>
      <c r="AH469" s="19"/>
      <c r="AI469" s="19"/>
      <c r="AJ469" s="19">
        <v>7.58</v>
      </c>
      <c r="AK469" s="19" t="s">
        <v>715</v>
      </c>
      <c r="AL469" s="19"/>
      <c r="AM469" s="19" t="s">
        <v>234</v>
      </c>
      <c r="AN469" s="19" t="s">
        <v>234</v>
      </c>
      <c r="AO469" s="19" t="s">
        <v>235</v>
      </c>
      <c r="AP469" s="94"/>
      <c r="AQ469" s="19" t="s">
        <v>116</v>
      </c>
      <c r="AR469" s="19" t="s">
        <v>1192</v>
      </c>
      <c r="AS469" s="19"/>
      <c r="AT469" s="65" t="str">
        <f t="shared" si="136"/>
        <v>Y</v>
      </c>
      <c r="AU469" s="65" t="str">
        <f t="shared" ref="AU469:AU543" si="145">IF(AT469="N","N",IF(AJ469&lt;6,"N",IF(AJ469&gt;8.5,"N","Y")))</f>
        <v>Y</v>
      </c>
      <c r="AV469" s="65" t="str">
        <f t="shared" si="134"/>
        <v>Y</v>
      </c>
      <c r="AW469" s="99"/>
      <c r="AX469" s="99"/>
      <c r="AY469" s="19"/>
      <c r="AZ469" s="96" t="str">
        <f t="shared" si="114"/>
        <v>LT50</v>
      </c>
      <c r="BA469" s="96" t="e">
        <f>IF(AZ469="n","n",VLOOKUP(AZ469,'Conversion factors'!$C$4:$D$24,2,FALSE))</f>
        <v>#N/A</v>
      </c>
      <c r="BB469" s="96" t="e">
        <f t="shared" si="115"/>
        <v>#N/A</v>
      </c>
      <c r="BC469" s="97"/>
      <c r="BD469" s="96" t="str">
        <f t="shared" si="137"/>
        <v>Chronic</v>
      </c>
      <c r="BE469" s="96" t="str">
        <f t="shared" si="116"/>
        <v>y</v>
      </c>
      <c r="BF469" s="98" t="str">
        <f t="shared" si="138"/>
        <v>LT50</v>
      </c>
      <c r="BG469" s="96" t="str">
        <f>IF(BF469="","",IF(ISNUMBER(VLOOKUP(BF469,'Conversion factors'!$B$35:$C$52,2,FALSE)),"y","n"))</f>
        <v>n</v>
      </c>
      <c r="BH469" s="99"/>
      <c r="BI469" s="100"/>
      <c r="BJ469" s="100"/>
    </row>
    <row r="470" spans="1:62" s="103" customFormat="1" ht="15.75" customHeight="1" x14ac:dyDescent="0.2">
      <c r="A470" s="18"/>
      <c r="B470" s="20">
        <v>336</v>
      </c>
      <c r="C470" s="20"/>
      <c r="D470" s="20"/>
      <c r="E470" s="19" t="s">
        <v>1301</v>
      </c>
      <c r="F470" s="93">
        <v>1990</v>
      </c>
      <c r="G470" s="19" t="s">
        <v>1318</v>
      </c>
      <c r="H470" s="19" t="s">
        <v>1307</v>
      </c>
      <c r="I470" s="19" t="s">
        <v>1319</v>
      </c>
      <c r="J470" s="19" t="s">
        <v>1320</v>
      </c>
      <c r="K470" s="19" t="s">
        <v>64</v>
      </c>
      <c r="L470" s="99" t="s">
        <v>151</v>
      </c>
      <c r="M470" s="19" t="s">
        <v>260</v>
      </c>
      <c r="N470" s="19" t="s">
        <v>66</v>
      </c>
      <c r="O470" s="19" t="s">
        <v>160</v>
      </c>
      <c r="P470" s="20" t="s">
        <v>1390</v>
      </c>
      <c r="Q470" s="20"/>
      <c r="R470" s="19" t="s">
        <v>156</v>
      </c>
      <c r="S470" s="19" t="s">
        <v>156</v>
      </c>
      <c r="T470" s="19" t="s">
        <v>56</v>
      </c>
      <c r="U470" s="19" t="s">
        <v>44</v>
      </c>
      <c r="V470" s="19">
        <v>21</v>
      </c>
      <c r="W470" s="19" t="s">
        <v>45</v>
      </c>
      <c r="X470" s="19" t="s">
        <v>46</v>
      </c>
      <c r="Y470" s="20"/>
      <c r="Z470" s="20"/>
      <c r="AA470" s="20"/>
      <c r="AB470" s="20">
        <v>100</v>
      </c>
      <c r="AC470" s="20" t="s">
        <v>214</v>
      </c>
      <c r="AD470" s="20"/>
      <c r="AE470" s="20">
        <v>19</v>
      </c>
      <c r="AF470" s="20">
        <v>19</v>
      </c>
      <c r="AG470" s="19" t="s">
        <v>1317</v>
      </c>
      <c r="AH470" s="19"/>
      <c r="AI470" s="19"/>
      <c r="AJ470" s="101">
        <v>6.9</v>
      </c>
      <c r="AK470" s="20">
        <v>6.9</v>
      </c>
      <c r="AL470" s="20">
        <v>75</v>
      </c>
      <c r="AM470" s="20"/>
      <c r="AN470" s="20"/>
      <c r="AO470" s="20"/>
      <c r="AP470" s="94"/>
      <c r="AQ470" s="20">
        <v>18</v>
      </c>
      <c r="AR470" s="20"/>
      <c r="AS470" s="20"/>
      <c r="AT470" s="65" t="str">
        <f t="shared" si="136"/>
        <v>Y</v>
      </c>
      <c r="AU470" s="65" t="str">
        <f t="shared" si="145"/>
        <v>Y</v>
      </c>
      <c r="AV470" s="65" t="str">
        <f t="shared" si="134"/>
        <v>Y</v>
      </c>
      <c r="AW470" s="99"/>
      <c r="AX470" s="99"/>
      <c r="AY470" s="20"/>
      <c r="AZ470" s="96" t="str">
        <f t="shared" ref="AZ470:AZ544" si="146">IF(AV470="N","n",T470)</f>
        <v>LC50</v>
      </c>
      <c r="BA470" s="96">
        <f>IF(AZ470="n","n",VLOOKUP(AZ470,'Conversion factors'!$C$4:$D$24,2,FALSE))</f>
        <v>5</v>
      </c>
      <c r="BB470" s="96">
        <f t="shared" ref="BB470:BB544" si="147">IF(BA470="n","n",AB470/BA470)</f>
        <v>20</v>
      </c>
      <c r="BC470" s="20"/>
      <c r="BD470" s="96" t="str">
        <f t="shared" si="137"/>
        <v>Chronic</v>
      </c>
      <c r="BE470" s="96" t="str">
        <f t="shared" ref="BE470:BE544" si="148">IF(BD470="chronic","y","n")</f>
        <v>y</v>
      </c>
      <c r="BF470" s="98" t="str">
        <f t="shared" si="138"/>
        <v>LC50</v>
      </c>
      <c r="BG470" s="96" t="str">
        <f>IF(BF470="","",IF(ISNUMBER(VLOOKUP(BF470,'Conversion factors'!$B$35:$C$52,2,FALSE)),"y","n"))</f>
        <v>n</v>
      </c>
      <c r="BH470" s="115" t="s">
        <v>1312</v>
      </c>
      <c r="BI470" s="20"/>
      <c r="BJ470" s="20"/>
    </row>
    <row r="471" spans="1:62" s="103" customFormat="1" ht="15.75" customHeight="1" x14ac:dyDescent="0.2">
      <c r="A471" s="18"/>
      <c r="B471" s="19">
        <v>261</v>
      </c>
      <c r="C471" s="19"/>
      <c r="D471" s="19">
        <v>84097</v>
      </c>
      <c r="E471" s="19" t="s">
        <v>1224</v>
      </c>
      <c r="F471" s="93">
        <v>2005</v>
      </c>
      <c r="G471" s="19" t="s">
        <v>892</v>
      </c>
      <c r="H471" s="19"/>
      <c r="I471" s="19" t="s">
        <v>41</v>
      </c>
      <c r="J471" s="19" t="s">
        <v>893</v>
      </c>
      <c r="K471" s="19" t="s">
        <v>64</v>
      </c>
      <c r="L471" s="19" t="s">
        <v>151</v>
      </c>
      <c r="M471" s="19" t="s">
        <v>260</v>
      </c>
      <c r="N471" s="19" t="s">
        <v>66</v>
      </c>
      <c r="O471" s="19" t="s">
        <v>894</v>
      </c>
      <c r="P471" s="19" t="s">
        <v>162</v>
      </c>
      <c r="Q471" s="19"/>
      <c r="R471" s="19" t="s">
        <v>537</v>
      </c>
      <c r="S471" s="19" t="s">
        <v>882</v>
      </c>
      <c r="T471" s="19" t="s">
        <v>55</v>
      </c>
      <c r="U471" s="19" t="s">
        <v>55</v>
      </c>
      <c r="V471" s="19" t="s">
        <v>94</v>
      </c>
      <c r="W471" s="19" t="s">
        <v>231</v>
      </c>
      <c r="X471" s="19" t="s">
        <v>46</v>
      </c>
      <c r="Y471" s="29"/>
      <c r="Z471" s="19"/>
      <c r="AA471" s="19"/>
      <c r="AB471" s="19" t="s">
        <v>896</v>
      </c>
      <c r="AC471" s="19" t="s">
        <v>1322</v>
      </c>
      <c r="AD471" s="19"/>
      <c r="AE471" s="19"/>
      <c r="AF471" s="19"/>
      <c r="AG471" s="19" t="s">
        <v>235</v>
      </c>
      <c r="AH471" s="19"/>
      <c r="AI471" s="19"/>
      <c r="AJ471" s="19" t="s">
        <v>234</v>
      </c>
      <c r="AK471" s="19" t="s">
        <v>234</v>
      </c>
      <c r="AL471" s="19"/>
      <c r="AM471" s="19" t="s">
        <v>234</v>
      </c>
      <c r="AN471" s="19" t="s">
        <v>234</v>
      </c>
      <c r="AO471" s="19" t="s">
        <v>235</v>
      </c>
      <c r="AP471" s="94"/>
      <c r="AQ471" s="19" t="s">
        <v>471</v>
      </c>
      <c r="AR471" s="19" t="s">
        <v>241</v>
      </c>
      <c r="AS471" s="19"/>
      <c r="AT471" s="65" t="str">
        <f t="shared" si="136"/>
        <v>N</v>
      </c>
      <c r="AU471" s="65" t="str">
        <f t="shared" si="145"/>
        <v>N</v>
      </c>
      <c r="AV471" s="65" t="str">
        <f t="shared" si="134"/>
        <v>N</v>
      </c>
      <c r="AW471" s="99"/>
      <c r="AX471" s="99"/>
      <c r="AY471" s="19"/>
      <c r="AZ471" s="96" t="str">
        <f t="shared" si="146"/>
        <v>n</v>
      </c>
      <c r="BA471" s="96" t="str">
        <f>IF(AZ471="n","n",VLOOKUP(AZ471,'Conversion factors'!$C$4:$D$24,2,FALSE))</f>
        <v>n</v>
      </c>
      <c r="BB471" s="96" t="str">
        <f t="shared" si="147"/>
        <v>n</v>
      </c>
      <c r="BC471" s="97"/>
      <c r="BD471" s="96" t="str">
        <f t="shared" si="137"/>
        <v>n</v>
      </c>
      <c r="BE471" s="96" t="str">
        <f t="shared" si="148"/>
        <v>n</v>
      </c>
      <c r="BF471" s="98" t="str">
        <f t="shared" si="138"/>
        <v/>
      </c>
      <c r="BG471" s="96" t="str">
        <f>IF(BF471="","",IF(ISNUMBER(VLOOKUP(BF471,'Conversion factors'!$B$35:$C$52,2,FALSE)),"y","n"))</f>
        <v/>
      </c>
      <c r="BH471" s="99"/>
      <c r="BI471" s="100"/>
      <c r="BJ471" s="100"/>
    </row>
    <row r="472" spans="1:62" s="103" customFormat="1" ht="15.75" customHeight="1" x14ac:dyDescent="0.2">
      <c r="A472" s="18"/>
      <c r="B472" s="19">
        <v>261</v>
      </c>
      <c r="C472" s="19"/>
      <c r="D472" s="19">
        <v>84097</v>
      </c>
      <c r="E472" s="19" t="s">
        <v>1224</v>
      </c>
      <c r="F472" s="93">
        <v>2005</v>
      </c>
      <c r="G472" s="19" t="s">
        <v>892</v>
      </c>
      <c r="H472" s="19"/>
      <c r="I472" s="19" t="s">
        <v>41</v>
      </c>
      <c r="J472" s="19" t="s">
        <v>893</v>
      </c>
      <c r="K472" s="19" t="s">
        <v>64</v>
      </c>
      <c r="L472" s="19" t="s">
        <v>151</v>
      </c>
      <c r="M472" s="19" t="s">
        <v>260</v>
      </c>
      <c r="N472" s="19" t="s">
        <v>66</v>
      </c>
      <c r="O472" s="19" t="s">
        <v>894</v>
      </c>
      <c r="P472" s="19" t="s">
        <v>162</v>
      </c>
      <c r="Q472" s="19"/>
      <c r="R472" s="19" t="s">
        <v>537</v>
      </c>
      <c r="S472" s="19" t="s">
        <v>882</v>
      </c>
      <c r="T472" s="19" t="s">
        <v>54</v>
      </c>
      <c r="U472" s="19" t="s">
        <v>54</v>
      </c>
      <c r="V472" s="19" t="s">
        <v>94</v>
      </c>
      <c r="W472" s="19" t="s">
        <v>231</v>
      </c>
      <c r="X472" s="19" t="s">
        <v>46</v>
      </c>
      <c r="Y472" s="29"/>
      <c r="Z472" s="19"/>
      <c r="AA472" s="19"/>
      <c r="AB472" s="19" t="s">
        <v>242</v>
      </c>
      <c r="AC472" s="19" t="s">
        <v>1322</v>
      </c>
      <c r="AD472" s="19"/>
      <c r="AE472" s="19"/>
      <c r="AF472" s="19"/>
      <c r="AG472" s="19" t="s">
        <v>235</v>
      </c>
      <c r="AH472" s="19"/>
      <c r="AI472" s="19"/>
      <c r="AJ472" s="19" t="s">
        <v>234</v>
      </c>
      <c r="AK472" s="19" t="s">
        <v>234</v>
      </c>
      <c r="AL472" s="19"/>
      <c r="AM472" s="19" t="s">
        <v>234</v>
      </c>
      <c r="AN472" s="19" t="s">
        <v>234</v>
      </c>
      <c r="AO472" s="19" t="s">
        <v>235</v>
      </c>
      <c r="AP472" s="94"/>
      <c r="AQ472" s="19" t="s">
        <v>471</v>
      </c>
      <c r="AR472" s="19" t="s">
        <v>241</v>
      </c>
      <c r="AS472" s="19"/>
      <c r="AT472" s="65" t="str">
        <f t="shared" si="136"/>
        <v>N</v>
      </c>
      <c r="AU472" s="65" t="str">
        <f t="shared" si="145"/>
        <v>N</v>
      </c>
      <c r="AV472" s="65" t="str">
        <f t="shared" si="134"/>
        <v>N</v>
      </c>
      <c r="AW472" s="99"/>
      <c r="AX472" s="99"/>
      <c r="AY472" s="19"/>
      <c r="AZ472" s="96" t="str">
        <f t="shared" si="146"/>
        <v>n</v>
      </c>
      <c r="BA472" s="96" t="str">
        <f>IF(AZ472="n","n",VLOOKUP(AZ472,'Conversion factors'!$C$4:$D$24,2,FALSE))</f>
        <v>n</v>
      </c>
      <c r="BB472" s="96" t="str">
        <f t="shared" si="147"/>
        <v>n</v>
      </c>
      <c r="BC472" s="97"/>
      <c r="BD472" s="96" t="str">
        <f t="shared" si="137"/>
        <v>n</v>
      </c>
      <c r="BE472" s="96" t="str">
        <f t="shared" si="148"/>
        <v>n</v>
      </c>
      <c r="BF472" s="98" t="str">
        <f t="shared" si="138"/>
        <v/>
      </c>
      <c r="BG472" s="96" t="str">
        <f>IF(BF472="","",IF(ISNUMBER(VLOOKUP(BF472,'Conversion factors'!$B$35:$C$52,2,FALSE)),"y","n"))</f>
        <v/>
      </c>
      <c r="BH472" s="99" t="s">
        <v>1507</v>
      </c>
      <c r="BI472" s="100"/>
      <c r="BJ472" s="100"/>
    </row>
    <row r="473" spans="1:62" s="103" customFormat="1" ht="15.75" customHeight="1" x14ac:dyDescent="0.2">
      <c r="A473" s="18"/>
      <c r="B473" s="19">
        <v>261</v>
      </c>
      <c r="C473" s="19"/>
      <c r="D473" s="19">
        <v>84097</v>
      </c>
      <c r="E473" s="19" t="s">
        <v>1224</v>
      </c>
      <c r="F473" s="93">
        <v>2005</v>
      </c>
      <c r="G473" s="19" t="s">
        <v>892</v>
      </c>
      <c r="H473" s="19"/>
      <c r="I473" s="19" t="s">
        <v>41</v>
      </c>
      <c r="J473" s="19" t="s">
        <v>893</v>
      </c>
      <c r="K473" s="19" t="s">
        <v>64</v>
      </c>
      <c r="L473" s="19" t="s">
        <v>151</v>
      </c>
      <c r="M473" s="19" t="s">
        <v>260</v>
      </c>
      <c r="N473" s="19" t="s">
        <v>66</v>
      </c>
      <c r="O473" s="19" t="s">
        <v>894</v>
      </c>
      <c r="P473" s="19" t="s">
        <v>162</v>
      </c>
      <c r="Q473" s="19"/>
      <c r="R473" s="19" t="s">
        <v>537</v>
      </c>
      <c r="S473" s="19" t="s">
        <v>882</v>
      </c>
      <c r="T473" s="19" t="s">
        <v>54</v>
      </c>
      <c r="U473" s="19" t="s">
        <v>54</v>
      </c>
      <c r="V473" s="19" t="s">
        <v>94</v>
      </c>
      <c r="W473" s="19" t="s">
        <v>231</v>
      </c>
      <c r="X473" s="19" t="s">
        <v>46</v>
      </c>
      <c r="Y473" s="29"/>
      <c r="Z473" s="19"/>
      <c r="AA473" s="19"/>
      <c r="AB473" s="19" t="s">
        <v>242</v>
      </c>
      <c r="AC473" s="19" t="s">
        <v>1322</v>
      </c>
      <c r="AD473" s="19"/>
      <c r="AE473" s="19"/>
      <c r="AF473" s="19"/>
      <c r="AG473" s="19" t="s">
        <v>235</v>
      </c>
      <c r="AH473" s="19"/>
      <c r="AI473" s="19"/>
      <c r="AJ473" s="19" t="s">
        <v>234</v>
      </c>
      <c r="AK473" s="19" t="s">
        <v>234</v>
      </c>
      <c r="AL473" s="19"/>
      <c r="AM473" s="19" t="s">
        <v>234</v>
      </c>
      <c r="AN473" s="19" t="s">
        <v>234</v>
      </c>
      <c r="AO473" s="19" t="s">
        <v>235</v>
      </c>
      <c r="AP473" s="94"/>
      <c r="AQ473" s="19" t="s">
        <v>471</v>
      </c>
      <c r="AR473" s="19" t="s">
        <v>241</v>
      </c>
      <c r="AS473" s="19"/>
      <c r="AT473" s="65" t="str">
        <f t="shared" si="136"/>
        <v>N</v>
      </c>
      <c r="AU473" s="65" t="str">
        <f t="shared" si="145"/>
        <v>N</v>
      </c>
      <c r="AV473" s="65" t="str">
        <f t="shared" si="134"/>
        <v>N</v>
      </c>
      <c r="AW473" s="99"/>
      <c r="AX473" s="99"/>
      <c r="AY473" s="19"/>
      <c r="AZ473" s="96" t="str">
        <f t="shared" si="146"/>
        <v>n</v>
      </c>
      <c r="BA473" s="96" t="str">
        <f>IF(AZ473="n","n",VLOOKUP(AZ473,'Conversion factors'!$C$4:$D$24,2,FALSE))</f>
        <v>n</v>
      </c>
      <c r="BB473" s="96" t="str">
        <f t="shared" si="147"/>
        <v>n</v>
      </c>
      <c r="BC473" s="97"/>
      <c r="BD473" s="96" t="str">
        <f t="shared" si="137"/>
        <v>n</v>
      </c>
      <c r="BE473" s="96" t="str">
        <f t="shared" si="148"/>
        <v>n</v>
      </c>
      <c r="BF473" s="98" t="str">
        <f t="shared" si="138"/>
        <v/>
      </c>
      <c r="BG473" s="96" t="str">
        <f>IF(BF473="","",IF(ISNUMBER(VLOOKUP(BF473,'Conversion factors'!$B$35:$C$52,2,FALSE)),"y","n"))</f>
        <v/>
      </c>
      <c r="BH473" s="99" t="s">
        <v>1507</v>
      </c>
      <c r="BI473" s="100"/>
      <c r="BJ473" s="100"/>
    </row>
    <row r="474" spans="1:62" s="103" customFormat="1" ht="15.75" customHeight="1" x14ac:dyDescent="0.2">
      <c r="A474" s="18"/>
      <c r="B474" s="19">
        <v>261</v>
      </c>
      <c r="C474" s="19"/>
      <c r="D474" s="19">
        <v>84097</v>
      </c>
      <c r="E474" s="19" t="s">
        <v>1224</v>
      </c>
      <c r="F474" s="93">
        <v>2005</v>
      </c>
      <c r="G474" s="19" t="s">
        <v>892</v>
      </c>
      <c r="H474" s="19"/>
      <c r="I474" s="19" t="s">
        <v>41</v>
      </c>
      <c r="J474" s="19" t="s">
        <v>893</v>
      </c>
      <c r="K474" s="19" t="s">
        <v>64</v>
      </c>
      <c r="L474" s="19" t="s">
        <v>151</v>
      </c>
      <c r="M474" s="19" t="s">
        <v>260</v>
      </c>
      <c r="N474" s="19" t="s">
        <v>66</v>
      </c>
      <c r="O474" s="19" t="s">
        <v>894</v>
      </c>
      <c r="P474" s="19" t="s">
        <v>162</v>
      </c>
      <c r="Q474" s="19"/>
      <c r="R474" s="19" t="s">
        <v>76</v>
      </c>
      <c r="S474" s="19" t="s">
        <v>895</v>
      </c>
      <c r="T474" s="19" t="s">
        <v>55</v>
      </c>
      <c r="U474" s="19" t="s">
        <v>55</v>
      </c>
      <c r="V474" s="19" t="s">
        <v>94</v>
      </c>
      <c r="W474" s="19" t="s">
        <v>231</v>
      </c>
      <c r="X474" s="19" t="s">
        <v>46</v>
      </c>
      <c r="Y474" s="29"/>
      <c r="Z474" s="19"/>
      <c r="AA474" s="19"/>
      <c r="AB474" s="19" t="s">
        <v>896</v>
      </c>
      <c r="AC474" s="19" t="s">
        <v>1322</v>
      </c>
      <c r="AD474" s="19"/>
      <c r="AE474" s="19"/>
      <c r="AF474" s="19"/>
      <c r="AG474" s="19" t="s">
        <v>235</v>
      </c>
      <c r="AH474" s="19"/>
      <c r="AI474" s="19"/>
      <c r="AJ474" s="19" t="s">
        <v>234</v>
      </c>
      <c r="AK474" s="19" t="s">
        <v>234</v>
      </c>
      <c r="AL474" s="19"/>
      <c r="AM474" s="19" t="s">
        <v>234</v>
      </c>
      <c r="AN474" s="19" t="s">
        <v>234</v>
      </c>
      <c r="AO474" s="19" t="s">
        <v>235</v>
      </c>
      <c r="AP474" s="94"/>
      <c r="AQ474" s="19" t="s">
        <v>471</v>
      </c>
      <c r="AR474" s="19" t="s">
        <v>241</v>
      </c>
      <c r="AS474" s="19"/>
      <c r="AT474" s="65" t="str">
        <f t="shared" si="136"/>
        <v>N</v>
      </c>
      <c r="AU474" s="65" t="str">
        <f t="shared" si="145"/>
        <v>N</v>
      </c>
      <c r="AV474" s="65" t="str">
        <f t="shared" si="134"/>
        <v>N</v>
      </c>
      <c r="AW474" s="99"/>
      <c r="AX474" s="99"/>
      <c r="AY474" s="19"/>
      <c r="AZ474" s="96" t="str">
        <f t="shared" si="146"/>
        <v>n</v>
      </c>
      <c r="BA474" s="96" t="str">
        <f>IF(AZ474="n","n",VLOOKUP(AZ474,'Conversion factors'!$C$4:$D$24,2,FALSE))</f>
        <v>n</v>
      </c>
      <c r="BB474" s="96" t="str">
        <f t="shared" si="147"/>
        <v>n</v>
      </c>
      <c r="BC474" s="97"/>
      <c r="BD474" s="96" t="str">
        <f t="shared" si="137"/>
        <v>n</v>
      </c>
      <c r="BE474" s="96" t="str">
        <f t="shared" si="148"/>
        <v>n</v>
      </c>
      <c r="BF474" s="98" t="str">
        <f t="shared" si="138"/>
        <v/>
      </c>
      <c r="BG474" s="96" t="str">
        <f>IF(BF474="","",IF(ISNUMBER(VLOOKUP(BF474,'Conversion factors'!$B$35:$C$52,2,FALSE)),"y","n"))</f>
        <v/>
      </c>
      <c r="BH474" s="99"/>
      <c r="BI474" s="100"/>
      <c r="BJ474" s="100"/>
    </row>
    <row r="475" spans="1:62" s="103" customFormat="1" ht="15.75" customHeight="1" x14ac:dyDescent="0.2">
      <c r="A475" s="18"/>
      <c r="B475" s="19">
        <v>261</v>
      </c>
      <c r="C475" s="19"/>
      <c r="D475" s="19">
        <v>84097</v>
      </c>
      <c r="E475" s="19" t="s">
        <v>1224</v>
      </c>
      <c r="F475" s="93">
        <v>2005</v>
      </c>
      <c r="G475" s="19" t="s">
        <v>892</v>
      </c>
      <c r="H475" s="19"/>
      <c r="I475" s="19" t="s">
        <v>41</v>
      </c>
      <c r="J475" s="19" t="s">
        <v>893</v>
      </c>
      <c r="K475" s="19" t="s">
        <v>64</v>
      </c>
      <c r="L475" s="19" t="s">
        <v>151</v>
      </c>
      <c r="M475" s="19" t="s">
        <v>260</v>
      </c>
      <c r="N475" s="19" t="s">
        <v>66</v>
      </c>
      <c r="O475" s="19" t="s">
        <v>894</v>
      </c>
      <c r="P475" s="19" t="s">
        <v>162</v>
      </c>
      <c r="Q475" s="19"/>
      <c r="R475" s="19" t="s">
        <v>76</v>
      </c>
      <c r="S475" s="19" t="s">
        <v>895</v>
      </c>
      <c r="T475" s="19" t="s">
        <v>54</v>
      </c>
      <c r="U475" s="19" t="s">
        <v>54</v>
      </c>
      <c r="V475" s="19" t="s">
        <v>94</v>
      </c>
      <c r="W475" s="19" t="s">
        <v>231</v>
      </c>
      <c r="X475" s="19" t="s">
        <v>46</v>
      </c>
      <c r="Y475" s="29"/>
      <c r="Z475" s="19"/>
      <c r="AA475" s="19"/>
      <c r="AB475" s="19" t="s">
        <v>242</v>
      </c>
      <c r="AC475" s="19" t="s">
        <v>1322</v>
      </c>
      <c r="AD475" s="19"/>
      <c r="AE475" s="19"/>
      <c r="AF475" s="19"/>
      <c r="AG475" s="19" t="s">
        <v>235</v>
      </c>
      <c r="AH475" s="19"/>
      <c r="AI475" s="19"/>
      <c r="AJ475" s="19" t="s">
        <v>234</v>
      </c>
      <c r="AK475" s="19" t="s">
        <v>234</v>
      </c>
      <c r="AL475" s="19"/>
      <c r="AM475" s="19" t="s">
        <v>234</v>
      </c>
      <c r="AN475" s="19" t="s">
        <v>234</v>
      </c>
      <c r="AO475" s="19" t="s">
        <v>235</v>
      </c>
      <c r="AP475" s="94"/>
      <c r="AQ475" s="19" t="s">
        <v>471</v>
      </c>
      <c r="AR475" s="19" t="s">
        <v>241</v>
      </c>
      <c r="AS475" s="19"/>
      <c r="AT475" s="65" t="str">
        <f t="shared" si="136"/>
        <v>N</v>
      </c>
      <c r="AU475" s="65" t="str">
        <f t="shared" si="145"/>
        <v>N</v>
      </c>
      <c r="AV475" s="65" t="str">
        <f t="shared" si="134"/>
        <v>N</v>
      </c>
      <c r="AW475" s="99"/>
      <c r="AX475" s="99"/>
      <c r="AY475" s="19"/>
      <c r="AZ475" s="96" t="str">
        <f t="shared" si="146"/>
        <v>n</v>
      </c>
      <c r="BA475" s="96" t="str">
        <f>IF(AZ475="n","n",VLOOKUP(AZ475,'Conversion factors'!$C$4:$D$24,2,FALSE))</f>
        <v>n</v>
      </c>
      <c r="BB475" s="96" t="str">
        <f t="shared" si="147"/>
        <v>n</v>
      </c>
      <c r="BC475" s="97"/>
      <c r="BD475" s="96" t="str">
        <f t="shared" si="137"/>
        <v>n</v>
      </c>
      <c r="BE475" s="96" t="str">
        <f t="shared" si="148"/>
        <v>n</v>
      </c>
      <c r="BF475" s="98" t="str">
        <f t="shared" si="138"/>
        <v/>
      </c>
      <c r="BG475" s="96" t="str">
        <f>IF(BF475="","",IF(ISNUMBER(VLOOKUP(BF475,'Conversion factors'!$B$35:$C$52,2,FALSE)),"y","n"))</f>
        <v/>
      </c>
      <c r="BH475" s="99" t="s">
        <v>1507</v>
      </c>
      <c r="BI475" s="100"/>
      <c r="BJ475" s="100"/>
    </row>
    <row r="476" spans="1:62" s="103" customFormat="1" ht="15.75" customHeight="1" x14ac:dyDescent="0.2">
      <c r="A476" s="18"/>
      <c r="B476" s="20">
        <v>341</v>
      </c>
      <c r="C476" s="19"/>
      <c r="D476" s="19">
        <v>6029</v>
      </c>
      <c r="E476" s="19"/>
      <c r="F476" s="19">
        <v>1992</v>
      </c>
      <c r="G476" s="19" t="s">
        <v>1341</v>
      </c>
      <c r="H476" s="19"/>
      <c r="I476" s="19" t="s">
        <v>1393</v>
      </c>
      <c r="J476" s="19" t="s">
        <v>1340</v>
      </c>
      <c r="K476" s="19" t="s">
        <v>64</v>
      </c>
      <c r="L476" s="19" t="s">
        <v>151</v>
      </c>
      <c r="M476" s="99" t="s">
        <v>153</v>
      </c>
      <c r="N476" s="19" t="s">
        <v>66</v>
      </c>
      <c r="O476" s="19" t="s">
        <v>328</v>
      </c>
      <c r="P476" s="19" t="s">
        <v>162</v>
      </c>
      <c r="Q476" s="19"/>
      <c r="R476" s="19" t="s">
        <v>158</v>
      </c>
      <c r="S476" s="19"/>
      <c r="T476" s="19" t="s">
        <v>55</v>
      </c>
      <c r="U476" s="19" t="s">
        <v>55</v>
      </c>
      <c r="V476" s="19">
        <v>28</v>
      </c>
      <c r="W476" s="19" t="s">
        <v>45</v>
      </c>
      <c r="X476" s="19" t="s">
        <v>46</v>
      </c>
      <c r="Y476" s="20"/>
      <c r="Z476" s="20"/>
      <c r="AA476" s="20"/>
      <c r="AB476" s="20"/>
      <c r="AC476" s="19" t="s">
        <v>214</v>
      </c>
      <c r="AD476" s="20"/>
      <c r="AE476" s="20"/>
      <c r="AF476" s="20"/>
      <c r="AG476" s="20"/>
      <c r="AH476" s="20"/>
      <c r="AI476" s="20"/>
      <c r="AJ476" s="19"/>
      <c r="AK476" s="20"/>
      <c r="AL476" s="20"/>
      <c r="AM476" s="20"/>
      <c r="AN476" s="20"/>
      <c r="AO476" s="20"/>
      <c r="AP476" s="94"/>
      <c r="AQ476" s="20">
        <v>20</v>
      </c>
      <c r="AR476" s="20"/>
      <c r="AS476" s="20"/>
      <c r="AT476" s="65" t="str">
        <f t="shared" si="136"/>
        <v>Y</v>
      </c>
      <c r="AU476" s="65" t="str">
        <f t="shared" si="145"/>
        <v>N</v>
      </c>
      <c r="AV476" s="65" t="str">
        <f t="shared" si="134"/>
        <v>N</v>
      </c>
      <c r="AW476" s="20" t="s">
        <v>1395</v>
      </c>
      <c r="AX476" s="20" t="s">
        <v>1604</v>
      </c>
      <c r="AY476" s="20"/>
      <c r="AZ476" s="96" t="str">
        <f t="shared" si="146"/>
        <v>n</v>
      </c>
      <c r="BA476" s="96" t="str">
        <f>IF(AZ476="n","n",VLOOKUP(AZ476,'Conversion factors'!$C$4:$D$24,2,FALSE))</f>
        <v>n</v>
      </c>
      <c r="BB476" s="96" t="str">
        <f t="shared" si="147"/>
        <v>n</v>
      </c>
      <c r="BC476" s="20"/>
      <c r="BD476" s="96" t="str">
        <f t="shared" si="137"/>
        <v>n</v>
      </c>
      <c r="BE476" s="96" t="str">
        <f t="shared" si="148"/>
        <v>n</v>
      </c>
      <c r="BF476" s="98" t="str">
        <f t="shared" si="138"/>
        <v/>
      </c>
      <c r="BG476" s="96" t="str">
        <f>IF(BF476="","",IF(ISNUMBER(VLOOKUP(BF476,'Conversion factors'!$B$35:$C$52,2,FALSE)),"y","n"))</f>
        <v/>
      </c>
      <c r="BH476" s="72"/>
      <c r="BI476" s="20"/>
      <c r="BJ476" s="20"/>
    </row>
    <row r="477" spans="1:62" s="103" customFormat="1" ht="15.75" customHeight="1" x14ac:dyDescent="0.2">
      <c r="A477" s="18"/>
      <c r="B477" s="20">
        <v>341</v>
      </c>
      <c r="C477" s="19"/>
      <c r="D477" s="19">
        <v>6029</v>
      </c>
      <c r="E477" s="19"/>
      <c r="F477" s="19">
        <v>1992</v>
      </c>
      <c r="G477" s="19" t="s">
        <v>1341</v>
      </c>
      <c r="H477" s="19"/>
      <c r="I477" s="19" t="s">
        <v>1393</v>
      </c>
      <c r="J477" s="19" t="s">
        <v>1340</v>
      </c>
      <c r="K477" s="19" t="s">
        <v>64</v>
      </c>
      <c r="L477" s="19" t="s">
        <v>151</v>
      </c>
      <c r="M477" s="99" t="s">
        <v>153</v>
      </c>
      <c r="N477" s="19" t="s">
        <v>66</v>
      </c>
      <c r="O477" s="19" t="s">
        <v>328</v>
      </c>
      <c r="P477" s="19" t="s">
        <v>162</v>
      </c>
      <c r="Q477" s="19"/>
      <c r="R477" s="19" t="s">
        <v>158</v>
      </c>
      <c r="S477" s="19"/>
      <c r="T477" s="19" t="s">
        <v>55</v>
      </c>
      <c r="U477" s="19" t="s">
        <v>55</v>
      </c>
      <c r="V477" s="19" t="s">
        <v>1394</v>
      </c>
      <c r="W477" s="19" t="s">
        <v>45</v>
      </c>
      <c r="X477" s="19" t="s">
        <v>46</v>
      </c>
      <c r="Y477" s="20"/>
      <c r="Z477" s="20">
        <v>100</v>
      </c>
      <c r="AA477" s="20"/>
      <c r="AB477" s="20"/>
      <c r="AC477" s="19" t="s">
        <v>214</v>
      </c>
      <c r="AD477" s="20"/>
      <c r="AE477" s="20"/>
      <c r="AF477" s="20"/>
      <c r="AG477" s="20"/>
      <c r="AH477" s="20"/>
      <c r="AI477" s="20"/>
      <c r="AJ477" s="19"/>
      <c r="AK477" s="20"/>
      <c r="AL477" s="20"/>
      <c r="AM477" s="20"/>
      <c r="AN477" s="20"/>
      <c r="AO477" s="20"/>
      <c r="AP477" s="94"/>
      <c r="AQ477" s="20">
        <v>20</v>
      </c>
      <c r="AR477" s="20"/>
      <c r="AS477" s="20"/>
      <c r="AT477" s="65" t="str">
        <f t="shared" si="136"/>
        <v>Y</v>
      </c>
      <c r="AU477" s="65" t="str">
        <f t="shared" si="145"/>
        <v>N</v>
      </c>
      <c r="AV477" s="65" t="str">
        <f t="shared" si="134"/>
        <v>N</v>
      </c>
      <c r="AW477" s="20" t="s">
        <v>1601</v>
      </c>
      <c r="AX477" s="20" t="s">
        <v>1603</v>
      </c>
      <c r="AY477" s="20"/>
      <c r="AZ477" s="96" t="str">
        <f t="shared" si="146"/>
        <v>n</v>
      </c>
      <c r="BA477" s="96" t="str">
        <f>IF(AZ477="n","n",VLOOKUP(AZ477,'Conversion factors'!$C$4:$D$24,2,FALSE))</f>
        <v>n</v>
      </c>
      <c r="BB477" s="96" t="str">
        <f t="shared" si="147"/>
        <v>n</v>
      </c>
      <c r="BC477" s="20"/>
      <c r="BD477" s="96" t="str">
        <f t="shared" si="137"/>
        <v>n</v>
      </c>
      <c r="BE477" s="96" t="str">
        <f t="shared" si="148"/>
        <v>n</v>
      </c>
      <c r="BF477" s="98" t="str">
        <f t="shared" si="138"/>
        <v/>
      </c>
      <c r="BG477" s="96" t="str">
        <f>IF(BF477="","",IF(ISNUMBER(VLOOKUP(BF477,'Conversion factors'!$B$35:$C$52,2,FALSE)),"y","n"))</f>
        <v/>
      </c>
      <c r="BH477" s="72"/>
      <c r="BI477" s="20"/>
      <c r="BJ477" s="20"/>
    </row>
    <row r="478" spans="1:62" s="103" customFormat="1" ht="15.75" customHeight="1" x14ac:dyDescent="0.2">
      <c r="A478" s="18"/>
      <c r="B478" s="20">
        <v>342</v>
      </c>
      <c r="C478" s="19"/>
      <c r="D478" s="19"/>
      <c r="E478" s="19" t="s">
        <v>1391</v>
      </c>
      <c r="F478" s="19">
        <v>1989</v>
      </c>
      <c r="G478" s="19" t="s">
        <v>1392</v>
      </c>
      <c r="H478" s="19"/>
      <c r="I478" s="19"/>
      <c r="J478" s="19" t="s">
        <v>1335</v>
      </c>
      <c r="K478" s="19" t="s">
        <v>64</v>
      </c>
      <c r="L478" s="19" t="s">
        <v>151</v>
      </c>
      <c r="M478" s="99" t="s">
        <v>153</v>
      </c>
      <c r="N478" s="19" t="s">
        <v>66</v>
      </c>
      <c r="O478" s="19" t="s">
        <v>1251</v>
      </c>
      <c r="P478" s="19" t="s">
        <v>162</v>
      </c>
      <c r="Q478" s="19"/>
      <c r="R478" s="19" t="s">
        <v>1309</v>
      </c>
      <c r="S478" s="19" t="s">
        <v>1336</v>
      </c>
      <c r="T478" s="19" t="s">
        <v>54</v>
      </c>
      <c r="U478" s="19" t="s">
        <v>54</v>
      </c>
      <c r="V478" s="19">
        <f>4*7</f>
        <v>28</v>
      </c>
      <c r="W478" s="19" t="s">
        <v>45</v>
      </c>
      <c r="X478" s="19" t="s">
        <v>46</v>
      </c>
      <c r="Y478" s="20"/>
      <c r="Z478" s="20"/>
      <c r="AA478" s="20"/>
      <c r="AB478" s="20">
        <f>3+8.8</f>
        <v>11.8</v>
      </c>
      <c r="AC478" s="19" t="s">
        <v>162</v>
      </c>
      <c r="AD478" s="20"/>
      <c r="AE478" s="19">
        <v>83</v>
      </c>
      <c r="AF478" s="19">
        <v>83</v>
      </c>
      <c r="AG478" s="20"/>
      <c r="AH478" s="20"/>
      <c r="AI478" s="20"/>
      <c r="AJ478" s="19">
        <f>MEDIAN(7.9,8)</f>
        <v>7.95</v>
      </c>
      <c r="AK478" s="20" t="s">
        <v>1337</v>
      </c>
      <c r="AL478" s="20">
        <v>190</v>
      </c>
      <c r="AM478" s="20"/>
      <c r="AN478" s="20"/>
      <c r="AO478" s="20"/>
      <c r="AP478" s="94"/>
      <c r="AQ478" s="19">
        <v>15.5</v>
      </c>
      <c r="AR478" s="20"/>
      <c r="AS478" s="20"/>
      <c r="AT478" s="65" t="str">
        <f t="shared" si="136"/>
        <v>N</v>
      </c>
      <c r="AU478" s="65" t="str">
        <f t="shared" si="145"/>
        <v>N</v>
      </c>
      <c r="AV478" s="65" t="str">
        <f t="shared" si="134"/>
        <v>N</v>
      </c>
      <c r="AW478" s="72"/>
      <c r="AX478" s="72"/>
      <c r="AY478" s="20"/>
      <c r="AZ478" s="96" t="str">
        <f t="shared" si="146"/>
        <v>n</v>
      </c>
      <c r="BA478" s="96" t="str">
        <f>IF(AZ478="n","n",VLOOKUP(AZ478,'Conversion factors'!$C$4:$D$24,2,FALSE))</f>
        <v>n</v>
      </c>
      <c r="BB478" s="96" t="str">
        <f t="shared" si="147"/>
        <v>n</v>
      </c>
      <c r="BC478" s="20"/>
      <c r="BD478" s="96" t="str">
        <f t="shared" si="137"/>
        <v>n</v>
      </c>
      <c r="BE478" s="96" t="str">
        <f t="shared" si="148"/>
        <v>n</v>
      </c>
      <c r="BF478" s="98" t="str">
        <f t="shared" si="138"/>
        <v/>
      </c>
      <c r="BG478" s="96" t="str">
        <f>IF(BF478="","",IF(ISNUMBER(VLOOKUP(BF478,'Conversion factors'!$B$35:$C$52,2,FALSE)),"y","n"))</f>
        <v/>
      </c>
      <c r="BH478" s="99" t="s">
        <v>1507</v>
      </c>
      <c r="BI478" s="20"/>
      <c r="BJ478" s="20"/>
    </row>
    <row r="479" spans="1:62" s="103" customFormat="1" ht="15.75" customHeight="1" x14ac:dyDescent="0.2">
      <c r="A479" s="18"/>
      <c r="B479" s="19">
        <v>208</v>
      </c>
      <c r="C479" s="19"/>
      <c r="D479" s="19">
        <v>59272</v>
      </c>
      <c r="E479" s="19" t="s">
        <v>1224</v>
      </c>
      <c r="F479" s="93">
        <v>2000</v>
      </c>
      <c r="G479" s="19" t="s">
        <v>456</v>
      </c>
      <c r="H479" s="19"/>
      <c r="I479" s="19" t="s">
        <v>41</v>
      </c>
      <c r="J479" s="19" t="s">
        <v>457</v>
      </c>
      <c r="K479" s="19" t="s">
        <v>64</v>
      </c>
      <c r="L479" s="19" t="s">
        <v>151</v>
      </c>
      <c r="M479" s="99" t="s">
        <v>153</v>
      </c>
      <c r="N479" s="19" t="s">
        <v>66</v>
      </c>
      <c r="O479" s="19" t="s">
        <v>328</v>
      </c>
      <c r="P479" s="19" t="s">
        <v>162</v>
      </c>
      <c r="Q479" s="19"/>
      <c r="R479" s="19" t="s">
        <v>81</v>
      </c>
      <c r="S479" s="19" t="s">
        <v>458</v>
      </c>
      <c r="T479" s="19" t="s">
        <v>55</v>
      </c>
      <c r="U479" s="19" t="s">
        <v>55</v>
      </c>
      <c r="V479" s="19" t="s">
        <v>784</v>
      </c>
      <c r="W479" s="19" t="s">
        <v>231</v>
      </c>
      <c r="X479" s="19" t="s">
        <v>46</v>
      </c>
      <c r="Y479" s="29"/>
      <c r="Z479" s="19"/>
      <c r="AA479" s="19"/>
      <c r="AB479" s="19" t="s">
        <v>459</v>
      </c>
      <c r="AC479" s="19" t="s">
        <v>214</v>
      </c>
      <c r="AD479" s="19"/>
      <c r="AE479" s="19" t="s">
        <v>351</v>
      </c>
      <c r="AF479" s="19" t="s">
        <v>351</v>
      </c>
      <c r="AG479" s="19" t="s">
        <v>235</v>
      </c>
      <c r="AH479" s="19"/>
      <c r="AI479" s="19"/>
      <c r="AJ479" s="19">
        <f t="shared" ref="AJ479:AJ482" si="149">MEDIAN(6.1,6.2)</f>
        <v>6.15</v>
      </c>
      <c r="AK479" s="19" t="s">
        <v>460</v>
      </c>
      <c r="AL479" s="19"/>
      <c r="AM479" s="19" t="s">
        <v>234</v>
      </c>
      <c r="AN479" s="19" t="s">
        <v>234</v>
      </c>
      <c r="AO479" s="19" t="s">
        <v>235</v>
      </c>
      <c r="AP479" s="94">
        <v>9</v>
      </c>
      <c r="AQ479" s="19" t="s">
        <v>461</v>
      </c>
      <c r="AR479" s="19" t="s">
        <v>462</v>
      </c>
      <c r="AS479" s="19"/>
      <c r="AT479" s="65" t="str">
        <f t="shared" si="136"/>
        <v>Y</v>
      </c>
      <c r="AU479" s="65" t="str">
        <f t="shared" si="145"/>
        <v>Y</v>
      </c>
      <c r="AV479" s="65" t="s">
        <v>162</v>
      </c>
      <c r="AW479" s="99" t="s">
        <v>1405</v>
      </c>
      <c r="AX479" s="99"/>
      <c r="AY479" s="19"/>
      <c r="AZ479" s="96" t="str">
        <f t="shared" si="146"/>
        <v>n</v>
      </c>
      <c r="BA479" s="96" t="str">
        <f>IF(AZ479="n","n",VLOOKUP(AZ479,'Conversion factors'!$C$4:$D$24,2,FALSE))</f>
        <v>n</v>
      </c>
      <c r="BB479" s="96" t="str">
        <f t="shared" si="147"/>
        <v>n</v>
      </c>
      <c r="BC479" s="97"/>
      <c r="BD479" s="96" t="str">
        <f t="shared" si="137"/>
        <v>n</v>
      </c>
      <c r="BE479" s="96" t="str">
        <f t="shared" si="148"/>
        <v>n</v>
      </c>
      <c r="BF479" s="98" t="str">
        <f t="shared" si="138"/>
        <v/>
      </c>
      <c r="BG479" s="96" t="str">
        <f>IF(BF479="","",IF(ISNUMBER(VLOOKUP(BF479,'Conversion factors'!$B$35:$C$52,2,FALSE)),"y","n"))</f>
        <v/>
      </c>
      <c r="BH479" s="99"/>
      <c r="BI479" s="100"/>
      <c r="BJ479" s="100"/>
    </row>
    <row r="480" spans="1:62" s="103" customFormat="1" ht="15.75" customHeight="1" x14ac:dyDescent="0.2">
      <c r="A480" s="18"/>
      <c r="B480" s="19">
        <v>208</v>
      </c>
      <c r="C480" s="19"/>
      <c r="D480" s="19">
        <v>59272</v>
      </c>
      <c r="E480" s="19" t="s">
        <v>1224</v>
      </c>
      <c r="F480" s="93">
        <v>2000</v>
      </c>
      <c r="G480" s="19" t="s">
        <v>456</v>
      </c>
      <c r="H480" s="19"/>
      <c r="I480" s="19" t="s">
        <v>41</v>
      </c>
      <c r="J480" s="19" t="s">
        <v>457</v>
      </c>
      <c r="K480" s="19" t="s">
        <v>64</v>
      </c>
      <c r="L480" s="19" t="s">
        <v>151</v>
      </c>
      <c r="M480" s="99" t="s">
        <v>153</v>
      </c>
      <c r="N480" s="19" t="s">
        <v>66</v>
      </c>
      <c r="O480" s="19" t="s">
        <v>328</v>
      </c>
      <c r="P480" s="19" t="s">
        <v>162</v>
      </c>
      <c r="Q480" s="19"/>
      <c r="R480" s="19" t="s">
        <v>81</v>
      </c>
      <c r="S480" s="19" t="s">
        <v>458</v>
      </c>
      <c r="T480" s="19" t="s">
        <v>54</v>
      </c>
      <c r="U480" s="19" t="s">
        <v>54</v>
      </c>
      <c r="V480" s="19" t="s">
        <v>784</v>
      </c>
      <c r="W480" s="19" t="s">
        <v>231</v>
      </c>
      <c r="X480" s="19" t="s">
        <v>46</v>
      </c>
      <c r="Y480" s="29"/>
      <c r="Z480" s="19"/>
      <c r="AA480" s="19"/>
      <c r="AB480" s="19" t="s">
        <v>464</v>
      </c>
      <c r="AC480" s="19" t="s">
        <v>214</v>
      </c>
      <c r="AD480" s="19"/>
      <c r="AE480" s="19" t="s">
        <v>351</v>
      </c>
      <c r="AF480" s="19" t="s">
        <v>351</v>
      </c>
      <c r="AG480" s="19" t="s">
        <v>235</v>
      </c>
      <c r="AH480" s="19"/>
      <c r="AI480" s="19"/>
      <c r="AJ480" s="19">
        <f t="shared" si="149"/>
        <v>6.15</v>
      </c>
      <c r="AK480" s="19" t="s">
        <v>460</v>
      </c>
      <c r="AL480" s="19"/>
      <c r="AM480" s="19" t="s">
        <v>234</v>
      </c>
      <c r="AN480" s="19" t="s">
        <v>234</v>
      </c>
      <c r="AO480" s="19" t="s">
        <v>235</v>
      </c>
      <c r="AP480" s="94">
        <v>9</v>
      </c>
      <c r="AQ480" s="19" t="s">
        <v>461</v>
      </c>
      <c r="AR480" s="19" t="s">
        <v>462</v>
      </c>
      <c r="AS480" s="19"/>
      <c r="AT480" s="65" t="str">
        <f t="shared" si="136"/>
        <v>Y</v>
      </c>
      <c r="AU480" s="65" t="str">
        <f t="shared" si="145"/>
        <v>Y</v>
      </c>
      <c r="AV480" s="65" t="s">
        <v>162</v>
      </c>
      <c r="AW480" s="99" t="s">
        <v>1405</v>
      </c>
      <c r="AX480" s="99"/>
      <c r="AY480" s="19"/>
      <c r="AZ480" s="96" t="str">
        <f t="shared" si="146"/>
        <v>n</v>
      </c>
      <c r="BA480" s="96" t="str">
        <f>IF(AZ480="n","n",VLOOKUP(AZ480,'Conversion factors'!$C$4:$D$24,2,FALSE))</f>
        <v>n</v>
      </c>
      <c r="BB480" s="96" t="str">
        <f t="shared" si="147"/>
        <v>n</v>
      </c>
      <c r="BC480" s="97"/>
      <c r="BD480" s="96" t="str">
        <f t="shared" si="137"/>
        <v>n</v>
      </c>
      <c r="BE480" s="96" t="str">
        <f t="shared" si="148"/>
        <v>n</v>
      </c>
      <c r="BF480" s="98" t="str">
        <f t="shared" si="138"/>
        <v/>
      </c>
      <c r="BG480" s="96" t="str">
        <f>IF(BF480="","",IF(ISNUMBER(VLOOKUP(BF480,'Conversion factors'!$B$35:$C$52,2,FALSE)),"y","n"))</f>
        <v/>
      </c>
      <c r="BH480" s="99" t="s">
        <v>1507</v>
      </c>
      <c r="BI480" s="100"/>
      <c r="BJ480" s="100"/>
    </row>
    <row r="481" spans="1:62" s="103" customFormat="1" ht="15.75" customHeight="1" x14ac:dyDescent="0.2">
      <c r="A481" s="18"/>
      <c r="B481" s="19">
        <v>208</v>
      </c>
      <c r="C481" s="19"/>
      <c r="D481" s="19">
        <v>59272</v>
      </c>
      <c r="E481" s="19" t="s">
        <v>1224</v>
      </c>
      <c r="F481" s="93">
        <v>2000</v>
      </c>
      <c r="G481" s="19" t="s">
        <v>456</v>
      </c>
      <c r="H481" s="19"/>
      <c r="I481" s="19" t="s">
        <v>41</v>
      </c>
      <c r="J481" s="19" t="s">
        <v>457</v>
      </c>
      <c r="K481" s="19" t="s">
        <v>64</v>
      </c>
      <c r="L481" s="19" t="s">
        <v>151</v>
      </c>
      <c r="M481" s="99" t="s">
        <v>153</v>
      </c>
      <c r="N481" s="19" t="s">
        <v>66</v>
      </c>
      <c r="O481" s="19" t="s">
        <v>328</v>
      </c>
      <c r="P481" s="19" t="s">
        <v>162</v>
      </c>
      <c r="Q481" s="19"/>
      <c r="R481" s="19" t="s">
        <v>237</v>
      </c>
      <c r="S481" s="19" t="s">
        <v>79</v>
      </c>
      <c r="T481" s="19" t="s">
        <v>465</v>
      </c>
      <c r="U481" s="19" t="s">
        <v>54</v>
      </c>
      <c r="V481" s="19" t="s">
        <v>784</v>
      </c>
      <c r="W481" s="19" t="s">
        <v>231</v>
      </c>
      <c r="X481" s="19" t="s">
        <v>46</v>
      </c>
      <c r="Y481" s="29"/>
      <c r="Z481" s="19"/>
      <c r="AA481" s="19"/>
      <c r="AB481" s="19" t="s">
        <v>463</v>
      </c>
      <c r="AC481" s="19" t="s">
        <v>214</v>
      </c>
      <c r="AD481" s="19"/>
      <c r="AE481" s="19" t="s">
        <v>351</v>
      </c>
      <c r="AF481" s="19" t="s">
        <v>351</v>
      </c>
      <c r="AG481" s="19" t="s">
        <v>235</v>
      </c>
      <c r="AH481" s="19"/>
      <c r="AI481" s="19"/>
      <c r="AJ481" s="19">
        <f t="shared" si="149"/>
        <v>6.15</v>
      </c>
      <c r="AK481" s="19" t="s">
        <v>460</v>
      </c>
      <c r="AL481" s="19"/>
      <c r="AM481" s="19" t="s">
        <v>234</v>
      </c>
      <c r="AN481" s="19" t="s">
        <v>234</v>
      </c>
      <c r="AO481" s="19" t="s">
        <v>235</v>
      </c>
      <c r="AP481" s="94">
        <v>9</v>
      </c>
      <c r="AQ481" s="19" t="s">
        <v>461</v>
      </c>
      <c r="AR481" s="19" t="s">
        <v>462</v>
      </c>
      <c r="AS481" s="19"/>
      <c r="AT481" s="65" t="str">
        <f t="shared" si="136"/>
        <v>Y</v>
      </c>
      <c r="AU481" s="65" t="str">
        <f t="shared" si="145"/>
        <v>Y</v>
      </c>
      <c r="AV481" s="65" t="s">
        <v>162</v>
      </c>
      <c r="AW481" s="99" t="s">
        <v>1405</v>
      </c>
      <c r="AX481" s="99"/>
      <c r="AY481" s="19"/>
      <c r="AZ481" s="96" t="str">
        <f t="shared" si="146"/>
        <v>n</v>
      </c>
      <c r="BA481" s="96" t="str">
        <f>IF(AZ481="n","n",VLOOKUP(AZ481,'Conversion factors'!$C$4:$D$24,2,FALSE))</f>
        <v>n</v>
      </c>
      <c r="BB481" s="96" t="str">
        <f t="shared" si="147"/>
        <v>n</v>
      </c>
      <c r="BC481" s="97"/>
      <c r="BD481" s="96" t="str">
        <f t="shared" si="137"/>
        <v>n</v>
      </c>
      <c r="BE481" s="96" t="str">
        <f t="shared" si="148"/>
        <v>n</v>
      </c>
      <c r="BF481" s="98" t="str">
        <f t="shared" si="138"/>
        <v/>
      </c>
      <c r="BG481" s="96" t="str">
        <f>IF(BF481="","",IF(ISNUMBER(VLOOKUP(BF481,'Conversion factors'!$B$35:$C$52,2,FALSE)),"y","n"))</f>
        <v/>
      </c>
      <c r="BH481" s="99" t="s">
        <v>1507</v>
      </c>
      <c r="BI481" s="100"/>
      <c r="BJ481" s="100"/>
    </row>
    <row r="482" spans="1:62" s="103" customFormat="1" ht="15.75" customHeight="1" x14ac:dyDescent="0.2">
      <c r="A482" s="18"/>
      <c r="B482" s="19">
        <v>208</v>
      </c>
      <c r="C482" s="19"/>
      <c r="D482" s="19">
        <v>59272</v>
      </c>
      <c r="E482" s="19" t="s">
        <v>1224</v>
      </c>
      <c r="F482" s="93">
        <v>2000</v>
      </c>
      <c r="G482" s="19" t="s">
        <v>456</v>
      </c>
      <c r="H482" s="19"/>
      <c r="I482" s="19" t="s">
        <v>41</v>
      </c>
      <c r="J482" s="19" t="s">
        <v>457</v>
      </c>
      <c r="K482" s="19" t="s">
        <v>64</v>
      </c>
      <c r="L482" s="19" t="s">
        <v>151</v>
      </c>
      <c r="M482" s="99" t="s">
        <v>153</v>
      </c>
      <c r="N482" s="19" t="s">
        <v>66</v>
      </c>
      <c r="O482" s="19" t="s">
        <v>328</v>
      </c>
      <c r="P482" s="19" t="s">
        <v>162</v>
      </c>
      <c r="Q482" s="19"/>
      <c r="R482" s="19" t="s">
        <v>237</v>
      </c>
      <c r="S482" s="19" t="s">
        <v>79</v>
      </c>
      <c r="T482" s="19" t="s">
        <v>465</v>
      </c>
      <c r="U482" s="19" t="s">
        <v>54</v>
      </c>
      <c r="V482" s="19" t="s">
        <v>784</v>
      </c>
      <c r="W482" s="19" t="s">
        <v>231</v>
      </c>
      <c r="X482" s="19" t="s">
        <v>46</v>
      </c>
      <c r="Y482" s="29"/>
      <c r="Z482" s="19"/>
      <c r="AA482" s="19"/>
      <c r="AB482" s="19" t="s">
        <v>463</v>
      </c>
      <c r="AC482" s="19" t="s">
        <v>214</v>
      </c>
      <c r="AD482" s="19"/>
      <c r="AE482" s="19" t="s">
        <v>351</v>
      </c>
      <c r="AF482" s="19" t="s">
        <v>351</v>
      </c>
      <c r="AG482" s="19" t="s">
        <v>235</v>
      </c>
      <c r="AH482" s="19"/>
      <c r="AI482" s="19"/>
      <c r="AJ482" s="19">
        <f t="shared" si="149"/>
        <v>6.15</v>
      </c>
      <c r="AK482" s="19" t="s">
        <v>460</v>
      </c>
      <c r="AL482" s="19"/>
      <c r="AM482" s="19" t="s">
        <v>234</v>
      </c>
      <c r="AN482" s="19" t="s">
        <v>234</v>
      </c>
      <c r="AO482" s="19" t="s">
        <v>235</v>
      </c>
      <c r="AP482" s="94">
        <v>9</v>
      </c>
      <c r="AQ482" s="19" t="s">
        <v>461</v>
      </c>
      <c r="AR482" s="19" t="s">
        <v>462</v>
      </c>
      <c r="AS482" s="19"/>
      <c r="AT482" s="65" t="str">
        <f t="shared" si="136"/>
        <v>Y</v>
      </c>
      <c r="AU482" s="65" t="str">
        <f t="shared" si="145"/>
        <v>Y</v>
      </c>
      <c r="AV482" s="65" t="s">
        <v>162</v>
      </c>
      <c r="AW482" s="99" t="s">
        <v>1405</v>
      </c>
      <c r="AX482" s="99"/>
      <c r="AY482" s="19"/>
      <c r="AZ482" s="96" t="str">
        <f t="shared" si="146"/>
        <v>n</v>
      </c>
      <c r="BA482" s="96" t="str">
        <f>IF(AZ482="n","n",VLOOKUP(AZ482,'Conversion factors'!$C$4:$D$24,2,FALSE))</f>
        <v>n</v>
      </c>
      <c r="BB482" s="96" t="str">
        <f t="shared" si="147"/>
        <v>n</v>
      </c>
      <c r="BC482" s="97"/>
      <c r="BD482" s="96" t="str">
        <f t="shared" si="137"/>
        <v>n</v>
      </c>
      <c r="BE482" s="96" t="str">
        <f t="shared" si="148"/>
        <v>n</v>
      </c>
      <c r="BF482" s="98" t="str">
        <f t="shared" si="138"/>
        <v/>
      </c>
      <c r="BG482" s="96" t="str">
        <f>IF(BF482="","",IF(ISNUMBER(VLOOKUP(BF482,'Conversion factors'!$B$35:$C$52,2,FALSE)),"y","n"))</f>
        <v/>
      </c>
      <c r="BH482" s="99" t="s">
        <v>1507</v>
      </c>
      <c r="BI482" s="100"/>
      <c r="BJ482" s="100"/>
    </row>
    <row r="483" spans="1:62" s="103" customFormat="1" ht="15.75" customHeight="1" x14ac:dyDescent="0.2">
      <c r="A483" s="18"/>
      <c r="B483" s="19">
        <v>279</v>
      </c>
      <c r="C483" s="19"/>
      <c r="D483" s="19">
        <v>101773</v>
      </c>
      <c r="E483" s="19" t="s">
        <v>1224</v>
      </c>
      <c r="F483" s="93">
        <v>2008</v>
      </c>
      <c r="G483" s="19" t="s">
        <v>980</v>
      </c>
      <c r="H483" s="19"/>
      <c r="I483" s="19" t="s">
        <v>41</v>
      </c>
      <c r="J483" s="19" t="s">
        <v>981</v>
      </c>
      <c r="K483" s="19" t="s">
        <v>64</v>
      </c>
      <c r="L483" s="19" t="s">
        <v>151</v>
      </c>
      <c r="M483" s="99" t="s">
        <v>153</v>
      </c>
      <c r="N483" s="19" t="s">
        <v>66</v>
      </c>
      <c r="O483" s="19" t="s">
        <v>982</v>
      </c>
      <c r="P483" s="19" t="s">
        <v>162</v>
      </c>
      <c r="Q483" s="19"/>
      <c r="R483" s="19" t="s">
        <v>228</v>
      </c>
      <c r="S483" s="19" t="s">
        <v>986</v>
      </c>
      <c r="T483" s="19" t="s">
        <v>454</v>
      </c>
      <c r="U483" s="19" t="s">
        <v>454</v>
      </c>
      <c r="V483" s="19" t="s">
        <v>126</v>
      </c>
      <c r="W483" s="19" t="s">
        <v>231</v>
      </c>
      <c r="X483" s="19" t="s">
        <v>46</v>
      </c>
      <c r="Y483" s="29"/>
      <c r="Z483" s="19"/>
      <c r="AA483" s="19"/>
      <c r="AB483" s="19" t="s">
        <v>983</v>
      </c>
      <c r="AC483" s="19" t="s">
        <v>214</v>
      </c>
      <c r="AD483" s="19"/>
      <c r="AE483" s="19">
        <v>44.4</v>
      </c>
      <c r="AF483" s="19">
        <v>44.4</v>
      </c>
      <c r="AG483" s="19" t="s">
        <v>216</v>
      </c>
      <c r="AH483" s="19"/>
      <c r="AI483" s="19"/>
      <c r="AJ483" s="19">
        <v>7.77</v>
      </c>
      <c r="AK483" s="19" t="s">
        <v>984</v>
      </c>
      <c r="AL483" s="19"/>
      <c r="AM483" s="19" t="s">
        <v>234</v>
      </c>
      <c r="AN483" s="19" t="s">
        <v>985</v>
      </c>
      <c r="AO483" s="19" t="s">
        <v>216</v>
      </c>
      <c r="AP483" s="94"/>
      <c r="AQ483" s="19" t="s">
        <v>907</v>
      </c>
      <c r="AR483" s="19" t="s">
        <v>241</v>
      </c>
      <c r="AS483" s="19"/>
      <c r="AT483" s="65" t="str">
        <f t="shared" si="136"/>
        <v>Y</v>
      </c>
      <c r="AU483" s="65" t="str">
        <f t="shared" si="145"/>
        <v>Y</v>
      </c>
      <c r="AV483" s="65" t="str">
        <f t="shared" ref="AV483:AV488" si="150">AU483</f>
        <v>Y</v>
      </c>
      <c r="AW483" s="99"/>
      <c r="AX483" s="99"/>
      <c r="AY483" s="19"/>
      <c r="AZ483" s="96" t="str">
        <f t="shared" si="146"/>
        <v>LOEL</v>
      </c>
      <c r="BA483" s="96">
        <f>IF(AZ483="n","n",VLOOKUP(AZ483,'Conversion factors'!$C$4:$D$24,2,FALSE))</f>
        <v>2.5</v>
      </c>
      <c r="BB483" s="96">
        <f t="shared" si="147"/>
        <v>4320</v>
      </c>
      <c r="BC483" s="97"/>
      <c r="BD483" s="96" t="str">
        <f t="shared" si="137"/>
        <v>Chronic</v>
      </c>
      <c r="BE483" s="96" t="str">
        <f t="shared" si="148"/>
        <v>y</v>
      </c>
      <c r="BF483" s="98" t="str">
        <f t="shared" si="138"/>
        <v>LOEL</v>
      </c>
      <c r="BG483" s="96" t="str">
        <f>IF(BF483="","",IF(ISNUMBER(VLOOKUP(BF483,'Conversion factors'!$B$35:$C$52,2,FALSE)),"y","n"))</f>
        <v>n</v>
      </c>
      <c r="BH483" s="99"/>
      <c r="BI483" s="100"/>
      <c r="BJ483" s="100"/>
    </row>
    <row r="484" spans="1:62" s="103" customFormat="1" ht="15.75" customHeight="1" x14ac:dyDescent="0.2">
      <c r="A484" s="18"/>
      <c r="B484" s="19">
        <v>279</v>
      </c>
      <c r="C484" s="19"/>
      <c r="D484" s="19">
        <v>101773</v>
      </c>
      <c r="E484" s="19" t="s">
        <v>1224</v>
      </c>
      <c r="F484" s="93">
        <v>2008</v>
      </c>
      <c r="G484" s="19" t="s">
        <v>980</v>
      </c>
      <c r="H484" s="19"/>
      <c r="I484" s="19" t="s">
        <v>41</v>
      </c>
      <c r="J484" s="19" t="s">
        <v>981</v>
      </c>
      <c r="K484" s="19" t="s">
        <v>64</v>
      </c>
      <c r="L484" s="19" t="s">
        <v>151</v>
      </c>
      <c r="M484" s="99" t="s">
        <v>153</v>
      </c>
      <c r="N484" s="19" t="s">
        <v>66</v>
      </c>
      <c r="O484" s="19" t="s">
        <v>982</v>
      </c>
      <c r="P484" s="19" t="s">
        <v>162</v>
      </c>
      <c r="Q484" s="19"/>
      <c r="R484" s="19" t="s">
        <v>228</v>
      </c>
      <c r="S484" s="19" t="s">
        <v>986</v>
      </c>
      <c r="T484" s="19" t="s">
        <v>49</v>
      </c>
      <c r="U484" s="19" t="s">
        <v>49</v>
      </c>
      <c r="V484" s="19" t="s">
        <v>126</v>
      </c>
      <c r="W484" s="19" t="s">
        <v>231</v>
      </c>
      <c r="X484" s="19" t="s">
        <v>46</v>
      </c>
      <c r="Y484" s="29"/>
      <c r="Z484" s="19"/>
      <c r="AA484" s="19"/>
      <c r="AB484" s="19">
        <v>2069.1999999999998</v>
      </c>
      <c r="AC484" s="19" t="s">
        <v>214</v>
      </c>
      <c r="AD484" s="19"/>
      <c r="AE484" s="19">
        <v>44.4</v>
      </c>
      <c r="AF484" s="19">
        <v>44.4</v>
      </c>
      <c r="AG484" s="19" t="s">
        <v>216</v>
      </c>
      <c r="AH484" s="19"/>
      <c r="AI484" s="19"/>
      <c r="AJ484" s="19">
        <v>7.77</v>
      </c>
      <c r="AK484" s="19" t="s">
        <v>984</v>
      </c>
      <c r="AL484" s="19"/>
      <c r="AM484" s="19"/>
      <c r="AN484" s="19" t="s">
        <v>985</v>
      </c>
      <c r="AO484" s="19" t="s">
        <v>216</v>
      </c>
      <c r="AP484" s="94"/>
      <c r="AQ484" s="19" t="s">
        <v>907</v>
      </c>
      <c r="AR484" s="19" t="s">
        <v>241</v>
      </c>
      <c r="AS484" s="19"/>
      <c r="AT484" s="65" t="str">
        <f t="shared" si="136"/>
        <v>Y</v>
      </c>
      <c r="AU484" s="65" t="str">
        <f t="shared" ref="AU484" si="151">IF(AT484="N","N",IF(AJ484&lt;6,"N",IF(AJ484&gt;8.5,"N","Y")))</f>
        <v>Y</v>
      </c>
      <c r="AV484" s="65" t="str">
        <f t="shared" ref="AV484" si="152">AU484</f>
        <v>Y</v>
      </c>
      <c r="AW484" s="99"/>
      <c r="AX484" s="99" t="s">
        <v>1619</v>
      </c>
      <c r="AY484" s="19"/>
      <c r="AZ484" s="96" t="str">
        <f t="shared" ref="AZ484" si="153">IF(AV484="N","n",T484)</f>
        <v>EC10</v>
      </c>
      <c r="BA484" s="96">
        <f>IF(AZ484="n","n",VLOOKUP(AZ484,'Conversion factors'!$C$4:$D$24,2,FALSE))</f>
        <v>1</v>
      </c>
      <c r="BB484" s="96">
        <f t="shared" ref="BB484" si="154">IF(BA484="n","n",AB484/BA484)</f>
        <v>2069.1999999999998</v>
      </c>
      <c r="BC484" s="97"/>
      <c r="BD484" s="96" t="str">
        <f t="shared" si="137"/>
        <v>Chronic</v>
      </c>
      <c r="BE484" s="96" t="str">
        <f t="shared" ref="BE484" si="155">IF(BD484="chronic","y","n")</f>
        <v>y</v>
      </c>
      <c r="BF484" s="98" t="str">
        <f t="shared" si="138"/>
        <v>EC10</v>
      </c>
      <c r="BG484" s="96" t="str">
        <f>IF(BF484="","",IF(ISNUMBER(VLOOKUP(BF484,'Conversion factors'!$B$35:$C$52,2,FALSE)),"y","n"))</f>
        <v>y</v>
      </c>
      <c r="BH484" s="99" t="s">
        <v>1618</v>
      </c>
      <c r="BI484" s="100"/>
      <c r="BJ484" s="100"/>
    </row>
    <row r="485" spans="1:62" s="103" customFormat="1" ht="15.75" customHeight="1" x14ac:dyDescent="0.2">
      <c r="A485" s="18"/>
      <c r="B485" s="19">
        <v>279</v>
      </c>
      <c r="C485" s="19"/>
      <c r="D485" s="19">
        <v>101773</v>
      </c>
      <c r="E485" s="19" t="s">
        <v>1224</v>
      </c>
      <c r="F485" s="93">
        <v>2008</v>
      </c>
      <c r="G485" s="19" t="s">
        <v>980</v>
      </c>
      <c r="H485" s="19"/>
      <c r="I485" s="19" t="s">
        <v>41</v>
      </c>
      <c r="J485" s="19" t="s">
        <v>981</v>
      </c>
      <c r="K485" s="19" t="s">
        <v>64</v>
      </c>
      <c r="L485" s="19" t="s">
        <v>151</v>
      </c>
      <c r="M485" s="99" t="s">
        <v>153</v>
      </c>
      <c r="N485" s="19" t="s">
        <v>66</v>
      </c>
      <c r="O485" s="19" t="s">
        <v>982</v>
      </c>
      <c r="P485" s="19" t="s">
        <v>162</v>
      </c>
      <c r="Q485" s="19"/>
      <c r="R485" s="19" t="s">
        <v>228</v>
      </c>
      <c r="S485" s="19" t="s">
        <v>986</v>
      </c>
      <c r="T485" s="19" t="s">
        <v>465</v>
      </c>
      <c r="U485" s="19" t="s">
        <v>54</v>
      </c>
      <c r="V485" s="19" t="s">
        <v>126</v>
      </c>
      <c r="W485" s="19" t="s">
        <v>231</v>
      </c>
      <c r="X485" s="19" t="s">
        <v>46</v>
      </c>
      <c r="Y485" s="29"/>
      <c r="Z485" s="19"/>
      <c r="AA485" s="19"/>
      <c r="AB485" s="19" t="s">
        <v>987</v>
      </c>
      <c r="AC485" s="19" t="s">
        <v>214</v>
      </c>
      <c r="AD485" s="19"/>
      <c r="AE485" s="19">
        <v>44.4</v>
      </c>
      <c r="AF485" s="19">
        <v>44.4</v>
      </c>
      <c r="AG485" s="19" t="s">
        <v>216</v>
      </c>
      <c r="AH485" s="19"/>
      <c r="AI485" s="19"/>
      <c r="AJ485" s="19">
        <v>7.77</v>
      </c>
      <c r="AK485" s="19" t="s">
        <v>984</v>
      </c>
      <c r="AL485" s="19"/>
      <c r="AM485" s="19"/>
      <c r="AN485" s="19" t="s">
        <v>985</v>
      </c>
      <c r="AO485" s="19" t="s">
        <v>216</v>
      </c>
      <c r="AP485" s="94"/>
      <c r="AQ485" s="19" t="s">
        <v>907</v>
      </c>
      <c r="AR485" s="19" t="s">
        <v>241</v>
      </c>
      <c r="AS485" s="19"/>
      <c r="AT485" s="65" t="str">
        <f t="shared" si="136"/>
        <v>Y</v>
      </c>
      <c r="AU485" s="65" t="str">
        <f t="shared" si="145"/>
        <v>Y</v>
      </c>
      <c r="AV485" s="65" t="str">
        <f t="shared" si="150"/>
        <v>Y</v>
      </c>
      <c r="AW485" s="99"/>
      <c r="AX485" s="99"/>
      <c r="AY485" s="19"/>
      <c r="AZ485" s="96" t="str">
        <f t="shared" si="146"/>
        <v>NOEL</v>
      </c>
      <c r="BA485" s="96">
        <f>IF(AZ485="n","n",VLOOKUP(AZ485,'Conversion factors'!$C$4:$D$24,2,FALSE))</f>
        <v>1</v>
      </c>
      <c r="BB485" s="96">
        <f t="shared" si="147"/>
        <v>5300</v>
      </c>
      <c r="BC485" s="97"/>
      <c r="BD485" s="96" t="str">
        <f t="shared" si="137"/>
        <v>Chronic</v>
      </c>
      <c r="BE485" s="96" t="str">
        <f t="shared" si="148"/>
        <v>y</v>
      </c>
      <c r="BF485" s="98" t="str">
        <f t="shared" si="138"/>
        <v>NOEL</v>
      </c>
      <c r="BG485" s="96" t="str">
        <f>IF(BF485="","",IF(ISNUMBER(VLOOKUP(BF485,'Conversion factors'!$B$35:$C$52,2,FALSE)),"y","n"))</f>
        <v>y</v>
      </c>
      <c r="BH485" s="99" t="s">
        <v>1507</v>
      </c>
      <c r="BI485" s="100"/>
      <c r="BJ485" s="100"/>
    </row>
    <row r="486" spans="1:62" s="103" customFormat="1" ht="15.75" customHeight="1" x14ac:dyDescent="0.2">
      <c r="A486" s="18"/>
      <c r="B486" s="107">
        <v>102</v>
      </c>
      <c r="C486" s="36">
        <v>205249</v>
      </c>
      <c r="D486" s="36">
        <v>5249</v>
      </c>
      <c r="E486" s="93" t="s">
        <v>1324</v>
      </c>
      <c r="F486" s="93">
        <v>1980</v>
      </c>
      <c r="G486" s="19"/>
      <c r="H486" s="19" t="s">
        <v>155</v>
      </c>
      <c r="I486" s="19" t="s">
        <v>41</v>
      </c>
      <c r="J486" s="19" t="s">
        <v>114</v>
      </c>
      <c r="K486" s="19" t="s">
        <v>64</v>
      </c>
      <c r="L486" s="19" t="s">
        <v>151</v>
      </c>
      <c r="M486" s="99" t="s">
        <v>153</v>
      </c>
      <c r="N486" s="19" t="s">
        <v>66</v>
      </c>
      <c r="O486" s="19" t="s">
        <v>154</v>
      </c>
      <c r="P486" s="19" t="s">
        <v>162</v>
      </c>
      <c r="Q486" s="19"/>
      <c r="R486" s="19" t="s">
        <v>158</v>
      </c>
      <c r="S486" s="19" t="s">
        <v>157</v>
      </c>
      <c r="T486" s="19" t="s">
        <v>56</v>
      </c>
      <c r="U486" s="19" t="s">
        <v>44</v>
      </c>
      <c r="V486" s="93">
        <v>10</v>
      </c>
      <c r="W486" s="93" t="s">
        <v>45</v>
      </c>
      <c r="X486" s="19" t="s">
        <v>46</v>
      </c>
      <c r="Y486" s="29"/>
      <c r="Z486" s="93"/>
      <c r="AA486" s="93"/>
      <c r="AB486" s="93">
        <v>36.799999999999997</v>
      </c>
      <c r="AC486" s="19" t="s">
        <v>214</v>
      </c>
      <c r="AD486" s="93"/>
      <c r="AE486" s="19">
        <v>46.8</v>
      </c>
      <c r="AF486" s="19">
        <v>46.8</v>
      </c>
      <c r="AG486" s="19"/>
      <c r="AH486" s="19"/>
      <c r="AI486" s="19"/>
      <c r="AJ486" s="19">
        <f>MEDIAN(7.3,7.7)</f>
        <v>7.5</v>
      </c>
      <c r="AK486" s="19" t="s">
        <v>115</v>
      </c>
      <c r="AL486" s="19"/>
      <c r="AM486" s="19" t="s">
        <v>48</v>
      </c>
      <c r="AN486" s="19">
        <v>43.9</v>
      </c>
      <c r="AO486" s="19"/>
      <c r="AP486" s="94"/>
      <c r="AQ486" s="19" t="s">
        <v>116</v>
      </c>
      <c r="AR486" s="108" t="s">
        <v>200</v>
      </c>
      <c r="AS486" s="19"/>
      <c r="AT486" s="65" t="str">
        <f t="shared" si="136"/>
        <v>Y</v>
      </c>
      <c r="AU486" s="65" t="str">
        <f t="shared" si="145"/>
        <v>Y</v>
      </c>
      <c r="AV486" s="65" t="str">
        <f t="shared" si="150"/>
        <v>Y</v>
      </c>
      <c r="AW486" s="99" t="s">
        <v>159</v>
      </c>
      <c r="AX486" s="99"/>
      <c r="AY486" s="19"/>
      <c r="AZ486" s="96" t="str">
        <f t="shared" si="146"/>
        <v>LC50</v>
      </c>
      <c r="BA486" s="96">
        <f>IF(AZ486="n","n",VLOOKUP(AZ486,'Conversion factors'!$C$4:$D$24,2,FALSE))</f>
        <v>5</v>
      </c>
      <c r="BB486" s="96">
        <f t="shared" si="147"/>
        <v>7.3599999999999994</v>
      </c>
      <c r="BC486" s="97"/>
      <c r="BD486" s="96" t="str">
        <f t="shared" si="137"/>
        <v>Chronic</v>
      </c>
      <c r="BE486" s="96" t="str">
        <f t="shared" si="148"/>
        <v>y</v>
      </c>
      <c r="BF486" s="98" t="str">
        <f t="shared" si="138"/>
        <v>LC50</v>
      </c>
      <c r="BG486" s="96" t="str">
        <f>IF(BF486="","",IF(ISNUMBER(VLOOKUP(BF486,'Conversion factors'!$B$35:$C$52,2,FALSE)),"y","n"))</f>
        <v>n</v>
      </c>
      <c r="BH486" s="99"/>
      <c r="BI486" s="100"/>
      <c r="BJ486" s="100"/>
    </row>
    <row r="487" spans="1:62" s="103" customFormat="1" ht="15.75" customHeight="1" x14ac:dyDescent="0.2">
      <c r="A487" s="18"/>
      <c r="B487" s="19">
        <v>295</v>
      </c>
      <c r="C487" s="19"/>
      <c r="D487" s="19">
        <v>104269</v>
      </c>
      <c r="E487" s="19" t="s">
        <v>1224</v>
      </c>
      <c r="F487" s="93">
        <v>2006</v>
      </c>
      <c r="G487" s="19" t="s">
        <v>1033</v>
      </c>
      <c r="H487" s="19"/>
      <c r="I487" s="19" t="s">
        <v>41</v>
      </c>
      <c r="J487" s="19" t="s">
        <v>1034</v>
      </c>
      <c r="K487" s="19" t="s">
        <v>184</v>
      </c>
      <c r="L487" s="19" t="s">
        <v>151</v>
      </c>
      <c r="M487" s="19" t="s">
        <v>183</v>
      </c>
      <c r="N487" s="19" t="s">
        <v>66</v>
      </c>
      <c r="O487" s="19" t="s">
        <v>387</v>
      </c>
      <c r="P487" s="19" t="s">
        <v>1397</v>
      </c>
      <c r="Q487" s="19"/>
      <c r="R487" s="19" t="s">
        <v>537</v>
      </c>
      <c r="S487" s="19" t="s">
        <v>1035</v>
      </c>
      <c r="T487" s="19" t="s">
        <v>454</v>
      </c>
      <c r="U487" s="19" t="s">
        <v>454</v>
      </c>
      <c r="V487" s="19" t="s">
        <v>1219</v>
      </c>
      <c r="W487" s="19" t="s">
        <v>231</v>
      </c>
      <c r="X487" s="19" t="s">
        <v>46</v>
      </c>
      <c r="Y487" s="29"/>
      <c r="Z487" s="19"/>
      <c r="AA487" s="19"/>
      <c r="AB487" s="19" t="s">
        <v>1036</v>
      </c>
      <c r="AC487" s="19" t="s">
        <v>1322</v>
      </c>
      <c r="AD487" s="19"/>
      <c r="AE487" s="19" t="s">
        <v>351</v>
      </c>
      <c r="AF487" s="19" t="s">
        <v>351</v>
      </c>
      <c r="AG487" s="19" t="s">
        <v>235</v>
      </c>
      <c r="AH487" s="19"/>
      <c r="AI487" s="19"/>
      <c r="AJ487" s="19" t="s">
        <v>234</v>
      </c>
      <c r="AK487" s="19" t="s">
        <v>234</v>
      </c>
      <c r="AL487" s="19"/>
      <c r="AM487" s="19" t="s">
        <v>234</v>
      </c>
      <c r="AN487" s="19" t="s">
        <v>234</v>
      </c>
      <c r="AO487" s="19" t="s">
        <v>235</v>
      </c>
      <c r="AP487" s="94"/>
      <c r="AQ487" s="19" t="s">
        <v>234</v>
      </c>
      <c r="AR487" s="19" t="s">
        <v>241</v>
      </c>
      <c r="AS487" s="19"/>
      <c r="AT487" s="65" t="str">
        <f t="shared" si="136"/>
        <v>N</v>
      </c>
      <c r="AU487" s="65" t="str">
        <f t="shared" si="145"/>
        <v>N</v>
      </c>
      <c r="AV487" s="65" t="str">
        <f t="shared" si="150"/>
        <v>N</v>
      </c>
      <c r="AW487" s="99"/>
      <c r="AX487" s="99"/>
      <c r="AY487" s="19"/>
      <c r="AZ487" s="96" t="str">
        <f t="shared" si="146"/>
        <v>n</v>
      </c>
      <c r="BA487" s="96" t="str">
        <f>IF(AZ487="n","n",VLOOKUP(AZ487,'Conversion factors'!$C$4:$D$24,2,FALSE))</f>
        <v>n</v>
      </c>
      <c r="BB487" s="96" t="str">
        <f t="shared" si="147"/>
        <v>n</v>
      </c>
      <c r="BC487" s="97"/>
      <c r="BD487" s="96" t="str">
        <f t="shared" si="137"/>
        <v>n</v>
      </c>
      <c r="BE487" s="96" t="str">
        <f t="shared" si="148"/>
        <v>n</v>
      </c>
      <c r="BF487" s="98" t="str">
        <f t="shared" si="138"/>
        <v/>
      </c>
      <c r="BG487" s="96" t="str">
        <f>IF(BF487="","",IF(ISNUMBER(VLOOKUP(BF487,'Conversion factors'!$B$35:$C$52,2,FALSE)),"y","n"))</f>
        <v/>
      </c>
      <c r="BH487" s="99" t="s">
        <v>1509</v>
      </c>
    </row>
    <row r="488" spans="1:62" s="103" customFormat="1" ht="15.75" customHeight="1" x14ac:dyDescent="0.2">
      <c r="A488" s="18"/>
      <c r="B488" s="19">
        <v>295</v>
      </c>
      <c r="C488" s="19"/>
      <c r="D488" s="19">
        <v>104269</v>
      </c>
      <c r="E488" s="19" t="s">
        <v>1224</v>
      </c>
      <c r="F488" s="93">
        <v>2006</v>
      </c>
      <c r="G488" s="19" t="s">
        <v>1033</v>
      </c>
      <c r="H488" s="19"/>
      <c r="I488" s="19" t="s">
        <v>41</v>
      </c>
      <c r="J488" s="19" t="s">
        <v>1034</v>
      </c>
      <c r="K488" s="19" t="s">
        <v>184</v>
      </c>
      <c r="L488" s="19" t="s">
        <v>151</v>
      </c>
      <c r="M488" s="19" t="s">
        <v>183</v>
      </c>
      <c r="N488" s="19" t="s">
        <v>66</v>
      </c>
      <c r="O488" s="19" t="s">
        <v>387</v>
      </c>
      <c r="P488" s="19" t="s">
        <v>1397</v>
      </c>
      <c r="Q488" s="19"/>
      <c r="R488" s="19" t="s">
        <v>537</v>
      </c>
      <c r="S488" s="19" t="s">
        <v>1035</v>
      </c>
      <c r="T488" s="19" t="s">
        <v>454</v>
      </c>
      <c r="U488" s="19" t="s">
        <v>454</v>
      </c>
      <c r="V488" s="19" t="s">
        <v>1219</v>
      </c>
      <c r="W488" s="19" t="s">
        <v>231</v>
      </c>
      <c r="X488" s="19" t="s">
        <v>46</v>
      </c>
      <c r="Y488" s="29"/>
      <c r="Z488" s="19"/>
      <c r="AA488" s="19"/>
      <c r="AB488" s="19" t="s">
        <v>1036</v>
      </c>
      <c r="AC488" s="19" t="s">
        <v>1322</v>
      </c>
      <c r="AD488" s="19"/>
      <c r="AE488" s="19" t="s">
        <v>351</v>
      </c>
      <c r="AF488" s="19" t="s">
        <v>351</v>
      </c>
      <c r="AG488" s="19" t="s">
        <v>235</v>
      </c>
      <c r="AH488" s="19"/>
      <c r="AI488" s="19"/>
      <c r="AJ488" s="19" t="s">
        <v>234</v>
      </c>
      <c r="AK488" s="19" t="s">
        <v>234</v>
      </c>
      <c r="AL488" s="19"/>
      <c r="AM488" s="19" t="s">
        <v>234</v>
      </c>
      <c r="AN488" s="19" t="s">
        <v>234</v>
      </c>
      <c r="AO488" s="19" t="s">
        <v>235</v>
      </c>
      <c r="AP488" s="94"/>
      <c r="AQ488" s="19" t="s">
        <v>234</v>
      </c>
      <c r="AR488" s="19" t="s">
        <v>241</v>
      </c>
      <c r="AS488" s="19"/>
      <c r="AT488" s="65" t="str">
        <f t="shared" si="136"/>
        <v>N</v>
      </c>
      <c r="AU488" s="65" t="str">
        <f t="shared" si="145"/>
        <v>N</v>
      </c>
      <c r="AV488" s="65" t="str">
        <f t="shared" si="150"/>
        <v>N</v>
      </c>
      <c r="AW488" s="99"/>
      <c r="AX488" s="99"/>
      <c r="AY488" s="19"/>
      <c r="AZ488" s="96" t="str">
        <f t="shared" si="146"/>
        <v>n</v>
      </c>
      <c r="BA488" s="96" t="str">
        <f>IF(AZ488="n","n",VLOOKUP(AZ488,'Conversion factors'!$C$4:$D$24,2,FALSE))</f>
        <v>n</v>
      </c>
      <c r="BB488" s="96" t="str">
        <f t="shared" si="147"/>
        <v>n</v>
      </c>
      <c r="BC488" s="97"/>
      <c r="BD488" s="96" t="str">
        <f t="shared" si="137"/>
        <v>n</v>
      </c>
      <c r="BE488" s="96" t="str">
        <f t="shared" si="148"/>
        <v>n</v>
      </c>
      <c r="BF488" s="98" t="str">
        <f t="shared" si="138"/>
        <v/>
      </c>
      <c r="BG488" s="96" t="str">
        <f>IF(BF488="","",IF(ISNUMBER(VLOOKUP(BF488,'Conversion factors'!$B$35:$C$52,2,FALSE)),"y","n"))</f>
        <v/>
      </c>
      <c r="BH488" s="99" t="s">
        <v>1509</v>
      </c>
    </row>
    <row r="489" spans="1:62" s="103" customFormat="1" ht="15.75" customHeight="1" x14ac:dyDescent="0.2">
      <c r="A489" s="18"/>
      <c r="B489" s="19">
        <v>326</v>
      </c>
      <c r="C489" s="19"/>
      <c r="D489" s="19">
        <v>166615</v>
      </c>
      <c r="E489" s="19" t="s">
        <v>1224</v>
      </c>
      <c r="F489" s="93">
        <v>2011</v>
      </c>
      <c r="G489" s="19" t="s">
        <v>1172</v>
      </c>
      <c r="H489" s="19"/>
      <c r="I489" s="19" t="s">
        <v>41</v>
      </c>
      <c r="J489" s="19" t="s">
        <v>1176</v>
      </c>
      <c r="K489" s="19" t="s">
        <v>184</v>
      </c>
      <c r="L489" s="19" t="s">
        <v>151</v>
      </c>
      <c r="M489" s="19" t="s">
        <v>183</v>
      </c>
      <c r="N489" s="19" t="s">
        <v>66</v>
      </c>
      <c r="O489" s="19" t="s">
        <v>235</v>
      </c>
      <c r="P489" s="19"/>
      <c r="Q489" s="19"/>
      <c r="R489" s="19" t="s">
        <v>81</v>
      </c>
      <c r="S489" s="19" t="s">
        <v>302</v>
      </c>
      <c r="T489" s="19" t="s">
        <v>54</v>
      </c>
      <c r="U489" s="19" t="s">
        <v>54</v>
      </c>
      <c r="V489" s="19" t="s">
        <v>97</v>
      </c>
      <c r="W489" s="19" t="s">
        <v>45</v>
      </c>
      <c r="X489" s="19" t="s">
        <v>46</v>
      </c>
      <c r="Y489" s="29"/>
      <c r="Z489" s="19"/>
      <c r="AA489" s="19"/>
      <c r="AB489" s="19" t="s">
        <v>1174</v>
      </c>
      <c r="AC489" s="19" t="s">
        <v>1322</v>
      </c>
      <c r="AD489" s="19"/>
      <c r="AE489" s="19">
        <v>382.3</v>
      </c>
      <c r="AF489" s="19">
        <v>382.3</v>
      </c>
      <c r="AG489" s="19" t="s">
        <v>216</v>
      </c>
      <c r="AH489" s="19"/>
      <c r="AI489" s="19"/>
      <c r="AJ489" s="19">
        <v>8.35</v>
      </c>
      <c r="AK489" s="19" t="s">
        <v>1175</v>
      </c>
      <c r="AL489" s="19"/>
      <c r="AM489" s="19" t="s">
        <v>234</v>
      </c>
      <c r="AN489" s="19" t="s">
        <v>1030</v>
      </c>
      <c r="AO489" s="19" t="s">
        <v>216</v>
      </c>
      <c r="AP489" s="94"/>
      <c r="AQ489" s="19" t="s">
        <v>102</v>
      </c>
      <c r="AR489" s="19" t="s">
        <v>241</v>
      </c>
      <c r="AS489" s="19"/>
      <c r="AT489" s="65" t="str">
        <f t="shared" si="136"/>
        <v>N</v>
      </c>
      <c r="AU489" s="65" t="str">
        <f t="shared" si="145"/>
        <v>N</v>
      </c>
      <c r="AV489" s="65" t="s">
        <v>162</v>
      </c>
      <c r="AW489" s="99" t="s">
        <v>1405</v>
      </c>
      <c r="AX489" s="99"/>
      <c r="AY489" s="19"/>
      <c r="AZ489" s="96" t="str">
        <f t="shared" si="146"/>
        <v>n</v>
      </c>
      <c r="BA489" s="96" t="str">
        <f>IF(AZ489="n","n",VLOOKUP(AZ489,'Conversion factors'!$C$4:$D$24,2,FALSE))</f>
        <v>n</v>
      </c>
      <c r="BB489" s="96" t="str">
        <f t="shared" si="147"/>
        <v>n</v>
      </c>
      <c r="BC489" s="97"/>
      <c r="BD489" s="96" t="str">
        <f t="shared" si="137"/>
        <v>n</v>
      </c>
      <c r="BE489" s="96" t="str">
        <f t="shared" si="148"/>
        <v>n</v>
      </c>
      <c r="BF489" s="98" t="str">
        <f t="shared" si="138"/>
        <v/>
      </c>
      <c r="BG489" s="96" t="str">
        <f>IF(BF489="","",IF(ISNUMBER(VLOOKUP(BF489,'Conversion factors'!$B$35:$C$52,2,FALSE)),"y","n"))</f>
        <v/>
      </c>
      <c r="BH489" s="99" t="s">
        <v>1507</v>
      </c>
    </row>
    <row r="490" spans="1:62" s="103" customFormat="1" ht="15.75" customHeight="1" x14ac:dyDescent="0.2">
      <c r="A490" s="18"/>
      <c r="B490" s="19">
        <v>326</v>
      </c>
      <c r="C490" s="19"/>
      <c r="D490" s="19">
        <v>166615</v>
      </c>
      <c r="E490" s="19" t="s">
        <v>1224</v>
      </c>
      <c r="F490" s="93">
        <v>2011</v>
      </c>
      <c r="G490" s="19" t="s">
        <v>1172</v>
      </c>
      <c r="H490" s="19"/>
      <c r="I490" s="19" t="s">
        <v>41</v>
      </c>
      <c r="J490" s="19" t="s">
        <v>1176</v>
      </c>
      <c r="K490" s="19" t="s">
        <v>184</v>
      </c>
      <c r="L490" s="19" t="s">
        <v>151</v>
      </c>
      <c r="M490" s="19" t="s">
        <v>183</v>
      </c>
      <c r="N490" s="19" t="s">
        <v>66</v>
      </c>
      <c r="O490" s="19" t="s">
        <v>235</v>
      </c>
      <c r="P490" s="19"/>
      <c r="Q490" s="19"/>
      <c r="R490" s="19" t="s">
        <v>81</v>
      </c>
      <c r="S490" s="19" t="s">
        <v>302</v>
      </c>
      <c r="T490" s="19" t="s">
        <v>54</v>
      </c>
      <c r="U490" s="19" t="s">
        <v>54</v>
      </c>
      <c r="V490" s="19" t="s">
        <v>78</v>
      </c>
      <c r="W490" s="19" t="s">
        <v>45</v>
      </c>
      <c r="X490" s="19" t="s">
        <v>46</v>
      </c>
      <c r="Y490" s="29"/>
      <c r="Z490" s="19"/>
      <c r="AA490" s="19"/>
      <c r="AB490" s="19" t="s">
        <v>1174</v>
      </c>
      <c r="AC490" s="19" t="s">
        <v>1322</v>
      </c>
      <c r="AD490" s="19"/>
      <c r="AE490" s="19">
        <v>382.3</v>
      </c>
      <c r="AF490" s="19">
        <v>382.3</v>
      </c>
      <c r="AG490" s="19" t="s">
        <v>216</v>
      </c>
      <c r="AH490" s="19"/>
      <c r="AI490" s="19"/>
      <c r="AJ490" s="19">
        <v>8.35</v>
      </c>
      <c r="AK490" s="19" t="s">
        <v>1175</v>
      </c>
      <c r="AL490" s="19"/>
      <c r="AM490" s="19" t="s">
        <v>234</v>
      </c>
      <c r="AN490" s="19" t="s">
        <v>1030</v>
      </c>
      <c r="AO490" s="19" t="s">
        <v>216</v>
      </c>
      <c r="AP490" s="94"/>
      <c r="AQ490" s="19" t="s">
        <v>102</v>
      </c>
      <c r="AR490" s="19" t="s">
        <v>241</v>
      </c>
      <c r="AS490" s="19"/>
      <c r="AT490" s="65" t="str">
        <f t="shared" si="136"/>
        <v>N</v>
      </c>
      <c r="AU490" s="65" t="str">
        <f t="shared" si="145"/>
        <v>N</v>
      </c>
      <c r="AV490" s="65" t="s">
        <v>162</v>
      </c>
      <c r="AW490" s="99" t="s">
        <v>1405</v>
      </c>
      <c r="AX490" s="99"/>
      <c r="AY490" s="19"/>
      <c r="AZ490" s="96" t="str">
        <f t="shared" si="146"/>
        <v>n</v>
      </c>
      <c r="BA490" s="96" t="str">
        <f>IF(AZ490="n","n",VLOOKUP(AZ490,'Conversion factors'!$C$4:$D$24,2,FALSE))</f>
        <v>n</v>
      </c>
      <c r="BB490" s="96" t="str">
        <f t="shared" si="147"/>
        <v>n</v>
      </c>
      <c r="BC490" s="97"/>
      <c r="BD490" s="96" t="str">
        <f t="shared" si="137"/>
        <v>n</v>
      </c>
      <c r="BE490" s="96" t="str">
        <f t="shared" si="148"/>
        <v>n</v>
      </c>
      <c r="BF490" s="98" t="str">
        <f t="shared" si="138"/>
        <v/>
      </c>
      <c r="BG490" s="96" t="str">
        <f>IF(BF490="","",IF(ISNUMBER(VLOOKUP(BF490,'Conversion factors'!$B$35:$C$52,2,FALSE)),"y","n"))</f>
        <v/>
      </c>
      <c r="BH490" s="99" t="s">
        <v>1507</v>
      </c>
    </row>
    <row r="491" spans="1:62" s="103" customFormat="1" ht="15.75" customHeight="1" x14ac:dyDescent="0.2">
      <c r="A491" s="18"/>
      <c r="B491" s="113">
        <v>114</v>
      </c>
      <c r="C491" s="36">
        <v>214043</v>
      </c>
      <c r="D491" s="19">
        <v>14043</v>
      </c>
      <c r="E491" s="93" t="s">
        <v>1324</v>
      </c>
      <c r="F491" s="93">
        <v>1994</v>
      </c>
      <c r="G491" s="19" t="s">
        <v>293</v>
      </c>
      <c r="H491" s="19"/>
      <c r="I491" s="19" t="s">
        <v>41</v>
      </c>
      <c r="J491" s="19" t="s">
        <v>149</v>
      </c>
      <c r="K491" s="19" t="s">
        <v>184</v>
      </c>
      <c r="L491" s="99" t="s">
        <v>151</v>
      </c>
      <c r="M491" s="19" t="s">
        <v>183</v>
      </c>
      <c r="N491" s="19" t="s">
        <v>66</v>
      </c>
      <c r="O491" s="19" t="s">
        <v>185</v>
      </c>
      <c r="P491" s="19" t="s">
        <v>162</v>
      </c>
      <c r="Q491" s="19"/>
      <c r="R491" s="19" t="s">
        <v>156</v>
      </c>
      <c r="S491" s="19" t="s">
        <v>156</v>
      </c>
      <c r="T491" s="19" t="s">
        <v>174</v>
      </c>
      <c r="U491" s="19" t="s">
        <v>49</v>
      </c>
      <c r="V491" s="93">
        <v>70</v>
      </c>
      <c r="W491" s="93" t="s">
        <v>45</v>
      </c>
      <c r="X491" s="19" t="s">
        <v>46</v>
      </c>
      <c r="Y491" s="29"/>
      <c r="Z491" s="93"/>
      <c r="AA491" s="93"/>
      <c r="AB491" s="93">
        <v>517</v>
      </c>
      <c r="AC491" s="19" t="s">
        <v>214</v>
      </c>
      <c r="AD491" s="93"/>
      <c r="AE491" s="19">
        <v>267.72000000000003</v>
      </c>
      <c r="AF491" s="19">
        <v>267.72000000000003</v>
      </c>
      <c r="AG491" s="19"/>
      <c r="AH491" s="19"/>
      <c r="AI491" s="19"/>
      <c r="AJ491" s="101">
        <v>7.9</v>
      </c>
      <c r="AK491" s="19" t="s">
        <v>112</v>
      </c>
      <c r="AL491" s="19"/>
      <c r="AM491" s="19"/>
      <c r="AN491" s="19"/>
      <c r="AO491" s="19"/>
      <c r="AP491" s="94">
        <v>6.74</v>
      </c>
      <c r="AQ491" s="19" t="s">
        <v>101</v>
      </c>
      <c r="AR491" s="19" t="s">
        <v>294</v>
      </c>
      <c r="AS491" s="19"/>
      <c r="AT491" s="65" t="str">
        <f t="shared" si="136"/>
        <v>Y</v>
      </c>
      <c r="AU491" s="65" t="str">
        <f t="shared" si="145"/>
        <v>Y</v>
      </c>
      <c r="AV491" s="65" t="str">
        <f>AU491</f>
        <v>Y</v>
      </c>
      <c r="AW491" s="99" t="s">
        <v>1608</v>
      </c>
      <c r="AX491" s="99" t="s">
        <v>1644</v>
      </c>
      <c r="AY491" s="93"/>
      <c r="AZ491" s="96" t="str">
        <f t="shared" si="146"/>
        <v>LC10</v>
      </c>
      <c r="BA491" s="96">
        <f>IF(AZ491="n","n",VLOOKUP(AZ491,'Conversion factors'!$C$4:$D$24,2,FALSE))</f>
        <v>1</v>
      </c>
      <c r="BB491" s="96">
        <f t="shared" si="147"/>
        <v>517</v>
      </c>
      <c r="BC491" s="97"/>
      <c r="BD491" s="96" t="str">
        <f t="shared" si="137"/>
        <v>Chronic</v>
      </c>
      <c r="BE491" s="96" t="str">
        <f t="shared" si="148"/>
        <v>y</v>
      </c>
      <c r="BF491" s="98" t="str">
        <f t="shared" si="138"/>
        <v>LC10</v>
      </c>
      <c r="BG491" s="96" t="str">
        <f>IF(BF491="","",IF(ISNUMBER(VLOOKUP(BF491,'Conversion factors'!$B$35:$C$52,2,FALSE)),"y","n"))</f>
        <v>y</v>
      </c>
      <c r="BH491" s="99"/>
      <c r="BI491" s="103" t="s">
        <v>1644</v>
      </c>
    </row>
    <row r="492" spans="1:62" s="103" customFormat="1" ht="15.75" customHeight="1" x14ac:dyDescent="0.2">
      <c r="A492" s="18"/>
      <c r="B492" s="113">
        <v>114</v>
      </c>
      <c r="C492" s="36">
        <v>214043</v>
      </c>
      <c r="D492" s="19">
        <v>14043</v>
      </c>
      <c r="E492" s="93" t="s">
        <v>1324</v>
      </c>
      <c r="F492" s="93">
        <v>1994</v>
      </c>
      <c r="G492" s="19" t="s">
        <v>293</v>
      </c>
      <c r="H492" s="19"/>
      <c r="I492" s="19" t="s">
        <v>41</v>
      </c>
      <c r="J492" s="19" t="s">
        <v>149</v>
      </c>
      <c r="K492" s="19" t="s">
        <v>184</v>
      </c>
      <c r="L492" s="99" t="s">
        <v>151</v>
      </c>
      <c r="M492" s="19" t="s">
        <v>183</v>
      </c>
      <c r="N492" s="19" t="s">
        <v>66</v>
      </c>
      <c r="O492" s="19" t="s">
        <v>185</v>
      </c>
      <c r="P492" s="19" t="s">
        <v>162</v>
      </c>
      <c r="Q492" s="19"/>
      <c r="R492" s="19" t="s">
        <v>1609</v>
      </c>
      <c r="S492" s="19" t="s">
        <v>1609</v>
      </c>
      <c r="T492" s="19" t="s">
        <v>54</v>
      </c>
      <c r="U492" s="19" t="s">
        <v>54</v>
      </c>
      <c r="V492" s="93">
        <v>70</v>
      </c>
      <c r="W492" s="93" t="s">
        <v>45</v>
      </c>
      <c r="X492" s="19" t="s">
        <v>46</v>
      </c>
      <c r="Y492" s="29"/>
      <c r="Z492" s="93"/>
      <c r="AA492" s="93"/>
      <c r="AB492" s="93">
        <v>101</v>
      </c>
      <c r="AC492" s="19" t="s">
        <v>214</v>
      </c>
      <c r="AD492" s="93"/>
      <c r="AE492" s="19">
        <v>267.72000000000003</v>
      </c>
      <c r="AF492" s="19">
        <v>267.72000000000003</v>
      </c>
      <c r="AG492" s="19"/>
      <c r="AH492" s="19"/>
      <c r="AI492" s="19"/>
      <c r="AJ492" s="101">
        <v>7.9</v>
      </c>
      <c r="AK492" s="19" t="s">
        <v>112</v>
      </c>
      <c r="AL492" s="19"/>
      <c r="AM492" s="19"/>
      <c r="AN492" s="19"/>
      <c r="AO492" s="19"/>
      <c r="AP492" s="94">
        <v>6.74</v>
      </c>
      <c r="AQ492" s="19" t="s">
        <v>101</v>
      </c>
      <c r="AR492" s="19" t="s">
        <v>294</v>
      </c>
      <c r="AS492" s="19"/>
      <c r="AT492" s="65" t="str">
        <f t="shared" si="136"/>
        <v>Y</v>
      </c>
      <c r="AU492" s="65" t="str">
        <f t="shared" ref="AU492" si="156">IF(AT492="N","N",IF(AJ492&lt;6,"N",IF(AJ492&gt;8.5,"N","Y")))</f>
        <v>Y</v>
      </c>
      <c r="AV492" s="65" t="str">
        <f>AU492</f>
        <v>Y</v>
      </c>
      <c r="AW492" s="99" t="s">
        <v>1608</v>
      </c>
      <c r="AX492" s="99" t="s">
        <v>1644</v>
      </c>
      <c r="AY492" s="93"/>
      <c r="AZ492" s="96" t="str">
        <f t="shared" ref="AZ492" si="157">IF(AV492="N","n",T492)</f>
        <v>NOEC</v>
      </c>
      <c r="BA492" s="96">
        <f>IF(AZ492="n","n",VLOOKUP(AZ492,'Conversion factors'!$C$4:$D$24,2,FALSE))</f>
        <v>1</v>
      </c>
      <c r="BB492" s="96">
        <f t="shared" ref="BB492" si="158">IF(BA492="n","n",AB492/BA492)</f>
        <v>101</v>
      </c>
      <c r="BC492" s="97"/>
      <c r="BD492" s="96" t="str">
        <f t="shared" si="137"/>
        <v>Chronic</v>
      </c>
      <c r="BE492" s="96" t="str">
        <f t="shared" ref="BE492" si="159">IF(BD492="chronic","y","n")</f>
        <v>y</v>
      </c>
      <c r="BF492" s="98" t="str">
        <f t="shared" si="138"/>
        <v>NOEC</v>
      </c>
      <c r="BG492" s="96" t="str">
        <f>IF(BF492="","",IF(ISNUMBER(VLOOKUP(BF492,'Conversion factors'!$B$35:$C$52,2,FALSE)),"y","n"))</f>
        <v>y</v>
      </c>
      <c r="BH492" s="99"/>
      <c r="BI492" s="103" t="s">
        <v>1644</v>
      </c>
    </row>
    <row r="493" spans="1:62" s="103" customFormat="1" ht="15.75" customHeight="1" x14ac:dyDescent="0.2">
      <c r="A493" s="18"/>
      <c r="B493" s="113">
        <v>114</v>
      </c>
      <c r="C493" s="36">
        <v>214043</v>
      </c>
      <c r="D493" s="19">
        <v>14043</v>
      </c>
      <c r="E493" s="93" t="s">
        <v>1324</v>
      </c>
      <c r="F493" s="93">
        <v>1994</v>
      </c>
      <c r="G493" s="19" t="s">
        <v>293</v>
      </c>
      <c r="H493" s="19"/>
      <c r="I493" s="19" t="s">
        <v>41</v>
      </c>
      <c r="J493" s="19" t="s">
        <v>149</v>
      </c>
      <c r="K493" s="19" t="s">
        <v>184</v>
      </c>
      <c r="L493" s="19" t="s">
        <v>151</v>
      </c>
      <c r="M493" s="19" t="s">
        <v>183</v>
      </c>
      <c r="N493" s="19" t="s">
        <v>66</v>
      </c>
      <c r="O493" s="19" t="s">
        <v>185</v>
      </c>
      <c r="P493" s="19" t="s">
        <v>162</v>
      </c>
      <c r="Q493" s="19"/>
      <c r="R493" s="19" t="s">
        <v>156</v>
      </c>
      <c r="S493" s="19" t="s">
        <v>156</v>
      </c>
      <c r="T493" s="19" t="s">
        <v>56</v>
      </c>
      <c r="U493" s="19" t="s">
        <v>44</v>
      </c>
      <c r="V493" s="93">
        <v>21</v>
      </c>
      <c r="W493" s="93" t="s">
        <v>45</v>
      </c>
      <c r="X493" s="19" t="s">
        <v>46</v>
      </c>
      <c r="Y493" s="29"/>
      <c r="Z493" s="93"/>
      <c r="AA493" s="93"/>
      <c r="AB493" s="93">
        <v>4293</v>
      </c>
      <c r="AC493" s="19" t="s">
        <v>214</v>
      </c>
      <c r="AD493" s="93"/>
      <c r="AE493" s="19">
        <v>267.72000000000003</v>
      </c>
      <c r="AF493" s="19">
        <v>267.72000000000003</v>
      </c>
      <c r="AG493" s="19"/>
      <c r="AH493" s="19"/>
      <c r="AI493" s="19"/>
      <c r="AJ493" s="19">
        <v>7.9</v>
      </c>
      <c r="AK493" s="19" t="s">
        <v>112</v>
      </c>
      <c r="AL493" s="19"/>
      <c r="AM493" s="19" t="s">
        <v>48</v>
      </c>
      <c r="AN493" s="19"/>
      <c r="AO493" s="19"/>
      <c r="AP493" s="94">
        <v>6.74</v>
      </c>
      <c r="AQ493" s="19" t="s">
        <v>101</v>
      </c>
      <c r="AR493" s="19" t="s">
        <v>294</v>
      </c>
      <c r="AS493" s="19"/>
      <c r="AT493" s="65" t="str">
        <f t="shared" si="136"/>
        <v>Y</v>
      </c>
      <c r="AU493" s="65" t="str">
        <f t="shared" si="145"/>
        <v>Y</v>
      </c>
      <c r="AV493" s="65" t="str">
        <f>AU493</f>
        <v>Y</v>
      </c>
      <c r="AW493" s="109" t="s">
        <v>186</v>
      </c>
      <c r="AX493" s="109"/>
      <c r="AY493" s="93"/>
      <c r="AZ493" s="96" t="str">
        <f t="shared" si="146"/>
        <v>LC50</v>
      </c>
      <c r="BA493" s="96">
        <f>IF(AZ493="n","n",VLOOKUP(AZ493,'Conversion factors'!$C$4:$D$24,2,FALSE))</f>
        <v>5</v>
      </c>
      <c r="BB493" s="96">
        <f t="shared" si="147"/>
        <v>858.6</v>
      </c>
      <c r="BC493" s="97"/>
      <c r="BD493" s="96" t="str">
        <f t="shared" si="137"/>
        <v>Chronic</v>
      </c>
      <c r="BE493" s="96" t="str">
        <f t="shared" si="148"/>
        <v>y</v>
      </c>
      <c r="BF493" s="98" t="str">
        <f t="shared" si="138"/>
        <v>LC50</v>
      </c>
      <c r="BG493" s="96" t="str">
        <f>IF(BF493="","",IF(ISNUMBER(VLOOKUP(BF493,'Conversion factors'!$B$35:$C$52,2,FALSE)),"y","n"))</f>
        <v>n</v>
      </c>
      <c r="BH493" s="99"/>
    </row>
    <row r="494" spans="1:62" s="103" customFormat="1" ht="15.75" customHeight="1" x14ac:dyDescent="0.2">
      <c r="A494" s="18"/>
      <c r="B494" s="113">
        <v>114</v>
      </c>
      <c r="C494" s="36">
        <v>214043</v>
      </c>
      <c r="D494" s="19">
        <v>14043</v>
      </c>
      <c r="E494" s="93" t="s">
        <v>1324</v>
      </c>
      <c r="F494" s="93">
        <v>1994</v>
      </c>
      <c r="G494" s="19" t="s">
        <v>293</v>
      </c>
      <c r="H494" s="19"/>
      <c r="I494" s="19" t="s">
        <v>41</v>
      </c>
      <c r="J494" s="19" t="s">
        <v>149</v>
      </c>
      <c r="K494" s="19" t="s">
        <v>184</v>
      </c>
      <c r="L494" s="19" t="s">
        <v>151</v>
      </c>
      <c r="M494" s="19" t="s">
        <v>183</v>
      </c>
      <c r="N494" s="19" t="s">
        <v>66</v>
      </c>
      <c r="O494" s="19" t="s">
        <v>185</v>
      </c>
      <c r="P494" s="19" t="s">
        <v>162</v>
      </c>
      <c r="Q494" s="19"/>
      <c r="R494" s="19" t="s">
        <v>156</v>
      </c>
      <c r="S494" s="19" t="s">
        <v>156</v>
      </c>
      <c r="T494" s="19" t="s">
        <v>56</v>
      </c>
      <c r="U494" s="19" t="s">
        <v>44</v>
      </c>
      <c r="V494" s="93">
        <v>70</v>
      </c>
      <c r="W494" s="93" t="s">
        <v>45</v>
      </c>
      <c r="X494" s="19" t="s">
        <v>46</v>
      </c>
      <c r="Y494" s="29"/>
      <c r="Z494" s="93"/>
      <c r="AA494" s="93"/>
      <c r="AB494" s="93">
        <v>1065</v>
      </c>
      <c r="AC494" s="19" t="s">
        <v>214</v>
      </c>
      <c r="AD494" s="93"/>
      <c r="AE494" s="19">
        <v>267.72000000000003</v>
      </c>
      <c r="AF494" s="19">
        <v>267.72000000000003</v>
      </c>
      <c r="AG494" s="19"/>
      <c r="AH494" s="19"/>
      <c r="AI494" s="19"/>
      <c r="AJ494" s="19">
        <v>7.9</v>
      </c>
      <c r="AK494" s="19" t="s">
        <v>112</v>
      </c>
      <c r="AL494" s="19"/>
      <c r="AM494" s="19" t="s">
        <v>48</v>
      </c>
      <c r="AN494" s="19"/>
      <c r="AO494" s="19"/>
      <c r="AP494" s="94">
        <v>6.74</v>
      </c>
      <c r="AQ494" s="19" t="s">
        <v>101</v>
      </c>
      <c r="AR494" s="19" t="s">
        <v>294</v>
      </c>
      <c r="AS494" s="19"/>
      <c r="AT494" s="65" t="str">
        <f t="shared" si="136"/>
        <v>Y</v>
      </c>
      <c r="AU494" s="65" t="str">
        <f t="shared" si="145"/>
        <v>Y</v>
      </c>
      <c r="AV494" s="65" t="str">
        <f>AU494</f>
        <v>Y</v>
      </c>
      <c r="AW494" s="109" t="s">
        <v>186</v>
      </c>
      <c r="AX494" s="109"/>
      <c r="AY494" s="93"/>
      <c r="AZ494" s="96" t="str">
        <f t="shared" si="146"/>
        <v>LC50</v>
      </c>
      <c r="BA494" s="96">
        <f>IF(AZ494="n","n",VLOOKUP(AZ494,'Conversion factors'!$C$4:$D$24,2,FALSE))</f>
        <v>5</v>
      </c>
      <c r="BB494" s="96">
        <f t="shared" si="147"/>
        <v>213</v>
      </c>
      <c r="BC494" s="97"/>
      <c r="BD494" s="96" t="str">
        <f t="shared" si="137"/>
        <v>Chronic</v>
      </c>
      <c r="BE494" s="96" t="str">
        <f t="shared" si="148"/>
        <v>y</v>
      </c>
      <c r="BF494" s="98" t="str">
        <f t="shared" si="138"/>
        <v>LC50</v>
      </c>
      <c r="BG494" s="96" t="str">
        <f>IF(BF494="","",IF(ISNUMBER(VLOOKUP(BF494,'Conversion factors'!$B$35:$C$52,2,FALSE)),"y","n"))</f>
        <v>n</v>
      </c>
      <c r="BH494" s="99"/>
    </row>
    <row r="495" spans="1:62" s="103" customFormat="1" ht="15.75" customHeight="1" x14ac:dyDescent="0.2">
      <c r="A495" s="18"/>
      <c r="B495" s="19">
        <v>195</v>
      </c>
      <c r="C495" s="19"/>
      <c r="D495" s="19">
        <v>45063</v>
      </c>
      <c r="E495" s="19" t="s">
        <v>1224</v>
      </c>
      <c r="F495" s="93">
        <v>1996</v>
      </c>
      <c r="G495" s="19" t="s">
        <v>393</v>
      </c>
      <c r="H495" s="19"/>
      <c r="I495" s="19" t="s">
        <v>41</v>
      </c>
      <c r="J495" s="19" t="s">
        <v>394</v>
      </c>
      <c r="K495" s="19" t="s">
        <v>184</v>
      </c>
      <c r="L495" s="19" t="s">
        <v>151</v>
      </c>
      <c r="M495" s="19" t="s">
        <v>183</v>
      </c>
      <c r="N495" s="19" t="s">
        <v>66</v>
      </c>
      <c r="O495" s="19" t="s">
        <v>395</v>
      </c>
      <c r="P495" s="19" t="s">
        <v>51</v>
      </c>
      <c r="Q495" s="19"/>
      <c r="R495" s="19" t="s">
        <v>76</v>
      </c>
      <c r="S495" s="19" t="s">
        <v>396</v>
      </c>
      <c r="T495" s="19" t="s">
        <v>44</v>
      </c>
      <c r="U495" s="19" t="s">
        <v>44</v>
      </c>
      <c r="V495" s="19" t="s">
        <v>415</v>
      </c>
      <c r="W495" s="19" t="s">
        <v>231</v>
      </c>
      <c r="X495" s="19" t="s">
        <v>46</v>
      </c>
      <c r="Y495" s="29"/>
      <c r="Z495" s="19"/>
      <c r="AA495" s="19"/>
      <c r="AB495" s="19">
        <v>5970000</v>
      </c>
      <c r="AC495" s="19" t="s">
        <v>1322</v>
      </c>
      <c r="AD495" s="19"/>
      <c r="AE495" s="19" t="s">
        <v>351</v>
      </c>
      <c r="AF495" s="19" t="s">
        <v>351</v>
      </c>
      <c r="AG495" s="19" t="s">
        <v>235</v>
      </c>
      <c r="AH495" s="19"/>
      <c r="AI495" s="19"/>
      <c r="AJ495" s="19" t="s">
        <v>234</v>
      </c>
      <c r="AK495" s="19" t="s">
        <v>234</v>
      </c>
      <c r="AL495" s="19"/>
      <c r="AM495" s="19" t="s">
        <v>234</v>
      </c>
      <c r="AN495" s="19" t="s">
        <v>234</v>
      </c>
      <c r="AO495" s="19" t="s">
        <v>235</v>
      </c>
      <c r="AP495" s="94"/>
      <c r="AQ495" s="19" t="s">
        <v>101</v>
      </c>
      <c r="AR495" s="19" t="s">
        <v>241</v>
      </c>
      <c r="AS495" s="19"/>
      <c r="AT495" s="65" t="str">
        <f t="shared" si="136"/>
        <v>N</v>
      </c>
      <c r="AU495" s="65" t="str">
        <f t="shared" si="145"/>
        <v>N</v>
      </c>
      <c r="AV495" s="65" t="str">
        <f t="shared" ref="AV495:AV503" si="160">AU495</f>
        <v>N</v>
      </c>
      <c r="AW495" s="99"/>
      <c r="AX495" s="99"/>
      <c r="AY495" s="19"/>
      <c r="AZ495" s="96" t="str">
        <f t="shared" si="146"/>
        <v>n</v>
      </c>
      <c r="BA495" s="96" t="str">
        <f>IF(AZ495="n","n",VLOOKUP(AZ495,'Conversion factors'!$C$4:$D$24,2,FALSE))</f>
        <v>n</v>
      </c>
      <c r="BB495" s="96" t="str">
        <f t="shared" si="147"/>
        <v>n</v>
      </c>
      <c r="BC495" s="97"/>
      <c r="BD495" s="96" t="str">
        <f t="shared" si="137"/>
        <v>n</v>
      </c>
      <c r="BE495" s="96" t="str">
        <f t="shared" si="148"/>
        <v>n</v>
      </c>
      <c r="BF495" s="98" t="str">
        <f t="shared" si="138"/>
        <v/>
      </c>
      <c r="BG495" s="96" t="str">
        <f>IF(BF495="","",IF(ISNUMBER(VLOOKUP(BF495,'Conversion factors'!$B$35:$C$52,2,FALSE)),"y","n"))</f>
        <v/>
      </c>
      <c r="BH495" s="99"/>
    </row>
    <row r="496" spans="1:62" s="103" customFormat="1" ht="15.75" customHeight="1" x14ac:dyDescent="0.25">
      <c r="A496" s="18"/>
      <c r="B496" s="20">
        <v>343</v>
      </c>
      <c r="C496" s="20"/>
      <c r="D496" s="20"/>
      <c r="E496" s="20" t="s">
        <v>1359</v>
      </c>
      <c r="F496" s="93">
        <v>2010</v>
      </c>
      <c r="G496" s="112" t="s">
        <v>1378</v>
      </c>
      <c r="H496" s="20" t="s">
        <v>162</v>
      </c>
      <c r="I496" s="19" t="s">
        <v>1379</v>
      </c>
      <c r="J496" s="19" t="s">
        <v>1380</v>
      </c>
      <c r="K496" s="19" t="s">
        <v>184</v>
      </c>
      <c r="L496" s="19" t="s">
        <v>151</v>
      </c>
      <c r="M496" s="19" t="s">
        <v>183</v>
      </c>
      <c r="N496" s="19" t="s">
        <v>66</v>
      </c>
      <c r="O496" s="19" t="s">
        <v>1381</v>
      </c>
      <c r="P496" s="19" t="s">
        <v>1397</v>
      </c>
      <c r="Q496" s="20"/>
      <c r="R496" s="19" t="s">
        <v>81</v>
      </c>
      <c r="S496" s="19" t="s">
        <v>1354</v>
      </c>
      <c r="T496" s="19" t="s">
        <v>54</v>
      </c>
      <c r="U496" s="19" t="s">
        <v>54</v>
      </c>
      <c r="V496" s="19">
        <v>28</v>
      </c>
      <c r="W496" s="19" t="s">
        <v>45</v>
      </c>
      <c r="X496" s="19" t="s">
        <v>46</v>
      </c>
      <c r="Y496" s="20"/>
      <c r="Z496" s="20"/>
      <c r="AA496" s="20"/>
      <c r="AB496" s="19">
        <v>45</v>
      </c>
      <c r="AC496" s="19" t="s">
        <v>214</v>
      </c>
      <c r="AD496" s="20"/>
      <c r="AE496" s="19">
        <v>48</v>
      </c>
      <c r="AF496" s="19">
        <v>48</v>
      </c>
      <c r="AG496" s="19"/>
      <c r="AH496" s="19"/>
      <c r="AI496" s="19"/>
      <c r="AJ496" s="19">
        <v>8</v>
      </c>
      <c r="AK496" s="19">
        <v>8</v>
      </c>
      <c r="AL496" s="19">
        <v>198</v>
      </c>
      <c r="AM496" s="19"/>
      <c r="AN496" s="19">
        <v>47</v>
      </c>
      <c r="AO496" s="20"/>
      <c r="AP496" s="94"/>
      <c r="AQ496" s="19">
        <v>20</v>
      </c>
      <c r="AR496" s="20"/>
      <c r="AS496" s="20"/>
      <c r="AT496" s="65" t="str">
        <f t="shared" si="136"/>
        <v>Y</v>
      </c>
      <c r="AU496" s="65" t="str">
        <f t="shared" si="145"/>
        <v>Y</v>
      </c>
      <c r="AV496" s="65" t="str">
        <f t="shared" si="160"/>
        <v>Y</v>
      </c>
      <c r="AW496" s="72"/>
      <c r="AX496" s="99" t="s">
        <v>1643</v>
      </c>
      <c r="AY496" s="20"/>
      <c r="AZ496" s="96" t="str">
        <f t="shared" si="146"/>
        <v>NOEC</v>
      </c>
      <c r="BA496" s="96">
        <f>IF(AZ496="n","n",VLOOKUP(AZ496,'Conversion factors'!$C$4:$D$24,2,FALSE))</f>
        <v>1</v>
      </c>
      <c r="BB496" s="96">
        <f t="shared" si="147"/>
        <v>45</v>
      </c>
      <c r="BC496" s="20"/>
      <c r="BD496" s="96" t="str">
        <f t="shared" si="137"/>
        <v>Chronic</v>
      </c>
      <c r="BE496" s="96" t="str">
        <f t="shared" si="148"/>
        <v>y</v>
      </c>
      <c r="BF496" s="98" t="str">
        <f t="shared" si="138"/>
        <v>NOEC</v>
      </c>
      <c r="BG496" s="96" t="str">
        <f>IF(BF496="","",IF(ISNUMBER(VLOOKUP(BF496,'Conversion factors'!$B$35:$C$52,2,FALSE)),"y","n"))</f>
        <v>y</v>
      </c>
      <c r="BH496" s="99" t="s">
        <v>1469</v>
      </c>
      <c r="BI496" s="20" t="s">
        <v>1643</v>
      </c>
      <c r="BJ496" s="20"/>
    </row>
    <row r="497" spans="1:62" s="103" customFormat="1" ht="15.75" customHeight="1" x14ac:dyDescent="0.25">
      <c r="A497" s="18"/>
      <c r="B497" s="20">
        <v>343</v>
      </c>
      <c r="C497" s="20"/>
      <c r="D497" s="20"/>
      <c r="E497" s="20" t="s">
        <v>1359</v>
      </c>
      <c r="F497" s="93">
        <v>2010</v>
      </c>
      <c r="G497" s="112" t="s">
        <v>1378</v>
      </c>
      <c r="H497" s="20" t="s">
        <v>162</v>
      </c>
      <c r="I497" s="19" t="s">
        <v>1379</v>
      </c>
      <c r="J497" s="19" t="s">
        <v>1380</v>
      </c>
      <c r="K497" s="19" t="s">
        <v>184</v>
      </c>
      <c r="L497" s="19" t="s">
        <v>151</v>
      </c>
      <c r="M497" s="19" t="s">
        <v>183</v>
      </c>
      <c r="N497" s="19" t="s">
        <v>66</v>
      </c>
      <c r="O497" s="19" t="s">
        <v>1382</v>
      </c>
      <c r="P497" s="19" t="s">
        <v>1397</v>
      </c>
      <c r="Q497" s="20"/>
      <c r="R497" s="19" t="s">
        <v>81</v>
      </c>
      <c r="S497" s="19" t="s">
        <v>1354</v>
      </c>
      <c r="T497" s="19" t="s">
        <v>54</v>
      </c>
      <c r="U497" s="19" t="s">
        <v>54</v>
      </c>
      <c r="V497" s="19">
        <v>28</v>
      </c>
      <c r="W497" s="19" t="s">
        <v>45</v>
      </c>
      <c r="X497" s="19" t="s">
        <v>46</v>
      </c>
      <c r="Y497" s="20"/>
      <c r="Z497" s="20"/>
      <c r="AA497" s="20"/>
      <c r="AB497" s="19">
        <v>48</v>
      </c>
      <c r="AC497" s="19" t="s">
        <v>214</v>
      </c>
      <c r="AD497" s="20"/>
      <c r="AE497" s="19">
        <v>49</v>
      </c>
      <c r="AF497" s="19">
        <v>49</v>
      </c>
      <c r="AG497" s="19"/>
      <c r="AH497" s="19"/>
      <c r="AI497" s="19"/>
      <c r="AJ497" s="19">
        <v>7.8</v>
      </c>
      <c r="AK497" s="19">
        <v>7.8</v>
      </c>
      <c r="AL497" s="19">
        <v>215</v>
      </c>
      <c r="AM497" s="19"/>
      <c r="AN497" s="19">
        <v>41</v>
      </c>
      <c r="AO497" s="20"/>
      <c r="AP497" s="94"/>
      <c r="AQ497" s="19">
        <v>20</v>
      </c>
      <c r="AR497" s="20"/>
      <c r="AS497" s="20"/>
      <c r="AT497" s="65" t="str">
        <f t="shared" si="136"/>
        <v>Y</v>
      </c>
      <c r="AU497" s="65" t="str">
        <f t="shared" si="145"/>
        <v>Y</v>
      </c>
      <c r="AV497" s="65" t="str">
        <f t="shared" si="160"/>
        <v>Y</v>
      </c>
      <c r="AW497" s="72"/>
      <c r="AX497" s="99" t="s">
        <v>1643</v>
      </c>
      <c r="AY497" s="20"/>
      <c r="AZ497" s="96" t="str">
        <f t="shared" si="146"/>
        <v>NOEC</v>
      </c>
      <c r="BA497" s="96">
        <f>IF(AZ497="n","n",VLOOKUP(AZ497,'Conversion factors'!$C$4:$D$24,2,FALSE))</f>
        <v>1</v>
      </c>
      <c r="BB497" s="96">
        <f t="shared" si="147"/>
        <v>48</v>
      </c>
      <c r="BC497" s="20"/>
      <c r="BD497" s="96" t="str">
        <f t="shared" si="137"/>
        <v>Chronic</v>
      </c>
      <c r="BE497" s="96" t="str">
        <f t="shared" si="148"/>
        <v>y</v>
      </c>
      <c r="BF497" s="98" t="str">
        <f t="shared" si="138"/>
        <v>NOEC</v>
      </c>
      <c r="BG497" s="96" t="str">
        <f>IF(BF497="","",IF(ISNUMBER(VLOOKUP(BF497,'Conversion factors'!$B$35:$C$52,2,FALSE)),"y","n"))</f>
        <v>y</v>
      </c>
      <c r="BH497" s="99" t="s">
        <v>1469</v>
      </c>
      <c r="BI497" s="20" t="s">
        <v>1643</v>
      </c>
      <c r="BJ497" s="20"/>
    </row>
    <row r="498" spans="1:62" s="103" customFormat="1" ht="15.75" customHeight="1" x14ac:dyDescent="0.25">
      <c r="A498" s="18"/>
      <c r="B498" s="20">
        <v>343</v>
      </c>
      <c r="C498" s="20"/>
      <c r="D498" s="20"/>
      <c r="E498" s="20" t="s">
        <v>1359</v>
      </c>
      <c r="F498" s="93">
        <v>2010</v>
      </c>
      <c r="G498" s="112" t="s">
        <v>1378</v>
      </c>
      <c r="H498" s="20" t="s">
        <v>162</v>
      </c>
      <c r="I498" s="19" t="s">
        <v>1379</v>
      </c>
      <c r="J498" s="19" t="s">
        <v>1380</v>
      </c>
      <c r="K498" s="19" t="s">
        <v>184</v>
      </c>
      <c r="L498" s="99" t="s">
        <v>151</v>
      </c>
      <c r="M498" s="19" t="s">
        <v>183</v>
      </c>
      <c r="N498" s="19" t="s">
        <v>66</v>
      </c>
      <c r="O498" s="19" t="s">
        <v>1381</v>
      </c>
      <c r="P498" s="19" t="s">
        <v>1397</v>
      </c>
      <c r="Q498" s="20"/>
      <c r="R498" s="19" t="s">
        <v>81</v>
      </c>
      <c r="S498" s="19" t="s">
        <v>1354</v>
      </c>
      <c r="T498" s="19" t="s">
        <v>1062</v>
      </c>
      <c r="U498" s="19" t="s">
        <v>49</v>
      </c>
      <c r="V498" s="19">
        <v>28</v>
      </c>
      <c r="W498" s="19" t="s">
        <v>45</v>
      </c>
      <c r="X498" s="19" t="s">
        <v>46</v>
      </c>
      <c r="Y498" s="20"/>
      <c r="Z498" s="20"/>
      <c r="AA498" s="20"/>
      <c r="AB498" s="20">
        <v>55</v>
      </c>
      <c r="AC498" s="19" t="s">
        <v>214</v>
      </c>
      <c r="AD498" s="20"/>
      <c r="AE498" s="19">
        <v>48</v>
      </c>
      <c r="AF498" s="19">
        <v>48</v>
      </c>
      <c r="AG498" s="19"/>
      <c r="AH498" s="19"/>
      <c r="AI498" s="19"/>
      <c r="AJ498" s="101">
        <v>8</v>
      </c>
      <c r="AK498" s="19">
        <v>8</v>
      </c>
      <c r="AL498" s="19">
        <v>198</v>
      </c>
      <c r="AM498" s="19"/>
      <c r="AN498" s="19">
        <v>47</v>
      </c>
      <c r="AO498" s="20"/>
      <c r="AP498" s="94"/>
      <c r="AQ498" s="19">
        <v>20</v>
      </c>
      <c r="AR498" s="20"/>
      <c r="AS498" s="20"/>
      <c r="AT498" s="65" t="str">
        <f t="shared" si="136"/>
        <v>Y</v>
      </c>
      <c r="AU498" s="65" t="str">
        <f t="shared" si="145"/>
        <v>Y</v>
      </c>
      <c r="AV498" s="65" t="str">
        <f t="shared" si="160"/>
        <v>Y</v>
      </c>
      <c r="AW498" s="72"/>
      <c r="AX498" s="99" t="s">
        <v>1643</v>
      </c>
      <c r="AY498" s="20"/>
      <c r="AZ498" s="96" t="str">
        <f t="shared" si="146"/>
        <v>IC10</v>
      </c>
      <c r="BA498" s="96">
        <f>IF(AZ498="n","n",VLOOKUP(AZ498,'Conversion factors'!$C$4:$D$24,2,FALSE))</f>
        <v>1</v>
      </c>
      <c r="BB498" s="96">
        <f t="shared" si="147"/>
        <v>55</v>
      </c>
      <c r="BC498" s="20"/>
      <c r="BD498" s="96" t="str">
        <f t="shared" si="137"/>
        <v>Chronic</v>
      </c>
      <c r="BE498" s="96" t="str">
        <f t="shared" si="148"/>
        <v>y</v>
      </c>
      <c r="BF498" s="98" t="str">
        <f t="shared" si="138"/>
        <v>IC10</v>
      </c>
      <c r="BG498" s="96" t="str">
        <f>IF(BF498="","",IF(ISNUMBER(VLOOKUP(BF498,'Conversion factors'!$B$35:$C$52,2,FALSE)),"y","n"))</f>
        <v>y</v>
      </c>
      <c r="BH498" s="99"/>
      <c r="BI498" s="20" t="s">
        <v>1643</v>
      </c>
      <c r="BJ498" s="20"/>
    </row>
    <row r="499" spans="1:62" s="103" customFormat="1" ht="15.75" customHeight="1" x14ac:dyDescent="0.25">
      <c r="A499" s="18"/>
      <c r="B499" s="20">
        <v>343</v>
      </c>
      <c r="C499" s="20"/>
      <c r="D499" s="20"/>
      <c r="E499" s="20" t="s">
        <v>1359</v>
      </c>
      <c r="F499" s="93">
        <v>2010</v>
      </c>
      <c r="G499" s="112" t="s">
        <v>1378</v>
      </c>
      <c r="H499" s="20" t="s">
        <v>162</v>
      </c>
      <c r="I499" s="19" t="s">
        <v>1379</v>
      </c>
      <c r="J499" s="19" t="s">
        <v>1380</v>
      </c>
      <c r="K499" s="19" t="s">
        <v>184</v>
      </c>
      <c r="L499" s="19" t="s">
        <v>151</v>
      </c>
      <c r="M499" s="19" t="s">
        <v>183</v>
      </c>
      <c r="N499" s="19" t="s">
        <v>66</v>
      </c>
      <c r="O499" s="19" t="s">
        <v>1382</v>
      </c>
      <c r="P499" s="19" t="s">
        <v>1397</v>
      </c>
      <c r="Q499" s="20"/>
      <c r="R499" s="19" t="s">
        <v>81</v>
      </c>
      <c r="S499" s="19" t="s">
        <v>1354</v>
      </c>
      <c r="T499" s="19" t="s">
        <v>1062</v>
      </c>
      <c r="U499" s="19" t="s">
        <v>49</v>
      </c>
      <c r="V499" s="19">
        <v>28</v>
      </c>
      <c r="W499" s="19" t="s">
        <v>45</v>
      </c>
      <c r="X499" s="19" t="s">
        <v>46</v>
      </c>
      <c r="Y499" s="20"/>
      <c r="Z499" s="20"/>
      <c r="AA499" s="20"/>
      <c r="AB499" s="20" t="s">
        <v>1383</v>
      </c>
      <c r="AC499" s="19" t="s">
        <v>214</v>
      </c>
      <c r="AD499" s="20"/>
      <c r="AE499" s="19">
        <v>49</v>
      </c>
      <c r="AF499" s="19">
        <v>49</v>
      </c>
      <c r="AG499" s="19"/>
      <c r="AH499" s="19"/>
      <c r="AI499" s="19"/>
      <c r="AJ499" s="19">
        <v>7.8</v>
      </c>
      <c r="AK499" s="19">
        <v>7.8</v>
      </c>
      <c r="AL499" s="19">
        <v>215</v>
      </c>
      <c r="AM499" s="19"/>
      <c r="AN499" s="19">
        <v>41</v>
      </c>
      <c r="AO499" s="20"/>
      <c r="AP499" s="94"/>
      <c r="AQ499" s="19">
        <v>20</v>
      </c>
      <c r="AR499" s="20"/>
      <c r="AS499" s="20"/>
      <c r="AT499" s="65" t="str">
        <f t="shared" si="136"/>
        <v>Y</v>
      </c>
      <c r="AU499" s="65" t="str">
        <f t="shared" si="145"/>
        <v>Y</v>
      </c>
      <c r="AV499" s="65" t="str">
        <f t="shared" si="160"/>
        <v>Y</v>
      </c>
      <c r="AW499" s="72"/>
      <c r="AX499" s="99" t="s">
        <v>1643</v>
      </c>
      <c r="AY499" s="20"/>
      <c r="AZ499" s="96" t="str">
        <f t="shared" si="146"/>
        <v>IC10</v>
      </c>
      <c r="BA499" s="96">
        <f>IF(AZ499="n","n",VLOOKUP(AZ499,'Conversion factors'!$C$4:$D$24,2,FALSE))</f>
        <v>1</v>
      </c>
      <c r="BB499" s="96" t="e">
        <f t="shared" si="147"/>
        <v>#VALUE!</v>
      </c>
      <c r="BC499" s="20"/>
      <c r="BD499" s="96" t="str">
        <f t="shared" si="137"/>
        <v>Chronic</v>
      </c>
      <c r="BE499" s="96" t="str">
        <f t="shared" si="148"/>
        <v>y</v>
      </c>
      <c r="BF499" s="98" t="str">
        <f t="shared" si="138"/>
        <v>IC10</v>
      </c>
      <c r="BG499" s="96" t="str">
        <f>IF(BF499="","",IF(ISNUMBER(VLOOKUP(BF499,'Conversion factors'!$B$35:$C$52,2,FALSE)),"y","n"))</f>
        <v>y</v>
      </c>
      <c r="BH499" s="99"/>
      <c r="BI499" s="20" t="s">
        <v>1643</v>
      </c>
      <c r="BJ499" s="20"/>
    </row>
    <row r="500" spans="1:62" s="103" customFormat="1" ht="15.75" customHeight="1" x14ac:dyDescent="0.25">
      <c r="A500" s="18"/>
      <c r="B500" s="20">
        <v>343</v>
      </c>
      <c r="C500" s="20"/>
      <c r="D500" s="20"/>
      <c r="E500" s="20" t="s">
        <v>1359</v>
      </c>
      <c r="F500" s="93">
        <v>2010</v>
      </c>
      <c r="G500" s="112" t="s">
        <v>1378</v>
      </c>
      <c r="H500" s="20" t="s">
        <v>162</v>
      </c>
      <c r="I500" s="19" t="s">
        <v>1379</v>
      </c>
      <c r="J500" s="19" t="s">
        <v>1380</v>
      </c>
      <c r="K500" s="19" t="s">
        <v>184</v>
      </c>
      <c r="L500" s="19" t="s">
        <v>151</v>
      </c>
      <c r="M500" s="19" t="s">
        <v>183</v>
      </c>
      <c r="N500" s="19" t="s">
        <v>66</v>
      </c>
      <c r="O500" s="19" t="s">
        <v>1381</v>
      </c>
      <c r="P500" s="19" t="s">
        <v>1397</v>
      </c>
      <c r="Q500" s="20"/>
      <c r="R500" s="19" t="s">
        <v>237</v>
      </c>
      <c r="S500" s="19" t="s">
        <v>79</v>
      </c>
      <c r="T500" s="19" t="s">
        <v>54</v>
      </c>
      <c r="U500" s="19" t="s">
        <v>54</v>
      </c>
      <c r="V500" s="19">
        <v>28</v>
      </c>
      <c r="W500" s="19" t="s">
        <v>45</v>
      </c>
      <c r="X500" s="19" t="s">
        <v>46</v>
      </c>
      <c r="Y500" s="20"/>
      <c r="Z500" s="20"/>
      <c r="AA500" s="20"/>
      <c r="AB500" s="19">
        <v>87</v>
      </c>
      <c r="AC500" s="19" t="s">
        <v>214</v>
      </c>
      <c r="AD500" s="20"/>
      <c r="AE500" s="19">
        <v>48</v>
      </c>
      <c r="AF500" s="19">
        <v>48</v>
      </c>
      <c r="AG500" s="19"/>
      <c r="AH500" s="19"/>
      <c r="AI500" s="19"/>
      <c r="AJ500" s="19">
        <v>8</v>
      </c>
      <c r="AK500" s="19">
        <v>8</v>
      </c>
      <c r="AL500" s="19">
        <v>198</v>
      </c>
      <c r="AM500" s="19"/>
      <c r="AN500" s="19">
        <v>47</v>
      </c>
      <c r="AO500" s="20"/>
      <c r="AP500" s="94"/>
      <c r="AQ500" s="19">
        <v>20</v>
      </c>
      <c r="AR500" s="20"/>
      <c r="AS500" s="20"/>
      <c r="AT500" s="65" t="str">
        <f t="shared" si="136"/>
        <v>Y</v>
      </c>
      <c r="AU500" s="65" t="str">
        <f t="shared" si="145"/>
        <v>Y</v>
      </c>
      <c r="AV500" s="65" t="str">
        <f t="shared" si="160"/>
        <v>Y</v>
      </c>
      <c r="AW500" s="72"/>
      <c r="AX500" s="99" t="s">
        <v>1643</v>
      </c>
      <c r="AY500" s="20"/>
      <c r="AZ500" s="96" t="str">
        <f t="shared" si="146"/>
        <v>NOEC</v>
      </c>
      <c r="BA500" s="96">
        <f>IF(AZ500="n","n",VLOOKUP(AZ500,'Conversion factors'!$C$4:$D$24,2,FALSE))</f>
        <v>1</v>
      </c>
      <c r="BB500" s="96">
        <f t="shared" si="147"/>
        <v>87</v>
      </c>
      <c r="BC500" s="20"/>
      <c r="BD500" s="96" t="str">
        <f t="shared" si="137"/>
        <v>Chronic</v>
      </c>
      <c r="BE500" s="96" t="str">
        <f t="shared" si="148"/>
        <v>y</v>
      </c>
      <c r="BF500" s="98" t="str">
        <f t="shared" si="138"/>
        <v>NOEC</v>
      </c>
      <c r="BG500" s="96" t="str">
        <f>IF(BF500="","",IF(ISNUMBER(VLOOKUP(BF500,'Conversion factors'!$B$35:$C$52,2,FALSE)),"y","n"))</f>
        <v>y</v>
      </c>
      <c r="BH500" s="99" t="s">
        <v>1469</v>
      </c>
      <c r="BI500" s="20" t="s">
        <v>1643</v>
      </c>
      <c r="BJ500" s="20"/>
    </row>
    <row r="501" spans="1:62" s="103" customFormat="1" ht="15.75" customHeight="1" x14ac:dyDescent="0.25">
      <c r="A501" s="18"/>
      <c r="B501" s="20">
        <v>343</v>
      </c>
      <c r="C501" s="20"/>
      <c r="D501" s="20"/>
      <c r="E501" s="20" t="s">
        <v>1359</v>
      </c>
      <c r="F501" s="93">
        <v>2010</v>
      </c>
      <c r="G501" s="112" t="s">
        <v>1378</v>
      </c>
      <c r="H501" s="20" t="s">
        <v>162</v>
      </c>
      <c r="I501" s="19" t="s">
        <v>1379</v>
      </c>
      <c r="J501" s="19" t="s">
        <v>1380</v>
      </c>
      <c r="K501" s="19" t="s">
        <v>184</v>
      </c>
      <c r="L501" s="19" t="s">
        <v>151</v>
      </c>
      <c r="M501" s="19" t="s">
        <v>183</v>
      </c>
      <c r="N501" s="19" t="s">
        <v>66</v>
      </c>
      <c r="O501" s="19" t="s">
        <v>1382</v>
      </c>
      <c r="P501" s="19" t="s">
        <v>1397</v>
      </c>
      <c r="Q501" s="20"/>
      <c r="R501" s="19" t="s">
        <v>237</v>
      </c>
      <c r="S501" s="19" t="s">
        <v>79</v>
      </c>
      <c r="T501" s="19" t="s">
        <v>54</v>
      </c>
      <c r="U501" s="19" t="s">
        <v>54</v>
      </c>
      <c r="V501" s="19">
        <v>28</v>
      </c>
      <c r="W501" s="19" t="s">
        <v>45</v>
      </c>
      <c r="X501" s="19" t="s">
        <v>46</v>
      </c>
      <c r="Y501" s="20"/>
      <c r="Z501" s="20"/>
      <c r="AA501" s="20"/>
      <c r="AB501" s="19">
        <v>97</v>
      </c>
      <c r="AC501" s="19" t="s">
        <v>214</v>
      </c>
      <c r="AD501" s="20"/>
      <c r="AE501" s="19">
        <v>49</v>
      </c>
      <c r="AF501" s="19">
        <v>49</v>
      </c>
      <c r="AG501" s="19"/>
      <c r="AH501" s="19"/>
      <c r="AI501" s="19"/>
      <c r="AJ501" s="19">
        <v>7.8</v>
      </c>
      <c r="AK501" s="19">
        <v>7.8</v>
      </c>
      <c r="AL501" s="19">
        <v>215</v>
      </c>
      <c r="AM501" s="19"/>
      <c r="AN501" s="19">
        <v>41</v>
      </c>
      <c r="AO501" s="20"/>
      <c r="AP501" s="94"/>
      <c r="AQ501" s="19">
        <v>20</v>
      </c>
      <c r="AR501" s="20"/>
      <c r="AS501" s="20"/>
      <c r="AT501" s="65" t="str">
        <f t="shared" si="136"/>
        <v>Y</v>
      </c>
      <c r="AU501" s="65" t="str">
        <f t="shared" si="145"/>
        <v>Y</v>
      </c>
      <c r="AV501" s="65" t="str">
        <f t="shared" si="160"/>
        <v>Y</v>
      </c>
      <c r="AW501" s="72"/>
      <c r="AX501" s="99" t="s">
        <v>1643</v>
      </c>
      <c r="AY501" s="20"/>
      <c r="AZ501" s="96" t="str">
        <f t="shared" si="146"/>
        <v>NOEC</v>
      </c>
      <c r="BA501" s="96">
        <f>IF(AZ501="n","n",VLOOKUP(AZ501,'Conversion factors'!$C$4:$D$24,2,FALSE))</f>
        <v>1</v>
      </c>
      <c r="BB501" s="96">
        <f t="shared" si="147"/>
        <v>97</v>
      </c>
      <c r="BC501" s="20"/>
      <c r="BD501" s="96" t="str">
        <f t="shared" si="137"/>
        <v>Chronic</v>
      </c>
      <c r="BE501" s="96" t="str">
        <f t="shared" si="148"/>
        <v>y</v>
      </c>
      <c r="BF501" s="98" t="str">
        <f t="shared" si="138"/>
        <v>NOEC</v>
      </c>
      <c r="BG501" s="96" t="str">
        <f>IF(BF501="","",IF(ISNUMBER(VLOOKUP(BF501,'Conversion factors'!$B$35:$C$52,2,FALSE)),"y","n"))</f>
        <v>y</v>
      </c>
      <c r="BH501" s="99" t="s">
        <v>1469</v>
      </c>
      <c r="BI501" s="20" t="s">
        <v>1643</v>
      </c>
      <c r="BJ501" s="20"/>
    </row>
    <row r="502" spans="1:62" s="103" customFormat="1" ht="15.75" customHeight="1" x14ac:dyDescent="0.25">
      <c r="A502" s="18"/>
      <c r="B502" s="20">
        <v>343</v>
      </c>
      <c r="C502" s="20"/>
      <c r="D502" s="20"/>
      <c r="E502" s="20" t="s">
        <v>1359</v>
      </c>
      <c r="F502" s="93">
        <v>2010</v>
      </c>
      <c r="G502" s="112" t="s">
        <v>1378</v>
      </c>
      <c r="H502" s="20" t="s">
        <v>162</v>
      </c>
      <c r="I502" s="19" t="s">
        <v>1379</v>
      </c>
      <c r="J502" s="19" t="s">
        <v>1380</v>
      </c>
      <c r="K502" s="19" t="s">
        <v>184</v>
      </c>
      <c r="L502" s="99" t="s">
        <v>151</v>
      </c>
      <c r="M502" s="19" t="s">
        <v>183</v>
      </c>
      <c r="N502" s="19" t="s">
        <v>66</v>
      </c>
      <c r="O502" s="19" t="s">
        <v>1381</v>
      </c>
      <c r="P502" s="19" t="s">
        <v>1397</v>
      </c>
      <c r="Q502" s="20"/>
      <c r="R502" s="19" t="s">
        <v>237</v>
      </c>
      <c r="S502" s="19" t="s">
        <v>79</v>
      </c>
      <c r="T502" s="19" t="s">
        <v>1062</v>
      </c>
      <c r="U502" s="19" t="s">
        <v>49</v>
      </c>
      <c r="V502" s="19">
        <v>28</v>
      </c>
      <c r="W502" s="19" t="s">
        <v>45</v>
      </c>
      <c r="X502" s="19" t="s">
        <v>46</v>
      </c>
      <c r="Y502" s="20"/>
      <c r="Z502" s="20"/>
      <c r="AA502" s="20"/>
      <c r="AB502" s="19">
        <v>127</v>
      </c>
      <c r="AC502" s="19" t="s">
        <v>214</v>
      </c>
      <c r="AD502" s="20"/>
      <c r="AE502" s="19">
        <v>48</v>
      </c>
      <c r="AF502" s="19">
        <v>48</v>
      </c>
      <c r="AG502" s="19"/>
      <c r="AH502" s="19"/>
      <c r="AI502" s="19"/>
      <c r="AJ502" s="101">
        <v>8</v>
      </c>
      <c r="AK502" s="19">
        <v>8</v>
      </c>
      <c r="AL502" s="19">
        <v>198</v>
      </c>
      <c r="AM502" s="19"/>
      <c r="AN502" s="19">
        <v>47</v>
      </c>
      <c r="AO502" s="20"/>
      <c r="AP502" s="94"/>
      <c r="AQ502" s="19">
        <v>20</v>
      </c>
      <c r="AR502" s="20"/>
      <c r="AS502" s="20"/>
      <c r="AT502" s="65" t="str">
        <f t="shared" si="136"/>
        <v>Y</v>
      </c>
      <c r="AU502" s="65" t="str">
        <f t="shared" si="145"/>
        <v>Y</v>
      </c>
      <c r="AV502" s="65" t="str">
        <f t="shared" si="160"/>
        <v>Y</v>
      </c>
      <c r="AW502" s="72"/>
      <c r="AX502" s="99" t="s">
        <v>1643</v>
      </c>
      <c r="AY502" s="20"/>
      <c r="AZ502" s="96" t="str">
        <f t="shared" si="146"/>
        <v>IC10</v>
      </c>
      <c r="BA502" s="96">
        <f>IF(AZ502="n","n",VLOOKUP(AZ502,'Conversion factors'!$C$4:$D$24,2,FALSE))</f>
        <v>1</v>
      </c>
      <c r="BB502" s="96">
        <f t="shared" si="147"/>
        <v>127</v>
      </c>
      <c r="BC502" s="20"/>
      <c r="BD502" s="96" t="str">
        <f t="shared" si="137"/>
        <v>Chronic</v>
      </c>
      <c r="BE502" s="96" t="str">
        <f t="shared" si="148"/>
        <v>y</v>
      </c>
      <c r="BF502" s="98" t="str">
        <f t="shared" si="138"/>
        <v>IC10</v>
      </c>
      <c r="BG502" s="96" t="str">
        <f>IF(BF502="","",IF(ISNUMBER(VLOOKUP(BF502,'Conversion factors'!$B$35:$C$52,2,FALSE)),"y","n"))</f>
        <v>y</v>
      </c>
      <c r="BH502" s="99"/>
      <c r="BI502" s="20" t="s">
        <v>1643</v>
      </c>
      <c r="BJ502" s="20"/>
    </row>
    <row r="503" spans="1:62" s="103" customFormat="1" ht="15.75" customHeight="1" x14ac:dyDescent="0.25">
      <c r="A503" s="18"/>
      <c r="B503" s="20">
        <v>343</v>
      </c>
      <c r="C503" s="20"/>
      <c r="D503" s="20"/>
      <c r="E503" s="20" t="s">
        <v>1359</v>
      </c>
      <c r="F503" s="93">
        <v>2010</v>
      </c>
      <c r="G503" s="112" t="s">
        <v>1378</v>
      </c>
      <c r="H503" s="20" t="s">
        <v>162</v>
      </c>
      <c r="I503" s="19" t="s">
        <v>1379</v>
      </c>
      <c r="J503" s="19" t="s">
        <v>1380</v>
      </c>
      <c r="K503" s="19" t="s">
        <v>184</v>
      </c>
      <c r="L503" s="99" t="s">
        <v>151</v>
      </c>
      <c r="M503" s="19" t="s">
        <v>183</v>
      </c>
      <c r="N503" s="19" t="s">
        <v>66</v>
      </c>
      <c r="O503" s="19" t="s">
        <v>1382</v>
      </c>
      <c r="P503" s="19" t="s">
        <v>1397</v>
      </c>
      <c r="Q503" s="20"/>
      <c r="R503" s="19" t="s">
        <v>237</v>
      </c>
      <c r="S503" s="19" t="s">
        <v>79</v>
      </c>
      <c r="T503" s="19" t="s">
        <v>1062</v>
      </c>
      <c r="U503" s="19" t="s">
        <v>49</v>
      </c>
      <c r="V503" s="19">
        <v>28</v>
      </c>
      <c r="W503" s="19" t="s">
        <v>45</v>
      </c>
      <c r="X503" s="19" t="s">
        <v>46</v>
      </c>
      <c r="Y503" s="20"/>
      <c r="Z503" s="20"/>
      <c r="AA503" s="20"/>
      <c r="AB503" s="19">
        <v>125</v>
      </c>
      <c r="AC503" s="19" t="s">
        <v>214</v>
      </c>
      <c r="AD503" s="20"/>
      <c r="AE503" s="19">
        <v>49</v>
      </c>
      <c r="AF503" s="19">
        <v>49</v>
      </c>
      <c r="AG503" s="19"/>
      <c r="AH503" s="19"/>
      <c r="AI503" s="19"/>
      <c r="AJ503" s="101">
        <v>7.8</v>
      </c>
      <c r="AK503" s="19">
        <v>7.8</v>
      </c>
      <c r="AL503" s="19">
        <v>215</v>
      </c>
      <c r="AM503" s="19"/>
      <c r="AN503" s="19">
        <v>41</v>
      </c>
      <c r="AO503" s="20"/>
      <c r="AP503" s="94"/>
      <c r="AQ503" s="19">
        <v>20</v>
      </c>
      <c r="AR503" s="20"/>
      <c r="AS503" s="20"/>
      <c r="AT503" s="65" t="str">
        <f t="shared" si="136"/>
        <v>Y</v>
      </c>
      <c r="AU503" s="65" t="str">
        <f t="shared" si="145"/>
        <v>Y</v>
      </c>
      <c r="AV503" s="65" t="str">
        <f t="shared" si="160"/>
        <v>Y</v>
      </c>
      <c r="AW503" s="72"/>
      <c r="AX503" s="99" t="s">
        <v>1643</v>
      </c>
      <c r="AY503" s="20"/>
      <c r="AZ503" s="96" t="str">
        <f t="shared" si="146"/>
        <v>IC10</v>
      </c>
      <c r="BA503" s="96">
        <f>IF(AZ503="n","n",VLOOKUP(AZ503,'Conversion factors'!$C$4:$D$24,2,FALSE))</f>
        <v>1</v>
      </c>
      <c r="BB503" s="96">
        <f t="shared" si="147"/>
        <v>125</v>
      </c>
      <c r="BC503" s="20"/>
      <c r="BD503" s="96" t="str">
        <f t="shared" si="137"/>
        <v>Chronic</v>
      </c>
      <c r="BE503" s="96" t="str">
        <f t="shared" si="148"/>
        <v>y</v>
      </c>
      <c r="BF503" s="98" t="str">
        <f t="shared" si="138"/>
        <v>IC10</v>
      </c>
      <c r="BG503" s="96" t="str">
        <f>IF(BF503="","",IF(ISNUMBER(VLOOKUP(BF503,'Conversion factors'!$B$35:$C$52,2,FALSE)),"y","n"))</f>
        <v>y</v>
      </c>
      <c r="BH503" s="99"/>
      <c r="BI503" s="20" t="s">
        <v>1643</v>
      </c>
      <c r="BJ503" s="20"/>
    </row>
    <row r="504" spans="1:62" s="103" customFormat="1" ht="15.75" customHeight="1" x14ac:dyDescent="0.2">
      <c r="A504" s="18"/>
      <c r="B504" s="20"/>
      <c r="C504" s="20"/>
      <c r="D504" s="20"/>
      <c r="E504" s="20" t="s">
        <v>1359</v>
      </c>
      <c r="F504" s="56">
        <v>2010</v>
      </c>
      <c r="G504" s="55" t="s">
        <v>1548</v>
      </c>
      <c r="I504" s="147" t="s">
        <v>1551</v>
      </c>
      <c r="J504" s="38" t="s">
        <v>1549</v>
      </c>
      <c r="K504" s="19" t="s">
        <v>184</v>
      </c>
      <c r="L504" s="38" t="s">
        <v>151</v>
      </c>
      <c r="M504" s="19" t="s">
        <v>183</v>
      </c>
      <c r="N504" s="19" t="s">
        <v>66</v>
      </c>
      <c r="O504" s="19" t="s">
        <v>1550</v>
      </c>
      <c r="P504" s="19"/>
      <c r="Q504" s="20"/>
      <c r="R504" s="147" t="s">
        <v>81</v>
      </c>
      <c r="S504" s="19" t="s">
        <v>1253</v>
      </c>
      <c r="T504" s="54" t="s">
        <v>49</v>
      </c>
      <c r="U504" s="54" t="s">
        <v>49</v>
      </c>
      <c r="V504" s="54">
        <v>28</v>
      </c>
      <c r="W504" s="19" t="s">
        <v>45</v>
      </c>
      <c r="X504" s="19" t="s">
        <v>46</v>
      </c>
      <c r="Y504" s="20"/>
      <c r="Z504" s="20"/>
      <c r="AA504" s="20"/>
      <c r="AB504" s="148">
        <v>1629</v>
      </c>
      <c r="AC504" s="19" t="s">
        <v>214</v>
      </c>
      <c r="AD504" s="20"/>
      <c r="AE504" s="19">
        <v>256</v>
      </c>
      <c r="AF504" s="19" t="s">
        <v>1559</v>
      </c>
      <c r="AG504" s="19"/>
      <c r="AH504" s="19"/>
      <c r="AI504" s="19"/>
      <c r="AJ504" s="101">
        <v>7.81</v>
      </c>
      <c r="AK504" s="19"/>
      <c r="AL504" s="19"/>
      <c r="AM504" s="19"/>
      <c r="AN504" s="19"/>
      <c r="AO504" s="20"/>
      <c r="AP504" s="94">
        <v>12.7</v>
      </c>
      <c r="AQ504" s="19">
        <v>20</v>
      </c>
      <c r="AR504" s="20"/>
      <c r="AS504" s="20"/>
      <c r="AT504" s="65" t="str">
        <f t="shared" si="136"/>
        <v>Y</v>
      </c>
      <c r="AU504" s="65" t="str">
        <f t="shared" ref="AU504:AU509" si="161">IF(AT504="N","N",IF(AJ504&lt;6,"N",IF(AJ504&gt;8.5,"N","Y")))</f>
        <v>Y</v>
      </c>
      <c r="AV504" s="65" t="str">
        <f t="shared" ref="AV504:AV509" si="162">AU504</f>
        <v>Y</v>
      </c>
      <c r="AW504" s="72" t="s">
        <v>1558</v>
      </c>
      <c r="AX504" s="99" t="s">
        <v>1643</v>
      </c>
      <c r="AY504" s="20"/>
      <c r="AZ504" s="96" t="str">
        <f t="shared" ref="AZ504:AZ508" si="163">IF(AV504="N","n",T504)</f>
        <v>EC10</v>
      </c>
      <c r="BA504" s="96">
        <f>IF(AZ504="n","n",VLOOKUP(AZ504,'Conversion factors'!$C$4:$D$24,2,FALSE))</f>
        <v>1</v>
      </c>
      <c r="BB504" s="96">
        <f t="shared" ref="BB504:BB508" si="164">IF(BA504="n","n",AB504/BA504)</f>
        <v>1629</v>
      </c>
      <c r="BC504" s="20"/>
      <c r="BD504" s="96" t="str">
        <f t="shared" si="137"/>
        <v>Chronic</v>
      </c>
      <c r="BE504" s="96" t="str">
        <f t="shared" ref="BE504:BE508" si="165">IF(BD504="chronic","y","n")</f>
        <v>y</v>
      </c>
      <c r="BF504" s="98" t="str">
        <f t="shared" si="138"/>
        <v>EC10</v>
      </c>
      <c r="BG504" s="96" t="str">
        <f>IF(BF504="","",IF(ISNUMBER(VLOOKUP(BF504,'Conversion factors'!$B$35:$C$52,2,FALSE)),"y","n"))</f>
        <v>y</v>
      </c>
      <c r="BH504" s="99"/>
      <c r="BI504" s="20" t="s">
        <v>1643</v>
      </c>
      <c r="BJ504" s="20"/>
    </row>
    <row r="505" spans="1:62" s="103" customFormat="1" ht="15.75" customHeight="1" x14ac:dyDescent="0.2">
      <c r="A505" s="18"/>
      <c r="B505" s="20"/>
      <c r="C505" s="20"/>
      <c r="D505" s="20"/>
      <c r="E505" s="20" t="s">
        <v>1359</v>
      </c>
      <c r="F505" s="56">
        <v>2010</v>
      </c>
      <c r="G505" s="55" t="s">
        <v>1548</v>
      </c>
      <c r="I505" s="147" t="s">
        <v>1552</v>
      </c>
      <c r="J505" s="38" t="s">
        <v>1549</v>
      </c>
      <c r="K505" s="19" t="s">
        <v>184</v>
      </c>
      <c r="L505" s="38" t="s">
        <v>151</v>
      </c>
      <c r="M505" s="19" t="s">
        <v>183</v>
      </c>
      <c r="N505" s="19" t="s">
        <v>66</v>
      </c>
      <c r="O505" s="19" t="s">
        <v>1550</v>
      </c>
      <c r="P505" s="19"/>
      <c r="Q505" s="20"/>
      <c r="R505" s="147" t="s">
        <v>81</v>
      </c>
      <c r="S505" s="19" t="s">
        <v>1253</v>
      </c>
      <c r="T505" s="54" t="s">
        <v>49</v>
      </c>
      <c r="U505" s="54" t="s">
        <v>49</v>
      </c>
      <c r="V505" s="54">
        <v>28</v>
      </c>
      <c r="W505" s="19" t="s">
        <v>45</v>
      </c>
      <c r="X505" s="19" t="s">
        <v>46</v>
      </c>
      <c r="Y505" s="20"/>
      <c r="Z505" s="20"/>
      <c r="AA505" s="20"/>
      <c r="AB505" s="148">
        <v>910</v>
      </c>
      <c r="AC505" s="19" t="s">
        <v>214</v>
      </c>
      <c r="AD505" s="20"/>
      <c r="AE505" s="19">
        <v>225</v>
      </c>
      <c r="AF505" s="19" t="s">
        <v>1560</v>
      </c>
      <c r="AG505" s="19"/>
      <c r="AH505" s="19"/>
      <c r="AI505" s="19"/>
      <c r="AJ505" s="101">
        <v>7.9</v>
      </c>
      <c r="AK505" s="19"/>
      <c r="AL505" s="19"/>
      <c r="AM505" s="19"/>
      <c r="AN505" s="19"/>
      <c r="AO505" s="20"/>
      <c r="AP505" s="94">
        <v>7.82</v>
      </c>
      <c r="AQ505" s="19">
        <v>20</v>
      </c>
      <c r="AR505" s="20"/>
      <c r="AS505" s="20"/>
      <c r="AT505" s="65" t="str">
        <f t="shared" si="136"/>
        <v>Y</v>
      </c>
      <c r="AU505" s="65" t="str">
        <f t="shared" si="161"/>
        <v>Y</v>
      </c>
      <c r="AV505" s="65" t="str">
        <f t="shared" si="162"/>
        <v>Y</v>
      </c>
      <c r="AW505" s="72" t="s">
        <v>1558</v>
      </c>
      <c r="AX505" s="99" t="s">
        <v>1643</v>
      </c>
      <c r="AY505" s="20"/>
      <c r="AZ505" s="96" t="str">
        <f t="shared" si="163"/>
        <v>EC10</v>
      </c>
      <c r="BA505" s="96">
        <f>IF(AZ505="n","n",VLOOKUP(AZ505,'Conversion factors'!$C$4:$D$24,2,FALSE))</f>
        <v>1</v>
      </c>
      <c r="BB505" s="96">
        <f t="shared" si="164"/>
        <v>910</v>
      </c>
      <c r="BC505" s="20"/>
      <c r="BD505" s="96" t="str">
        <f t="shared" si="137"/>
        <v>Chronic</v>
      </c>
      <c r="BE505" s="96" t="str">
        <f t="shared" si="165"/>
        <v>y</v>
      </c>
      <c r="BF505" s="98" t="str">
        <f t="shared" si="138"/>
        <v>EC10</v>
      </c>
      <c r="BG505" s="96" t="str">
        <f>IF(BF505="","",IF(ISNUMBER(VLOOKUP(BF505,'Conversion factors'!$B$35:$C$52,2,FALSE)),"y","n"))</f>
        <v>y</v>
      </c>
      <c r="BH505" s="99"/>
      <c r="BI505" s="20" t="s">
        <v>1643</v>
      </c>
      <c r="BJ505" s="20"/>
    </row>
    <row r="506" spans="1:62" s="103" customFormat="1" ht="15.75" customHeight="1" x14ac:dyDescent="0.2">
      <c r="A506" s="18"/>
      <c r="B506" s="20"/>
      <c r="C506" s="20"/>
      <c r="D506" s="20"/>
      <c r="E506" s="20" t="s">
        <v>1359</v>
      </c>
      <c r="F506" s="56">
        <v>2010</v>
      </c>
      <c r="G506" s="55" t="s">
        <v>1548</v>
      </c>
      <c r="I506" s="147" t="s">
        <v>1553</v>
      </c>
      <c r="J506" s="38" t="s">
        <v>1549</v>
      </c>
      <c r="K506" s="19" t="s">
        <v>184</v>
      </c>
      <c r="L506" s="38" t="s">
        <v>151</v>
      </c>
      <c r="M506" s="19" t="s">
        <v>183</v>
      </c>
      <c r="N506" s="19" t="s">
        <v>66</v>
      </c>
      <c r="O506" s="19" t="s">
        <v>1550</v>
      </c>
      <c r="P506" s="19"/>
      <c r="Q506" s="20"/>
      <c r="R506" s="147" t="s">
        <v>81</v>
      </c>
      <c r="S506" s="19" t="s">
        <v>1253</v>
      </c>
      <c r="T506" s="54" t="s">
        <v>49</v>
      </c>
      <c r="U506" s="54" t="s">
        <v>49</v>
      </c>
      <c r="V506" s="54">
        <v>28</v>
      </c>
      <c r="W506" s="19" t="s">
        <v>45</v>
      </c>
      <c r="X506" s="19" t="s">
        <v>46</v>
      </c>
      <c r="Y506" s="20"/>
      <c r="Z506" s="20"/>
      <c r="AA506" s="20"/>
      <c r="AB506" s="148">
        <v>200</v>
      </c>
      <c r="AC506" s="19" t="s">
        <v>214</v>
      </c>
      <c r="AD506" s="20"/>
      <c r="AE506" s="19">
        <v>37.6</v>
      </c>
      <c r="AF506" s="19" t="s">
        <v>1561</v>
      </c>
      <c r="AG506" s="19"/>
      <c r="AH506" s="19"/>
      <c r="AI506" s="19"/>
      <c r="AJ506" s="101">
        <v>7.41</v>
      </c>
      <c r="AK506" s="19"/>
      <c r="AL506" s="19"/>
      <c r="AM506" s="19"/>
      <c r="AN506" s="19"/>
      <c r="AO506" s="20"/>
      <c r="AP506" s="94">
        <v>2.85</v>
      </c>
      <c r="AQ506" s="19">
        <v>20</v>
      </c>
      <c r="AR506" s="20"/>
      <c r="AS506" s="20"/>
      <c r="AT506" s="65" t="str">
        <f t="shared" si="136"/>
        <v>Y</v>
      </c>
      <c r="AU506" s="65" t="str">
        <f t="shared" si="161"/>
        <v>Y</v>
      </c>
      <c r="AV506" s="65" t="str">
        <f t="shared" si="162"/>
        <v>Y</v>
      </c>
      <c r="AW506" s="72" t="s">
        <v>1558</v>
      </c>
      <c r="AX506" s="99" t="s">
        <v>1643</v>
      </c>
      <c r="AY506" s="20"/>
      <c r="AZ506" s="96" t="str">
        <f t="shared" si="163"/>
        <v>EC10</v>
      </c>
      <c r="BA506" s="96">
        <f>IF(AZ506="n","n",VLOOKUP(AZ506,'Conversion factors'!$C$4:$D$24,2,FALSE))</f>
        <v>1</v>
      </c>
      <c r="BB506" s="96">
        <f t="shared" si="164"/>
        <v>200</v>
      </c>
      <c r="BC506" s="20"/>
      <c r="BD506" s="96" t="str">
        <f t="shared" si="137"/>
        <v>Chronic</v>
      </c>
      <c r="BE506" s="96" t="str">
        <f t="shared" si="165"/>
        <v>y</v>
      </c>
      <c r="BF506" s="98" t="str">
        <f t="shared" si="138"/>
        <v>EC10</v>
      </c>
      <c r="BG506" s="96" t="str">
        <f>IF(BF506="","",IF(ISNUMBER(VLOOKUP(BF506,'Conversion factors'!$B$35:$C$52,2,FALSE)),"y","n"))</f>
        <v>y</v>
      </c>
      <c r="BH506" s="99"/>
      <c r="BI506" s="20" t="s">
        <v>1643</v>
      </c>
      <c r="BJ506" s="20"/>
    </row>
    <row r="507" spans="1:62" s="103" customFormat="1" ht="15.75" customHeight="1" x14ac:dyDescent="0.2">
      <c r="A507" s="18"/>
      <c r="B507" s="20"/>
      <c r="C507" s="20"/>
      <c r="D507" s="20"/>
      <c r="E507" s="20" t="s">
        <v>1359</v>
      </c>
      <c r="F507" s="56">
        <v>2010</v>
      </c>
      <c r="G507" s="55" t="s">
        <v>1548</v>
      </c>
      <c r="I507" s="147" t="s">
        <v>1554</v>
      </c>
      <c r="J507" s="38" t="s">
        <v>1549</v>
      </c>
      <c r="K507" s="19" t="s">
        <v>184</v>
      </c>
      <c r="L507" s="38" t="s">
        <v>151</v>
      </c>
      <c r="M507" s="19" t="s">
        <v>183</v>
      </c>
      <c r="N507" s="19" t="s">
        <v>66</v>
      </c>
      <c r="O507" s="19" t="s">
        <v>1550</v>
      </c>
      <c r="P507" s="19"/>
      <c r="Q507" s="20"/>
      <c r="R507" s="147" t="s">
        <v>81</v>
      </c>
      <c r="S507" s="19" t="s">
        <v>1253</v>
      </c>
      <c r="T507" s="54" t="s">
        <v>49</v>
      </c>
      <c r="U507" s="54" t="s">
        <v>49</v>
      </c>
      <c r="V507" s="54">
        <v>28</v>
      </c>
      <c r="W507" s="19" t="s">
        <v>45</v>
      </c>
      <c r="X507" s="19" t="s">
        <v>46</v>
      </c>
      <c r="Y507" s="20"/>
      <c r="Z507" s="20"/>
      <c r="AA507" s="20"/>
      <c r="AB507" s="148">
        <v>244</v>
      </c>
      <c r="AC507" s="19" t="s">
        <v>214</v>
      </c>
      <c r="AD507" s="20"/>
      <c r="AE507" s="19">
        <v>40.9</v>
      </c>
      <c r="AF507" s="19" t="s">
        <v>1562</v>
      </c>
      <c r="AG507" s="19"/>
      <c r="AH507" s="19"/>
      <c r="AI507" s="19"/>
      <c r="AJ507" s="101">
        <v>6.77</v>
      </c>
      <c r="AK507" s="19"/>
      <c r="AL507" s="19"/>
      <c r="AM507" s="19"/>
      <c r="AN507" s="19"/>
      <c r="AO507" s="20"/>
      <c r="AP507" s="94">
        <v>1.5</v>
      </c>
      <c r="AQ507" s="19">
        <v>20</v>
      </c>
      <c r="AR507" s="20"/>
      <c r="AS507" s="20"/>
      <c r="AT507" s="65" t="str">
        <f t="shared" si="136"/>
        <v>Y</v>
      </c>
      <c r="AU507" s="65" t="str">
        <f t="shared" si="161"/>
        <v>Y</v>
      </c>
      <c r="AV507" s="65" t="str">
        <f t="shared" si="162"/>
        <v>Y</v>
      </c>
      <c r="AW507" s="72" t="s">
        <v>1558</v>
      </c>
      <c r="AX507" s="99" t="s">
        <v>1643</v>
      </c>
      <c r="AY507" s="20"/>
      <c r="AZ507" s="96" t="str">
        <f t="shared" si="163"/>
        <v>EC10</v>
      </c>
      <c r="BA507" s="96">
        <f>IF(AZ507="n","n",VLOOKUP(AZ507,'Conversion factors'!$C$4:$D$24,2,FALSE))</f>
        <v>1</v>
      </c>
      <c r="BB507" s="96">
        <f t="shared" si="164"/>
        <v>244</v>
      </c>
      <c r="BC507" s="20"/>
      <c r="BD507" s="96" t="str">
        <f t="shared" si="137"/>
        <v>Chronic</v>
      </c>
      <c r="BE507" s="96" t="str">
        <f t="shared" si="165"/>
        <v>y</v>
      </c>
      <c r="BF507" s="98" t="str">
        <f t="shared" si="138"/>
        <v>EC10</v>
      </c>
      <c r="BG507" s="96" t="str">
        <f>IF(BF507="","",IF(ISNUMBER(VLOOKUP(BF507,'Conversion factors'!$B$35:$C$52,2,FALSE)),"y","n"))</f>
        <v>y</v>
      </c>
      <c r="BH507" s="99"/>
      <c r="BI507" s="20" t="s">
        <v>1643</v>
      </c>
      <c r="BJ507" s="20"/>
    </row>
    <row r="508" spans="1:62" s="103" customFormat="1" ht="15.75" customHeight="1" x14ac:dyDescent="0.2">
      <c r="A508" s="18"/>
      <c r="B508" s="20"/>
      <c r="C508" s="20"/>
      <c r="D508" s="20"/>
      <c r="E508" s="20" t="s">
        <v>1359</v>
      </c>
      <c r="F508" s="56">
        <v>2010</v>
      </c>
      <c r="G508" s="55" t="s">
        <v>1548</v>
      </c>
      <c r="I508" s="147" t="s">
        <v>1555</v>
      </c>
      <c r="J508" s="38" t="s">
        <v>1549</v>
      </c>
      <c r="K508" s="19" t="s">
        <v>184</v>
      </c>
      <c r="L508" s="38" t="s">
        <v>151</v>
      </c>
      <c r="M508" s="19" t="s">
        <v>183</v>
      </c>
      <c r="N508" s="19" t="s">
        <v>66</v>
      </c>
      <c r="O508" s="19" t="s">
        <v>1550</v>
      </c>
      <c r="P508" s="19"/>
      <c r="Q508" s="20"/>
      <c r="R508" s="147" t="s">
        <v>81</v>
      </c>
      <c r="S508" s="19" t="s">
        <v>1253</v>
      </c>
      <c r="T508" s="54" t="s">
        <v>49</v>
      </c>
      <c r="U508" s="54" t="s">
        <v>49</v>
      </c>
      <c r="V508" s="54">
        <v>28</v>
      </c>
      <c r="W508" s="19" t="s">
        <v>45</v>
      </c>
      <c r="X508" s="19" t="s">
        <v>46</v>
      </c>
      <c r="Y508" s="20"/>
      <c r="Z508" s="20"/>
      <c r="AA508" s="20"/>
      <c r="AB508" s="148">
        <v>330</v>
      </c>
      <c r="AC508" s="19" t="s">
        <v>214</v>
      </c>
      <c r="AD508" s="20"/>
      <c r="AE508" s="19">
        <v>40.200000000000003</v>
      </c>
      <c r="AF508" s="19" t="s">
        <v>1563</v>
      </c>
      <c r="AG508" s="19"/>
      <c r="AH508" s="19"/>
      <c r="AI508" s="19"/>
      <c r="AJ508" s="149">
        <v>8.2799999999999994</v>
      </c>
      <c r="AK508" s="19"/>
      <c r="AL508" s="19"/>
      <c r="AM508" s="19"/>
      <c r="AN508" s="19"/>
      <c r="AO508" s="20"/>
      <c r="AP508" s="94">
        <v>1.71</v>
      </c>
      <c r="AQ508" s="19">
        <v>20</v>
      </c>
      <c r="AR508" s="20"/>
      <c r="AS508" s="20"/>
      <c r="AT508" s="65" t="str">
        <f t="shared" si="136"/>
        <v>Y</v>
      </c>
      <c r="AU508" s="65" t="str">
        <f t="shared" si="161"/>
        <v>Y</v>
      </c>
      <c r="AV508" s="65" t="str">
        <f t="shared" si="162"/>
        <v>Y</v>
      </c>
      <c r="AW508" s="72" t="s">
        <v>1557</v>
      </c>
      <c r="AX508" s="99" t="s">
        <v>1643</v>
      </c>
      <c r="AY508" s="20"/>
      <c r="AZ508" s="96" t="str">
        <f t="shared" si="163"/>
        <v>EC10</v>
      </c>
      <c r="BA508" s="96">
        <f>IF(AZ508="n","n",VLOOKUP(AZ508,'Conversion factors'!$C$4:$D$24,2,FALSE))</f>
        <v>1</v>
      </c>
      <c r="BB508" s="96">
        <f t="shared" si="164"/>
        <v>330</v>
      </c>
      <c r="BC508" s="20"/>
      <c r="BD508" s="96" t="str">
        <f t="shared" si="137"/>
        <v>Chronic</v>
      </c>
      <c r="BE508" s="96" t="str">
        <f t="shared" si="165"/>
        <v>y</v>
      </c>
      <c r="BF508" s="98" t="str">
        <f t="shared" si="138"/>
        <v>EC10</v>
      </c>
      <c r="BG508" s="96" t="str">
        <f>IF(BF508="","",IF(ISNUMBER(VLOOKUP(BF508,'Conversion factors'!$B$35:$C$52,2,FALSE)),"y","n"))</f>
        <v>y</v>
      </c>
      <c r="BH508" s="99"/>
      <c r="BI508" s="20" t="s">
        <v>1643</v>
      </c>
      <c r="BJ508" s="20"/>
    </row>
    <row r="509" spans="1:62" s="103" customFormat="1" ht="15.75" customHeight="1" x14ac:dyDescent="0.2">
      <c r="A509" s="18"/>
      <c r="B509" s="20"/>
      <c r="C509" s="20"/>
      <c r="D509" s="20"/>
      <c r="E509" s="20" t="s">
        <v>1359</v>
      </c>
      <c r="F509" s="56">
        <v>2010</v>
      </c>
      <c r="G509" s="55" t="s">
        <v>1548</v>
      </c>
      <c r="I509" s="147" t="s">
        <v>1556</v>
      </c>
      <c r="J509" s="38" t="s">
        <v>1549</v>
      </c>
      <c r="K509" s="19" t="s">
        <v>184</v>
      </c>
      <c r="L509" s="38" t="s">
        <v>151</v>
      </c>
      <c r="M509" s="19" t="s">
        <v>183</v>
      </c>
      <c r="N509" s="19" t="s">
        <v>66</v>
      </c>
      <c r="O509" s="19" t="s">
        <v>1550</v>
      </c>
      <c r="P509" s="19"/>
      <c r="Q509" s="20"/>
      <c r="R509" s="147" t="s">
        <v>81</v>
      </c>
      <c r="S509" s="19" t="s">
        <v>1253</v>
      </c>
      <c r="T509" s="54" t="s">
        <v>49</v>
      </c>
      <c r="U509" s="54" t="s">
        <v>49</v>
      </c>
      <c r="V509" s="54">
        <v>28</v>
      </c>
      <c r="W509" s="19" t="s">
        <v>45</v>
      </c>
      <c r="X509" s="19" t="s">
        <v>46</v>
      </c>
      <c r="Y509" s="20"/>
      <c r="Z509" s="20"/>
      <c r="AA509" s="20"/>
      <c r="AB509" s="148">
        <v>719</v>
      </c>
      <c r="AC509" s="19" t="s">
        <v>214</v>
      </c>
      <c r="AD509" s="20"/>
      <c r="AE509" s="19">
        <v>296</v>
      </c>
      <c r="AF509" s="19" t="s">
        <v>1564</v>
      </c>
      <c r="AG509" s="19"/>
      <c r="AH509" s="19"/>
      <c r="AI509" s="19"/>
      <c r="AJ509" s="149">
        <v>8.25</v>
      </c>
      <c r="AK509" s="19"/>
      <c r="AL509" s="19"/>
      <c r="AM509" s="19"/>
      <c r="AN509" s="19"/>
      <c r="AO509" s="20"/>
      <c r="AP509" s="94">
        <v>1.53</v>
      </c>
      <c r="AQ509" s="19">
        <v>20</v>
      </c>
      <c r="AR509" s="20"/>
      <c r="AS509" s="20"/>
      <c r="AT509" s="65" t="str">
        <f t="shared" si="136"/>
        <v>Y</v>
      </c>
      <c r="AU509" s="65" t="str">
        <f t="shared" si="161"/>
        <v>Y</v>
      </c>
      <c r="AV509" s="65" t="str">
        <f t="shared" si="162"/>
        <v>Y</v>
      </c>
      <c r="AW509" s="72" t="s">
        <v>1557</v>
      </c>
      <c r="AX509" s="99" t="s">
        <v>1643</v>
      </c>
      <c r="AY509" s="20"/>
      <c r="AZ509" s="96" t="str">
        <f t="shared" ref="AZ509" si="166">IF(AV509="N","n",T509)</f>
        <v>EC10</v>
      </c>
      <c r="BA509" s="96">
        <f>IF(AZ509="n","n",VLOOKUP(AZ509,'Conversion factors'!$C$4:$D$24,2,FALSE))</f>
        <v>1</v>
      </c>
      <c r="BB509" s="96">
        <f t="shared" ref="BB509" si="167">IF(BA509="n","n",AB509/BA509)</f>
        <v>719</v>
      </c>
      <c r="BC509" s="20"/>
      <c r="BD509" s="96" t="str">
        <f t="shared" si="137"/>
        <v>Chronic</v>
      </c>
      <c r="BE509" s="96" t="str">
        <f t="shared" ref="BE509" si="168">IF(BD509="chronic","y","n")</f>
        <v>y</v>
      </c>
      <c r="BF509" s="98" t="str">
        <f t="shared" si="138"/>
        <v>EC10</v>
      </c>
      <c r="BG509" s="96" t="str">
        <f>IF(BF509="","",IF(ISNUMBER(VLOOKUP(BF509,'Conversion factors'!$B$35:$C$52,2,FALSE)),"y","n"))</f>
        <v>y</v>
      </c>
      <c r="BH509" s="99"/>
      <c r="BI509" s="20" t="s">
        <v>1643</v>
      </c>
      <c r="BJ509" s="20"/>
    </row>
    <row r="510" spans="1:62" s="103" customFormat="1" ht="15.75" customHeight="1" x14ac:dyDescent="0.2">
      <c r="A510" s="18"/>
      <c r="B510" s="19">
        <v>326</v>
      </c>
      <c r="C510" s="19"/>
      <c r="D510" s="19">
        <v>166615</v>
      </c>
      <c r="E510" s="19" t="s">
        <v>1224</v>
      </c>
      <c r="F510" s="93">
        <v>2011</v>
      </c>
      <c r="G510" s="19" t="s">
        <v>1172</v>
      </c>
      <c r="H510" s="19"/>
      <c r="I510" s="19" t="s">
        <v>41</v>
      </c>
      <c r="J510" s="19" t="s">
        <v>1177</v>
      </c>
      <c r="K510" s="19" t="s">
        <v>184</v>
      </c>
      <c r="L510" s="19" t="s">
        <v>151</v>
      </c>
      <c r="M510" s="19" t="s">
        <v>183</v>
      </c>
      <c r="N510" s="19" t="s">
        <v>66</v>
      </c>
      <c r="O510" s="19" t="s">
        <v>235</v>
      </c>
      <c r="P510" s="19" t="s">
        <v>1397</v>
      </c>
      <c r="Q510" s="19"/>
      <c r="R510" s="19" t="s">
        <v>81</v>
      </c>
      <c r="S510" s="19" t="s">
        <v>302</v>
      </c>
      <c r="T510" s="19" t="s">
        <v>54</v>
      </c>
      <c r="U510" s="19" t="s">
        <v>54</v>
      </c>
      <c r="V510" s="19" t="s">
        <v>97</v>
      </c>
      <c r="W510" s="19" t="s">
        <v>45</v>
      </c>
      <c r="X510" s="19" t="s">
        <v>46</v>
      </c>
      <c r="Y510" s="29"/>
      <c r="Z510" s="19"/>
      <c r="AA510" s="19"/>
      <c r="AB510" s="19" t="s">
        <v>1174</v>
      </c>
      <c r="AC510" s="19" t="s">
        <v>1322</v>
      </c>
      <c r="AD510" s="19"/>
      <c r="AE510" s="19">
        <v>383.2</v>
      </c>
      <c r="AF510" s="19">
        <v>383.2</v>
      </c>
      <c r="AG510" s="19" t="s">
        <v>216</v>
      </c>
      <c r="AH510" s="19"/>
      <c r="AI510" s="19"/>
      <c r="AJ510" s="19">
        <v>8.35</v>
      </c>
      <c r="AK510" s="19" t="s">
        <v>1175</v>
      </c>
      <c r="AL510" s="19"/>
      <c r="AM510" s="19" t="s">
        <v>234</v>
      </c>
      <c r="AN510" s="19" t="s">
        <v>1030</v>
      </c>
      <c r="AO510" s="19" t="s">
        <v>216</v>
      </c>
      <c r="AP510" s="94"/>
      <c r="AQ510" s="19" t="s">
        <v>102</v>
      </c>
      <c r="AR510" s="19" t="s">
        <v>241</v>
      </c>
      <c r="AS510" s="19"/>
      <c r="AT510" s="65" t="str">
        <f t="shared" si="136"/>
        <v>N</v>
      </c>
      <c r="AU510" s="65" t="str">
        <f t="shared" si="145"/>
        <v>N</v>
      </c>
      <c r="AV510" s="65" t="s">
        <v>162</v>
      </c>
      <c r="AW510" s="99" t="s">
        <v>1405</v>
      </c>
      <c r="AX510" s="99"/>
      <c r="AY510" s="19"/>
      <c r="AZ510" s="96" t="str">
        <f t="shared" si="146"/>
        <v>n</v>
      </c>
      <c r="BA510" s="96" t="str">
        <f>IF(AZ510="n","n",VLOOKUP(AZ510,'Conversion factors'!$C$4:$D$24,2,FALSE))</f>
        <v>n</v>
      </c>
      <c r="BB510" s="96" t="str">
        <f t="shared" si="147"/>
        <v>n</v>
      </c>
      <c r="BC510" s="97"/>
      <c r="BD510" s="96" t="str">
        <f t="shared" si="137"/>
        <v>n</v>
      </c>
      <c r="BE510" s="96" t="str">
        <f t="shared" si="148"/>
        <v>n</v>
      </c>
      <c r="BF510" s="98" t="str">
        <f t="shared" si="138"/>
        <v/>
      </c>
      <c r="BG510" s="96" t="str">
        <f>IF(BF510="","",IF(ISNUMBER(VLOOKUP(BF510,'Conversion factors'!$B$35:$C$52,2,FALSE)),"y","n"))</f>
        <v/>
      </c>
      <c r="BH510" s="99" t="s">
        <v>1507</v>
      </c>
    </row>
    <row r="511" spans="1:62" s="103" customFormat="1" ht="15.75" customHeight="1" x14ac:dyDescent="0.2">
      <c r="A511" s="18"/>
      <c r="B511" s="19">
        <v>326</v>
      </c>
      <c r="C511" s="19"/>
      <c r="D511" s="19">
        <v>166615</v>
      </c>
      <c r="E511" s="19" t="s">
        <v>1224</v>
      </c>
      <c r="F511" s="93">
        <v>2011</v>
      </c>
      <c r="G511" s="19" t="s">
        <v>1172</v>
      </c>
      <c r="H511" s="19"/>
      <c r="I511" s="19" t="s">
        <v>41</v>
      </c>
      <c r="J511" s="19" t="s">
        <v>1177</v>
      </c>
      <c r="K511" s="19" t="s">
        <v>184</v>
      </c>
      <c r="L511" s="19" t="s">
        <v>151</v>
      </c>
      <c r="M511" s="19" t="s">
        <v>183</v>
      </c>
      <c r="N511" s="19" t="s">
        <v>66</v>
      </c>
      <c r="O511" s="19" t="s">
        <v>235</v>
      </c>
      <c r="P511" s="19" t="s">
        <v>1397</v>
      </c>
      <c r="Q511" s="19"/>
      <c r="R511" s="19" t="s">
        <v>81</v>
      </c>
      <c r="S511" s="19" t="s">
        <v>302</v>
      </c>
      <c r="T511" s="19" t="s">
        <v>54</v>
      </c>
      <c r="U511" s="19" t="s">
        <v>54</v>
      </c>
      <c r="V511" s="19" t="s">
        <v>78</v>
      </c>
      <c r="W511" s="19" t="s">
        <v>45</v>
      </c>
      <c r="X511" s="19" t="s">
        <v>46</v>
      </c>
      <c r="Y511" s="29"/>
      <c r="Z511" s="19"/>
      <c r="AA511" s="19"/>
      <c r="AB511" s="19" t="s">
        <v>1174</v>
      </c>
      <c r="AC511" s="19" t="s">
        <v>1322</v>
      </c>
      <c r="AD511" s="19"/>
      <c r="AE511" s="19">
        <v>383.2</v>
      </c>
      <c r="AF511" s="19">
        <v>383.2</v>
      </c>
      <c r="AG511" s="19" t="s">
        <v>216</v>
      </c>
      <c r="AH511" s="19"/>
      <c r="AI511" s="19"/>
      <c r="AJ511" s="19">
        <v>8.35</v>
      </c>
      <c r="AK511" s="19" t="s">
        <v>1175</v>
      </c>
      <c r="AL511" s="19"/>
      <c r="AM511" s="19" t="s">
        <v>234</v>
      </c>
      <c r="AN511" s="19" t="s">
        <v>1030</v>
      </c>
      <c r="AO511" s="19" t="s">
        <v>216</v>
      </c>
      <c r="AP511" s="94"/>
      <c r="AQ511" s="19" t="s">
        <v>102</v>
      </c>
      <c r="AR511" s="19" t="s">
        <v>241</v>
      </c>
      <c r="AS511" s="19"/>
      <c r="AT511" s="65" t="str">
        <f t="shared" si="136"/>
        <v>N</v>
      </c>
      <c r="AU511" s="65" t="str">
        <f t="shared" si="145"/>
        <v>N</v>
      </c>
      <c r="AV511" s="65" t="s">
        <v>162</v>
      </c>
      <c r="AW511" s="99" t="s">
        <v>1405</v>
      </c>
      <c r="AX511" s="99"/>
      <c r="AY511" s="19"/>
      <c r="AZ511" s="96" t="str">
        <f t="shared" si="146"/>
        <v>n</v>
      </c>
      <c r="BA511" s="96" t="str">
        <f>IF(AZ511="n","n",VLOOKUP(AZ511,'Conversion factors'!$C$4:$D$24,2,FALSE))</f>
        <v>n</v>
      </c>
      <c r="BB511" s="96" t="str">
        <f t="shared" si="147"/>
        <v>n</v>
      </c>
      <c r="BC511" s="97"/>
      <c r="BD511" s="96" t="str">
        <f t="shared" si="137"/>
        <v>n</v>
      </c>
      <c r="BE511" s="96" t="str">
        <f t="shared" si="148"/>
        <v>n</v>
      </c>
      <c r="BF511" s="98" t="str">
        <f t="shared" si="138"/>
        <v/>
      </c>
      <c r="BG511" s="96" t="str">
        <f>IF(BF511="","",IF(ISNUMBER(VLOOKUP(BF511,'Conversion factors'!$B$35:$C$52,2,FALSE)),"y","n"))</f>
        <v/>
      </c>
      <c r="BH511" s="99" t="s">
        <v>1507</v>
      </c>
    </row>
    <row r="512" spans="1:62" s="103" customFormat="1" ht="15.75" customHeight="1" x14ac:dyDescent="0.2">
      <c r="A512" s="18"/>
      <c r="B512" s="19">
        <v>326</v>
      </c>
      <c r="C512" s="19"/>
      <c r="D512" s="19">
        <v>166615</v>
      </c>
      <c r="E512" s="19" t="s">
        <v>1224</v>
      </c>
      <c r="F512" s="93">
        <v>2011</v>
      </c>
      <c r="G512" s="19" t="s">
        <v>1172</v>
      </c>
      <c r="H512" s="19"/>
      <c r="I512" s="19" t="s">
        <v>41</v>
      </c>
      <c r="J512" s="19" t="s">
        <v>1173</v>
      </c>
      <c r="K512" s="19" t="s">
        <v>184</v>
      </c>
      <c r="L512" s="19" t="s">
        <v>151</v>
      </c>
      <c r="M512" s="19" t="s">
        <v>183</v>
      </c>
      <c r="N512" s="19" t="s">
        <v>66</v>
      </c>
      <c r="O512" s="19" t="s">
        <v>235</v>
      </c>
      <c r="P512" s="19" t="s">
        <v>1397</v>
      </c>
      <c r="Q512" s="19"/>
      <c r="R512" s="19" t="s">
        <v>81</v>
      </c>
      <c r="S512" s="19" t="s">
        <v>302</v>
      </c>
      <c r="T512" s="19" t="s">
        <v>54</v>
      </c>
      <c r="U512" s="19" t="s">
        <v>54</v>
      </c>
      <c r="V512" s="19" t="s">
        <v>97</v>
      </c>
      <c r="W512" s="19" t="s">
        <v>45</v>
      </c>
      <c r="X512" s="19" t="s">
        <v>46</v>
      </c>
      <c r="Y512" s="29"/>
      <c r="Z512" s="19"/>
      <c r="AA512" s="19"/>
      <c r="AB512" s="19" t="s">
        <v>1174</v>
      </c>
      <c r="AC512" s="19" t="s">
        <v>1322</v>
      </c>
      <c r="AD512" s="19"/>
      <c r="AE512" s="19">
        <v>383.2</v>
      </c>
      <c r="AF512" s="19">
        <v>383.2</v>
      </c>
      <c r="AG512" s="19" t="s">
        <v>216</v>
      </c>
      <c r="AH512" s="19"/>
      <c r="AI512" s="19"/>
      <c r="AJ512" s="19">
        <v>8.35</v>
      </c>
      <c r="AK512" s="19" t="s">
        <v>1175</v>
      </c>
      <c r="AL512" s="19"/>
      <c r="AM512" s="19" t="s">
        <v>234</v>
      </c>
      <c r="AN512" s="19" t="s">
        <v>1030</v>
      </c>
      <c r="AO512" s="19" t="s">
        <v>216</v>
      </c>
      <c r="AP512" s="94"/>
      <c r="AQ512" s="19" t="s">
        <v>102</v>
      </c>
      <c r="AR512" s="19" t="s">
        <v>241</v>
      </c>
      <c r="AS512" s="19"/>
      <c r="AT512" s="65" t="str">
        <f t="shared" si="136"/>
        <v>N</v>
      </c>
      <c r="AU512" s="65" t="str">
        <f t="shared" si="145"/>
        <v>N</v>
      </c>
      <c r="AV512" s="65" t="s">
        <v>162</v>
      </c>
      <c r="AW512" s="99" t="s">
        <v>1405</v>
      </c>
      <c r="AX512" s="99"/>
      <c r="AY512" s="19"/>
      <c r="AZ512" s="96" t="str">
        <f t="shared" si="146"/>
        <v>n</v>
      </c>
      <c r="BA512" s="96" t="str">
        <f>IF(AZ512="n","n",VLOOKUP(AZ512,'Conversion factors'!$C$4:$D$24,2,FALSE))</f>
        <v>n</v>
      </c>
      <c r="BB512" s="96" t="str">
        <f t="shared" si="147"/>
        <v>n</v>
      </c>
      <c r="BC512" s="97"/>
      <c r="BD512" s="96" t="str">
        <f t="shared" si="137"/>
        <v>n</v>
      </c>
      <c r="BE512" s="96" t="str">
        <f t="shared" si="148"/>
        <v>n</v>
      </c>
      <c r="BF512" s="98" t="str">
        <f t="shared" si="138"/>
        <v/>
      </c>
      <c r="BG512" s="96" t="str">
        <f>IF(BF512="","",IF(ISNUMBER(VLOOKUP(BF512,'Conversion factors'!$B$35:$C$52,2,FALSE)),"y","n"))</f>
        <v/>
      </c>
      <c r="BH512" s="99" t="s">
        <v>1507</v>
      </c>
    </row>
    <row r="513" spans="1:90" s="103" customFormat="1" ht="15.75" customHeight="1" x14ac:dyDescent="0.2">
      <c r="A513" s="18"/>
      <c r="B513" s="19">
        <v>326</v>
      </c>
      <c r="C513" s="19"/>
      <c r="D513" s="19">
        <v>166615</v>
      </c>
      <c r="E513" s="19" t="s">
        <v>1224</v>
      </c>
      <c r="F513" s="93">
        <v>2011</v>
      </c>
      <c r="G513" s="19" t="s">
        <v>1172</v>
      </c>
      <c r="H513" s="19"/>
      <c r="I513" s="19" t="s">
        <v>41</v>
      </c>
      <c r="J513" s="19" t="s">
        <v>1173</v>
      </c>
      <c r="K513" s="19" t="s">
        <v>184</v>
      </c>
      <c r="L513" s="19" t="s">
        <v>151</v>
      </c>
      <c r="M513" s="19" t="s">
        <v>183</v>
      </c>
      <c r="N513" s="19" t="s">
        <v>66</v>
      </c>
      <c r="O513" s="19" t="s">
        <v>235</v>
      </c>
      <c r="P513" s="19" t="s">
        <v>1397</v>
      </c>
      <c r="Q513" s="19"/>
      <c r="R513" s="19" t="s">
        <v>81</v>
      </c>
      <c r="S513" s="19" t="s">
        <v>302</v>
      </c>
      <c r="T513" s="19" t="s">
        <v>54</v>
      </c>
      <c r="U513" s="19" t="s">
        <v>54</v>
      </c>
      <c r="V513" s="19" t="s">
        <v>78</v>
      </c>
      <c r="W513" s="19" t="s">
        <v>45</v>
      </c>
      <c r="X513" s="19" t="s">
        <v>46</v>
      </c>
      <c r="Y513" s="29"/>
      <c r="Z513" s="19"/>
      <c r="AA513" s="19"/>
      <c r="AB513" s="19" t="s">
        <v>1174</v>
      </c>
      <c r="AC513" s="19" t="s">
        <v>1322</v>
      </c>
      <c r="AD513" s="19"/>
      <c r="AE513" s="19">
        <v>383.2</v>
      </c>
      <c r="AF513" s="19">
        <v>383.2</v>
      </c>
      <c r="AG513" s="19" t="s">
        <v>216</v>
      </c>
      <c r="AH513" s="19"/>
      <c r="AI513" s="19"/>
      <c r="AJ513" s="19">
        <v>8.35</v>
      </c>
      <c r="AK513" s="19" t="s">
        <v>1175</v>
      </c>
      <c r="AL513" s="19"/>
      <c r="AM513" s="19" t="s">
        <v>234</v>
      </c>
      <c r="AN513" s="19" t="s">
        <v>1030</v>
      </c>
      <c r="AO513" s="19" t="s">
        <v>216</v>
      </c>
      <c r="AP513" s="94"/>
      <c r="AQ513" s="19" t="s">
        <v>102</v>
      </c>
      <c r="AR513" s="19" t="s">
        <v>241</v>
      </c>
      <c r="AS513" s="19"/>
      <c r="AT513" s="65" t="str">
        <f t="shared" si="136"/>
        <v>N</v>
      </c>
      <c r="AU513" s="65" t="str">
        <f t="shared" si="145"/>
        <v>N</v>
      </c>
      <c r="AV513" s="65" t="s">
        <v>162</v>
      </c>
      <c r="AW513" s="99" t="s">
        <v>1405</v>
      </c>
      <c r="AX513" s="99"/>
      <c r="AY513" s="19"/>
      <c r="AZ513" s="96" t="str">
        <f t="shared" si="146"/>
        <v>n</v>
      </c>
      <c r="BA513" s="96" t="str">
        <f>IF(AZ513="n","n",VLOOKUP(AZ513,'Conversion factors'!$C$4:$D$24,2,FALSE))</f>
        <v>n</v>
      </c>
      <c r="BB513" s="96" t="str">
        <f t="shared" si="147"/>
        <v>n</v>
      </c>
      <c r="BC513" s="97"/>
      <c r="BD513" s="96" t="str">
        <f t="shared" si="137"/>
        <v>n</v>
      </c>
      <c r="BE513" s="96" t="str">
        <f t="shared" si="148"/>
        <v>n</v>
      </c>
      <c r="BF513" s="98" t="str">
        <f t="shared" si="138"/>
        <v/>
      </c>
      <c r="BG513" s="96" t="str">
        <f>IF(BF513="","",IF(ISNUMBER(VLOOKUP(BF513,'Conversion factors'!$B$35:$C$52,2,FALSE)),"y","n"))</f>
        <v/>
      </c>
      <c r="BH513" s="99" t="s">
        <v>1507</v>
      </c>
    </row>
    <row r="514" spans="1:90" s="103" customFormat="1" ht="15.75" customHeight="1" x14ac:dyDescent="0.2">
      <c r="A514" s="18"/>
      <c r="B514" s="113">
        <v>117</v>
      </c>
      <c r="C514" s="36">
        <v>211982</v>
      </c>
      <c r="D514" s="36">
        <v>1982</v>
      </c>
      <c r="E514" s="93" t="s">
        <v>1324</v>
      </c>
      <c r="F514" s="93">
        <v>1986</v>
      </c>
      <c r="G514" s="19" t="s">
        <v>1377</v>
      </c>
      <c r="H514" s="19"/>
      <c r="I514" s="19" t="s">
        <v>41</v>
      </c>
      <c r="J514" s="19" t="s">
        <v>147</v>
      </c>
      <c r="K514" s="19" t="s">
        <v>184</v>
      </c>
      <c r="L514" s="99" t="s">
        <v>151</v>
      </c>
      <c r="M514" s="19" t="s">
        <v>183</v>
      </c>
      <c r="N514" s="19" t="s">
        <v>66</v>
      </c>
      <c r="O514" s="19" t="s">
        <v>185</v>
      </c>
      <c r="P514" s="19" t="s">
        <v>162</v>
      </c>
      <c r="Q514" s="19"/>
      <c r="R514" s="19" t="s">
        <v>156</v>
      </c>
      <c r="S514" s="19" t="s">
        <v>156</v>
      </c>
      <c r="T514" s="19" t="s">
        <v>54</v>
      </c>
      <c r="U514" s="19" t="s">
        <v>54</v>
      </c>
      <c r="V514" s="93">
        <v>30</v>
      </c>
      <c r="W514" s="93" t="s">
        <v>45</v>
      </c>
      <c r="X514" s="19" t="s">
        <v>46</v>
      </c>
      <c r="Y514" s="29"/>
      <c r="Z514" s="93"/>
      <c r="AA514" s="93"/>
      <c r="AB514" s="93">
        <v>570</v>
      </c>
      <c r="AC514" s="19" t="s">
        <v>214</v>
      </c>
      <c r="AD514" s="93"/>
      <c r="AE514" s="19">
        <v>36</v>
      </c>
      <c r="AF514" s="19">
        <v>36</v>
      </c>
      <c r="AG514" s="19"/>
      <c r="AH514" s="19"/>
      <c r="AI514" s="19"/>
      <c r="AJ514" s="101">
        <v>6.9</v>
      </c>
      <c r="AK514" s="19" t="s">
        <v>148</v>
      </c>
      <c r="AL514" s="19"/>
      <c r="AM514" s="19"/>
      <c r="AN514" s="19">
        <v>29</v>
      </c>
      <c r="AO514" s="19"/>
      <c r="AP514" s="94"/>
      <c r="AQ514" s="19" t="s">
        <v>101</v>
      </c>
      <c r="AR514" s="108" t="s">
        <v>200</v>
      </c>
      <c r="AS514" s="19"/>
      <c r="AT514" s="65" t="str">
        <f t="shared" si="136"/>
        <v>Y</v>
      </c>
      <c r="AU514" s="65" t="str">
        <f t="shared" si="145"/>
        <v>Y</v>
      </c>
      <c r="AV514" s="65" t="str">
        <f>AU514</f>
        <v>Y</v>
      </c>
      <c r="AW514" s="99"/>
      <c r="AX514" s="99" t="s">
        <v>1644</v>
      </c>
      <c r="AY514" s="93"/>
      <c r="AZ514" s="96" t="str">
        <f t="shared" si="146"/>
        <v>NOEC</v>
      </c>
      <c r="BA514" s="96">
        <f>IF(AZ514="n","n",VLOOKUP(AZ514,'Conversion factors'!$C$4:$D$24,2,FALSE))</f>
        <v>1</v>
      </c>
      <c r="BB514" s="96">
        <f t="shared" si="147"/>
        <v>570</v>
      </c>
      <c r="BC514" s="97"/>
      <c r="BD514" s="96" t="str">
        <f t="shared" si="137"/>
        <v>Chronic</v>
      </c>
      <c r="BE514" s="96" t="str">
        <f t="shared" si="148"/>
        <v>y</v>
      </c>
      <c r="BF514" s="98" t="str">
        <f t="shared" si="138"/>
        <v>NOEC</v>
      </c>
      <c r="BG514" s="96" t="str">
        <f>IF(BF514="","",IF(ISNUMBER(VLOOKUP(BF514,'Conversion factors'!$B$35:$C$52,2,FALSE)),"y","n"))</f>
        <v>y</v>
      </c>
      <c r="BH514" s="99" t="s">
        <v>1507</v>
      </c>
      <c r="BI514" s="103" t="s">
        <v>1644</v>
      </c>
    </row>
    <row r="515" spans="1:90" s="103" customFormat="1" ht="15.75" customHeight="1" x14ac:dyDescent="0.2">
      <c r="A515" s="18"/>
      <c r="B515" s="113">
        <v>117</v>
      </c>
      <c r="C515" s="36">
        <v>211982</v>
      </c>
      <c r="D515" s="36">
        <v>1982</v>
      </c>
      <c r="E515" s="93" t="s">
        <v>1324</v>
      </c>
      <c r="F515" s="93">
        <v>1986</v>
      </c>
      <c r="G515" s="19" t="s">
        <v>1377</v>
      </c>
      <c r="H515" s="19"/>
      <c r="I515" s="19" t="s">
        <v>41</v>
      </c>
      <c r="J515" s="19" t="s">
        <v>147</v>
      </c>
      <c r="K515" s="19" t="s">
        <v>184</v>
      </c>
      <c r="L515" s="19" t="s">
        <v>151</v>
      </c>
      <c r="M515" s="19" t="s">
        <v>183</v>
      </c>
      <c r="N515" s="19" t="s">
        <v>66</v>
      </c>
      <c r="O515" s="19" t="s">
        <v>185</v>
      </c>
      <c r="P515" s="19" t="s">
        <v>162</v>
      </c>
      <c r="Q515" s="19"/>
      <c r="R515" s="19" t="s">
        <v>156</v>
      </c>
      <c r="S515" s="19" t="s">
        <v>156</v>
      </c>
      <c r="T515" s="19" t="s">
        <v>56</v>
      </c>
      <c r="U515" s="19" t="s">
        <v>44</v>
      </c>
      <c r="V515" s="93">
        <v>30</v>
      </c>
      <c r="W515" s="93" t="s">
        <v>45</v>
      </c>
      <c r="X515" s="19" t="s">
        <v>46</v>
      </c>
      <c r="Y515" s="29"/>
      <c r="Z515" s="93"/>
      <c r="AA515" s="93"/>
      <c r="AB515" s="93">
        <v>771</v>
      </c>
      <c r="AC515" s="19" t="s">
        <v>214</v>
      </c>
      <c r="AD515" s="93"/>
      <c r="AE515" s="19">
        <v>36</v>
      </c>
      <c r="AF515" s="19">
        <v>36</v>
      </c>
      <c r="AG515" s="19"/>
      <c r="AH515" s="19"/>
      <c r="AI515" s="19"/>
      <c r="AJ515" s="19">
        <v>6.9</v>
      </c>
      <c r="AK515" s="19" t="s">
        <v>148</v>
      </c>
      <c r="AL515" s="19"/>
      <c r="AM515" s="19" t="s">
        <v>48</v>
      </c>
      <c r="AN515" s="19">
        <v>29</v>
      </c>
      <c r="AO515" s="19"/>
      <c r="AP515" s="94"/>
      <c r="AQ515" s="19" t="s">
        <v>101</v>
      </c>
      <c r="AR515" s="108" t="s">
        <v>200</v>
      </c>
      <c r="AS515" s="19"/>
      <c r="AT515" s="65" t="str">
        <f t="shared" si="136"/>
        <v>Y</v>
      </c>
      <c r="AU515" s="65" t="str">
        <f t="shared" si="145"/>
        <v>Y</v>
      </c>
      <c r="AV515" s="65" t="str">
        <f>AU515</f>
        <v>Y</v>
      </c>
      <c r="AW515" s="99"/>
      <c r="AX515" s="99"/>
      <c r="AY515" s="93"/>
      <c r="AZ515" s="96" t="str">
        <f t="shared" si="146"/>
        <v>LC50</v>
      </c>
      <c r="BA515" s="96">
        <f>IF(AZ515="n","n",VLOOKUP(AZ515,'Conversion factors'!$C$4:$D$24,2,FALSE))</f>
        <v>5</v>
      </c>
      <c r="BB515" s="96">
        <f t="shared" si="147"/>
        <v>154.19999999999999</v>
      </c>
      <c r="BC515" s="97"/>
      <c r="BD515" s="96" t="str">
        <f t="shared" si="137"/>
        <v>Chronic</v>
      </c>
      <c r="BE515" s="96" t="str">
        <f t="shared" si="148"/>
        <v>y</v>
      </c>
      <c r="BF515" s="98" t="str">
        <f t="shared" si="138"/>
        <v>LC50</v>
      </c>
      <c r="BG515" s="96" t="str">
        <f>IF(BF515="","",IF(ISNUMBER(VLOOKUP(BF515,'Conversion factors'!$B$35:$C$52,2,FALSE)),"y","n"))</f>
        <v>n</v>
      </c>
      <c r="BH515" s="99" t="s">
        <v>1470</v>
      </c>
    </row>
    <row r="516" spans="1:90" s="103" customFormat="1" ht="15.75" customHeight="1" x14ac:dyDescent="0.2">
      <c r="A516" s="18"/>
      <c r="B516" s="19">
        <v>179</v>
      </c>
      <c r="C516" s="19"/>
      <c r="D516" s="19">
        <v>16506</v>
      </c>
      <c r="E516" s="19" t="s">
        <v>1224</v>
      </c>
      <c r="F516" s="93">
        <v>1995</v>
      </c>
      <c r="G516" s="19" t="s">
        <v>306</v>
      </c>
      <c r="H516" s="19"/>
      <c r="I516" s="19" t="s">
        <v>41</v>
      </c>
      <c r="J516" s="19" t="s">
        <v>1316</v>
      </c>
      <c r="K516" s="19" t="s">
        <v>184</v>
      </c>
      <c r="L516" s="19" t="s">
        <v>151</v>
      </c>
      <c r="M516" s="19" t="s">
        <v>183</v>
      </c>
      <c r="N516" s="19" t="s">
        <v>66</v>
      </c>
      <c r="O516" s="19" t="s">
        <v>235</v>
      </c>
      <c r="P516" s="19" t="s">
        <v>53</v>
      </c>
      <c r="Q516" s="19"/>
      <c r="R516" s="19" t="s">
        <v>81</v>
      </c>
      <c r="S516" s="19" t="s">
        <v>243</v>
      </c>
      <c r="T516" s="19" t="s">
        <v>44</v>
      </c>
      <c r="U516" s="19" t="s">
        <v>44</v>
      </c>
      <c r="V516" s="19" t="s">
        <v>1205</v>
      </c>
      <c r="W516" s="19" t="s">
        <v>231</v>
      </c>
      <c r="X516" s="19" t="s">
        <v>46</v>
      </c>
      <c r="Y516" s="29"/>
      <c r="Z516" s="19"/>
      <c r="AA516" s="19"/>
      <c r="AB516" s="19" t="s">
        <v>307</v>
      </c>
      <c r="AC516" s="19" t="s">
        <v>214</v>
      </c>
      <c r="AD516" s="19"/>
      <c r="AE516" s="24">
        <f>2.497*63.6*3/2</f>
        <v>238.21379999999999</v>
      </c>
      <c r="AF516" s="19"/>
      <c r="AG516" s="19" t="s">
        <v>235</v>
      </c>
      <c r="AH516" s="19"/>
      <c r="AI516" s="19"/>
      <c r="AJ516" s="19">
        <f>MEDIAN(7.8,8.2)</f>
        <v>8</v>
      </c>
      <c r="AK516" s="19" t="s">
        <v>332</v>
      </c>
      <c r="AL516" s="19"/>
      <c r="AM516" s="19" t="s">
        <v>234</v>
      </c>
      <c r="AN516" s="19" t="s">
        <v>234</v>
      </c>
      <c r="AO516" s="19" t="s">
        <v>235</v>
      </c>
      <c r="AP516" s="94">
        <v>4.3</v>
      </c>
      <c r="AQ516" s="19" t="s">
        <v>101</v>
      </c>
      <c r="AR516" s="19" t="s">
        <v>241</v>
      </c>
      <c r="AS516" s="19"/>
      <c r="AT516" s="65" t="str">
        <f t="shared" ref="AT516:AT582" si="169">IF(F516&lt;1980,"N",IF(AC516="M","Y",IF(AC516="SM","Y","N")))</f>
        <v>Y</v>
      </c>
      <c r="AU516" s="65" t="str">
        <f t="shared" si="145"/>
        <v>Y</v>
      </c>
      <c r="AV516" s="65" t="str">
        <f>AU516</f>
        <v>Y</v>
      </c>
      <c r="AW516" s="99"/>
      <c r="AX516" s="99"/>
      <c r="AY516" s="19"/>
      <c r="AZ516" s="96" t="str">
        <f t="shared" si="146"/>
        <v>EC50</v>
      </c>
      <c r="BA516" s="96">
        <f>IF(AZ516="n","n",VLOOKUP(AZ516,'Conversion factors'!$C$4:$D$24,2,FALSE))</f>
        <v>5</v>
      </c>
      <c r="BB516" s="96">
        <f t="shared" si="147"/>
        <v>20.6</v>
      </c>
      <c r="BC516" s="97"/>
      <c r="BD516" s="96" t="str">
        <f t="shared" ref="BD516:BD582" si="170">IF(AV516="N","n",X516)</f>
        <v>Chronic</v>
      </c>
      <c r="BE516" s="96" t="str">
        <f t="shared" si="148"/>
        <v>y</v>
      </c>
      <c r="BF516" s="98" t="str">
        <f t="shared" si="138"/>
        <v>EC50</v>
      </c>
      <c r="BG516" s="96" t="str">
        <f>IF(BF516="","",IF(ISNUMBER(VLOOKUP(BF516,'Conversion factors'!$B$35:$C$52,2,FALSE)),"y","n"))</f>
        <v>n</v>
      </c>
      <c r="BH516" s="99" t="s">
        <v>1470</v>
      </c>
    </row>
    <row r="517" spans="1:90" s="103" customFormat="1" ht="15.75" customHeight="1" x14ac:dyDescent="0.2">
      <c r="A517" s="18"/>
      <c r="B517" s="19">
        <v>179</v>
      </c>
      <c r="C517" s="19"/>
      <c r="D517" s="19">
        <v>16506</v>
      </c>
      <c r="E517" s="19" t="s">
        <v>1224</v>
      </c>
      <c r="F517" s="93">
        <v>1995</v>
      </c>
      <c r="G517" s="19" t="s">
        <v>306</v>
      </c>
      <c r="H517" s="19"/>
      <c r="I517" s="19" t="s">
        <v>41</v>
      </c>
      <c r="J517" s="19" t="s">
        <v>1316</v>
      </c>
      <c r="K517" s="19" t="s">
        <v>184</v>
      </c>
      <c r="L517" s="19" t="s">
        <v>151</v>
      </c>
      <c r="M517" s="19" t="s">
        <v>183</v>
      </c>
      <c r="N517" s="19" t="s">
        <v>66</v>
      </c>
      <c r="O517" s="19" t="s">
        <v>235</v>
      </c>
      <c r="P517" s="19" t="s">
        <v>53</v>
      </c>
      <c r="Q517" s="19"/>
      <c r="R517" s="19" t="s">
        <v>81</v>
      </c>
      <c r="S517" s="19" t="s">
        <v>243</v>
      </c>
      <c r="T517" s="19" t="s">
        <v>55</v>
      </c>
      <c r="U517" s="19" t="s">
        <v>55</v>
      </c>
      <c r="V517" s="19" t="s">
        <v>1205</v>
      </c>
      <c r="W517" s="19" t="s">
        <v>231</v>
      </c>
      <c r="X517" s="19" t="s">
        <v>46</v>
      </c>
      <c r="Y517" s="29"/>
      <c r="Z517" s="19"/>
      <c r="AA517" s="19"/>
      <c r="AB517" s="19">
        <v>115</v>
      </c>
      <c r="AC517" s="19" t="s">
        <v>214</v>
      </c>
      <c r="AD517" s="19"/>
      <c r="AE517" s="24">
        <f>2.497*63.6*3/2</f>
        <v>238.21379999999999</v>
      </c>
      <c r="AF517" s="19"/>
      <c r="AG517" s="19" t="s">
        <v>235</v>
      </c>
      <c r="AH517" s="19"/>
      <c r="AI517" s="19"/>
      <c r="AJ517" s="19">
        <f>MEDIAN(7.8,8.2)</f>
        <v>8</v>
      </c>
      <c r="AK517" s="19" t="s">
        <v>332</v>
      </c>
      <c r="AL517" s="19"/>
      <c r="AM517" s="19" t="s">
        <v>234</v>
      </c>
      <c r="AN517" s="19" t="s">
        <v>234</v>
      </c>
      <c r="AO517" s="19" t="s">
        <v>235</v>
      </c>
      <c r="AP517" s="94">
        <v>4.3</v>
      </c>
      <c r="AQ517" s="19" t="s">
        <v>101</v>
      </c>
      <c r="AR517" s="19" t="s">
        <v>241</v>
      </c>
      <c r="AS517" s="19"/>
      <c r="AT517" s="65" t="str">
        <f t="shared" si="169"/>
        <v>Y</v>
      </c>
      <c r="AU517" s="65" t="str">
        <f t="shared" si="145"/>
        <v>Y</v>
      </c>
      <c r="AV517" s="65" t="str">
        <f>AU517</f>
        <v>Y</v>
      </c>
      <c r="AW517" s="99"/>
      <c r="AX517" s="99"/>
      <c r="AY517" s="19"/>
      <c r="AZ517" s="96" t="str">
        <f t="shared" si="146"/>
        <v>LOEC</v>
      </c>
      <c r="BA517" s="96">
        <f>IF(AZ517="n","n",VLOOKUP(AZ517,'Conversion factors'!$C$4:$D$24,2,FALSE))</f>
        <v>2.5</v>
      </c>
      <c r="BB517" s="96">
        <f t="shared" si="147"/>
        <v>46</v>
      </c>
      <c r="BC517" s="97"/>
      <c r="BD517" s="96" t="str">
        <f t="shared" si="170"/>
        <v>Chronic</v>
      </c>
      <c r="BE517" s="96" t="str">
        <f t="shared" si="148"/>
        <v>y</v>
      </c>
      <c r="BF517" s="98" t="str">
        <f t="shared" ref="BF517:BF583" si="171">IF(BE517="n","",AZ517)</f>
        <v>LOEC</v>
      </c>
      <c r="BG517" s="96" t="str">
        <f>IF(BF517="","",IF(ISNUMBER(VLOOKUP(BF517,'Conversion factors'!$B$35:$C$52,2,FALSE)),"y","n"))</f>
        <v>n</v>
      </c>
      <c r="BH517" s="99" t="s">
        <v>1470</v>
      </c>
    </row>
    <row r="518" spans="1:90" s="103" customFormat="1" ht="15.75" customHeight="1" x14ac:dyDescent="0.2">
      <c r="A518" s="18"/>
      <c r="B518" s="19">
        <v>179</v>
      </c>
      <c r="C518" s="19"/>
      <c r="D518" s="19">
        <v>16506</v>
      </c>
      <c r="E518" s="19" t="s">
        <v>1224</v>
      </c>
      <c r="F518" s="93">
        <v>1995</v>
      </c>
      <c r="G518" s="19" t="s">
        <v>306</v>
      </c>
      <c r="H518" s="19"/>
      <c r="I518" s="19" t="s">
        <v>41</v>
      </c>
      <c r="J518" s="19" t="s">
        <v>1316</v>
      </c>
      <c r="K518" s="19" t="s">
        <v>184</v>
      </c>
      <c r="L518" s="19" t="s">
        <v>151</v>
      </c>
      <c r="M518" s="19" t="s">
        <v>183</v>
      </c>
      <c r="N518" s="19" t="s">
        <v>66</v>
      </c>
      <c r="O518" s="19" t="s">
        <v>235</v>
      </c>
      <c r="P518" s="19" t="s">
        <v>53</v>
      </c>
      <c r="Q518" s="19"/>
      <c r="R518" s="19" t="s">
        <v>81</v>
      </c>
      <c r="S518" s="19" t="s">
        <v>243</v>
      </c>
      <c r="T518" s="19" t="s">
        <v>54</v>
      </c>
      <c r="U518" s="19" t="s">
        <v>54</v>
      </c>
      <c r="V518" s="19" t="s">
        <v>1205</v>
      </c>
      <c r="W518" s="19" t="s">
        <v>231</v>
      </c>
      <c r="X518" s="19" t="s">
        <v>46</v>
      </c>
      <c r="Y518" s="29"/>
      <c r="Z518" s="19"/>
      <c r="AA518" s="19"/>
      <c r="AB518" s="19">
        <v>72</v>
      </c>
      <c r="AC518" s="19" t="s">
        <v>214</v>
      </c>
      <c r="AD518" s="19"/>
      <c r="AE518" s="24">
        <f>2.497*63.6*3/2</f>
        <v>238.21379999999999</v>
      </c>
      <c r="AF518" s="19"/>
      <c r="AG518" s="19" t="s">
        <v>235</v>
      </c>
      <c r="AH518" s="19"/>
      <c r="AI518" s="19"/>
      <c r="AJ518" s="19">
        <f>MEDIAN(7.8,8.2)</f>
        <v>8</v>
      </c>
      <c r="AK518" s="19" t="s">
        <v>332</v>
      </c>
      <c r="AL518" s="19"/>
      <c r="AM518" s="19"/>
      <c r="AN518" s="19" t="s">
        <v>234</v>
      </c>
      <c r="AO518" s="19" t="s">
        <v>235</v>
      </c>
      <c r="AP518" s="94">
        <v>4.3</v>
      </c>
      <c r="AQ518" s="19" t="s">
        <v>101</v>
      </c>
      <c r="AR518" s="19" t="s">
        <v>241</v>
      </c>
      <c r="AS518" s="19"/>
      <c r="AT518" s="65" t="str">
        <f t="shared" si="169"/>
        <v>Y</v>
      </c>
      <c r="AU518" s="65" t="str">
        <f t="shared" si="145"/>
        <v>Y</v>
      </c>
      <c r="AV518" s="65" t="str">
        <f t="shared" ref="AV518:AV527" si="172">AU518</f>
        <v>Y</v>
      </c>
      <c r="AW518" s="99"/>
      <c r="AX518" s="99" t="s">
        <v>1644</v>
      </c>
      <c r="AY518" s="19"/>
      <c r="AZ518" s="96" t="str">
        <f t="shared" si="146"/>
        <v>NOEC</v>
      </c>
      <c r="BA518" s="96">
        <f>IF(AZ518="n","n",VLOOKUP(AZ518,'Conversion factors'!$C$4:$D$24,2,FALSE))</f>
        <v>1</v>
      </c>
      <c r="BB518" s="96">
        <f t="shared" si="147"/>
        <v>72</v>
      </c>
      <c r="BC518" s="97"/>
      <c r="BD518" s="96" t="str">
        <f t="shared" si="170"/>
        <v>Chronic</v>
      </c>
      <c r="BE518" s="96" t="str">
        <f t="shared" si="148"/>
        <v>y</v>
      </c>
      <c r="BF518" s="98" t="str">
        <f t="shared" si="171"/>
        <v>NOEC</v>
      </c>
      <c r="BG518" s="96" t="str">
        <f>IF(BF518="","",IF(ISNUMBER(VLOOKUP(BF518,'Conversion factors'!$B$35:$C$52,2,FALSE)),"y","n"))</f>
        <v>y</v>
      </c>
      <c r="BH518" s="99" t="s">
        <v>1507</v>
      </c>
      <c r="BI518" s="103" t="s">
        <v>1644</v>
      </c>
    </row>
    <row r="519" spans="1:90" s="103" customFormat="1" ht="15.75" customHeight="1" x14ac:dyDescent="0.2">
      <c r="A519" s="18"/>
      <c r="B519" s="107">
        <v>115</v>
      </c>
      <c r="C519" s="36">
        <v>211151</v>
      </c>
      <c r="D519" s="36">
        <v>1151</v>
      </c>
      <c r="E519" s="93" t="s">
        <v>1324</v>
      </c>
      <c r="F519" s="93">
        <v>1983</v>
      </c>
      <c r="G519" s="19" t="s">
        <v>1823</v>
      </c>
      <c r="H519" s="19" t="s">
        <v>1307</v>
      </c>
      <c r="I519" s="19" t="s">
        <v>41</v>
      </c>
      <c r="J519" s="19" t="s">
        <v>140</v>
      </c>
      <c r="K519" s="19" t="s">
        <v>184</v>
      </c>
      <c r="L519" s="99" t="s">
        <v>151</v>
      </c>
      <c r="M519" s="19" t="s">
        <v>183</v>
      </c>
      <c r="N519" s="19" t="s">
        <v>66</v>
      </c>
      <c r="O519" s="19" t="s">
        <v>185</v>
      </c>
      <c r="P519" s="19" t="s">
        <v>1390</v>
      </c>
      <c r="Q519" s="19"/>
      <c r="R519" s="19" t="s">
        <v>156</v>
      </c>
      <c r="S519" s="19" t="s">
        <v>156</v>
      </c>
      <c r="T519" s="19" t="s">
        <v>56</v>
      </c>
      <c r="U519" s="19" t="s">
        <v>44</v>
      </c>
      <c r="V519" s="93">
        <v>14</v>
      </c>
      <c r="W519" s="93" t="s">
        <v>45</v>
      </c>
      <c r="X519" s="19" t="s">
        <v>46</v>
      </c>
      <c r="Y519" s="29"/>
      <c r="Z519" s="93"/>
      <c r="AA519" s="93"/>
      <c r="AB519" s="93">
        <v>66000</v>
      </c>
      <c r="AC519" s="19" t="s">
        <v>214</v>
      </c>
      <c r="AD519" s="93"/>
      <c r="AE519" s="19">
        <v>37</v>
      </c>
      <c r="AF519" s="19" t="s">
        <v>142</v>
      </c>
      <c r="AG519" s="19"/>
      <c r="AH519" s="19"/>
      <c r="AI519" s="19"/>
      <c r="AJ519" s="101">
        <f>MEDIAN(6.75,7.25)</f>
        <v>7</v>
      </c>
      <c r="AK519" s="19" t="s">
        <v>141</v>
      </c>
      <c r="AL519" s="19"/>
      <c r="AM519" s="19" t="s">
        <v>48</v>
      </c>
      <c r="AN519" s="19"/>
      <c r="AO519" s="19"/>
      <c r="AP519" s="94"/>
      <c r="AQ519" s="19" t="s">
        <v>143</v>
      </c>
      <c r="AR519" s="108" t="s">
        <v>1326</v>
      </c>
      <c r="AS519" s="19"/>
      <c r="AT519" s="65" t="str">
        <f t="shared" si="169"/>
        <v>Y</v>
      </c>
      <c r="AU519" s="65" t="str">
        <f t="shared" si="145"/>
        <v>Y</v>
      </c>
      <c r="AV519" s="65" t="str">
        <f t="shared" si="172"/>
        <v>Y</v>
      </c>
      <c r="AW519" s="19" t="s">
        <v>1327</v>
      </c>
      <c r="AX519" s="19"/>
      <c r="AY519" s="93"/>
      <c r="AZ519" s="96" t="str">
        <f t="shared" si="146"/>
        <v>LC50</v>
      </c>
      <c r="BA519" s="96">
        <f>IF(AZ519="n","n",VLOOKUP(AZ519,'Conversion factors'!$C$4:$D$24,2,FALSE))</f>
        <v>5</v>
      </c>
      <c r="BB519" s="96">
        <f t="shared" si="147"/>
        <v>13200</v>
      </c>
      <c r="BC519" s="97"/>
      <c r="BD519" s="96" t="str">
        <f t="shared" si="170"/>
        <v>Chronic</v>
      </c>
      <c r="BE519" s="96" t="str">
        <f t="shared" si="148"/>
        <v>y</v>
      </c>
      <c r="BF519" s="98" t="str">
        <f t="shared" si="171"/>
        <v>LC50</v>
      </c>
      <c r="BG519" s="96" t="str">
        <f>IF(BF519="","",IF(ISNUMBER(VLOOKUP(BF519,'Conversion factors'!$B$35:$C$52,2,FALSE)),"y","n"))</f>
        <v>n</v>
      </c>
      <c r="BH519" s="99"/>
    </row>
    <row r="520" spans="1:90" ht="14.25" x14ac:dyDescent="0.2">
      <c r="A520" s="19" t="s">
        <v>1769</v>
      </c>
      <c r="B520" s="113"/>
      <c r="C520" s="19">
        <v>165445</v>
      </c>
      <c r="D520" s="19"/>
      <c r="E520" s="19"/>
      <c r="F520" s="36">
        <v>2014</v>
      </c>
      <c r="G520" s="174" t="s">
        <v>1770</v>
      </c>
      <c r="H520" s="174" t="s">
        <v>1307</v>
      </c>
      <c r="I520" s="35" t="s">
        <v>41</v>
      </c>
      <c r="J520" s="35" t="s">
        <v>1771</v>
      </c>
      <c r="K520" s="35" t="s">
        <v>184</v>
      </c>
      <c r="L520" s="35" t="s">
        <v>151</v>
      </c>
      <c r="M520" s="35" t="s">
        <v>183</v>
      </c>
      <c r="N520" s="19" t="s">
        <v>66</v>
      </c>
      <c r="O520" s="35" t="s">
        <v>1251</v>
      </c>
      <c r="P520" s="35" t="s">
        <v>53</v>
      </c>
      <c r="Q520" s="19"/>
      <c r="R520" s="35" t="s">
        <v>237</v>
      </c>
      <c r="S520" s="35" t="s">
        <v>156</v>
      </c>
      <c r="T520" s="35" t="s">
        <v>927</v>
      </c>
      <c r="U520" s="35" t="s">
        <v>927</v>
      </c>
      <c r="V520" s="35">
        <v>2</v>
      </c>
      <c r="W520" s="36" t="s">
        <v>45</v>
      </c>
      <c r="X520" s="20" t="s">
        <v>46</v>
      </c>
      <c r="Y520" s="29"/>
      <c r="Z520" s="93"/>
      <c r="AA520" s="101"/>
      <c r="AB520" s="101">
        <v>155</v>
      </c>
      <c r="AC520" s="36" t="s">
        <v>214</v>
      </c>
      <c r="AD520" s="35"/>
      <c r="AE520" s="35">
        <v>30</v>
      </c>
      <c r="AF520" s="35"/>
      <c r="AG520" s="35"/>
      <c r="AH520" s="19">
        <v>6.2</v>
      </c>
      <c r="AI520" s="19"/>
      <c r="AJ520" s="113">
        <v>7.8</v>
      </c>
      <c r="AK520" s="113">
        <v>7.8</v>
      </c>
      <c r="AL520" s="35" t="s">
        <v>1777</v>
      </c>
      <c r="AM520" s="103"/>
      <c r="AP520" s="19">
        <v>2.4500000000000002</v>
      </c>
      <c r="AQ520" s="35">
        <v>20.5</v>
      </c>
      <c r="AR520" s="20" t="s">
        <v>1782</v>
      </c>
      <c r="AS520" s="114"/>
      <c r="AT520" s="65" t="str">
        <f t="shared" ref="AT520:AT522" si="173">IF(F520&lt;1980,"N",IF(AC520="M","Y",IF(AC520="SM","Y","N")))</f>
        <v>Y</v>
      </c>
      <c r="AU520" s="65" t="str">
        <f t="shared" ref="AU520:AU522" si="174">IF(AT520="N","N",IF(AJ520&lt;6,"N",IF(AJ520&gt;8.5,"N","Y")))</f>
        <v>Y</v>
      </c>
      <c r="AV520" s="65" t="str">
        <f t="shared" ref="AV520:AV522" si="175">AU520</f>
        <v>Y</v>
      </c>
      <c r="AW520" s="20"/>
      <c r="AX520" s="20"/>
      <c r="AZ520" s="96" t="str">
        <f t="shared" ref="AZ520:AZ522" si="176">IF(AV520="N","n",T520)</f>
        <v>EC20</v>
      </c>
      <c r="BA520" s="96">
        <f>IF(AZ520="n","n",VLOOKUP(AZ520,'Conversion factors'!$C$4:$D$24,2,FALSE))</f>
        <v>1</v>
      </c>
      <c r="BB520" s="96">
        <f t="shared" ref="BB520:BB522" si="177">IF(BA520="n","n",AB520/BA520)</f>
        <v>155</v>
      </c>
      <c r="BC520" s="97"/>
      <c r="BD520" s="96" t="str">
        <f t="shared" ref="BD520:BD522" si="178">IF(AV520="N","n",X520)</f>
        <v>Chronic</v>
      </c>
      <c r="BE520" s="96" t="str">
        <f t="shared" ref="BE520:BE522" si="179">IF(BD520="chronic","y","n")</f>
        <v>y</v>
      </c>
      <c r="BF520" s="98" t="str">
        <f t="shared" ref="BF520:BF522" si="180">IF(BE520="n","",AZ520)</f>
        <v>EC20</v>
      </c>
      <c r="BG520" s="96" t="str">
        <f>IF(BF520="","",IF(ISNUMBER(VLOOKUP(BF520,'Conversion factors'!$B$35:$C$52,2,FALSE)),"y","n"))</f>
        <v>y</v>
      </c>
      <c r="BH520" s="99"/>
      <c r="BI520" s="103"/>
      <c r="BJ520" s="103"/>
      <c r="BK520" s="103"/>
      <c r="BL520" s="103"/>
      <c r="BM520" s="103"/>
      <c r="BN520" s="103"/>
      <c r="BO520" s="103"/>
      <c r="BP520" s="20" t="s">
        <v>1772</v>
      </c>
      <c r="BQ520" s="20">
        <v>81</v>
      </c>
      <c r="BR520" s="20" t="s">
        <v>1773</v>
      </c>
      <c r="BW520" s="20" t="str">
        <f>M520</f>
        <v>Molluscs</v>
      </c>
      <c r="BX520" s="20" t="str">
        <f>_xlfn.CONCAT(L520," (",J520,")")</f>
        <v>Macroinvertebrate (Echyridella menziesii)</v>
      </c>
      <c r="BY520" s="20" t="str">
        <f>_xlfn.CONCAT(M520," (",K520,")")</f>
        <v>Molluscs (Mollusca)</v>
      </c>
      <c r="BZ520" s="20" t="str">
        <f>J520</f>
        <v>Echyridella menziesii</v>
      </c>
      <c r="CA520" s="20" t="str">
        <f>O520</f>
        <v>Larvae</v>
      </c>
      <c r="CB520" s="20" t="str">
        <f>U520</f>
        <v>EC20</v>
      </c>
      <c r="CC520" s="20" t="str">
        <f>_xlfn.CONCAT(S520," (",Q520,")")</f>
        <v>Mortality ()</v>
      </c>
      <c r="CD520" s="175">
        <f>BL520</f>
        <v>0</v>
      </c>
      <c r="CE520" s="20">
        <f>AQ520</f>
        <v>20.5</v>
      </c>
      <c r="CF520" s="20">
        <f>AE520</f>
        <v>30</v>
      </c>
      <c r="CG520" s="20">
        <f>AH520</f>
        <v>6.2</v>
      </c>
      <c r="CH520" s="20">
        <f>AP520</f>
        <v>2.4500000000000002</v>
      </c>
      <c r="CI520" s="175">
        <f>Z520</f>
        <v>0</v>
      </c>
      <c r="CJ520" s="175">
        <f t="shared" ref="CJ520" si="181">BH520</f>
        <v>0</v>
      </c>
      <c r="CK520" s="20" t="str">
        <f t="shared" ref="CK520" si="182">G520</f>
        <v>Clearwater, S. J.; Thompson, K. J.; Hickey, C. W.</v>
      </c>
      <c r="CL520" s="20">
        <f t="shared" ref="CL520" si="183">F520</f>
        <v>2014</v>
      </c>
    </row>
    <row r="521" spans="1:90" customFormat="1" ht="15" x14ac:dyDescent="0.25">
      <c r="A521" s="19" t="s">
        <v>1774</v>
      </c>
      <c r="B521" s="113"/>
      <c r="C521" s="19">
        <v>165445</v>
      </c>
      <c r="D521" s="19"/>
      <c r="E521" s="19"/>
      <c r="F521" s="36">
        <v>2014</v>
      </c>
      <c r="G521" s="176" t="s">
        <v>1770</v>
      </c>
      <c r="H521" s="174" t="s">
        <v>1307</v>
      </c>
      <c r="I521" s="35" t="s">
        <v>41</v>
      </c>
      <c r="J521" s="35" t="s">
        <v>1771</v>
      </c>
      <c r="K521" s="35" t="s">
        <v>184</v>
      </c>
      <c r="L521" s="35" t="s">
        <v>151</v>
      </c>
      <c r="M521" s="35" t="s">
        <v>183</v>
      </c>
      <c r="N521" s="19" t="s">
        <v>66</v>
      </c>
      <c r="O521" s="35" t="s">
        <v>1251</v>
      </c>
      <c r="P521" s="35" t="s">
        <v>53</v>
      </c>
      <c r="Q521" s="19"/>
      <c r="R521" s="35" t="s">
        <v>237</v>
      </c>
      <c r="S521" s="35" t="s">
        <v>156</v>
      </c>
      <c r="T521" s="35" t="s">
        <v>927</v>
      </c>
      <c r="U521" s="35" t="s">
        <v>927</v>
      </c>
      <c r="V521" s="35">
        <v>2</v>
      </c>
      <c r="W521" s="36" t="s">
        <v>45</v>
      </c>
      <c r="X521" s="20" t="s">
        <v>46</v>
      </c>
      <c r="Y521" s="29"/>
      <c r="Z521" s="93"/>
      <c r="AA521" s="101"/>
      <c r="AB521" s="101">
        <v>281</v>
      </c>
      <c r="AC521" s="36" t="s">
        <v>214</v>
      </c>
      <c r="AD521" s="35"/>
      <c r="AE521" s="35">
        <v>30</v>
      </c>
      <c r="AF521" s="35"/>
      <c r="AG521" s="35"/>
      <c r="AH521" s="19">
        <v>6</v>
      </c>
      <c r="AI521" s="19"/>
      <c r="AJ521" s="113">
        <v>7.89</v>
      </c>
      <c r="AK521" s="113">
        <v>7.89</v>
      </c>
      <c r="AL521" s="35" t="s">
        <v>1778</v>
      </c>
      <c r="AM521" s="30"/>
      <c r="AN521" s="20"/>
      <c r="AO521" s="20"/>
      <c r="AP521" s="19">
        <v>2.4500000000000002</v>
      </c>
      <c r="AQ521" s="35">
        <v>20.5</v>
      </c>
      <c r="AR521" s="19" t="s">
        <v>1781</v>
      </c>
      <c r="AS521" s="114"/>
      <c r="AT521" s="65" t="str">
        <f t="shared" si="173"/>
        <v>Y</v>
      </c>
      <c r="AU521" s="65" t="str">
        <f t="shared" si="174"/>
        <v>Y</v>
      </c>
      <c r="AV521" s="65" t="str">
        <f t="shared" si="175"/>
        <v>Y</v>
      </c>
      <c r="AW521" s="20"/>
      <c r="AX521" s="20"/>
      <c r="AY521" s="20"/>
      <c r="AZ521" s="96" t="str">
        <f t="shared" si="176"/>
        <v>EC20</v>
      </c>
      <c r="BA521" s="96">
        <f>IF(AZ521="n","n",VLOOKUP(AZ521,'Conversion factors'!$C$4:$D$24,2,FALSE))</f>
        <v>1</v>
      </c>
      <c r="BB521" s="96">
        <f t="shared" si="177"/>
        <v>281</v>
      </c>
      <c r="BC521" s="97"/>
      <c r="BD521" s="96" t="str">
        <f t="shared" si="178"/>
        <v>Chronic</v>
      </c>
      <c r="BE521" s="96" t="str">
        <f t="shared" si="179"/>
        <v>y</v>
      </c>
      <c r="BF521" s="98" t="str">
        <f t="shared" si="180"/>
        <v>EC20</v>
      </c>
      <c r="BG521" s="96" t="str">
        <f>IF(BF521="","",IF(ISNUMBER(VLOOKUP(BF521,'Conversion factors'!$B$35:$C$52,2,FALSE)),"y","n"))</f>
        <v>y</v>
      </c>
      <c r="BH521" s="99"/>
      <c r="BI521" s="103"/>
      <c r="BJ521" s="103"/>
      <c r="BK521" s="103"/>
      <c r="BL521" s="103"/>
      <c r="BM521" s="103"/>
      <c r="BN521" s="103"/>
      <c r="BO521" s="30"/>
      <c r="BP521" s="20" t="s">
        <v>1772</v>
      </c>
      <c r="BQ521" s="20">
        <v>81</v>
      </c>
      <c r="BR521" s="20" t="s">
        <v>1773</v>
      </c>
    </row>
    <row r="522" spans="1:90" customFormat="1" ht="15" x14ac:dyDescent="0.25">
      <c r="A522" s="19" t="s">
        <v>1775</v>
      </c>
      <c r="B522" s="113"/>
      <c r="C522" s="19">
        <v>165445</v>
      </c>
      <c r="D522" s="19"/>
      <c r="E522" s="19"/>
      <c r="F522" s="36">
        <v>2014</v>
      </c>
      <c r="G522" s="176" t="s">
        <v>1770</v>
      </c>
      <c r="H522" s="174" t="s">
        <v>1307</v>
      </c>
      <c r="I522" s="35" t="s">
        <v>41</v>
      </c>
      <c r="J522" s="35" t="s">
        <v>1771</v>
      </c>
      <c r="K522" s="35" t="s">
        <v>184</v>
      </c>
      <c r="L522" s="35" t="s">
        <v>151</v>
      </c>
      <c r="M522" s="35" t="s">
        <v>183</v>
      </c>
      <c r="N522" s="19" t="s">
        <v>66</v>
      </c>
      <c r="O522" s="35" t="s">
        <v>1251</v>
      </c>
      <c r="P522" s="35" t="s">
        <v>53</v>
      </c>
      <c r="Q522" s="35" t="s">
        <v>237</v>
      </c>
      <c r="R522" s="35" t="s">
        <v>237</v>
      </c>
      <c r="S522" s="35" t="s">
        <v>156</v>
      </c>
      <c r="T522" s="35" t="s">
        <v>927</v>
      </c>
      <c r="U522" s="35" t="s">
        <v>927</v>
      </c>
      <c r="V522" s="35">
        <v>2</v>
      </c>
      <c r="W522" s="36" t="s">
        <v>45</v>
      </c>
      <c r="X522" s="20" t="s">
        <v>46</v>
      </c>
      <c r="Y522" s="29"/>
      <c r="Z522" s="93"/>
      <c r="AA522" s="101"/>
      <c r="AB522" s="101">
        <v>56</v>
      </c>
      <c r="AC522" s="36" t="s">
        <v>214</v>
      </c>
      <c r="AD522" s="35"/>
      <c r="AE522" s="35">
        <v>30</v>
      </c>
      <c r="AF522" s="35"/>
      <c r="AG522" s="35"/>
      <c r="AH522" s="19">
        <v>6.3</v>
      </c>
      <c r="AI522" s="19"/>
      <c r="AJ522" s="113">
        <v>7.81</v>
      </c>
      <c r="AK522" s="113">
        <v>7.81</v>
      </c>
      <c r="AL522" s="35" t="s">
        <v>1779</v>
      </c>
      <c r="AM522" s="30"/>
      <c r="AN522" s="20"/>
      <c r="AO522" s="20"/>
      <c r="AP522" s="19">
        <v>2.4500000000000002</v>
      </c>
      <c r="AQ522" s="35">
        <v>20.5</v>
      </c>
      <c r="AR522" s="19" t="s">
        <v>1780</v>
      </c>
      <c r="AS522" s="114"/>
      <c r="AT522" s="65" t="str">
        <f t="shared" si="173"/>
        <v>Y</v>
      </c>
      <c r="AU522" s="65" t="str">
        <f t="shared" si="174"/>
        <v>Y</v>
      </c>
      <c r="AV522" s="65" t="str">
        <f t="shared" si="175"/>
        <v>Y</v>
      </c>
      <c r="AW522" s="20"/>
      <c r="AX522" s="20"/>
      <c r="AY522" s="20"/>
      <c r="AZ522" s="96" t="str">
        <f t="shared" si="176"/>
        <v>EC20</v>
      </c>
      <c r="BA522" s="96">
        <f>IF(AZ522="n","n",VLOOKUP(AZ522,'Conversion factors'!$C$4:$D$24,2,FALSE))</f>
        <v>1</v>
      </c>
      <c r="BB522" s="96">
        <f t="shared" si="177"/>
        <v>56</v>
      </c>
      <c r="BC522" s="97"/>
      <c r="BD522" s="96" t="str">
        <f t="shared" si="178"/>
        <v>Chronic</v>
      </c>
      <c r="BE522" s="96" t="str">
        <f t="shared" si="179"/>
        <v>y</v>
      </c>
      <c r="BF522" s="98" t="str">
        <f t="shared" si="180"/>
        <v>EC20</v>
      </c>
      <c r="BG522" s="96" t="str">
        <f>IF(BF522="","",IF(ISNUMBER(VLOOKUP(BF522,'Conversion factors'!$B$35:$C$52,2,FALSE)),"y","n"))</f>
        <v>y</v>
      </c>
      <c r="BH522" s="99"/>
      <c r="BI522" s="103"/>
      <c r="BJ522" s="103"/>
      <c r="BK522" s="103"/>
      <c r="BL522" s="103"/>
      <c r="BM522" s="103"/>
      <c r="BN522" s="103"/>
      <c r="BO522" s="30"/>
      <c r="BP522" s="20" t="s">
        <v>1772</v>
      </c>
      <c r="BQ522" s="20">
        <v>81</v>
      </c>
      <c r="BR522" s="20" t="s">
        <v>1773</v>
      </c>
    </row>
    <row r="523" spans="1:90" s="103" customFormat="1" ht="15.75" customHeight="1" x14ac:dyDescent="0.2">
      <c r="A523" s="18"/>
      <c r="B523" s="19">
        <v>299</v>
      </c>
      <c r="C523" s="19"/>
      <c r="D523" s="19">
        <v>106851</v>
      </c>
      <c r="E523" s="19" t="s">
        <v>1224</v>
      </c>
      <c r="F523" s="93">
        <v>2008</v>
      </c>
      <c r="G523" s="19" t="s">
        <v>1039</v>
      </c>
      <c r="H523" s="19"/>
      <c r="I523" s="19" t="s">
        <v>41</v>
      </c>
      <c r="J523" s="19" t="s">
        <v>1040</v>
      </c>
      <c r="K523" s="19" t="s">
        <v>250</v>
      </c>
      <c r="L523" s="19" t="s">
        <v>1202</v>
      </c>
      <c r="M523" s="19" t="s">
        <v>1203</v>
      </c>
      <c r="N523" s="19" t="s">
        <v>109</v>
      </c>
      <c r="O523" s="19" t="s">
        <v>235</v>
      </c>
      <c r="P523" s="19" t="s">
        <v>1399</v>
      </c>
      <c r="Q523" s="19"/>
      <c r="R523" s="19" t="s">
        <v>81</v>
      </c>
      <c r="S523" s="19" t="s">
        <v>302</v>
      </c>
      <c r="T523" s="19" t="s">
        <v>55</v>
      </c>
      <c r="U523" s="19" t="s">
        <v>55</v>
      </c>
      <c r="V523" s="19" t="s">
        <v>101</v>
      </c>
      <c r="W523" s="19" t="s">
        <v>231</v>
      </c>
      <c r="X523" s="19" t="s">
        <v>46</v>
      </c>
      <c r="Y523" s="29"/>
      <c r="Z523" s="19"/>
      <c r="AA523" s="19"/>
      <c r="AB523" s="19" t="s">
        <v>896</v>
      </c>
      <c r="AC523" s="19" t="s">
        <v>1322</v>
      </c>
      <c r="AD523" s="19"/>
      <c r="AE523" s="19"/>
      <c r="AF523" s="19"/>
      <c r="AG523" s="19" t="s">
        <v>235</v>
      </c>
      <c r="AH523" s="19"/>
      <c r="AI523" s="19"/>
      <c r="AJ523" s="19" t="s">
        <v>234</v>
      </c>
      <c r="AK523" s="19" t="s">
        <v>234</v>
      </c>
      <c r="AL523" s="19"/>
      <c r="AM523" s="19" t="s">
        <v>234</v>
      </c>
      <c r="AN523" s="19" t="s">
        <v>234</v>
      </c>
      <c r="AO523" s="19" t="s">
        <v>235</v>
      </c>
      <c r="AP523" s="94"/>
      <c r="AQ523" s="19" t="s">
        <v>1041</v>
      </c>
      <c r="AR523" s="19" t="s">
        <v>241</v>
      </c>
      <c r="AS523" s="19"/>
      <c r="AT523" s="65" t="str">
        <f t="shared" si="169"/>
        <v>N</v>
      </c>
      <c r="AU523" s="65" t="str">
        <f t="shared" si="145"/>
        <v>N</v>
      </c>
      <c r="AV523" s="65" t="str">
        <f t="shared" si="172"/>
        <v>N</v>
      </c>
      <c r="AW523" s="99" t="s">
        <v>1587</v>
      </c>
      <c r="AX523" s="99"/>
      <c r="AY523" s="19"/>
      <c r="AZ523" s="96" t="str">
        <f t="shared" si="146"/>
        <v>n</v>
      </c>
      <c r="BA523" s="96" t="str">
        <f>IF(AZ523="n","n",VLOOKUP(AZ523,'Conversion factors'!$C$4:$D$24,2,FALSE))</f>
        <v>n</v>
      </c>
      <c r="BB523" s="96" t="str">
        <f t="shared" si="147"/>
        <v>n</v>
      </c>
      <c r="BC523" s="97"/>
      <c r="BD523" s="96" t="str">
        <f t="shared" si="170"/>
        <v>n</v>
      </c>
      <c r="BE523" s="96" t="str">
        <f t="shared" si="148"/>
        <v>n</v>
      </c>
      <c r="BF523" s="98" t="str">
        <f t="shared" si="171"/>
        <v/>
      </c>
      <c r="BG523" s="96" t="str">
        <f>IF(BF523="","",IF(ISNUMBER(VLOOKUP(BF523,'Conversion factors'!$B$35:$C$52,2,FALSE)),"y","n"))</f>
        <v/>
      </c>
      <c r="BH523" s="99" t="s">
        <v>1470</v>
      </c>
    </row>
    <row r="524" spans="1:90" s="103" customFormat="1" ht="15.75" customHeight="1" x14ac:dyDescent="0.2">
      <c r="A524" s="18"/>
      <c r="B524" s="19">
        <v>299</v>
      </c>
      <c r="C524" s="19"/>
      <c r="D524" s="19">
        <v>106851</v>
      </c>
      <c r="E524" s="19" t="s">
        <v>1224</v>
      </c>
      <c r="F524" s="93">
        <v>2008</v>
      </c>
      <c r="G524" s="19" t="s">
        <v>1039</v>
      </c>
      <c r="H524" s="19"/>
      <c r="I524" s="19" t="s">
        <v>41</v>
      </c>
      <c r="J524" s="19" t="s">
        <v>1040</v>
      </c>
      <c r="K524" s="19" t="s">
        <v>250</v>
      </c>
      <c r="L524" s="19" t="s">
        <v>1202</v>
      </c>
      <c r="M524" s="19" t="s">
        <v>1203</v>
      </c>
      <c r="N524" s="19" t="s">
        <v>109</v>
      </c>
      <c r="O524" s="19" t="s">
        <v>235</v>
      </c>
      <c r="P524" s="19" t="s">
        <v>1399</v>
      </c>
      <c r="Q524" s="19"/>
      <c r="R524" s="19" t="s">
        <v>81</v>
      </c>
      <c r="S524" s="19" t="s">
        <v>474</v>
      </c>
      <c r="T524" s="19" t="s">
        <v>55</v>
      </c>
      <c r="U524" s="19" t="s">
        <v>55</v>
      </c>
      <c r="V524" s="19" t="s">
        <v>101</v>
      </c>
      <c r="W524" s="19" t="s">
        <v>231</v>
      </c>
      <c r="X524" s="19" t="s">
        <v>46</v>
      </c>
      <c r="Y524" s="29"/>
      <c r="Z524" s="19"/>
      <c r="AA524" s="19"/>
      <c r="AB524" s="19" t="s">
        <v>891</v>
      </c>
      <c r="AC524" s="19" t="s">
        <v>1322</v>
      </c>
      <c r="AD524" s="19"/>
      <c r="AE524" s="19"/>
      <c r="AF524" s="19"/>
      <c r="AG524" s="19" t="s">
        <v>235</v>
      </c>
      <c r="AH524" s="19"/>
      <c r="AI524" s="19"/>
      <c r="AJ524" s="19" t="s">
        <v>234</v>
      </c>
      <c r="AK524" s="19" t="s">
        <v>234</v>
      </c>
      <c r="AL524" s="19"/>
      <c r="AM524" s="19" t="s">
        <v>234</v>
      </c>
      <c r="AN524" s="19" t="s">
        <v>234</v>
      </c>
      <c r="AO524" s="19" t="s">
        <v>235</v>
      </c>
      <c r="AP524" s="94"/>
      <c r="AQ524" s="19" t="s">
        <v>1041</v>
      </c>
      <c r="AR524" s="19" t="s">
        <v>241</v>
      </c>
      <c r="AS524" s="19"/>
      <c r="AT524" s="65" t="str">
        <f t="shared" si="169"/>
        <v>N</v>
      </c>
      <c r="AU524" s="65" t="str">
        <f t="shared" si="145"/>
        <v>N</v>
      </c>
      <c r="AV524" s="65" t="str">
        <f t="shared" si="172"/>
        <v>N</v>
      </c>
      <c r="AW524" s="99" t="s">
        <v>1587</v>
      </c>
      <c r="AX524" s="99"/>
      <c r="AY524" s="19"/>
      <c r="AZ524" s="96" t="str">
        <f t="shared" si="146"/>
        <v>n</v>
      </c>
      <c r="BA524" s="96" t="str">
        <f>IF(AZ524="n","n",VLOOKUP(AZ524,'Conversion factors'!$C$4:$D$24,2,FALSE))</f>
        <v>n</v>
      </c>
      <c r="BB524" s="96" t="str">
        <f t="shared" si="147"/>
        <v>n</v>
      </c>
      <c r="BC524" s="97"/>
      <c r="BD524" s="96" t="str">
        <f t="shared" si="170"/>
        <v>n</v>
      </c>
      <c r="BE524" s="96" t="str">
        <f t="shared" si="148"/>
        <v>n</v>
      </c>
      <c r="BF524" s="98" t="str">
        <f t="shared" si="171"/>
        <v/>
      </c>
      <c r="BG524" s="96" t="str">
        <f>IF(BF524="","",IF(ISNUMBER(VLOOKUP(BF524,'Conversion factors'!$B$35:$C$52,2,FALSE)),"y","n"))</f>
        <v/>
      </c>
      <c r="BH524" s="99" t="s">
        <v>1470</v>
      </c>
    </row>
    <row r="525" spans="1:90" s="103" customFormat="1" ht="15.75" customHeight="1" x14ac:dyDescent="0.2">
      <c r="A525" s="18"/>
      <c r="B525" s="19">
        <v>299</v>
      </c>
      <c r="C525" s="19"/>
      <c r="D525" s="19">
        <v>106851</v>
      </c>
      <c r="E525" s="19" t="s">
        <v>1224</v>
      </c>
      <c r="F525" s="93">
        <v>2008</v>
      </c>
      <c r="G525" s="19" t="s">
        <v>1039</v>
      </c>
      <c r="H525" s="19"/>
      <c r="I525" s="19" t="s">
        <v>41</v>
      </c>
      <c r="J525" s="19" t="s">
        <v>1040</v>
      </c>
      <c r="K525" s="19" t="s">
        <v>250</v>
      </c>
      <c r="L525" s="19" t="s">
        <v>1202</v>
      </c>
      <c r="M525" s="19" t="s">
        <v>1203</v>
      </c>
      <c r="N525" s="19" t="s">
        <v>109</v>
      </c>
      <c r="O525" s="19" t="s">
        <v>235</v>
      </c>
      <c r="P525" s="19" t="s">
        <v>1399</v>
      </c>
      <c r="Q525" s="19"/>
      <c r="R525" s="19" t="s">
        <v>81</v>
      </c>
      <c r="S525" s="19" t="s">
        <v>474</v>
      </c>
      <c r="T525" s="19" t="s">
        <v>54</v>
      </c>
      <c r="U525" s="19" t="s">
        <v>54</v>
      </c>
      <c r="V525" s="19" t="s">
        <v>101</v>
      </c>
      <c r="W525" s="19" t="s">
        <v>231</v>
      </c>
      <c r="X525" s="19" t="s">
        <v>46</v>
      </c>
      <c r="Y525" s="29"/>
      <c r="Z525" s="19"/>
      <c r="AA525" s="19"/>
      <c r="AB525" s="19" t="s">
        <v>896</v>
      </c>
      <c r="AC525" s="19" t="s">
        <v>1322</v>
      </c>
      <c r="AD525" s="19"/>
      <c r="AE525" s="19"/>
      <c r="AF525" s="19"/>
      <c r="AG525" s="19" t="s">
        <v>235</v>
      </c>
      <c r="AH525" s="19"/>
      <c r="AI525" s="19"/>
      <c r="AJ525" s="19" t="s">
        <v>234</v>
      </c>
      <c r="AK525" s="19" t="s">
        <v>234</v>
      </c>
      <c r="AL525" s="19"/>
      <c r="AM525" s="19" t="s">
        <v>234</v>
      </c>
      <c r="AN525" s="19" t="s">
        <v>234</v>
      </c>
      <c r="AO525" s="19" t="s">
        <v>235</v>
      </c>
      <c r="AP525" s="94"/>
      <c r="AQ525" s="19" t="s">
        <v>1041</v>
      </c>
      <c r="AR525" s="19" t="s">
        <v>241</v>
      </c>
      <c r="AS525" s="19"/>
      <c r="AT525" s="65" t="str">
        <f t="shared" si="169"/>
        <v>N</v>
      </c>
      <c r="AU525" s="65" t="str">
        <f t="shared" si="145"/>
        <v>N</v>
      </c>
      <c r="AV525" s="65" t="str">
        <f t="shared" si="172"/>
        <v>N</v>
      </c>
      <c r="AW525" s="99" t="s">
        <v>1587</v>
      </c>
      <c r="AX525" s="99"/>
      <c r="AY525" s="19"/>
      <c r="AZ525" s="96" t="str">
        <f t="shared" si="146"/>
        <v>n</v>
      </c>
      <c r="BA525" s="96" t="str">
        <f>IF(AZ525="n","n",VLOOKUP(AZ525,'Conversion factors'!$C$4:$D$24,2,FALSE))</f>
        <v>n</v>
      </c>
      <c r="BB525" s="96" t="str">
        <f t="shared" si="147"/>
        <v>n</v>
      </c>
      <c r="BC525" s="97"/>
      <c r="BD525" s="96" t="str">
        <f t="shared" si="170"/>
        <v>n</v>
      </c>
      <c r="BE525" s="96" t="str">
        <f t="shared" si="148"/>
        <v>n</v>
      </c>
      <c r="BF525" s="98" t="str">
        <f t="shared" si="171"/>
        <v/>
      </c>
      <c r="BG525" s="96" t="str">
        <f>IF(BF525="","",IF(ISNUMBER(VLOOKUP(BF525,'Conversion factors'!$B$35:$C$52,2,FALSE)),"y","n"))</f>
        <v/>
      </c>
      <c r="BH525" s="99"/>
    </row>
    <row r="526" spans="1:90" s="103" customFormat="1" ht="15.75" customHeight="1" x14ac:dyDescent="0.2">
      <c r="A526" s="18"/>
      <c r="B526" s="19">
        <v>215</v>
      </c>
      <c r="C526" s="19"/>
      <c r="D526" s="19">
        <v>61874</v>
      </c>
      <c r="E526" s="19" t="s">
        <v>1224</v>
      </c>
      <c r="F526" s="93">
        <v>1996</v>
      </c>
      <c r="G526" s="19" t="s">
        <v>509</v>
      </c>
      <c r="H526" s="19"/>
      <c r="I526" s="19" t="s">
        <v>41</v>
      </c>
      <c r="J526" s="19" t="s">
        <v>510</v>
      </c>
      <c r="K526" s="19" t="s">
        <v>1398</v>
      </c>
      <c r="L526" s="19" t="s">
        <v>1202</v>
      </c>
      <c r="M526" s="19" t="s">
        <v>1203</v>
      </c>
      <c r="N526" s="19" t="s">
        <v>109</v>
      </c>
      <c r="O526" s="19" t="s">
        <v>235</v>
      </c>
      <c r="P526" s="19" t="s">
        <v>1399</v>
      </c>
      <c r="Q526" s="19"/>
      <c r="R526" s="19" t="s">
        <v>81</v>
      </c>
      <c r="S526" s="19" t="s">
        <v>451</v>
      </c>
      <c r="T526" s="19" t="s">
        <v>54</v>
      </c>
      <c r="U526" s="19" t="s">
        <v>54</v>
      </c>
      <c r="V526" s="19" t="s">
        <v>94</v>
      </c>
      <c r="W526" s="19" t="s">
        <v>231</v>
      </c>
      <c r="X526" s="19" t="s">
        <v>46</v>
      </c>
      <c r="Y526" s="29"/>
      <c r="Z526" s="19"/>
      <c r="AA526" s="19"/>
      <c r="AB526" s="19" t="s">
        <v>511</v>
      </c>
      <c r="AC526" s="19" t="s">
        <v>1322</v>
      </c>
      <c r="AD526" s="19"/>
      <c r="AE526" s="19" t="s">
        <v>351</v>
      </c>
      <c r="AF526" s="19" t="s">
        <v>351</v>
      </c>
      <c r="AG526" s="19" t="s">
        <v>235</v>
      </c>
      <c r="AH526" s="19"/>
      <c r="AI526" s="19"/>
      <c r="AJ526" s="19" t="s">
        <v>234</v>
      </c>
      <c r="AK526" s="19" t="s">
        <v>234</v>
      </c>
      <c r="AL526" s="19"/>
      <c r="AM526" s="19" t="s">
        <v>234</v>
      </c>
      <c r="AN526" s="19" t="s">
        <v>234</v>
      </c>
      <c r="AO526" s="19" t="s">
        <v>235</v>
      </c>
      <c r="AP526" s="94"/>
      <c r="AQ526" s="19" t="s">
        <v>234</v>
      </c>
      <c r="AR526" s="19" t="s">
        <v>241</v>
      </c>
      <c r="AS526" s="19"/>
      <c r="AT526" s="65" t="str">
        <f t="shared" si="169"/>
        <v>N</v>
      </c>
      <c r="AU526" s="65" t="str">
        <f t="shared" si="145"/>
        <v>N</v>
      </c>
      <c r="AV526" s="65" t="str">
        <f t="shared" si="172"/>
        <v>N</v>
      </c>
      <c r="AW526" s="99"/>
      <c r="AX526" s="99"/>
      <c r="AY526" s="19"/>
      <c r="AZ526" s="96" t="str">
        <f t="shared" si="146"/>
        <v>n</v>
      </c>
      <c r="BA526" s="96" t="str">
        <f>IF(AZ526="n","n",VLOOKUP(AZ526,'Conversion factors'!$C$4:$D$24,2,FALSE))</f>
        <v>n</v>
      </c>
      <c r="BB526" s="96" t="str">
        <f t="shared" si="147"/>
        <v>n</v>
      </c>
      <c r="BC526" s="97"/>
      <c r="BD526" s="96" t="str">
        <f t="shared" si="170"/>
        <v>n</v>
      </c>
      <c r="BE526" s="96" t="str">
        <f t="shared" si="148"/>
        <v>n</v>
      </c>
      <c r="BF526" s="98" t="str">
        <f t="shared" si="171"/>
        <v/>
      </c>
      <c r="BG526" s="96" t="str">
        <f>IF(BF526="","",IF(ISNUMBER(VLOOKUP(BF526,'Conversion factors'!$B$35:$C$52,2,FALSE)),"y","n"))</f>
        <v/>
      </c>
      <c r="BH526" s="99"/>
    </row>
    <row r="527" spans="1:90" s="103" customFormat="1" ht="15.75" customHeight="1" x14ac:dyDescent="0.2">
      <c r="A527" s="18"/>
      <c r="B527" s="19">
        <v>215</v>
      </c>
      <c r="C527" s="19"/>
      <c r="D527" s="19">
        <v>61874</v>
      </c>
      <c r="E527" s="19" t="s">
        <v>1224</v>
      </c>
      <c r="F527" s="93">
        <v>1996</v>
      </c>
      <c r="G527" s="19" t="s">
        <v>509</v>
      </c>
      <c r="H527" s="19"/>
      <c r="I527" s="19" t="s">
        <v>41</v>
      </c>
      <c r="J527" s="19" t="s">
        <v>510</v>
      </c>
      <c r="K527" s="19" t="s">
        <v>1398</v>
      </c>
      <c r="L527" s="19" t="s">
        <v>1202</v>
      </c>
      <c r="M527" s="19" t="s">
        <v>1203</v>
      </c>
      <c r="N527" s="19" t="s">
        <v>109</v>
      </c>
      <c r="O527" s="19" t="s">
        <v>235</v>
      </c>
      <c r="P527" s="19" t="s">
        <v>1399</v>
      </c>
      <c r="Q527" s="19"/>
      <c r="R527" s="19" t="s">
        <v>81</v>
      </c>
      <c r="S527" s="19" t="s">
        <v>451</v>
      </c>
      <c r="T527" s="19" t="s">
        <v>54</v>
      </c>
      <c r="U527" s="19" t="s">
        <v>54</v>
      </c>
      <c r="V527" s="19" t="s">
        <v>94</v>
      </c>
      <c r="W527" s="19" t="s">
        <v>231</v>
      </c>
      <c r="X527" s="19" t="s">
        <v>46</v>
      </c>
      <c r="Y527" s="29"/>
      <c r="Z527" s="19"/>
      <c r="AA527" s="19"/>
      <c r="AB527" s="19" t="s">
        <v>511</v>
      </c>
      <c r="AC527" s="19" t="s">
        <v>1322</v>
      </c>
      <c r="AD527" s="19"/>
      <c r="AE527" s="19" t="s">
        <v>351</v>
      </c>
      <c r="AF527" s="19" t="s">
        <v>351</v>
      </c>
      <c r="AG527" s="19" t="s">
        <v>235</v>
      </c>
      <c r="AH527" s="19"/>
      <c r="AI527" s="19"/>
      <c r="AJ527" s="19" t="s">
        <v>234</v>
      </c>
      <c r="AK527" s="19" t="s">
        <v>234</v>
      </c>
      <c r="AL527" s="19"/>
      <c r="AM527" s="19" t="s">
        <v>234</v>
      </c>
      <c r="AN527" s="19" t="s">
        <v>234</v>
      </c>
      <c r="AO527" s="19" t="s">
        <v>235</v>
      </c>
      <c r="AP527" s="94"/>
      <c r="AQ527" s="19" t="s">
        <v>234</v>
      </c>
      <c r="AR527" s="19" t="s">
        <v>241</v>
      </c>
      <c r="AS527" s="19"/>
      <c r="AT527" s="65" t="str">
        <f t="shared" si="169"/>
        <v>N</v>
      </c>
      <c r="AU527" s="65" t="str">
        <f t="shared" si="145"/>
        <v>N</v>
      </c>
      <c r="AV527" s="65" t="str">
        <f t="shared" si="172"/>
        <v>N</v>
      </c>
      <c r="AW527" s="99"/>
      <c r="AX527" s="99"/>
      <c r="AY527" s="19"/>
      <c r="AZ527" s="96" t="str">
        <f t="shared" si="146"/>
        <v>n</v>
      </c>
      <c r="BA527" s="96" t="str">
        <f>IF(AZ527="n","n",VLOOKUP(AZ527,'Conversion factors'!$C$4:$D$24,2,FALSE))</f>
        <v>n</v>
      </c>
      <c r="BB527" s="96" t="str">
        <f t="shared" si="147"/>
        <v>n</v>
      </c>
      <c r="BC527" s="97"/>
      <c r="BD527" s="96" t="str">
        <f t="shared" si="170"/>
        <v>n</v>
      </c>
      <c r="BE527" s="96" t="str">
        <f t="shared" si="148"/>
        <v>n</v>
      </c>
      <c r="BF527" s="98" t="str">
        <f t="shared" si="171"/>
        <v/>
      </c>
      <c r="BG527" s="96" t="str">
        <f>IF(BF527="","",IF(ISNUMBER(VLOOKUP(BF527,'Conversion factors'!$B$35:$C$52,2,FALSE)),"y","n"))</f>
        <v/>
      </c>
      <c r="BH527" s="99"/>
    </row>
    <row r="528" spans="1:90" s="103" customFormat="1" ht="15.75" customHeight="1" x14ac:dyDescent="0.2">
      <c r="A528" s="18"/>
      <c r="B528" s="19">
        <v>304</v>
      </c>
      <c r="C528" s="19"/>
      <c r="D528" s="19">
        <v>112781</v>
      </c>
      <c r="E528" s="19" t="s">
        <v>1224</v>
      </c>
      <c r="F528" s="93">
        <v>2007</v>
      </c>
      <c r="G528" s="19" t="s">
        <v>1051</v>
      </c>
      <c r="H528" s="19"/>
      <c r="I528" s="19" t="s">
        <v>41</v>
      </c>
      <c r="J528" s="19" t="s">
        <v>510</v>
      </c>
      <c r="K528" s="19" t="s">
        <v>1398</v>
      </c>
      <c r="L528" s="19" t="s">
        <v>1202</v>
      </c>
      <c r="M528" s="19" t="s">
        <v>1203</v>
      </c>
      <c r="N528" s="19" t="s">
        <v>109</v>
      </c>
      <c r="O528" s="19" t="s">
        <v>292</v>
      </c>
      <c r="P528" s="19" t="s">
        <v>1399</v>
      </c>
      <c r="Q528" s="19"/>
      <c r="R528" s="19" t="s">
        <v>81</v>
      </c>
      <c r="S528" s="19" t="s">
        <v>302</v>
      </c>
      <c r="T528" s="19" t="s">
        <v>55</v>
      </c>
      <c r="U528" s="19" t="s">
        <v>55</v>
      </c>
      <c r="V528" s="19" t="s">
        <v>253</v>
      </c>
      <c r="W528" s="19" t="s">
        <v>231</v>
      </c>
      <c r="X528" s="19" t="s">
        <v>46</v>
      </c>
      <c r="Y528" s="29"/>
      <c r="Z528" s="19">
        <v>100</v>
      </c>
      <c r="AA528" s="19"/>
      <c r="AB528" s="19"/>
      <c r="AC528" s="19" t="s">
        <v>1322</v>
      </c>
      <c r="AD528" s="19"/>
      <c r="AE528" s="19">
        <f t="shared" ref="AE528:AF533" si="184">2.497*40.078*1.25*2+4.118*24.305*0.5</f>
        <v>300.23090999999999</v>
      </c>
      <c r="AF528" s="19">
        <f t="shared" si="184"/>
        <v>300.23090999999999</v>
      </c>
      <c r="AG528" s="19" t="s">
        <v>235</v>
      </c>
      <c r="AH528" s="19"/>
      <c r="AI528" s="19"/>
      <c r="AJ528" s="19">
        <v>5.5</v>
      </c>
      <c r="AK528" s="19">
        <v>5.5</v>
      </c>
      <c r="AL528" s="19"/>
      <c r="AM528" s="19" t="s">
        <v>234</v>
      </c>
      <c r="AN528" s="19" t="s">
        <v>234</v>
      </c>
      <c r="AO528" s="19" t="s">
        <v>235</v>
      </c>
      <c r="AP528" s="94"/>
      <c r="AQ528" s="19" t="s">
        <v>234</v>
      </c>
      <c r="AR528" s="19" t="s">
        <v>241</v>
      </c>
      <c r="AS528" s="19"/>
      <c r="AT528" s="65" t="str">
        <f t="shared" si="169"/>
        <v>N</v>
      </c>
      <c r="AU528" s="65" t="str">
        <f t="shared" si="145"/>
        <v>N</v>
      </c>
      <c r="AV528" s="65" t="s">
        <v>162</v>
      </c>
      <c r="AW528" s="99" t="s">
        <v>1405</v>
      </c>
      <c r="AX528" s="99"/>
      <c r="AY528" s="19"/>
      <c r="AZ528" s="96" t="str">
        <f t="shared" si="146"/>
        <v>n</v>
      </c>
      <c r="BA528" s="96" t="str">
        <f>IF(AZ528="n","n",VLOOKUP(AZ528,'Conversion factors'!$C$4:$D$24,2,FALSE))</f>
        <v>n</v>
      </c>
      <c r="BB528" s="96" t="str">
        <f t="shared" si="147"/>
        <v>n</v>
      </c>
      <c r="BC528" s="97"/>
      <c r="BD528" s="96" t="str">
        <f t="shared" si="170"/>
        <v>n</v>
      </c>
      <c r="BE528" s="96" t="str">
        <f t="shared" si="148"/>
        <v>n</v>
      </c>
      <c r="BF528" s="98" t="str">
        <f t="shared" si="171"/>
        <v/>
      </c>
      <c r="BG528" s="96" t="str">
        <f>IF(BF528="","",IF(ISNUMBER(VLOOKUP(BF528,'Conversion factors'!$B$35:$C$52,2,FALSE)),"y","n"))</f>
        <v/>
      </c>
      <c r="BH528" s="99"/>
    </row>
    <row r="529" spans="1:60" s="103" customFormat="1" ht="15.75" customHeight="1" x14ac:dyDescent="0.2">
      <c r="A529" s="18"/>
      <c r="B529" s="19">
        <v>304</v>
      </c>
      <c r="C529" s="19"/>
      <c r="D529" s="19">
        <v>112781</v>
      </c>
      <c r="E529" s="19" t="s">
        <v>1224</v>
      </c>
      <c r="F529" s="93">
        <v>2007</v>
      </c>
      <c r="G529" s="19" t="s">
        <v>1051</v>
      </c>
      <c r="H529" s="19"/>
      <c r="I529" s="19" t="s">
        <v>41</v>
      </c>
      <c r="J529" s="19" t="s">
        <v>510</v>
      </c>
      <c r="K529" s="19" t="s">
        <v>1398</v>
      </c>
      <c r="L529" s="19" t="s">
        <v>1202</v>
      </c>
      <c r="M529" s="19" t="s">
        <v>1203</v>
      </c>
      <c r="N529" s="19" t="s">
        <v>109</v>
      </c>
      <c r="O529" s="19" t="s">
        <v>292</v>
      </c>
      <c r="P529" s="19" t="s">
        <v>1399</v>
      </c>
      <c r="Q529" s="19"/>
      <c r="R529" s="19" t="s">
        <v>81</v>
      </c>
      <c r="S529" s="19" t="s">
        <v>474</v>
      </c>
      <c r="T529" s="19" t="s">
        <v>55</v>
      </c>
      <c r="U529" s="19" t="s">
        <v>55</v>
      </c>
      <c r="V529" s="19" t="s">
        <v>94</v>
      </c>
      <c r="W529" s="19" t="s">
        <v>231</v>
      </c>
      <c r="X529" s="19" t="s">
        <v>46</v>
      </c>
      <c r="Y529" s="29"/>
      <c r="Z529" s="19">
        <v>100</v>
      </c>
      <c r="AA529" s="19"/>
      <c r="AB529" s="19"/>
      <c r="AC529" s="19" t="s">
        <v>1322</v>
      </c>
      <c r="AD529" s="19"/>
      <c r="AE529" s="19">
        <f t="shared" si="184"/>
        <v>300.23090999999999</v>
      </c>
      <c r="AF529" s="19">
        <f t="shared" si="184"/>
        <v>300.23090999999999</v>
      </c>
      <c r="AG529" s="19" t="s">
        <v>235</v>
      </c>
      <c r="AH529" s="19"/>
      <c r="AI529" s="19"/>
      <c r="AJ529" s="19">
        <v>5.5</v>
      </c>
      <c r="AK529" s="19">
        <v>5.5</v>
      </c>
      <c r="AL529" s="19"/>
      <c r="AM529" s="19" t="s">
        <v>234</v>
      </c>
      <c r="AN529" s="19" t="s">
        <v>234</v>
      </c>
      <c r="AO529" s="19" t="s">
        <v>235</v>
      </c>
      <c r="AP529" s="94"/>
      <c r="AQ529" s="19" t="s">
        <v>234</v>
      </c>
      <c r="AR529" s="19" t="s">
        <v>241</v>
      </c>
      <c r="AS529" s="19"/>
      <c r="AT529" s="65" t="str">
        <f t="shared" si="169"/>
        <v>N</v>
      </c>
      <c r="AU529" s="65" t="str">
        <f t="shared" si="145"/>
        <v>N</v>
      </c>
      <c r="AV529" s="65" t="s">
        <v>162</v>
      </c>
      <c r="AW529" s="99" t="s">
        <v>1405</v>
      </c>
      <c r="AX529" s="99"/>
      <c r="AY529" s="19"/>
      <c r="AZ529" s="96" t="str">
        <f t="shared" si="146"/>
        <v>n</v>
      </c>
      <c r="BA529" s="96" t="str">
        <f>IF(AZ529="n","n",VLOOKUP(AZ529,'Conversion factors'!$C$4:$D$24,2,FALSE))</f>
        <v>n</v>
      </c>
      <c r="BB529" s="96" t="str">
        <f t="shared" si="147"/>
        <v>n</v>
      </c>
      <c r="BC529" s="97"/>
      <c r="BD529" s="96" t="str">
        <f t="shared" si="170"/>
        <v>n</v>
      </c>
      <c r="BE529" s="96" t="str">
        <f t="shared" si="148"/>
        <v>n</v>
      </c>
      <c r="BF529" s="98" t="str">
        <f t="shared" si="171"/>
        <v/>
      </c>
      <c r="BG529" s="96" t="str">
        <f>IF(BF529="","",IF(ISNUMBER(VLOOKUP(BF529,'Conversion factors'!$B$35:$C$52,2,FALSE)),"y","n"))</f>
        <v/>
      </c>
      <c r="BH529" s="99"/>
    </row>
    <row r="530" spans="1:60" s="103" customFormat="1" ht="15.75" customHeight="1" x14ac:dyDescent="0.2">
      <c r="A530" s="18"/>
      <c r="B530" s="19">
        <v>304</v>
      </c>
      <c r="C530" s="19"/>
      <c r="D530" s="19">
        <v>112781</v>
      </c>
      <c r="E530" s="19" t="s">
        <v>1224</v>
      </c>
      <c r="F530" s="93">
        <v>2007</v>
      </c>
      <c r="G530" s="19" t="s">
        <v>1051</v>
      </c>
      <c r="H530" s="19"/>
      <c r="I530" s="19" t="s">
        <v>41</v>
      </c>
      <c r="J530" s="19" t="s">
        <v>510</v>
      </c>
      <c r="K530" s="19" t="s">
        <v>1398</v>
      </c>
      <c r="L530" s="19" t="s">
        <v>1202</v>
      </c>
      <c r="M530" s="19" t="s">
        <v>1203</v>
      </c>
      <c r="N530" s="19" t="s">
        <v>109</v>
      </c>
      <c r="O530" s="19" t="s">
        <v>292</v>
      </c>
      <c r="P530" s="19" t="s">
        <v>1399</v>
      </c>
      <c r="Q530" s="19"/>
      <c r="R530" s="19" t="s">
        <v>81</v>
      </c>
      <c r="S530" s="19" t="s">
        <v>481</v>
      </c>
      <c r="T530" s="19" t="s">
        <v>55</v>
      </c>
      <c r="U530" s="19" t="s">
        <v>55</v>
      </c>
      <c r="V530" s="19" t="s">
        <v>94</v>
      </c>
      <c r="W530" s="19" t="s">
        <v>231</v>
      </c>
      <c r="X530" s="19" t="s">
        <v>46</v>
      </c>
      <c r="Y530" s="29"/>
      <c r="Z530" s="19">
        <v>100</v>
      </c>
      <c r="AA530" s="19"/>
      <c r="AB530" s="19"/>
      <c r="AC530" s="19" t="s">
        <v>1322</v>
      </c>
      <c r="AD530" s="19"/>
      <c r="AE530" s="19">
        <f t="shared" si="184"/>
        <v>300.23090999999999</v>
      </c>
      <c r="AF530" s="19">
        <f t="shared" si="184"/>
        <v>300.23090999999999</v>
      </c>
      <c r="AG530" s="19" t="s">
        <v>235</v>
      </c>
      <c r="AH530" s="19"/>
      <c r="AI530" s="19"/>
      <c r="AJ530" s="19">
        <v>5.5</v>
      </c>
      <c r="AK530" s="19">
        <v>5.5</v>
      </c>
      <c r="AL530" s="19"/>
      <c r="AM530" s="19" t="s">
        <v>234</v>
      </c>
      <c r="AN530" s="19" t="s">
        <v>234</v>
      </c>
      <c r="AO530" s="19" t="s">
        <v>235</v>
      </c>
      <c r="AP530" s="94"/>
      <c r="AQ530" s="19" t="s">
        <v>234</v>
      </c>
      <c r="AR530" s="19" t="s">
        <v>241</v>
      </c>
      <c r="AS530" s="19"/>
      <c r="AT530" s="65" t="str">
        <f t="shared" si="169"/>
        <v>N</v>
      </c>
      <c r="AU530" s="65" t="str">
        <f t="shared" si="145"/>
        <v>N</v>
      </c>
      <c r="AV530" s="65" t="s">
        <v>162</v>
      </c>
      <c r="AW530" s="99" t="s">
        <v>1405</v>
      </c>
      <c r="AX530" s="99"/>
      <c r="AY530" s="19"/>
      <c r="AZ530" s="96" t="str">
        <f t="shared" si="146"/>
        <v>n</v>
      </c>
      <c r="BA530" s="96" t="str">
        <f>IF(AZ530="n","n",VLOOKUP(AZ530,'Conversion factors'!$C$4:$D$24,2,FALSE))</f>
        <v>n</v>
      </c>
      <c r="BB530" s="96" t="str">
        <f t="shared" si="147"/>
        <v>n</v>
      </c>
      <c r="BC530" s="97"/>
      <c r="BD530" s="96" t="str">
        <f t="shared" si="170"/>
        <v>n</v>
      </c>
      <c r="BE530" s="96" t="str">
        <f t="shared" si="148"/>
        <v>n</v>
      </c>
      <c r="BF530" s="98" t="str">
        <f t="shared" si="171"/>
        <v/>
      </c>
      <c r="BG530" s="96" t="str">
        <f>IF(BF530="","",IF(ISNUMBER(VLOOKUP(BF530,'Conversion factors'!$B$35:$C$52,2,FALSE)),"y","n"))</f>
        <v/>
      </c>
      <c r="BH530" s="99"/>
    </row>
    <row r="531" spans="1:60" s="103" customFormat="1" ht="15.75" customHeight="1" x14ac:dyDescent="0.2">
      <c r="A531" s="18"/>
      <c r="B531" s="19">
        <v>304</v>
      </c>
      <c r="C531" s="19"/>
      <c r="D531" s="19">
        <v>112781</v>
      </c>
      <c r="E531" s="19" t="s">
        <v>1224</v>
      </c>
      <c r="F531" s="93">
        <v>2007</v>
      </c>
      <c r="G531" s="19" t="s">
        <v>1051</v>
      </c>
      <c r="H531" s="19"/>
      <c r="I531" s="19" t="s">
        <v>41</v>
      </c>
      <c r="J531" s="19" t="s">
        <v>510</v>
      </c>
      <c r="K531" s="19" t="s">
        <v>1398</v>
      </c>
      <c r="L531" s="19" t="s">
        <v>1202</v>
      </c>
      <c r="M531" s="19" t="s">
        <v>1203</v>
      </c>
      <c r="N531" s="19" t="s">
        <v>109</v>
      </c>
      <c r="O531" s="19" t="s">
        <v>292</v>
      </c>
      <c r="P531" s="19" t="s">
        <v>1399</v>
      </c>
      <c r="Q531" s="19"/>
      <c r="R531" s="19" t="s">
        <v>81</v>
      </c>
      <c r="S531" s="19" t="s">
        <v>302</v>
      </c>
      <c r="T531" s="19" t="s">
        <v>55</v>
      </c>
      <c r="U531" s="19" t="s">
        <v>55</v>
      </c>
      <c r="V531" s="19" t="s">
        <v>94</v>
      </c>
      <c r="W531" s="19" t="s">
        <v>231</v>
      </c>
      <c r="X531" s="19" t="s">
        <v>46</v>
      </c>
      <c r="Y531" s="29"/>
      <c r="Z531" s="19">
        <v>100</v>
      </c>
      <c r="AA531" s="19"/>
      <c r="AB531" s="19"/>
      <c r="AC531" s="19" t="s">
        <v>1322</v>
      </c>
      <c r="AD531" s="19"/>
      <c r="AE531" s="19">
        <f t="shared" si="184"/>
        <v>300.23090999999999</v>
      </c>
      <c r="AF531" s="19">
        <f t="shared" si="184"/>
        <v>300.23090999999999</v>
      </c>
      <c r="AG531" s="19" t="s">
        <v>235</v>
      </c>
      <c r="AH531" s="19"/>
      <c r="AI531" s="19"/>
      <c r="AJ531" s="19">
        <v>5.5</v>
      </c>
      <c r="AK531" s="19">
        <v>5.5</v>
      </c>
      <c r="AL531" s="19"/>
      <c r="AM531" s="19" t="s">
        <v>234</v>
      </c>
      <c r="AN531" s="19" t="s">
        <v>234</v>
      </c>
      <c r="AO531" s="19" t="s">
        <v>235</v>
      </c>
      <c r="AP531" s="94"/>
      <c r="AQ531" s="19" t="s">
        <v>234</v>
      </c>
      <c r="AR531" s="19" t="s">
        <v>241</v>
      </c>
      <c r="AS531" s="19"/>
      <c r="AT531" s="65" t="str">
        <f t="shared" si="169"/>
        <v>N</v>
      </c>
      <c r="AU531" s="65" t="str">
        <f t="shared" si="145"/>
        <v>N</v>
      </c>
      <c r="AV531" s="65" t="s">
        <v>162</v>
      </c>
      <c r="AW531" s="99" t="s">
        <v>1405</v>
      </c>
      <c r="AX531" s="99"/>
      <c r="AY531" s="19"/>
      <c r="AZ531" s="96" t="str">
        <f t="shared" si="146"/>
        <v>n</v>
      </c>
      <c r="BA531" s="96" t="str">
        <f>IF(AZ531="n","n",VLOOKUP(AZ531,'Conversion factors'!$C$4:$D$24,2,FALSE))</f>
        <v>n</v>
      </c>
      <c r="BB531" s="96" t="str">
        <f t="shared" si="147"/>
        <v>n</v>
      </c>
      <c r="BC531" s="97"/>
      <c r="BD531" s="96" t="str">
        <f t="shared" si="170"/>
        <v>n</v>
      </c>
      <c r="BE531" s="96" t="str">
        <f t="shared" si="148"/>
        <v>n</v>
      </c>
      <c r="BF531" s="98" t="str">
        <f t="shared" si="171"/>
        <v/>
      </c>
      <c r="BG531" s="96" t="str">
        <f>IF(BF531="","",IF(ISNUMBER(VLOOKUP(BF531,'Conversion factors'!$B$35:$C$52,2,FALSE)),"y","n"))</f>
        <v/>
      </c>
      <c r="BH531" s="99"/>
    </row>
    <row r="532" spans="1:60" s="103" customFormat="1" ht="15.75" customHeight="1" x14ac:dyDescent="0.2">
      <c r="A532" s="18"/>
      <c r="B532" s="19">
        <v>304</v>
      </c>
      <c r="C532" s="19"/>
      <c r="D532" s="19">
        <v>112781</v>
      </c>
      <c r="E532" s="19" t="s">
        <v>1224</v>
      </c>
      <c r="F532" s="93">
        <v>2007</v>
      </c>
      <c r="G532" s="19" t="s">
        <v>1051</v>
      </c>
      <c r="H532" s="19"/>
      <c r="I532" s="19" t="s">
        <v>41</v>
      </c>
      <c r="J532" s="19" t="s">
        <v>510</v>
      </c>
      <c r="K532" s="19" t="s">
        <v>1398</v>
      </c>
      <c r="L532" s="19" t="s">
        <v>1202</v>
      </c>
      <c r="M532" s="19" t="s">
        <v>1203</v>
      </c>
      <c r="N532" s="19" t="s">
        <v>109</v>
      </c>
      <c r="O532" s="19" t="s">
        <v>292</v>
      </c>
      <c r="P532" s="19" t="s">
        <v>1399</v>
      </c>
      <c r="Q532" s="19"/>
      <c r="R532" s="19" t="s">
        <v>81</v>
      </c>
      <c r="S532" s="19" t="s">
        <v>402</v>
      </c>
      <c r="T532" s="19" t="s">
        <v>55</v>
      </c>
      <c r="U532" s="19" t="s">
        <v>55</v>
      </c>
      <c r="V532" s="19" t="s">
        <v>94</v>
      </c>
      <c r="W532" s="19" t="s">
        <v>231</v>
      </c>
      <c r="X532" s="19" t="s">
        <v>46</v>
      </c>
      <c r="Y532" s="29"/>
      <c r="Z532" s="19">
        <v>100</v>
      </c>
      <c r="AA532" s="19"/>
      <c r="AB532" s="19"/>
      <c r="AC532" s="19" t="s">
        <v>1322</v>
      </c>
      <c r="AD532" s="19"/>
      <c r="AE532" s="19">
        <f t="shared" si="184"/>
        <v>300.23090999999999</v>
      </c>
      <c r="AF532" s="19">
        <f t="shared" si="184"/>
        <v>300.23090999999999</v>
      </c>
      <c r="AG532" s="19" t="s">
        <v>235</v>
      </c>
      <c r="AH532" s="19"/>
      <c r="AI532" s="19"/>
      <c r="AJ532" s="19">
        <v>5.5</v>
      </c>
      <c r="AK532" s="19">
        <v>5.5</v>
      </c>
      <c r="AL532" s="19"/>
      <c r="AM532" s="19" t="s">
        <v>234</v>
      </c>
      <c r="AN532" s="19" t="s">
        <v>234</v>
      </c>
      <c r="AO532" s="19" t="s">
        <v>235</v>
      </c>
      <c r="AP532" s="94"/>
      <c r="AQ532" s="19" t="s">
        <v>234</v>
      </c>
      <c r="AR532" s="19" t="s">
        <v>241</v>
      </c>
      <c r="AS532" s="19"/>
      <c r="AT532" s="65" t="str">
        <f t="shared" si="169"/>
        <v>N</v>
      </c>
      <c r="AU532" s="65" t="str">
        <f t="shared" si="145"/>
        <v>N</v>
      </c>
      <c r="AV532" s="65" t="s">
        <v>162</v>
      </c>
      <c r="AW532" s="99" t="s">
        <v>1405</v>
      </c>
      <c r="AX532" s="99"/>
      <c r="AY532" s="19"/>
      <c r="AZ532" s="96" t="str">
        <f t="shared" si="146"/>
        <v>n</v>
      </c>
      <c r="BA532" s="96" t="str">
        <f>IF(AZ532="n","n",VLOOKUP(AZ532,'Conversion factors'!$C$4:$D$24,2,FALSE))</f>
        <v>n</v>
      </c>
      <c r="BB532" s="96" t="str">
        <f t="shared" si="147"/>
        <v>n</v>
      </c>
      <c r="BC532" s="97"/>
      <c r="BD532" s="96" t="str">
        <f t="shared" si="170"/>
        <v>n</v>
      </c>
      <c r="BE532" s="96" t="str">
        <f t="shared" si="148"/>
        <v>n</v>
      </c>
      <c r="BF532" s="98" t="str">
        <f t="shared" si="171"/>
        <v/>
      </c>
      <c r="BG532" s="96" t="str">
        <f>IF(BF532="","",IF(ISNUMBER(VLOOKUP(BF532,'Conversion factors'!$B$35:$C$52,2,FALSE)),"y","n"))</f>
        <v/>
      </c>
      <c r="BH532" s="99"/>
    </row>
    <row r="533" spans="1:60" s="103" customFormat="1" ht="15.75" customHeight="1" x14ac:dyDescent="0.2">
      <c r="A533" s="18"/>
      <c r="B533" s="19">
        <v>304</v>
      </c>
      <c r="C533" s="19"/>
      <c r="D533" s="19">
        <v>112781</v>
      </c>
      <c r="E533" s="19" t="s">
        <v>1224</v>
      </c>
      <c r="F533" s="93">
        <v>2007</v>
      </c>
      <c r="G533" s="19" t="s">
        <v>1051</v>
      </c>
      <c r="H533" s="19"/>
      <c r="I533" s="19" t="s">
        <v>41</v>
      </c>
      <c r="J533" s="19" t="s">
        <v>510</v>
      </c>
      <c r="K533" s="19" t="s">
        <v>1398</v>
      </c>
      <c r="L533" s="19" t="s">
        <v>1202</v>
      </c>
      <c r="M533" s="19" t="s">
        <v>1203</v>
      </c>
      <c r="N533" s="19" t="s">
        <v>109</v>
      </c>
      <c r="O533" s="19" t="s">
        <v>292</v>
      </c>
      <c r="P533" s="19" t="s">
        <v>1399</v>
      </c>
      <c r="Q533" s="19"/>
      <c r="R533" s="19" t="s">
        <v>81</v>
      </c>
      <c r="S533" s="19" t="s">
        <v>302</v>
      </c>
      <c r="T533" s="19" t="s">
        <v>55</v>
      </c>
      <c r="U533" s="19" t="s">
        <v>55</v>
      </c>
      <c r="V533" s="19" t="s">
        <v>1220</v>
      </c>
      <c r="W533" s="19" t="s">
        <v>231</v>
      </c>
      <c r="X533" s="19" t="s">
        <v>46</v>
      </c>
      <c r="Y533" s="29"/>
      <c r="Z533" s="19">
        <v>100</v>
      </c>
      <c r="AA533" s="19"/>
      <c r="AB533" s="19"/>
      <c r="AC533" s="19" t="s">
        <v>1322</v>
      </c>
      <c r="AD533" s="19"/>
      <c r="AE533" s="19">
        <f t="shared" si="184"/>
        <v>300.23090999999999</v>
      </c>
      <c r="AF533" s="19">
        <f t="shared" si="184"/>
        <v>300.23090999999999</v>
      </c>
      <c r="AG533" s="19" t="s">
        <v>235</v>
      </c>
      <c r="AH533" s="19"/>
      <c r="AI533" s="19"/>
      <c r="AJ533" s="19">
        <v>5.5</v>
      </c>
      <c r="AK533" s="19">
        <v>5.5</v>
      </c>
      <c r="AL533" s="19"/>
      <c r="AM533" s="19" t="s">
        <v>234</v>
      </c>
      <c r="AN533" s="19" t="s">
        <v>234</v>
      </c>
      <c r="AO533" s="19" t="s">
        <v>235</v>
      </c>
      <c r="AP533" s="94"/>
      <c r="AQ533" s="19" t="s">
        <v>234</v>
      </c>
      <c r="AR533" s="19" t="s">
        <v>241</v>
      </c>
      <c r="AS533" s="19"/>
      <c r="AT533" s="65" t="str">
        <f t="shared" si="169"/>
        <v>N</v>
      </c>
      <c r="AU533" s="65" t="str">
        <f t="shared" si="145"/>
        <v>N</v>
      </c>
      <c r="AV533" s="65" t="s">
        <v>162</v>
      </c>
      <c r="AW533" s="99" t="s">
        <v>1405</v>
      </c>
      <c r="AX533" s="99"/>
      <c r="AY533" s="19"/>
      <c r="AZ533" s="96" t="str">
        <f t="shared" si="146"/>
        <v>n</v>
      </c>
      <c r="BA533" s="96" t="str">
        <f>IF(AZ533="n","n",VLOOKUP(AZ533,'Conversion factors'!$C$4:$D$24,2,FALSE))</f>
        <v>n</v>
      </c>
      <c r="BB533" s="96" t="str">
        <f t="shared" si="147"/>
        <v>n</v>
      </c>
      <c r="BC533" s="97"/>
      <c r="BD533" s="96" t="str">
        <f t="shared" si="170"/>
        <v>n</v>
      </c>
      <c r="BE533" s="96" t="str">
        <f t="shared" si="148"/>
        <v>n</v>
      </c>
      <c r="BF533" s="98" t="str">
        <f t="shared" si="171"/>
        <v/>
      </c>
      <c r="BG533" s="96" t="str">
        <f>IF(BF533="","",IF(ISNUMBER(VLOOKUP(BF533,'Conversion factors'!$B$35:$C$52,2,FALSE)),"y","n"))</f>
        <v/>
      </c>
      <c r="BH533" s="99"/>
    </row>
    <row r="534" spans="1:60" s="103" customFormat="1" ht="15.75" customHeight="1" x14ac:dyDescent="0.2">
      <c r="A534" s="18"/>
      <c r="B534" s="19">
        <v>319</v>
      </c>
      <c r="C534" s="19"/>
      <c r="D534" s="19">
        <v>160820</v>
      </c>
      <c r="E534" s="19" t="s">
        <v>1224</v>
      </c>
      <c r="F534" s="93">
        <v>2012</v>
      </c>
      <c r="G534" s="19" t="s">
        <v>1126</v>
      </c>
      <c r="H534" s="19"/>
      <c r="I534" s="19" t="s">
        <v>41</v>
      </c>
      <c r="J534" s="19" t="s">
        <v>1130</v>
      </c>
      <c r="K534" s="19" t="s">
        <v>1398</v>
      </c>
      <c r="L534" s="19" t="s">
        <v>1202</v>
      </c>
      <c r="M534" s="19" t="s">
        <v>1203</v>
      </c>
      <c r="N534" s="19" t="s">
        <v>109</v>
      </c>
      <c r="O534" s="19" t="s">
        <v>235</v>
      </c>
      <c r="P534" s="19" t="s">
        <v>51</v>
      </c>
      <c r="Q534" s="19"/>
      <c r="R534" s="19" t="s">
        <v>81</v>
      </c>
      <c r="S534" s="19" t="s">
        <v>989</v>
      </c>
      <c r="T534" s="19" t="s">
        <v>44</v>
      </c>
      <c r="U534" s="19" t="s">
        <v>44</v>
      </c>
      <c r="V534" s="19" t="s">
        <v>85</v>
      </c>
      <c r="W534" s="19" t="s">
        <v>45</v>
      </c>
      <c r="X534" s="19" t="s">
        <v>46</v>
      </c>
      <c r="Y534" s="29"/>
      <c r="Z534" s="19" t="s">
        <v>144</v>
      </c>
      <c r="AA534" s="19"/>
      <c r="AB534" s="19"/>
      <c r="AC534" s="19" t="s">
        <v>1322</v>
      </c>
      <c r="AD534" s="19"/>
      <c r="AE534" s="19"/>
      <c r="AF534" s="19"/>
      <c r="AG534" s="19" t="s">
        <v>235</v>
      </c>
      <c r="AH534" s="19"/>
      <c r="AI534" s="19"/>
      <c r="AJ534" s="19" t="s">
        <v>234</v>
      </c>
      <c r="AK534" s="19" t="s">
        <v>234</v>
      </c>
      <c r="AL534" s="19"/>
      <c r="AM534" s="19" t="s">
        <v>234</v>
      </c>
      <c r="AN534" s="19" t="s">
        <v>234</v>
      </c>
      <c r="AO534" s="19" t="s">
        <v>235</v>
      </c>
      <c r="AP534" s="94"/>
      <c r="AQ534" s="19" t="s">
        <v>1129</v>
      </c>
      <c r="AR534" s="19" t="s">
        <v>241</v>
      </c>
      <c r="AS534" s="19"/>
      <c r="AT534" s="65" t="str">
        <f t="shared" si="169"/>
        <v>N</v>
      </c>
      <c r="AU534" s="65" t="str">
        <f t="shared" si="145"/>
        <v>N</v>
      </c>
      <c r="AV534" s="65" t="str">
        <f t="shared" ref="AV534:AV549" si="185">AU534</f>
        <v>N</v>
      </c>
      <c r="AW534" s="99"/>
      <c r="AX534" s="99"/>
      <c r="AY534" s="19"/>
      <c r="AZ534" s="96" t="str">
        <f t="shared" si="146"/>
        <v>n</v>
      </c>
      <c r="BA534" s="96" t="str">
        <f>IF(AZ534="n","n",VLOOKUP(AZ534,'Conversion factors'!$C$4:$D$24,2,FALSE))</f>
        <v>n</v>
      </c>
      <c r="BB534" s="96" t="str">
        <f t="shared" si="147"/>
        <v>n</v>
      </c>
      <c r="BC534" s="97"/>
      <c r="BD534" s="96" t="str">
        <f t="shared" si="170"/>
        <v>n</v>
      </c>
      <c r="BE534" s="96" t="str">
        <f t="shared" si="148"/>
        <v>n</v>
      </c>
      <c r="BF534" s="98" t="str">
        <f t="shared" si="171"/>
        <v/>
      </c>
      <c r="BG534" s="96" t="str">
        <f>IF(BF534="","",IF(ISNUMBER(VLOOKUP(BF534,'Conversion factors'!$B$35:$C$52,2,FALSE)),"y","n"))</f>
        <v/>
      </c>
      <c r="BH534" s="99"/>
    </row>
    <row r="535" spans="1:60" s="103" customFormat="1" ht="15.75" customHeight="1" x14ac:dyDescent="0.2">
      <c r="A535" s="18"/>
      <c r="B535" s="19">
        <v>272</v>
      </c>
      <c r="C535" s="19"/>
      <c r="D535" s="19">
        <v>100006</v>
      </c>
      <c r="E535" s="19" t="s">
        <v>1224</v>
      </c>
      <c r="F535" s="93">
        <v>2004</v>
      </c>
      <c r="G535" s="19" t="s">
        <v>940</v>
      </c>
      <c r="H535" s="19"/>
      <c r="I535" s="19" t="s">
        <v>41</v>
      </c>
      <c r="J535" s="19" t="s">
        <v>941</v>
      </c>
      <c r="K535" s="19" t="s">
        <v>1398</v>
      </c>
      <c r="L535" s="19" t="s">
        <v>1202</v>
      </c>
      <c r="M535" s="19" t="s">
        <v>1203</v>
      </c>
      <c r="N535" s="19" t="s">
        <v>109</v>
      </c>
      <c r="O535" s="19" t="s">
        <v>235</v>
      </c>
      <c r="P535" s="19" t="s">
        <v>51</v>
      </c>
      <c r="Q535" s="19"/>
      <c r="R535" s="19" t="s">
        <v>81</v>
      </c>
      <c r="S535" s="19" t="s">
        <v>402</v>
      </c>
      <c r="T535" s="19" t="s">
        <v>465</v>
      </c>
      <c r="U535" s="19" t="s">
        <v>54</v>
      </c>
      <c r="V535" s="19" t="s">
        <v>100</v>
      </c>
      <c r="W535" s="19" t="s">
        <v>231</v>
      </c>
      <c r="X535" s="19" t="s">
        <v>46</v>
      </c>
      <c r="Y535" s="29"/>
      <c r="Z535" s="19" t="s">
        <v>265</v>
      </c>
      <c r="AA535" s="19"/>
      <c r="AB535" s="19"/>
      <c r="AC535" s="19" t="s">
        <v>1322</v>
      </c>
      <c r="AD535" s="19"/>
      <c r="AE535" s="19"/>
      <c r="AF535" s="19"/>
      <c r="AG535" s="19" t="s">
        <v>235</v>
      </c>
      <c r="AH535" s="19"/>
      <c r="AI535" s="19"/>
      <c r="AJ535" s="19" t="s">
        <v>234</v>
      </c>
      <c r="AK535" s="19" t="s">
        <v>234</v>
      </c>
      <c r="AL535" s="19"/>
      <c r="AM535" s="19" t="s">
        <v>234</v>
      </c>
      <c r="AN535" s="19" t="s">
        <v>234</v>
      </c>
      <c r="AO535" s="19" t="s">
        <v>235</v>
      </c>
      <c r="AP535" s="94"/>
      <c r="AQ535" s="19" t="s">
        <v>942</v>
      </c>
      <c r="AR535" s="19" t="s">
        <v>241</v>
      </c>
      <c r="AS535" s="19"/>
      <c r="AT535" s="65" t="str">
        <f t="shared" si="169"/>
        <v>N</v>
      </c>
      <c r="AU535" s="65" t="str">
        <f t="shared" si="145"/>
        <v>N</v>
      </c>
      <c r="AV535" s="65" t="str">
        <f t="shared" si="185"/>
        <v>N</v>
      </c>
      <c r="AW535" s="99"/>
      <c r="AX535" s="99"/>
      <c r="AY535" s="19"/>
      <c r="AZ535" s="96" t="str">
        <f t="shared" si="146"/>
        <v>n</v>
      </c>
      <c r="BA535" s="96" t="str">
        <f>IF(AZ535="n","n",VLOOKUP(AZ535,'Conversion factors'!$C$4:$D$24,2,FALSE))</f>
        <v>n</v>
      </c>
      <c r="BB535" s="96" t="str">
        <f t="shared" si="147"/>
        <v>n</v>
      </c>
      <c r="BC535" s="97"/>
      <c r="BD535" s="96" t="str">
        <f t="shared" si="170"/>
        <v>n</v>
      </c>
      <c r="BE535" s="96" t="str">
        <f t="shared" si="148"/>
        <v>n</v>
      </c>
      <c r="BF535" s="98" t="str">
        <f t="shared" si="171"/>
        <v/>
      </c>
      <c r="BG535" s="96" t="str">
        <f>IF(BF535="","",IF(ISNUMBER(VLOOKUP(BF535,'Conversion factors'!$B$35:$C$52,2,FALSE)),"y","n"))</f>
        <v/>
      </c>
      <c r="BH535" s="99"/>
    </row>
    <row r="536" spans="1:60" s="103" customFormat="1" ht="15.75" customHeight="1" x14ac:dyDescent="0.2">
      <c r="A536" s="18"/>
      <c r="B536" s="19">
        <v>272</v>
      </c>
      <c r="C536" s="19"/>
      <c r="D536" s="19">
        <v>100006</v>
      </c>
      <c r="E536" s="19" t="s">
        <v>1224</v>
      </c>
      <c r="F536" s="93">
        <v>2004</v>
      </c>
      <c r="G536" s="19" t="s">
        <v>940</v>
      </c>
      <c r="H536" s="19"/>
      <c r="I536" s="19" t="s">
        <v>41</v>
      </c>
      <c r="J536" s="19" t="s">
        <v>941</v>
      </c>
      <c r="K536" s="19" t="s">
        <v>1398</v>
      </c>
      <c r="L536" s="19" t="s">
        <v>1202</v>
      </c>
      <c r="M536" s="19" t="s">
        <v>1203</v>
      </c>
      <c r="N536" s="19" t="s">
        <v>109</v>
      </c>
      <c r="O536" s="19" t="s">
        <v>235</v>
      </c>
      <c r="P536" s="19" t="s">
        <v>51</v>
      </c>
      <c r="Q536" s="19"/>
      <c r="R536" s="19" t="s">
        <v>81</v>
      </c>
      <c r="S536" s="19" t="s">
        <v>402</v>
      </c>
      <c r="T536" s="19" t="s">
        <v>465</v>
      </c>
      <c r="U536" s="19" t="s">
        <v>54</v>
      </c>
      <c r="V536" s="19" t="s">
        <v>100</v>
      </c>
      <c r="W536" s="19" t="s">
        <v>231</v>
      </c>
      <c r="X536" s="19" t="s">
        <v>46</v>
      </c>
      <c r="Y536" s="29"/>
      <c r="Z536" s="19" t="s">
        <v>265</v>
      </c>
      <c r="AA536" s="19"/>
      <c r="AB536" s="19"/>
      <c r="AC536" s="19" t="s">
        <v>1322</v>
      </c>
      <c r="AD536" s="19"/>
      <c r="AE536" s="19"/>
      <c r="AF536" s="19"/>
      <c r="AG536" s="19" t="s">
        <v>235</v>
      </c>
      <c r="AH536" s="19"/>
      <c r="AI536" s="19"/>
      <c r="AJ536" s="19" t="s">
        <v>234</v>
      </c>
      <c r="AK536" s="19" t="s">
        <v>234</v>
      </c>
      <c r="AL536" s="19"/>
      <c r="AM536" s="19" t="s">
        <v>234</v>
      </c>
      <c r="AN536" s="19" t="s">
        <v>234</v>
      </c>
      <c r="AO536" s="19" t="s">
        <v>235</v>
      </c>
      <c r="AP536" s="94"/>
      <c r="AQ536" s="19" t="s">
        <v>942</v>
      </c>
      <c r="AR536" s="19" t="s">
        <v>241</v>
      </c>
      <c r="AS536" s="19"/>
      <c r="AT536" s="65" t="str">
        <f t="shared" si="169"/>
        <v>N</v>
      </c>
      <c r="AU536" s="65" t="str">
        <f t="shared" si="145"/>
        <v>N</v>
      </c>
      <c r="AV536" s="65" t="str">
        <f t="shared" si="185"/>
        <v>N</v>
      </c>
      <c r="AW536" s="99"/>
      <c r="AX536" s="99"/>
      <c r="AY536" s="19"/>
      <c r="AZ536" s="96" t="str">
        <f t="shared" si="146"/>
        <v>n</v>
      </c>
      <c r="BA536" s="96" t="str">
        <f>IF(AZ536="n","n",VLOOKUP(AZ536,'Conversion factors'!$C$4:$D$24,2,FALSE))</f>
        <v>n</v>
      </c>
      <c r="BB536" s="96" t="str">
        <f t="shared" si="147"/>
        <v>n</v>
      </c>
      <c r="BC536" s="97"/>
      <c r="BD536" s="96" t="str">
        <f t="shared" si="170"/>
        <v>n</v>
      </c>
      <c r="BE536" s="96" t="str">
        <f t="shared" si="148"/>
        <v>n</v>
      </c>
      <c r="BF536" s="98" t="str">
        <f t="shared" si="171"/>
        <v/>
      </c>
      <c r="BG536" s="96" t="str">
        <f>IF(BF536="","",IF(ISNUMBER(VLOOKUP(BF536,'Conversion factors'!$B$35:$C$52,2,FALSE)),"y","n"))</f>
        <v/>
      </c>
      <c r="BH536" s="99"/>
    </row>
    <row r="537" spans="1:60" s="103" customFormat="1" ht="15.75" customHeight="1" x14ac:dyDescent="0.2">
      <c r="A537" s="18"/>
      <c r="B537" s="19">
        <v>272</v>
      </c>
      <c r="C537" s="19"/>
      <c r="D537" s="19">
        <v>100006</v>
      </c>
      <c r="E537" s="19" t="s">
        <v>1224</v>
      </c>
      <c r="F537" s="93">
        <v>2004</v>
      </c>
      <c r="G537" s="19" t="s">
        <v>940</v>
      </c>
      <c r="H537" s="19"/>
      <c r="I537" s="19" t="s">
        <v>41</v>
      </c>
      <c r="J537" s="19" t="s">
        <v>941</v>
      </c>
      <c r="K537" s="19" t="s">
        <v>1398</v>
      </c>
      <c r="L537" s="19" t="s">
        <v>1202</v>
      </c>
      <c r="M537" s="19" t="s">
        <v>1203</v>
      </c>
      <c r="N537" s="19" t="s">
        <v>109</v>
      </c>
      <c r="O537" s="19" t="s">
        <v>235</v>
      </c>
      <c r="P537" s="19" t="s">
        <v>51</v>
      </c>
      <c r="Q537" s="19"/>
      <c r="R537" s="19" t="s">
        <v>81</v>
      </c>
      <c r="S537" s="19" t="s">
        <v>402</v>
      </c>
      <c r="T537" s="19" t="s">
        <v>465</v>
      </c>
      <c r="U537" s="19" t="s">
        <v>54</v>
      </c>
      <c r="V537" s="19" t="s">
        <v>1216</v>
      </c>
      <c r="W537" s="19" t="s">
        <v>231</v>
      </c>
      <c r="X537" s="19" t="s">
        <v>46</v>
      </c>
      <c r="Y537" s="29"/>
      <c r="Z537" s="19" t="s">
        <v>265</v>
      </c>
      <c r="AA537" s="19"/>
      <c r="AB537" s="19"/>
      <c r="AC537" s="19" t="s">
        <v>1322</v>
      </c>
      <c r="AD537" s="19"/>
      <c r="AE537" s="19" t="s">
        <v>351</v>
      </c>
      <c r="AF537" s="19" t="s">
        <v>351</v>
      </c>
      <c r="AG537" s="19" t="s">
        <v>235</v>
      </c>
      <c r="AH537" s="19"/>
      <c r="AI537" s="19"/>
      <c r="AJ537" s="19" t="s">
        <v>234</v>
      </c>
      <c r="AK537" s="19" t="s">
        <v>234</v>
      </c>
      <c r="AL537" s="19"/>
      <c r="AM537" s="19" t="s">
        <v>234</v>
      </c>
      <c r="AN537" s="19" t="s">
        <v>234</v>
      </c>
      <c r="AO537" s="19" t="s">
        <v>235</v>
      </c>
      <c r="AP537" s="94"/>
      <c r="AQ537" s="19" t="s">
        <v>942</v>
      </c>
      <c r="AR537" s="19" t="s">
        <v>241</v>
      </c>
      <c r="AS537" s="19"/>
      <c r="AT537" s="65" t="str">
        <f t="shared" si="169"/>
        <v>N</v>
      </c>
      <c r="AU537" s="65" t="str">
        <f t="shared" si="145"/>
        <v>N</v>
      </c>
      <c r="AV537" s="65" t="str">
        <f t="shared" si="185"/>
        <v>N</v>
      </c>
      <c r="AW537" s="99"/>
      <c r="AX537" s="99"/>
      <c r="AY537" s="19"/>
      <c r="AZ537" s="96" t="str">
        <f t="shared" si="146"/>
        <v>n</v>
      </c>
      <c r="BA537" s="96" t="str">
        <f>IF(AZ537="n","n",VLOOKUP(AZ537,'Conversion factors'!$C$4:$D$24,2,FALSE))</f>
        <v>n</v>
      </c>
      <c r="BB537" s="96" t="str">
        <f t="shared" si="147"/>
        <v>n</v>
      </c>
      <c r="BC537" s="97"/>
      <c r="BD537" s="96" t="str">
        <f t="shared" si="170"/>
        <v>n</v>
      </c>
      <c r="BE537" s="96" t="str">
        <f t="shared" si="148"/>
        <v>n</v>
      </c>
      <c r="BF537" s="98" t="str">
        <f t="shared" si="171"/>
        <v/>
      </c>
      <c r="BG537" s="96" t="str">
        <f>IF(BF537="","",IF(ISNUMBER(VLOOKUP(BF537,'Conversion factors'!$B$35:$C$52,2,FALSE)),"y","n"))</f>
        <v/>
      </c>
      <c r="BH537" s="99"/>
    </row>
    <row r="538" spans="1:60" s="103" customFormat="1" ht="15.75" customHeight="1" x14ac:dyDescent="0.2">
      <c r="A538" s="18"/>
      <c r="B538" s="19">
        <v>272</v>
      </c>
      <c r="C538" s="19"/>
      <c r="D538" s="19">
        <v>100006</v>
      </c>
      <c r="E538" s="19" t="s">
        <v>1224</v>
      </c>
      <c r="F538" s="93">
        <v>2004</v>
      </c>
      <c r="G538" s="19" t="s">
        <v>940</v>
      </c>
      <c r="H538" s="19"/>
      <c r="I538" s="19" t="s">
        <v>41</v>
      </c>
      <c r="J538" s="19" t="s">
        <v>941</v>
      </c>
      <c r="K538" s="19" t="s">
        <v>1398</v>
      </c>
      <c r="L538" s="19" t="s">
        <v>1202</v>
      </c>
      <c r="M538" s="19" t="s">
        <v>1203</v>
      </c>
      <c r="N538" s="19" t="s">
        <v>109</v>
      </c>
      <c r="O538" s="19" t="s">
        <v>235</v>
      </c>
      <c r="P538" s="19" t="s">
        <v>51</v>
      </c>
      <c r="Q538" s="19"/>
      <c r="R538" s="19" t="s">
        <v>81</v>
      </c>
      <c r="S538" s="19" t="s">
        <v>402</v>
      </c>
      <c r="T538" s="19" t="s">
        <v>465</v>
      </c>
      <c r="U538" s="19" t="s">
        <v>54</v>
      </c>
      <c r="V538" s="19" t="s">
        <v>1216</v>
      </c>
      <c r="W538" s="19" t="s">
        <v>231</v>
      </c>
      <c r="X538" s="19" t="s">
        <v>46</v>
      </c>
      <c r="Y538" s="29"/>
      <c r="Z538" s="19" t="s">
        <v>265</v>
      </c>
      <c r="AA538" s="19"/>
      <c r="AB538" s="19"/>
      <c r="AC538" s="19" t="s">
        <v>1322</v>
      </c>
      <c r="AD538" s="19"/>
      <c r="AE538" s="19" t="s">
        <v>351</v>
      </c>
      <c r="AF538" s="19" t="s">
        <v>351</v>
      </c>
      <c r="AG538" s="19" t="s">
        <v>235</v>
      </c>
      <c r="AH538" s="19"/>
      <c r="AI538" s="19"/>
      <c r="AJ538" s="19" t="s">
        <v>234</v>
      </c>
      <c r="AK538" s="19" t="s">
        <v>234</v>
      </c>
      <c r="AL538" s="19"/>
      <c r="AM538" s="19" t="s">
        <v>234</v>
      </c>
      <c r="AN538" s="19" t="s">
        <v>234</v>
      </c>
      <c r="AO538" s="19" t="s">
        <v>235</v>
      </c>
      <c r="AP538" s="94"/>
      <c r="AQ538" s="19" t="s">
        <v>942</v>
      </c>
      <c r="AR538" s="19" t="s">
        <v>241</v>
      </c>
      <c r="AS538" s="19"/>
      <c r="AT538" s="65" t="str">
        <f t="shared" si="169"/>
        <v>N</v>
      </c>
      <c r="AU538" s="65" t="str">
        <f t="shared" si="145"/>
        <v>N</v>
      </c>
      <c r="AV538" s="65" t="str">
        <f t="shared" si="185"/>
        <v>N</v>
      </c>
      <c r="AW538" s="99"/>
      <c r="AX538" s="99"/>
      <c r="AY538" s="19"/>
      <c r="AZ538" s="96" t="str">
        <f t="shared" si="146"/>
        <v>n</v>
      </c>
      <c r="BA538" s="96" t="str">
        <f>IF(AZ538="n","n",VLOOKUP(AZ538,'Conversion factors'!$C$4:$D$24,2,FALSE))</f>
        <v>n</v>
      </c>
      <c r="BB538" s="96" t="str">
        <f t="shared" si="147"/>
        <v>n</v>
      </c>
      <c r="BC538" s="97"/>
      <c r="BD538" s="96" t="str">
        <f t="shared" si="170"/>
        <v>n</v>
      </c>
      <c r="BE538" s="96" t="str">
        <f t="shared" si="148"/>
        <v>n</v>
      </c>
      <c r="BF538" s="98" t="str">
        <f t="shared" si="171"/>
        <v/>
      </c>
      <c r="BG538" s="96" t="str">
        <f>IF(BF538="","",IF(ISNUMBER(VLOOKUP(BF538,'Conversion factors'!$B$35:$C$52,2,FALSE)),"y","n"))</f>
        <v/>
      </c>
      <c r="BH538" s="99"/>
    </row>
    <row r="539" spans="1:60" s="103" customFormat="1" ht="15.75" customHeight="1" x14ac:dyDescent="0.2">
      <c r="A539" s="18"/>
      <c r="B539" s="19">
        <v>272</v>
      </c>
      <c r="C539" s="19"/>
      <c r="D539" s="19">
        <v>100006</v>
      </c>
      <c r="E539" s="19" t="s">
        <v>1224</v>
      </c>
      <c r="F539" s="93">
        <v>2004</v>
      </c>
      <c r="G539" s="19" t="s">
        <v>940</v>
      </c>
      <c r="H539" s="19"/>
      <c r="I539" s="19" t="s">
        <v>41</v>
      </c>
      <c r="J539" s="19" t="s">
        <v>941</v>
      </c>
      <c r="K539" s="19" t="s">
        <v>1398</v>
      </c>
      <c r="L539" s="19" t="s">
        <v>1202</v>
      </c>
      <c r="M539" s="19" t="s">
        <v>1203</v>
      </c>
      <c r="N539" s="19" t="s">
        <v>109</v>
      </c>
      <c r="O539" s="19" t="s">
        <v>235</v>
      </c>
      <c r="P539" s="19" t="s">
        <v>51</v>
      </c>
      <c r="Q539" s="19"/>
      <c r="R539" s="19" t="s">
        <v>81</v>
      </c>
      <c r="S539" s="19" t="s">
        <v>483</v>
      </c>
      <c r="T539" s="19" t="s">
        <v>465</v>
      </c>
      <c r="U539" s="19" t="s">
        <v>54</v>
      </c>
      <c r="V539" s="19" t="s">
        <v>1118</v>
      </c>
      <c r="W539" s="19" t="s">
        <v>231</v>
      </c>
      <c r="X539" s="19" t="s">
        <v>46</v>
      </c>
      <c r="Y539" s="29"/>
      <c r="Z539" s="19" t="s">
        <v>265</v>
      </c>
      <c r="AA539" s="19"/>
      <c r="AB539" s="19"/>
      <c r="AC539" s="19" t="s">
        <v>1322</v>
      </c>
      <c r="AD539" s="19"/>
      <c r="AE539" s="19"/>
      <c r="AF539" s="19"/>
      <c r="AG539" s="19" t="s">
        <v>235</v>
      </c>
      <c r="AH539" s="19"/>
      <c r="AI539" s="19"/>
      <c r="AJ539" s="19" t="s">
        <v>234</v>
      </c>
      <c r="AK539" s="19" t="s">
        <v>234</v>
      </c>
      <c r="AL539" s="19"/>
      <c r="AM539" s="19" t="s">
        <v>234</v>
      </c>
      <c r="AN539" s="19" t="s">
        <v>234</v>
      </c>
      <c r="AO539" s="19" t="s">
        <v>235</v>
      </c>
      <c r="AP539" s="94"/>
      <c r="AQ539" s="19" t="s">
        <v>942</v>
      </c>
      <c r="AR539" s="19" t="s">
        <v>241</v>
      </c>
      <c r="AS539" s="19"/>
      <c r="AT539" s="65" t="str">
        <f t="shared" si="169"/>
        <v>N</v>
      </c>
      <c r="AU539" s="65" t="str">
        <f t="shared" si="145"/>
        <v>N</v>
      </c>
      <c r="AV539" s="65" t="str">
        <f t="shared" si="185"/>
        <v>N</v>
      </c>
      <c r="AW539" s="99"/>
      <c r="AX539" s="99"/>
      <c r="AY539" s="19"/>
      <c r="AZ539" s="96" t="str">
        <f t="shared" si="146"/>
        <v>n</v>
      </c>
      <c r="BA539" s="96" t="str">
        <f>IF(AZ539="n","n",VLOOKUP(AZ539,'Conversion factors'!$C$4:$D$24,2,FALSE))</f>
        <v>n</v>
      </c>
      <c r="BB539" s="96" t="str">
        <f t="shared" si="147"/>
        <v>n</v>
      </c>
      <c r="BC539" s="97"/>
      <c r="BD539" s="96" t="str">
        <f t="shared" si="170"/>
        <v>n</v>
      </c>
      <c r="BE539" s="96" t="str">
        <f t="shared" si="148"/>
        <v>n</v>
      </c>
      <c r="BF539" s="98" t="str">
        <f t="shared" si="171"/>
        <v/>
      </c>
      <c r="BG539" s="96" t="str">
        <f>IF(BF539="","",IF(ISNUMBER(VLOOKUP(BF539,'Conversion factors'!$B$35:$C$52,2,FALSE)),"y","n"))</f>
        <v/>
      </c>
      <c r="BH539" s="99"/>
    </row>
    <row r="540" spans="1:60" s="103" customFormat="1" ht="15.75" customHeight="1" x14ac:dyDescent="0.2">
      <c r="A540" s="18"/>
      <c r="B540" s="19">
        <v>272</v>
      </c>
      <c r="C540" s="19"/>
      <c r="D540" s="19">
        <v>100006</v>
      </c>
      <c r="E540" s="19" t="s">
        <v>1224</v>
      </c>
      <c r="F540" s="93">
        <v>2004</v>
      </c>
      <c r="G540" s="19" t="s">
        <v>940</v>
      </c>
      <c r="H540" s="19"/>
      <c r="I540" s="19" t="s">
        <v>41</v>
      </c>
      <c r="J540" s="19" t="s">
        <v>941</v>
      </c>
      <c r="K540" s="19" t="s">
        <v>1398</v>
      </c>
      <c r="L540" s="19" t="s">
        <v>1202</v>
      </c>
      <c r="M540" s="19" t="s">
        <v>1203</v>
      </c>
      <c r="N540" s="19" t="s">
        <v>109</v>
      </c>
      <c r="O540" s="19" t="s">
        <v>235</v>
      </c>
      <c r="P540" s="19" t="s">
        <v>51</v>
      </c>
      <c r="Q540" s="19"/>
      <c r="R540" s="19" t="s">
        <v>81</v>
      </c>
      <c r="S540" s="19" t="s">
        <v>483</v>
      </c>
      <c r="T540" s="19" t="s">
        <v>465</v>
      </c>
      <c r="U540" s="19" t="s">
        <v>54</v>
      </c>
      <c r="V540" s="19" t="s">
        <v>1118</v>
      </c>
      <c r="W540" s="19" t="s">
        <v>231</v>
      </c>
      <c r="X540" s="19" t="s">
        <v>46</v>
      </c>
      <c r="Y540" s="29"/>
      <c r="Z540" s="19" t="s">
        <v>265</v>
      </c>
      <c r="AA540" s="19"/>
      <c r="AB540" s="19"/>
      <c r="AC540" s="19" t="s">
        <v>1322</v>
      </c>
      <c r="AD540" s="19"/>
      <c r="AE540" s="19" t="s">
        <v>351</v>
      </c>
      <c r="AF540" s="19" t="s">
        <v>351</v>
      </c>
      <c r="AG540" s="19" t="s">
        <v>235</v>
      </c>
      <c r="AH540" s="19"/>
      <c r="AI540" s="19"/>
      <c r="AJ540" s="19" t="s">
        <v>234</v>
      </c>
      <c r="AK540" s="19" t="s">
        <v>234</v>
      </c>
      <c r="AL540" s="19"/>
      <c r="AM540" s="19" t="s">
        <v>234</v>
      </c>
      <c r="AN540" s="19" t="s">
        <v>234</v>
      </c>
      <c r="AO540" s="19" t="s">
        <v>235</v>
      </c>
      <c r="AP540" s="94"/>
      <c r="AQ540" s="19" t="s">
        <v>942</v>
      </c>
      <c r="AR540" s="19" t="s">
        <v>241</v>
      </c>
      <c r="AS540" s="19"/>
      <c r="AT540" s="65" t="str">
        <f t="shared" si="169"/>
        <v>N</v>
      </c>
      <c r="AU540" s="65" t="str">
        <f t="shared" si="145"/>
        <v>N</v>
      </c>
      <c r="AV540" s="65" t="str">
        <f t="shared" si="185"/>
        <v>N</v>
      </c>
      <c r="AW540" s="99"/>
      <c r="AX540" s="99"/>
      <c r="AY540" s="19"/>
      <c r="AZ540" s="96" t="str">
        <f t="shared" si="146"/>
        <v>n</v>
      </c>
      <c r="BA540" s="96" t="str">
        <f>IF(AZ540="n","n",VLOOKUP(AZ540,'Conversion factors'!$C$4:$D$24,2,FALSE))</f>
        <v>n</v>
      </c>
      <c r="BB540" s="96" t="str">
        <f t="shared" si="147"/>
        <v>n</v>
      </c>
      <c r="BC540" s="97"/>
      <c r="BD540" s="96" t="str">
        <f t="shared" si="170"/>
        <v>n</v>
      </c>
      <c r="BE540" s="96" t="str">
        <f t="shared" si="148"/>
        <v>n</v>
      </c>
      <c r="BF540" s="98" t="str">
        <f t="shared" si="171"/>
        <v/>
      </c>
      <c r="BG540" s="96" t="str">
        <f>IF(BF540="","",IF(ISNUMBER(VLOOKUP(BF540,'Conversion factors'!$B$35:$C$52,2,FALSE)),"y","n"))</f>
        <v/>
      </c>
      <c r="BH540" s="99"/>
    </row>
    <row r="541" spans="1:60" s="103" customFormat="1" ht="15.75" customHeight="1" x14ac:dyDescent="0.2">
      <c r="A541" s="18"/>
      <c r="B541" s="19">
        <v>272</v>
      </c>
      <c r="C541" s="19"/>
      <c r="D541" s="19">
        <v>100006</v>
      </c>
      <c r="E541" s="19" t="s">
        <v>1224</v>
      </c>
      <c r="F541" s="93">
        <v>2004</v>
      </c>
      <c r="G541" s="19" t="s">
        <v>940</v>
      </c>
      <c r="H541" s="19"/>
      <c r="I541" s="19" t="s">
        <v>41</v>
      </c>
      <c r="J541" s="19" t="s">
        <v>941</v>
      </c>
      <c r="K541" s="19" t="s">
        <v>1398</v>
      </c>
      <c r="L541" s="19" t="s">
        <v>1202</v>
      </c>
      <c r="M541" s="19" t="s">
        <v>1203</v>
      </c>
      <c r="N541" s="19" t="s">
        <v>109</v>
      </c>
      <c r="O541" s="19" t="s">
        <v>235</v>
      </c>
      <c r="P541" s="19" t="s">
        <v>51</v>
      </c>
      <c r="Q541" s="19"/>
      <c r="R541" s="19" t="s">
        <v>81</v>
      </c>
      <c r="S541" s="19" t="s">
        <v>483</v>
      </c>
      <c r="T541" s="19" t="s">
        <v>465</v>
      </c>
      <c r="U541" s="19" t="s">
        <v>54</v>
      </c>
      <c r="V541" s="19" t="s">
        <v>1118</v>
      </c>
      <c r="W541" s="19" t="s">
        <v>231</v>
      </c>
      <c r="X541" s="19" t="s">
        <v>46</v>
      </c>
      <c r="Y541" s="29"/>
      <c r="Z541" s="19" t="s">
        <v>265</v>
      </c>
      <c r="AA541" s="19"/>
      <c r="AB541" s="19"/>
      <c r="AC541" s="19" t="s">
        <v>1322</v>
      </c>
      <c r="AD541" s="19"/>
      <c r="AE541" s="19" t="s">
        <v>351</v>
      </c>
      <c r="AF541" s="19" t="s">
        <v>351</v>
      </c>
      <c r="AG541" s="19" t="s">
        <v>235</v>
      </c>
      <c r="AH541" s="19"/>
      <c r="AI541" s="19"/>
      <c r="AJ541" s="19" t="s">
        <v>234</v>
      </c>
      <c r="AK541" s="19" t="s">
        <v>234</v>
      </c>
      <c r="AL541" s="19"/>
      <c r="AM541" s="19" t="s">
        <v>234</v>
      </c>
      <c r="AN541" s="19" t="s">
        <v>234</v>
      </c>
      <c r="AO541" s="19" t="s">
        <v>235</v>
      </c>
      <c r="AP541" s="94"/>
      <c r="AQ541" s="19" t="s">
        <v>942</v>
      </c>
      <c r="AR541" s="19" t="s">
        <v>241</v>
      </c>
      <c r="AS541" s="19"/>
      <c r="AT541" s="65" t="str">
        <f t="shared" si="169"/>
        <v>N</v>
      </c>
      <c r="AU541" s="65" t="str">
        <f t="shared" si="145"/>
        <v>N</v>
      </c>
      <c r="AV541" s="65" t="str">
        <f t="shared" si="185"/>
        <v>N</v>
      </c>
      <c r="AW541" s="99"/>
      <c r="AX541" s="99"/>
      <c r="AY541" s="19"/>
      <c r="AZ541" s="96" t="str">
        <f t="shared" si="146"/>
        <v>n</v>
      </c>
      <c r="BA541" s="96" t="str">
        <f>IF(AZ541="n","n",VLOOKUP(AZ541,'Conversion factors'!$C$4:$D$24,2,FALSE))</f>
        <v>n</v>
      </c>
      <c r="BB541" s="96" t="str">
        <f t="shared" si="147"/>
        <v>n</v>
      </c>
      <c r="BC541" s="97"/>
      <c r="BD541" s="96" t="str">
        <f t="shared" si="170"/>
        <v>n</v>
      </c>
      <c r="BE541" s="96" t="str">
        <f t="shared" si="148"/>
        <v>n</v>
      </c>
      <c r="BF541" s="98" t="str">
        <f t="shared" si="171"/>
        <v/>
      </c>
      <c r="BG541" s="96" t="str">
        <f>IF(BF541="","",IF(ISNUMBER(VLOOKUP(BF541,'Conversion factors'!$B$35:$C$52,2,FALSE)),"y","n"))</f>
        <v/>
      </c>
      <c r="BH541" s="99"/>
    </row>
    <row r="542" spans="1:60" s="103" customFormat="1" ht="15.75" customHeight="1" x14ac:dyDescent="0.2">
      <c r="A542" s="18"/>
      <c r="B542" s="19">
        <v>272</v>
      </c>
      <c r="C542" s="19"/>
      <c r="D542" s="19">
        <v>100006</v>
      </c>
      <c r="E542" s="19" t="s">
        <v>1224</v>
      </c>
      <c r="F542" s="93">
        <v>2004</v>
      </c>
      <c r="G542" s="19" t="s">
        <v>940</v>
      </c>
      <c r="H542" s="19"/>
      <c r="I542" s="19" t="s">
        <v>41</v>
      </c>
      <c r="J542" s="19" t="s">
        <v>941</v>
      </c>
      <c r="K542" s="19" t="s">
        <v>1398</v>
      </c>
      <c r="L542" s="19" t="s">
        <v>1202</v>
      </c>
      <c r="M542" s="19" t="s">
        <v>1203</v>
      </c>
      <c r="N542" s="19" t="s">
        <v>109</v>
      </c>
      <c r="O542" s="19" t="s">
        <v>235</v>
      </c>
      <c r="P542" s="19" t="s">
        <v>51</v>
      </c>
      <c r="Q542" s="19"/>
      <c r="R542" s="19" t="s">
        <v>81</v>
      </c>
      <c r="S542" s="19" t="s">
        <v>483</v>
      </c>
      <c r="T542" s="19" t="s">
        <v>465</v>
      </c>
      <c r="U542" s="19" t="s">
        <v>54</v>
      </c>
      <c r="V542" s="19" t="s">
        <v>1118</v>
      </c>
      <c r="W542" s="19" t="s">
        <v>231</v>
      </c>
      <c r="X542" s="19" t="s">
        <v>46</v>
      </c>
      <c r="Y542" s="29"/>
      <c r="Z542" s="19" t="s">
        <v>265</v>
      </c>
      <c r="AA542" s="19"/>
      <c r="AB542" s="19"/>
      <c r="AC542" s="19" t="s">
        <v>1322</v>
      </c>
      <c r="AD542" s="19"/>
      <c r="AE542" s="19" t="s">
        <v>351</v>
      </c>
      <c r="AF542" s="19" t="s">
        <v>351</v>
      </c>
      <c r="AG542" s="19" t="s">
        <v>235</v>
      </c>
      <c r="AH542" s="19"/>
      <c r="AI542" s="19"/>
      <c r="AJ542" s="19" t="s">
        <v>234</v>
      </c>
      <c r="AK542" s="19" t="s">
        <v>234</v>
      </c>
      <c r="AL542" s="19"/>
      <c r="AM542" s="19" t="s">
        <v>234</v>
      </c>
      <c r="AN542" s="19" t="s">
        <v>234</v>
      </c>
      <c r="AO542" s="19" t="s">
        <v>235</v>
      </c>
      <c r="AP542" s="94"/>
      <c r="AQ542" s="19" t="s">
        <v>942</v>
      </c>
      <c r="AR542" s="19" t="s">
        <v>241</v>
      </c>
      <c r="AS542" s="19"/>
      <c r="AT542" s="65" t="str">
        <f t="shared" si="169"/>
        <v>N</v>
      </c>
      <c r="AU542" s="65" t="str">
        <f t="shared" si="145"/>
        <v>N</v>
      </c>
      <c r="AV542" s="65" t="str">
        <f t="shared" si="185"/>
        <v>N</v>
      </c>
      <c r="AW542" s="99"/>
      <c r="AX542" s="99"/>
      <c r="AY542" s="19"/>
      <c r="AZ542" s="96" t="str">
        <f t="shared" si="146"/>
        <v>n</v>
      </c>
      <c r="BA542" s="96" t="str">
        <f>IF(AZ542="n","n",VLOOKUP(AZ542,'Conversion factors'!$C$4:$D$24,2,FALSE))</f>
        <v>n</v>
      </c>
      <c r="BB542" s="96" t="str">
        <f t="shared" si="147"/>
        <v>n</v>
      </c>
      <c r="BC542" s="97"/>
      <c r="BD542" s="96" t="str">
        <f t="shared" si="170"/>
        <v>n</v>
      </c>
      <c r="BE542" s="96" t="str">
        <f t="shared" si="148"/>
        <v>n</v>
      </c>
      <c r="BF542" s="98" t="str">
        <f t="shared" si="171"/>
        <v/>
      </c>
      <c r="BG542" s="96" t="str">
        <f>IF(BF542="","",IF(ISNUMBER(VLOOKUP(BF542,'Conversion factors'!$B$35:$C$52,2,FALSE)),"y","n"))</f>
        <v/>
      </c>
      <c r="BH542" s="99"/>
    </row>
    <row r="543" spans="1:60" s="103" customFormat="1" ht="15.75" customHeight="1" x14ac:dyDescent="0.2">
      <c r="A543" s="18"/>
      <c r="B543" s="19">
        <v>272</v>
      </c>
      <c r="C543" s="19"/>
      <c r="D543" s="19">
        <v>100006</v>
      </c>
      <c r="E543" s="19" t="s">
        <v>1224</v>
      </c>
      <c r="F543" s="93">
        <v>2004</v>
      </c>
      <c r="G543" s="19" t="s">
        <v>940</v>
      </c>
      <c r="H543" s="19"/>
      <c r="I543" s="19" t="s">
        <v>41</v>
      </c>
      <c r="J543" s="19" t="s">
        <v>941</v>
      </c>
      <c r="K543" s="19" t="s">
        <v>1398</v>
      </c>
      <c r="L543" s="19" t="s">
        <v>1202</v>
      </c>
      <c r="M543" s="19" t="s">
        <v>1203</v>
      </c>
      <c r="N543" s="19" t="s">
        <v>109</v>
      </c>
      <c r="O543" s="19" t="s">
        <v>235</v>
      </c>
      <c r="P543" s="19" t="s">
        <v>51</v>
      </c>
      <c r="Q543" s="19"/>
      <c r="R543" s="19" t="s">
        <v>81</v>
      </c>
      <c r="S543" s="19" t="s">
        <v>483</v>
      </c>
      <c r="T543" s="19" t="s">
        <v>465</v>
      </c>
      <c r="U543" s="19" t="s">
        <v>54</v>
      </c>
      <c r="V543" s="19" t="s">
        <v>1118</v>
      </c>
      <c r="W543" s="19" t="s">
        <v>231</v>
      </c>
      <c r="X543" s="19" t="s">
        <v>46</v>
      </c>
      <c r="Y543" s="29"/>
      <c r="Z543" s="19" t="s">
        <v>265</v>
      </c>
      <c r="AA543" s="19"/>
      <c r="AB543" s="19"/>
      <c r="AC543" s="19" t="s">
        <v>1322</v>
      </c>
      <c r="AD543" s="19"/>
      <c r="AE543" s="19" t="s">
        <v>351</v>
      </c>
      <c r="AF543" s="19" t="s">
        <v>351</v>
      </c>
      <c r="AG543" s="19" t="s">
        <v>235</v>
      </c>
      <c r="AH543" s="19"/>
      <c r="AI543" s="19"/>
      <c r="AJ543" s="19" t="s">
        <v>234</v>
      </c>
      <c r="AK543" s="19" t="s">
        <v>234</v>
      </c>
      <c r="AL543" s="19"/>
      <c r="AM543" s="19" t="s">
        <v>234</v>
      </c>
      <c r="AN543" s="19" t="s">
        <v>234</v>
      </c>
      <c r="AO543" s="19" t="s">
        <v>235</v>
      </c>
      <c r="AP543" s="94"/>
      <c r="AQ543" s="19" t="s">
        <v>942</v>
      </c>
      <c r="AR543" s="19" t="s">
        <v>241</v>
      </c>
      <c r="AS543" s="19"/>
      <c r="AT543" s="65" t="str">
        <f t="shared" si="169"/>
        <v>N</v>
      </c>
      <c r="AU543" s="65" t="str">
        <f t="shared" si="145"/>
        <v>N</v>
      </c>
      <c r="AV543" s="65" t="str">
        <f t="shared" si="185"/>
        <v>N</v>
      </c>
      <c r="AW543" s="99"/>
      <c r="AX543" s="99"/>
      <c r="AY543" s="19"/>
      <c r="AZ543" s="96" t="str">
        <f t="shared" si="146"/>
        <v>n</v>
      </c>
      <c r="BA543" s="96" t="str">
        <f>IF(AZ543="n","n",VLOOKUP(AZ543,'Conversion factors'!$C$4:$D$24,2,FALSE))</f>
        <v>n</v>
      </c>
      <c r="BB543" s="96" t="str">
        <f t="shared" si="147"/>
        <v>n</v>
      </c>
      <c r="BC543" s="97"/>
      <c r="BD543" s="96" t="str">
        <f t="shared" si="170"/>
        <v>n</v>
      </c>
      <c r="BE543" s="96" t="str">
        <f t="shared" si="148"/>
        <v>n</v>
      </c>
      <c r="BF543" s="98" t="str">
        <f t="shared" si="171"/>
        <v/>
      </c>
      <c r="BG543" s="96" t="str">
        <f>IF(BF543="","",IF(ISNUMBER(VLOOKUP(BF543,'Conversion factors'!$B$35:$C$52,2,FALSE)),"y","n"))</f>
        <v/>
      </c>
      <c r="BH543" s="99"/>
    </row>
    <row r="544" spans="1:60" s="103" customFormat="1" ht="15.75" customHeight="1" x14ac:dyDescent="0.2">
      <c r="A544" s="18"/>
      <c r="B544" s="19">
        <v>272</v>
      </c>
      <c r="C544" s="19"/>
      <c r="D544" s="19">
        <v>100006</v>
      </c>
      <c r="E544" s="19" t="s">
        <v>1224</v>
      </c>
      <c r="F544" s="93">
        <v>2004</v>
      </c>
      <c r="G544" s="19" t="s">
        <v>940</v>
      </c>
      <c r="H544" s="19"/>
      <c r="I544" s="19" t="s">
        <v>41</v>
      </c>
      <c r="J544" s="19" t="s">
        <v>941</v>
      </c>
      <c r="K544" s="19" t="s">
        <v>1398</v>
      </c>
      <c r="L544" s="19" t="s">
        <v>1202</v>
      </c>
      <c r="M544" s="19" t="s">
        <v>1203</v>
      </c>
      <c r="N544" s="19" t="s">
        <v>109</v>
      </c>
      <c r="O544" s="19" t="s">
        <v>235</v>
      </c>
      <c r="P544" s="19" t="s">
        <v>51</v>
      </c>
      <c r="Q544" s="19"/>
      <c r="R544" s="19" t="s">
        <v>81</v>
      </c>
      <c r="S544" s="19" t="s">
        <v>483</v>
      </c>
      <c r="T544" s="19" t="s">
        <v>465</v>
      </c>
      <c r="U544" s="19" t="s">
        <v>54</v>
      </c>
      <c r="V544" s="19" t="s">
        <v>1118</v>
      </c>
      <c r="W544" s="19" t="s">
        <v>231</v>
      </c>
      <c r="X544" s="19" t="s">
        <v>46</v>
      </c>
      <c r="Y544" s="29"/>
      <c r="Z544" s="19" t="s">
        <v>265</v>
      </c>
      <c r="AA544" s="19"/>
      <c r="AB544" s="19"/>
      <c r="AC544" s="19" t="s">
        <v>1322</v>
      </c>
      <c r="AD544" s="19"/>
      <c r="AE544" s="19" t="s">
        <v>351</v>
      </c>
      <c r="AF544" s="19" t="s">
        <v>351</v>
      </c>
      <c r="AG544" s="19" t="s">
        <v>235</v>
      </c>
      <c r="AH544" s="19"/>
      <c r="AI544" s="19"/>
      <c r="AJ544" s="19" t="s">
        <v>234</v>
      </c>
      <c r="AK544" s="19" t="s">
        <v>234</v>
      </c>
      <c r="AL544" s="19"/>
      <c r="AM544" s="19" t="s">
        <v>234</v>
      </c>
      <c r="AN544" s="19" t="s">
        <v>234</v>
      </c>
      <c r="AO544" s="19" t="s">
        <v>235</v>
      </c>
      <c r="AP544" s="94"/>
      <c r="AQ544" s="19" t="s">
        <v>942</v>
      </c>
      <c r="AR544" s="19" t="s">
        <v>241</v>
      </c>
      <c r="AS544" s="19"/>
      <c r="AT544" s="65" t="str">
        <f t="shared" si="169"/>
        <v>N</v>
      </c>
      <c r="AU544" s="65" t="str">
        <f t="shared" ref="AU544:AU607" si="186">IF(AT544="N","N",IF(AJ544&lt;6,"N",IF(AJ544&gt;8.5,"N","Y")))</f>
        <v>N</v>
      </c>
      <c r="AV544" s="65" t="str">
        <f t="shared" si="185"/>
        <v>N</v>
      </c>
      <c r="AW544" s="99"/>
      <c r="AX544" s="99"/>
      <c r="AY544" s="19"/>
      <c r="AZ544" s="96" t="str">
        <f t="shared" si="146"/>
        <v>n</v>
      </c>
      <c r="BA544" s="96" t="str">
        <f>IF(AZ544="n","n",VLOOKUP(AZ544,'Conversion factors'!$C$4:$D$24,2,FALSE))</f>
        <v>n</v>
      </c>
      <c r="BB544" s="96" t="str">
        <f t="shared" si="147"/>
        <v>n</v>
      </c>
      <c r="BC544" s="97"/>
      <c r="BD544" s="96" t="str">
        <f t="shared" si="170"/>
        <v>n</v>
      </c>
      <c r="BE544" s="96" t="str">
        <f t="shared" si="148"/>
        <v>n</v>
      </c>
      <c r="BF544" s="98" t="str">
        <f t="shared" si="171"/>
        <v/>
      </c>
      <c r="BG544" s="96" t="str">
        <f>IF(BF544="","",IF(ISNUMBER(VLOOKUP(BF544,'Conversion factors'!$B$35:$C$52,2,FALSE)),"y","n"))</f>
        <v/>
      </c>
      <c r="BH544" s="99"/>
    </row>
    <row r="545" spans="1:62" s="103" customFormat="1" ht="15.75" customHeight="1" x14ac:dyDescent="0.2">
      <c r="A545" s="18"/>
      <c r="B545" s="19">
        <v>272</v>
      </c>
      <c r="C545" s="19"/>
      <c r="D545" s="19">
        <v>100006</v>
      </c>
      <c r="E545" s="19" t="s">
        <v>1224</v>
      </c>
      <c r="F545" s="93">
        <v>2004</v>
      </c>
      <c r="G545" s="19" t="s">
        <v>940</v>
      </c>
      <c r="H545" s="19"/>
      <c r="I545" s="19" t="s">
        <v>41</v>
      </c>
      <c r="J545" s="19" t="s">
        <v>941</v>
      </c>
      <c r="K545" s="19" t="s">
        <v>1398</v>
      </c>
      <c r="L545" s="19" t="s">
        <v>1202</v>
      </c>
      <c r="M545" s="19" t="s">
        <v>1203</v>
      </c>
      <c r="N545" s="19" t="s">
        <v>109</v>
      </c>
      <c r="O545" s="19" t="s">
        <v>235</v>
      </c>
      <c r="P545" s="19" t="s">
        <v>51</v>
      </c>
      <c r="Q545" s="19"/>
      <c r="R545" s="19" t="s">
        <v>81</v>
      </c>
      <c r="S545" s="19" t="s">
        <v>483</v>
      </c>
      <c r="T545" s="19" t="s">
        <v>465</v>
      </c>
      <c r="U545" s="19" t="s">
        <v>54</v>
      </c>
      <c r="V545" s="19" t="s">
        <v>1118</v>
      </c>
      <c r="W545" s="19" t="s">
        <v>231</v>
      </c>
      <c r="X545" s="19" t="s">
        <v>46</v>
      </c>
      <c r="Y545" s="29"/>
      <c r="Z545" s="19" t="s">
        <v>265</v>
      </c>
      <c r="AA545" s="19"/>
      <c r="AB545" s="19"/>
      <c r="AC545" s="19" t="s">
        <v>1322</v>
      </c>
      <c r="AD545" s="19"/>
      <c r="AE545" s="19" t="s">
        <v>351</v>
      </c>
      <c r="AF545" s="19" t="s">
        <v>351</v>
      </c>
      <c r="AG545" s="19" t="s">
        <v>235</v>
      </c>
      <c r="AH545" s="19"/>
      <c r="AI545" s="19"/>
      <c r="AJ545" s="19" t="s">
        <v>234</v>
      </c>
      <c r="AK545" s="19" t="s">
        <v>234</v>
      </c>
      <c r="AL545" s="19"/>
      <c r="AM545" s="19" t="s">
        <v>234</v>
      </c>
      <c r="AN545" s="19" t="s">
        <v>234</v>
      </c>
      <c r="AO545" s="19" t="s">
        <v>235</v>
      </c>
      <c r="AP545" s="94"/>
      <c r="AQ545" s="19" t="s">
        <v>942</v>
      </c>
      <c r="AR545" s="19" t="s">
        <v>241</v>
      </c>
      <c r="AS545" s="19"/>
      <c r="AT545" s="65" t="str">
        <f t="shared" si="169"/>
        <v>N</v>
      </c>
      <c r="AU545" s="65" t="str">
        <f t="shared" si="186"/>
        <v>N</v>
      </c>
      <c r="AV545" s="65" t="str">
        <f t="shared" si="185"/>
        <v>N</v>
      </c>
      <c r="AW545" s="99"/>
      <c r="AX545" s="99"/>
      <c r="AY545" s="19"/>
      <c r="AZ545" s="96" t="str">
        <f t="shared" ref="AZ545:AZ608" si="187">IF(AV545="N","n",T545)</f>
        <v>n</v>
      </c>
      <c r="BA545" s="96" t="str">
        <f>IF(AZ545="n","n",VLOOKUP(AZ545,'Conversion factors'!$C$4:$D$24,2,FALSE))</f>
        <v>n</v>
      </c>
      <c r="BB545" s="96" t="str">
        <f t="shared" ref="BB545:BB608" si="188">IF(BA545="n","n",AB545/BA545)</f>
        <v>n</v>
      </c>
      <c r="BC545" s="97"/>
      <c r="BD545" s="96" t="str">
        <f t="shared" si="170"/>
        <v>n</v>
      </c>
      <c r="BE545" s="96" t="str">
        <f t="shared" ref="BE545:BE608" si="189">IF(BD545="chronic","y","n")</f>
        <v>n</v>
      </c>
      <c r="BF545" s="98" t="str">
        <f t="shared" si="171"/>
        <v/>
      </c>
      <c r="BG545" s="96" t="str">
        <f>IF(BF545="","",IF(ISNUMBER(VLOOKUP(BF545,'Conversion factors'!$B$35:$C$52,2,FALSE)),"y","n"))</f>
        <v/>
      </c>
      <c r="BH545" s="99"/>
    </row>
    <row r="546" spans="1:62" s="103" customFormat="1" ht="15.75" customHeight="1" x14ac:dyDescent="0.2">
      <c r="A546" s="18"/>
      <c r="B546" s="19">
        <v>272</v>
      </c>
      <c r="C546" s="19"/>
      <c r="D546" s="19">
        <v>100006</v>
      </c>
      <c r="E546" s="19" t="s">
        <v>1224</v>
      </c>
      <c r="F546" s="93">
        <v>2004</v>
      </c>
      <c r="G546" s="19" t="s">
        <v>940</v>
      </c>
      <c r="H546" s="19"/>
      <c r="I546" s="19" t="s">
        <v>41</v>
      </c>
      <c r="J546" s="19" t="s">
        <v>941</v>
      </c>
      <c r="K546" s="19" t="s">
        <v>1398</v>
      </c>
      <c r="L546" s="19" t="s">
        <v>1202</v>
      </c>
      <c r="M546" s="19" t="s">
        <v>1203</v>
      </c>
      <c r="N546" s="19" t="s">
        <v>109</v>
      </c>
      <c r="O546" s="19" t="s">
        <v>235</v>
      </c>
      <c r="P546" s="19" t="s">
        <v>51</v>
      </c>
      <c r="Q546" s="19"/>
      <c r="R546" s="19" t="s">
        <v>81</v>
      </c>
      <c r="S546" s="19" t="s">
        <v>483</v>
      </c>
      <c r="T546" s="19" t="s">
        <v>465</v>
      </c>
      <c r="U546" s="19" t="s">
        <v>54</v>
      </c>
      <c r="V546" s="19" t="s">
        <v>1118</v>
      </c>
      <c r="W546" s="19" t="s">
        <v>231</v>
      </c>
      <c r="X546" s="19" t="s">
        <v>46</v>
      </c>
      <c r="Y546" s="29"/>
      <c r="Z546" s="19" t="s">
        <v>265</v>
      </c>
      <c r="AA546" s="19"/>
      <c r="AB546" s="19"/>
      <c r="AC546" s="19" t="s">
        <v>1322</v>
      </c>
      <c r="AD546" s="19"/>
      <c r="AE546" s="19" t="s">
        <v>351</v>
      </c>
      <c r="AF546" s="19" t="s">
        <v>351</v>
      </c>
      <c r="AG546" s="19" t="s">
        <v>235</v>
      </c>
      <c r="AH546" s="19"/>
      <c r="AI546" s="19"/>
      <c r="AJ546" s="19" t="s">
        <v>234</v>
      </c>
      <c r="AK546" s="19" t="s">
        <v>234</v>
      </c>
      <c r="AL546" s="19"/>
      <c r="AM546" s="19" t="s">
        <v>234</v>
      </c>
      <c r="AN546" s="19" t="s">
        <v>234</v>
      </c>
      <c r="AO546" s="19" t="s">
        <v>235</v>
      </c>
      <c r="AP546" s="94"/>
      <c r="AQ546" s="19" t="s">
        <v>942</v>
      </c>
      <c r="AR546" s="19" t="s">
        <v>241</v>
      </c>
      <c r="AS546" s="19"/>
      <c r="AT546" s="65" t="str">
        <f t="shared" si="169"/>
        <v>N</v>
      </c>
      <c r="AU546" s="65" t="str">
        <f t="shared" si="186"/>
        <v>N</v>
      </c>
      <c r="AV546" s="65" t="str">
        <f t="shared" si="185"/>
        <v>N</v>
      </c>
      <c r="AW546" s="99"/>
      <c r="AX546" s="99"/>
      <c r="AY546" s="19"/>
      <c r="AZ546" s="96" t="str">
        <f t="shared" si="187"/>
        <v>n</v>
      </c>
      <c r="BA546" s="96" t="str">
        <f>IF(AZ546="n","n",VLOOKUP(AZ546,'Conversion factors'!$C$4:$D$24,2,FALSE))</f>
        <v>n</v>
      </c>
      <c r="BB546" s="96" t="str">
        <f t="shared" si="188"/>
        <v>n</v>
      </c>
      <c r="BC546" s="97"/>
      <c r="BD546" s="96" t="str">
        <f t="shared" si="170"/>
        <v>n</v>
      </c>
      <c r="BE546" s="96" t="str">
        <f t="shared" si="189"/>
        <v>n</v>
      </c>
      <c r="BF546" s="98" t="str">
        <f t="shared" si="171"/>
        <v/>
      </c>
      <c r="BG546" s="96" t="str">
        <f>IF(BF546="","",IF(ISNUMBER(VLOOKUP(BF546,'Conversion factors'!$B$35:$C$52,2,FALSE)),"y","n"))</f>
        <v/>
      </c>
      <c r="BH546" s="99"/>
    </row>
    <row r="547" spans="1:62" s="103" customFormat="1" ht="15.75" customHeight="1" x14ac:dyDescent="0.2">
      <c r="A547" s="18"/>
      <c r="B547" s="19">
        <v>237</v>
      </c>
      <c r="C547" s="19"/>
      <c r="D547" s="19">
        <v>74316</v>
      </c>
      <c r="E547" s="19" t="s">
        <v>1224</v>
      </c>
      <c r="F547" s="93">
        <v>1998</v>
      </c>
      <c r="G547" s="19" t="s">
        <v>652</v>
      </c>
      <c r="H547" s="19"/>
      <c r="I547" s="19" t="s">
        <v>41</v>
      </c>
      <c r="J547" s="19" t="s">
        <v>653</v>
      </c>
      <c r="K547" s="19" t="s">
        <v>250</v>
      </c>
      <c r="L547" s="19" t="s">
        <v>1202</v>
      </c>
      <c r="M547" s="19" t="s">
        <v>1203</v>
      </c>
      <c r="N547" s="19" t="s">
        <v>109</v>
      </c>
      <c r="O547" s="19" t="s">
        <v>448</v>
      </c>
      <c r="P547" s="19" t="s">
        <v>1390</v>
      </c>
      <c r="Q547" s="19"/>
      <c r="R547" s="19" t="s">
        <v>81</v>
      </c>
      <c r="S547" s="19" t="s">
        <v>654</v>
      </c>
      <c r="T547" s="19" t="s">
        <v>55</v>
      </c>
      <c r="U547" s="19" t="s">
        <v>55</v>
      </c>
      <c r="V547" s="19" t="s">
        <v>253</v>
      </c>
      <c r="W547" s="19" t="s">
        <v>231</v>
      </c>
      <c r="X547" s="19" t="s">
        <v>46</v>
      </c>
      <c r="Y547" s="29"/>
      <c r="Z547" s="19"/>
      <c r="AA547" s="19"/>
      <c r="AB547" s="19" t="s">
        <v>655</v>
      </c>
      <c r="AC547" s="19" t="s">
        <v>1322</v>
      </c>
      <c r="AD547" s="19"/>
      <c r="AE547" s="19" t="s">
        <v>351</v>
      </c>
      <c r="AF547" s="19" t="s">
        <v>351</v>
      </c>
      <c r="AG547" s="19" t="s">
        <v>235</v>
      </c>
      <c r="AH547" s="19"/>
      <c r="AI547" s="19"/>
      <c r="AJ547" s="19" t="s">
        <v>234</v>
      </c>
      <c r="AK547" s="19" t="s">
        <v>234</v>
      </c>
      <c r="AL547" s="19"/>
      <c r="AM547" s="19" t="s">
        <v>234</v>
      </c>
      <c r="AN547" s="19" t="s">
        <v>234</v>
      </c>
      <c r="AO547" s="19" t="s">
        <v>235</v>
      </c>
      <c r="AP547" s="94"/>
      <c r="AQ547" s="19" t="s">
        <v>78</v>
      </c>
      <c r="AR547" s="19" t="s">
        <v>241</v>
      </c>
      <c r="AS547" s="19"/>
      <c r="AT547" s="65" t="str">
        <f t="shared" si="169"/>
        <v>N</v>
      </c>
      <c r="AU547" s="65" t="str">
        <f t="shared" si="186"/>
        <v>N</v>
      </c>
      <c r="AV547" s="65" t="str">
        <f t="shared" si="185"/>
        <v>N</v>
      </c>
      <c r="AW547" s="99"/>
      <c r="AX547" s="99"/>
      <c r="AY547" s="19"/>
      <c r="AZ547" s="96" t="str">
        <f t="shared" si="187"/>
        <v>n</v>
      </c>
      <c r="BA547" s="96" t="str">
        <f>IF(AZ547="n","n",VLOOKUP(AZ547,'Conversion factors'!$C$4:$D$24,2,FALSE))</f>
        <v>n</v>
      </c>
      <c r="BB547" s="96" t="str">
        <f t="shared" si="188"/>
        <v>n</v>
      </c>
      <c r="BC547" s="97"/>
      <c r="BD547" s="96" t="str">
        <f t="shared" si="170"/>
        <v>n</v>
      </c>
      <c r="BE547" s="96" t="str">
        <f t="shared" si="189"/>
        <v>n</v>
      </c>
      <c r="BF547" s="98" t="str">
        <f t="shared" si="171"/>
        <v/>
      </c>
      <c r="BG547" s="96" t="str">
        <f>IF(BF547="","",IF(ISNUMBER(VLOOKUP(BF547,'Conversion factors'!$B$35:$C$52,2,FALSE)),"y","n"))</f>
        <v/>
      </c>
      <c r="BH547" s="99" t="s">
        <v>1470</v>
      </c>
    </row>
    <row r="548" spans="1:62" s="103" customFormat="1" ht="15.75" customHeight="1" x14ac:dyDescent="0.2">
      <c r="A548" s="18"/>
      <c r="B548" s="19">
        <v>237</v>
      </c>
      <c r="C548" s="19"/>
      <c r="D548" s="19">
        <v>74316</v>
      </c>
      <c r="E548" s="19" t="s">
        <v>1224</v>
      </c>
      <c r="F548" s="93">
        <v>1998</v>
      </c>
      <c r="G548" s="19" t="s">
        <v>652</v>
      </c>
      <c r="H548" s="19"/>
      <c r="I548" s="19" t="s">
        <v>41</v>
      </c>
      <c r="J548" s="19" t="s">
        <v>653</v>
      </c>
      <c r="K548" s="19" t="s">
        <v>250</v>
      </c>
      <c r="L548" s="19" t="s">
        <v>1202</v>
      </c>
      <c r="M548" s="19" t="s">
        <v>1203</v>
      </c>
      <c r="N548" s="19" t="s">
        <v>109</v>
      </c>
      <c r="O548" s="19" t="s">
        <v>448</v>
      </c>
      <c r="P548" s="19" t="s">
        <v>1390</v>
      </c>
      <c r="Q548" s="19"/>
      <c r="R548" s="19" t="s">
        <v>81</v>
      </c>
      <c r="S548" s="19" t="s">
        <v>656</v>
      </c>
      <c r="T548" s="19" t="s">
        <v>55</v>
      </c>
      <c r="U548" s="19" t="s">
        <v>55</v>
      </c>
      <c r="V548" s="19" t="s">
        <v>253</v>
      </c>
      <c r="W548" s="19" t="s">
        <v>231</v>
      </c>
      <c r="X548" s="19" t="s">
        <v>46</v>
      </c>
      <c r="Y548" s="29"/>
      <c r="Z548" s="19"/>
      <c r="AA548" s="19"/>
      <c r="AB548" s="19" t="s">
        <v>265</v>
      </c>
      <c r="AC548" s="19" t="s">
        <v>1322</v>
      </c>
      <c r="AD548" s="19"/>
      <c r="AE548" s="19" t="s">
        <v>351</v>
      </c>
      <c r="AF548" s="19" t="s">
        <v>351</v>
      </c>
      <c r="AG548" s="19" t="s">
        <v>235</v>
      </c>
      <c r="AH548" s="19"/>
      <c r="AI548" s="19"/>
      <c r="AJ548" s="19" t="s">
        <v>234</v>
      </c>
      <c r="AK548" s="19" t="s">
        <v>234</v>
      </c>
      <c r="AL548" s="19"/>
      <c r="AM548" s="19" t="s">
        <v>234</v>
      </c>
      <c r="AN548" s="19" t="s">
        <v>234</v>
      </c>
      <c r="AO548" s="19" t="s">
        <v>235</v>
      </c>
      <c r="AP548" s="94"/>
      <c r="AQ548" s="19" t="s">
        <v>78</v>
      </c>
      <c r="AR548" s="19" t="s">
        <v>241</v>
      </c>
      <c r="AS548" s="19"/>
      <c r="AT548" s="65" t="str">
        <f t="shared" si="169"/>
        <v>N</v>
      </c>
      <c r="AU548" s="65" t="str">
        <f t="shared" si="186"/>
        <v>N</v>
      </c>
      <c r="AV548" s="65" t="str">
        <f t="shared" si="185"/>
        <v>N</v>
      </c>
      <c r="AW548" s="99"/>
      <c r="AX548" s="99"/>
      <c r="AY548" s="19"/>
      <c r="AZ548" s="96" t="str">
        <f t="shared" si="187"/>
        <v>n</v>
      </c>
      <c r="BA548" s="96" t="str">
        <f>IF(AZ548="n","n",VLOOKUP(AZ548,'Conversion factors'!$C$4:$D$24,2,FALSE))</f>
        <v>n</v>
      </c>
      <c r="BB548" s="96" t="str">
        <f t="shared" si="188"/>
        <v>n</v>
      </c>
      <c r="BC548" s="97"/>
      <c r="BD548" s="96" t="str">
        <f t="shared" si="170"/>
        <v>n</v>
      </c>
      <c r="BE548" s="96" t="str">
        <f t="shared" si="189"/>
        <v>n</v>
      </c>
      <c r="BF548" s="98" t="str">
        <f t="shared" si="171"/>
        <v/>
      </c>
      <c r="BG548" s="96" t="str">
        <f>IF(BF548="","",IF(ISNUMBER(VLOOKUP(BF548,'Conversion factors'!$B$35:$C$52,2,FALSE)),"y","n"))</f>
        <v/>
      </c>
      <c r="BH548" s="99"/>
    </row>
    <row r="549" spans="1:62" s="103" customFormat="1" ht="15.75" customHeight="1" x14ac:dyDescent="0.2">
      <c r="A549" s="18"/>
      <c r="B549" s="19">
        <v>237</v>
      </c>
      <c r="C549" s="19"/>
      <c r="D549" s="19">
        <v>74316</v>
      </c>
      <c r="E549" s="19" t="s">
        <v>1224</v>
      </c>
      <c r="F549" s="93">
        <v>1998</v>
      </c>
      <c r="G549" s="19" t="s">
        <v>652</v>
      </c>
      <c r="H549" s="19"/>
      <c r="I549" s="19" t="s">
        <v>41</v>
      </c>
      <c r="J549" s="19" t="s">
        <v>653</v>
      </c>
      <c r="K549" s="19" t="s">
        <v>250</v>
      </c>
      <c r="L549" s="19" t="s">
        <v>1202</v>
      </c>
      <c r="M549" s="19" t="s">
        <v>1203</v>
      </c>
      <c r="N549" s="19" t="s">
        <v>109</v>
      </c>
      <c r="O549" s="19" t="s">
        <v>448</v>
      </c>
      <c r="P549" s="19" t="s">
        <v>1390</v>
      </c>
      <c r="Q549" s="19"/>
      <c r="R549" s="19" t="s">
        <v>81</v>
      </c>
      <c r="S549" s="19" t="s">
        <v>654</v>
      </c>
      <c r="T549" s="19" t="s">
        <v>54</v>
      </c>
      <c r="U549" s="19" t="s">
        <v>54</v>
      </c>
      <c r="V549" s="19" t="s">
        <v>253</v>
      </c>
      <c r="W549" s="19" t="s">
        <v>231</v>
      </c>
      <c r="X549" s="19" t="s">
        <v>46</v>
      </c>
      <c r="Y549" s="29"/>
      <c r="Z549" s="19"/>
      <c r="AA549" s="19"/>
      <c r="AB549" s="19" t="s">
        <v>238</v>
      </c>
      <c r="AC549" s="19" t="s">
        <v>1322</v>
      </c>
      <c r="AD549" s="19"/>
      <c r="AE549" s="19" t="s">
        <v>351</v>
      </c>
      <c r="AF549" s="19" t="s">
        <v>351</v>
      </c>
      <c r="AG549" s="19" t="s">
        <v>235</v>
      </c>
      <c r="AH549" s="19"/>
      <c r="AI549" s="19"/>
      <c r="AJ549" s="19" t="s">
        <v>234</v>
      </c>
      <c r="AK549" s="19" t="s">
        <v>234</v>
      </c>
      <c r="AL549" s="19"/>
      <c r="AM549" s="19" t="s">
        <v>234</v>
      </c>
      <c r="AN549" s="19" t="s">
        <v>234</v>
      </c>
      <c r="AO549" s="19" t="s">
        <v>235</v>
      </c>
      <c r="AP549" s="94"/>
      <c r="AQ549" s="19" t="s">
        <v>78</v>
      </c>
      <c r="AR549" s="19" t="s">
        <v>241</v>
      </c>
      <c r="AS549" s="19"/>
      <c r="AT549" s="65" t="str">
        <f t="shared" si="169"/>
        <v>N</v>
      </c>
      <c r="AU549" s="65" t="str">
        <f t="shared" si="186"/>
        <v>N</v>
      </c>
      <c r="AV549" s="65" t="str">
        <f t="shared" si="185"/>
        <v>N</v>
      </c>
      <c r="AW549" s="99"/>
      <c r="AX549" s="99"/>
      <c r="AY549" s="19"/>
      <c r="AZ549" s="96" t="str">
        <f t="shared" si="187"/>
        <v>n</v>
      </c>
      <c r="BA549" s="96" t="str">
        <f>IF(AZ549="n","n",VLOOKUP(AZ549,'Conversion factors'!$C$4:$D$24,2,FALSE))</f>
        <v>n</v>
      </c>
      <c r="BB549" s="96" t="str">
        <f t="shared" si="188"/>
        <v>n</v>
      </c>
      <c r="BC549" s="97"/>
      <c r="BD549" s="96" t="str">
        <f t="shared" si="170"/>
        <v>n</v>
      </c>
      <c r="BE549" s="96" t="str">
        <f t="shared" si="189"/>
        <v>n</v>
      </c>
      <c r="BF549" s="98" t="str">
        <f t="shared" si="171"/>
        <v/>
      </c>
      <c r="BG549" s="96" t="str">
        <f>IF(BF549="","",IF(ISNUMBER(VLOOKUP(BF549,'Conversion factors'!$B$35:$C$52,2,FALSE)),"y","n"))</f>
        <v/>
      </c>
      <c r="BH549" s="99"/>
    </row>
    <row r="550" spans="1:62" s="103" customFormat="1" ht="15.75" customHeight="1" x14ac:dyDescent="0.2">
      <c r="A550" s="18"/>
      <c r="B550" s="20">
        <v>344</v>
      </c>
      <c r="C550" s="20"/>
      <c r="D550" s="20"/>
      <c r="E550" s="20" t="s">
        <v>1359</v>
      </c>
      <c r="F550" s="93">
        <v>2011</v>
      </c>
      <c r="G550" s="19" t="s">
        <v>1370</v>
      </c>
      <c r="H550" s="19" t="s">
        <v>1376</v>
      </c>
      <c r="I550" s="19" t="s">
        <v>1371</v>
      </c>
      <c r="J550" s="19" t="s">
        <v>1374</v>
      </c>
      <c r="K550" s="19" t="s">
        <v>1398</v>
      </c>
      <c r="L550" s="19" t="s">
        <v>1202</v>
      </c>
      <c r="M550" s="19" t="s">
        <v>1203</v>
      </c>
      <c r="N550" s="19" t="s">
        <v>109</v>
      </c>
      <c r="O550" s="19" t="s">
        <v>187</v>
      </c>
      <c r="P550" s="19" t="s">
        <v>1390</v>
      </c>
      <c r="Q550" s="20"/>
      <c r="R550" s="19" t="s">
        <v>81</v>
      </c>
      <c r="S550" s="19" t="s">
        <v>1310</v>
      </c>
      <c r="T550" s="19" t="s">
        <v>44</v>
      </c>
      <c r="U550" s="19" t="s">
        <v>44</v>
      </c>
      <c r="V550" s="19">
        <v>7</v>
      </c>
      <c r="W550" s="19" t="s">
        <v>45</v>
      </c>
      <c r="X550" s="19" t="s">
        <v>46</v>
      </c>
      <c r="Y550" s="20"/>
      <c r="Z550" s="20"/>
      <c r="AA550" s="20"/>
      <c r="AB550" s="19">
        <v>193400</v>
      </c>
      <c r="AC550" s="19" t="s">
        <v>162</v>
      </c>
      <c r="AD550" s="20"/>
      <c r="AE550" s="20"/>
      <c r="AF550" s="20"/>
      <c r="AG550" s="19"/>
      <c r="AH550" s="19"/>
      <c r="AI550" s="19"/>
      <c r="AJ550" s="19">
        <f>MEDIAN(4.6,4.8)</f>
        <v>4.6999999999999993</v>
      </c>
      <c r="AK550" s="19" t="s">
        <v>1372</v>
      </c>
      <c r="AL550" s="19"/>
      <c r="AM550" s="20"/>
      <c r="AN550" s="19"/>
      <c r="AO550" s="20"/>
      <c r="AP550" s="94"/>
      <c r="AQ550" s="19">
        <v>22</v>
      </c>
      <c r="AR550" s="19"/>
      <c r="AS550" s="20"/>
      <c r="AT550" s="65" t="str">
        <f t="shared" si="169"/>
        <v>N</v>
      </c>
      <c r="AU550" s="65" t="str">
        <f t="shared" si="186"/>
        <v>N</v>
      </c>
      <c r="AV550" s="65" t="s">
        <v>162</v>
      </c>
      <c r="AW550" s="99" t="s">
        <v>1405</v>
      </c>
      <c r="AX550" s="99"/>
      <c r="AY550" s="20"/>
      <c r="AZ550" s="96" t="str">
        <f t="shared" si="187"/>
        <v>n</v>
      </c>
      <c r="BA550" s="96" t="str">
        <f>IF(AZ550="n","n",VLOOKUP(AZ550,'Conversion factors'!$C$4:$D$24,2,FALSE))</f>
        <v>n</v>
      </c>
      <c r="BB550" s="96" t="str">
        <f t="shared" si="188"/>
        <v>n</v>
      </c>
      <c r="BC550" s="20"/>
      <c r="BD550" s="96" t="str">
        <f t="shared" si="170"/>
        <v>n</v>
      </c>
      <c r="BE550" s="96" t="str">
        <f t="shared" si="189"/>
        <v>n</v>
      </c>
      <c r="BF550" s="98" t="str">
        <f t="shared" si="171"/>
        <v/>
      </c>
      <c r="BG550" s="96" t="str">
        <f>IF(BF550="","",IF(ISNUMBER(VLOOKUP(BF550,'Conversion factors'!$B$35:$C$52,2,FALSE)),"y","n"))</f>
        <v/>
      </c>
      <c r="BH550" s="99"/>
      <c r="BI550" s="20"/>
      <c r="BJ550" s="20"/>
    </row>
    <row r="551" spans="1:62" s="103" customFormat="1" ht="15.75" customHeight="1" x14ac:dyDescent="0.2">
      <c r="A551" s="18"/>
      <c r="B551" s="20">
        <v>344</v>
      </c>
      <c r="C551" s="20"/>
      <c r="D551" s="20"/>
      <c r="E551" s="20" t="s">
        <v>1359</v>
      </c>
      <c r="F551" s="93">
        <v>2011</v>
      </c>
      <c r="G551" s="19" t="s">
        <v>1370</v>
      </c>
      <c r="H551" s="19" t="s">
        <v>1376</v>
      </c>
      <c r="I551" s="19" t="s">
        <v>1371</v>
      </c>
      <c r="J551" s="19" t="s">
        <v>1374</v>
      </c>
      <c r="K551" s="19" t="s">
        <v>1398</v>
      </c>
      <c r="L551" s="19" t="s">
        <v>1202</v>
      </c>
      <c r="M551" s="19" t="s">
        <v>1203</v>
      </c>
      <c r="N551" s="19" t="s">
        <v>109</v>
      </c>
      <c r="O551" s="19" t="s">
        <v>187</v>
      </c>
      <c r="P551" s="19" t="s">
        <v>1390</v>
      </c>
      <c r="Q551" s="20"/>
      <c r="R551" s="19" t="s">
        <v>81</v>
      </c>
      <c r="S551" s="19" t="s">
        <v>1314</v>
      </c>
      <c r="T551" s="19" t="s">
        <v>44</v>
      </c>
      <c r="U551" s="19" t="s">
        <v>44</v>
      </c>
      <c r="V551" s="19">
        <v>7</v>
      </c>
      <c r="W551" s="19" t="s">
        <v>45</v>
      </c>
      <c r="X551" s="19" t="s">
        <v>46</v>
      </c>
      <c r="Y551" s="20"/>
      <c r="Z551" s="20"/>
      <c r="AA551" s="20"/>
      <c r="AB551" s="19">
        <v>413500</v>
      </c>
      <c r="AC551" s="19" t="s">
        <v>162</v>
      </c>
      <c r="AD551" s="20"/>
      <c r="AE551" s="20"/>
      <c r="AF551" s="20"/>
      <c r="AG551" s="19"/>
      <c r="AH551" s="19"/>
      <c r="AI551" s="19"/>
      <c r="AJ551" s="19">
        <f>MEDIAN(4.6,4.8)</f>
        <v>4.6999999999999993</v>
      </c>
      <c r="AK551" s="19" t="s">
        <v>1372</v>
      </c>
      <c r="AL551" s="19"/>
      <c r="AM551" s="20"/>
      <c r="AN551" s="19"/>
      <c r="AO551" s="20"/>
      <c r="AP551" s="94"/>
      <c r="AQ551" s="19">
        <v>22</v>
      </c>
      <c r="AR551" s="19"/>
      <c r="AS551" s="20"/>
      <c r="AT551" s="65" t="str">
        <f t="shared" si="169"/>
        <v>N</v>
      </c>
      <c r="AU551" s="65" t="str">
        <f t="shared" si="186"/>
        <v>N</v>
      </c>
      <c r="AV551" s="65" t="s">
        <v>162</v>
      </c>
      <c r="AW551" s="99" t="s">
        <v>1405</v>
      </c>
      <c r="AX551" s="99"/>
      <c r="AY551" s="20"/>
      <c r="AZ551" s="96" t="str">
        <f t="shared" si="187"/>
        <v>n</v>
      </c>
      <c r="BA551" s="96" t="str">
        <f>IF(AZ551="n","n",VLOOKUP(AZ551,'Conversion factors'!$C$4:$D$24,2,FALSE))</f>
        <v>n</v>
      </c>
      <c r="BB551" s="96" t="str">
        <f t="shared" si="188"/>
        <v>n</v>
      </c>
      <c r="BC551" s="20"/>
      <c r="BD551" s="96" t="str">
        <f t="shared" si="170"/>
        <v>n</v>
      </c>
      <c r="BE551" s="96" t="str">
        <f t="shared" si="189"/>
        <v>n</v>
      </c>
      <c r="BF551" s="98" t="str">
        <f t="shared" si="171"/>
        <v/>
      </c>
      <c r="BG551" s="96" t="str">
        <f>IF(BF551="","",IF(ISNUMBER(VLOOKUP(BF551,'Conversion factors'!$B$35:$C$52,2,FALSE)),"y","n"))</f>
        <v/>
      </c>
      <c r="BH551" s="99"/>
      <c r="BI551" s="20"/>
      <c r="BJ551" s="20"/>
    </row>
    <row r="552" spans="1:62" s="103" customFormat="1" ht="15.75" customHeight="1" x14ac:dyDescent="0.2">
      <c r="A552" s="18"/>
      <c r="B552" s="20">
        <v>344</v>
      </c>
      <c r="C552" s="20"/>
      <c r="D552" s="20"/>
      <c r="E552" s="20" t="s">
        <v>1359</v>
      </c>
      <c r="F552" s="93">
        <v>2011</v>
      </c>
      <c r="G552" s="19" t="s">
        <v>1370</v>
      </c>
      <c r="H552" s="20"/>
      <c r="I552" s="19" t="s">
        <v>1371</v>
      </c>
      <c r="J552" s="19" t="s">
        <v>1373</v>
      </c>
      <c r="K552" s="19" t="s">
        <v>1398</v>
      </c>
      <c r="L552" s="19" t="s">
        <v>1202</v>
      </c>
      <c r="M552" s="19" t="s">
        <v>1203</v>
      </c>
      <c r="N552" s="19" t="s">
        <v>109</v>
      </c>
      <c r="O552" s="19" t="s">
        <v>187</v>
      </c>
      <c r="P552" s="19" t="s">
        <v>162</v>
      </c>
      <c r="Q552" s="20"/>
      <c r="R552" s="19" t="s">
        <v>81</v>
      </c>
      <c r="S552" s="19" t="s">
        <v>1310</v>
      </c>
      <c r="T552" s="19" t="s">
        <v>44</v>
      </c>
      <c r="U552" s="19" t="s">
        <v>44</v>
      </c>
      <c r="V552" s="19">
        <v>7</v>
      </c>
      <c r="W552" s="19" t="s">
        <v>45</v>
      </c>
      <c r="X552" s="19" t="s">
        <v>46</v>
      </c>
      <c r="Y552" s="20"/>
      <c r="Z552" s="20"/>
      <c r="AA552" s="20"/>
      <c r="AB552" s="19">
        <v>6700</v>
      </c>
      <c r="AC552" s="19" t="s">
        <v>162</v>
      </c>
      <c r="AD552" s="20"/>
      <c r="AE552" s="20"/>
      <c r="AF552" s="20"/>
      <c r="AG552" s="19"/>
      <c r="AH552" s="19"/>
      <c r="AI552" s="19"/>
      <c r="AJ552" s="19">
        <f>MEDIAN(4.6,4.8)</f>
        <v>4.6999999999999993</v>
      </c>
      <c r="AK552" s="19" t="s">
        <v>1372</v>
      </c>
      <c r="AL552" s="19"/>
      <c r="AM552" s="20"/>
      <c r="AN552" s="19"/>
      <c r="AO552" s="20"/>
      <c r="AP552" s="94"/>
      <c r="AQ552" s="19">
        <v>22</v>
      </c>
      <c r="AR552" s="19"/>
      <c r="AS552" s="20"/>
      <c r="AT552" s="65" t="str">
        <f t="shared" si="169"/>
        <v>N</v>
      </c>
      <c r="AU552" s="65" t="str">
        <f t="shared" si="186"/>
        <v>N</v>
      </c>
      <c r="AV552" s="65" t="s">
        <v>162</v>
      </c>
      <c r="AW552" s="99" t="s">
        <v>1405</v>
      </c>
      <c r="AX552" s="99"/>
      <c r="AY552" s="20"/>
      <c r="AZ552" s="96" t="str">
        <f t="shared" si="187"/>
        <v>n</v>
      </c>
      <c r="BA552" s="96" t="str">
        <f>IF(AZ552="n","n",VLOOKUP(AZ552,'Conversion factors'!$C$4:$D$24,2,FALSE))</f>
        <v>n</v>
      </c>
      <c r="BB552" s="96" t="str">
        <f t="shared" si="188"/>
        <v>n</v>
      </c>
      <c r="BC552" s="20"/>
      <c r="BD552" s="96" t="str">
        <f t="shared" si="170"/>
        <v>n</v>
      </c>
      <c r="BE552" s="96" t="str">
        <f t="shared" si="189"/>
        <v>n</v>
      </c>
      <c r="BF552" s="98" t="str">
        <f t="shared" si="171"/>
        <v/>
      </c>
      <c r="BG552" s="96" t="str">
        <f>IF(BF552="","",IF(ISNUMBER(VLOOKUP(BF552,'Conversion factors'!$B$35:$C$52,2,FALSE)),"y","n"))</f>
        <v/>
      </c>
      <c r="BH552" s="99"/>
      <c r="BI552" s="20"/>
      <c r="BJ552" s="20"/>
    </row>
    <row r="553" spans="1:62" s="103" customFormat="1" ht="15.75" customHeight="1" x14ac:dyDescent="0.2">
      <c r="A553" s="18"/>
      <c r="B553" s="20">
        <v>344</v>
      </c>
      <c r="C553" s="20"/>
      <c r="D553" s="20"/>
      <c r="E553" s="20" t="s">
        <v>1359</v>
      </c>
      <c r="F553" s="93">
        <v>2011</v>
      </c>
      <c r="G553" s="19" t="s">
        <v>1370</v>
      </c>
      <c r="H553" s="20"/>
      <c r="I553" s="19" t="s">
        <v>1371</v>
      </c>
      <c r="J553" s="19" t="s">
        <v>1373</v>
      </c>
      <c r="K553" s="19" t="s">
        <v>1398</v>
      </c>
      <c r="L553" s="19" t="s">
        <v>1202</v>
      </c>
      <c r="M553" s="19" t="s">
        <v>1203</v>
      </c>
      <c r="N553" s="19" t="s">
        <v>109</v>
      </c>
      <c r="O553" s="19" t="s">
        <v>187</v>
      </c>
      <c r="P553" s="19" t="s">
        <v>162</v>
      </c>
      <c r="Q553" s="20"/>
      <c r="R553" s="19" t="s">
        <v>81</v>
      </c>
      <c r="S553" s="19" t="s">
        <v>1314</v>
      </c>
      <c r="T553" s="19" t="s">
        <v>44</v>
      </c>
      <c r="U553" s="19" t="s">
        <v>44</v>
      </c>
      <c r="V553" s="19">
        <v>7</v>
      </c>
      <c r="W553" s="19" t="s">
        <v>45</v>
      </c>
      <c r="X553" s="19" t="s">
        <v>46</v>
      </c>
      <c r="Y553" s="20"/>
      <c r="Z553" s="20"/>
      <c r="AA553" s="20"/>
      <c r="AB553" s="19">
        <v>3300</v>
      </c>
      <c r="AC553" s="19" t="s">
        <v>162</v>
      </c>
      <c r="AD553" s="20"/>
      <c r="AE553" s="20"/>
      <c r="AF553" s="20"/>
      <c r="AG553" s="19"/>
      <c r="AH553" s="19"/>
      <c r="AI553" s="19"/>
      <c r="AJ553" s="19">
        <f>MEDIAN(4.6,4.8)</f>
        <v>4.6999999999999993</v>
      </c>
      <c r="AK553" s="19" t="s">
        <v>1372</v>
      </c>
      <c r="AL553" s="19"/>
      <c r="AM553" s="20"/>
      <c r="AN553" s="19"/>
      <c r="AO553" s="20"/>
      <c r="AP553" s="94"/>
      <c r="AQ553" s="19">
        <v>22</v>
      </c>
      <c r="AR553" s="19"/>
      <c r="AS553" s="20"/>
      <c r="AT553" s="65" t="str">
        <f t="shared" si="169"/>
        <v>N</v>
      </c>
      <c r="AU553" s="65" t="str">
        <f t="shared" si="186"/>
        <v>N</v>
      </c>
      <c r="AV553" s="65" t="s">
        <v>162</v>
      </c>
      <c r="AW553" s="99" t="s">
        <v>1405</v>
      </c>
      <c r="AX553" s="99"/>
      <c r="AY553" s="20"/>
      <c r="AZ553" s="96" t="str">
        <f t="shared" si="187"/>
        <v>n</v>
      </c>
      <c r="BA553" s="96" t="str">
        <f>IF(AZ553="n","n",VLOOKUP(AZ553,'Conversion factors'!$C$4:$D$24,2,FALSE))</f>
        <v>n</v>
      </c>
      <c r="BB553" s="96" t="str">
        <f t="shared" si="188"/>
        <v>n</v>
      </c>
      <c r="BC553" s="20"/>
      <c r="BD553" s="96" t="str">
        <f t="shared" si="170"/>
        <v>n</v>
      </c>
      <c r="BE553" s="96" t="str">
        <f t="shared" si="189"/>
        <v>n</v>
      </c>
      <c r="BF553" s="98" t="str">
        <f t="shared" si="171"/>
        <v/>
      </c>
      <c r="BG553" s="96" t="str">
        <f>IF(BF553="","",IF(ISNUMBER(VLOOKUP(BF553,'Conversion factors'!$B$35:$C$52,2,FALSE)),"y","n"))</f>
        <v/>
      </c>
      <c r="BH553" s="99"/>
      <c r="BI553" s="20"/>
      <c r="BJ553" s="20"/>
    </row>
    <row r="554" spans="1:62" s="103" customFormat="1" ht="15.75" customHeight="1" x14ac:dyDescent="0.2">
      <c r="A554" s="18"/>
      <c r="B554" s="19">
        <v>172</v>
      </c>
      <c r="C554" s="19"/>
      <c r="D554" s="19">
        <v>4512</v>
      </c>
      <c r="E554" s="19" t="s">
        <v>1224</v>
      </c>
      <c r="F554" s="93">
        <v>1994</v>
      </c>
      <c r="G554" s="19" t="s">
        <v>254</v>
      </c>
      <c r="H554" s="19"/>
      <c r="I554" s="19" t="s">
        <v>41</v>
      </c>
      <c r="J554" s="19" t="s">
        <v>255</v>
      </c>
      <c r="K554" s="19" t="s">
        <v>1398</v>
      </c>
      <c r="L554" s="19" t="s">
        <v>1202</v>
      </c>
      <c r="M554" s="19" t="s">
        <v>1203</v>
      </c>
      <c r="N554" s="19" t="s">
        <v>109</v>
      </c>
      <c r="O554" s="19" t="s">
        <v>235</v>
      </c>
      <c r="P554" s="19" t="s">
        <v>51</v>
      </c>
      <c r="Q554" s="19"/>
      <c r="R554" s="19" t="s">
        <v>256</v>
      </c>
      <c r="S554" s="19" t="s">
        <v>257</v>
      </c>
      <c r="T554" s="19" t="s">
        <v>110</v>
      </c>
      <c r="U554" s="19" t="s">
        <v>44</v>
      </c>
      <c r="V554" s="19" t="s">
        <v>85</v>
      </c>
      <c r="W554" s="19" t="s">
        <v>231</v>
      </c>
      <c r="X554" s="19" t="s">
        <v>46</v>
      </c>
      <c r="Y554" s="29"/>
      <c r="Z554" s="19"/>
      <c r="AA554" s="19"/>
      <c r="AB554" s="19" t="s">
        <v>238</v>
      </c>
      <c r="AC554" s="19" t="s">
        <v>1322</v>
      </c>
      <c r="AD554" s="19"/>
      <c r="AE554" s="19"/>
      <c r="AF554" s="19"/>
      <c r="AG554" s="19" t="s">
        <v>235</v>
      </c>
      <c r="AH554" s="19"/>
      <c r="AI554" s="19"/>
      <c r="AJ554" s="19">
        <f>MEDIAN(6.3,6.4)</f>
        <v>6.35</v>
      </c>
      <c r="AK554" s="19" t="s">
        <v>258</v>
      </c>
      <c r="AL554" s="19"/>
      <c r="AM554" s="19" t="s">
        <v>234</v>
      </c>
      <c r="AN554" s="19" t="s">
        <v>234</v>
      </c>
      <c r="AO554" s="19" t="s">
        <v>235</v>
      </c>
      <c r="AP554" s="94"/>
      <c r="AQ554" s="19" t="s">
        <v>259</v>
      </c>
      <c r="AR554" s="19"/>
      <c r="AS554" s="19"/>
      <c r="AT554" s="65" t="str">
        <f t="shared" si="169"/>
        <v>N</v>
      </c>
      <c r="AU554" s="65" t="str">
        <f t="shared" si="186"/>
        <v>N</v>
      </c>
      <c r="AV554" s="65" t="s">
        <v>162</v>
      </c>
      <c r="AW554" s="99" t="s">
        <v>1405</v>
      </c>
      <c r="AX554" s="99"/>
      <c r="AY554" s="19"/>
      <c r="AZ554" s="96" t="str">
        <f t="shared" si="187"/>
        <v>n</v>
      </c>
      <c r="BA554" s="96" t="str">
        <f>IF(AZ554="n","n",VLOOKUP(AZ554,'Conversion factors'!$C$4:$D$24,2,FALSE))</f>
        <v>n</v>
      </c>
      <c r="BB554" s="96" t="str">
        <f t="shared" si="188"/>
        <v>n</v>
      </c>
      <c r="BC554" s="97"/>
      <c r="BD554" s="96" t="str">
        <f t="shared" si="170"/>
        <v>n</v>
      </c>
      <c r="BE554" s="96" t="str">
        <f t="shared" si="189"/>
        <v>n</v>
      </c>
      <c r="BF554" s="98" t="str">
        <f t="shared" si="171"/>
        <v/>
      </c>
      <c r="BG554" s="96" t="str">
        <f>IF(BF554="","",IF(ISNUMBER(VLOOKUP(BF554,'Conversion factors'!$B$35:$C$52,2,FALSE)),"y","n"))</f>
        <v/>
      </c>
      <c r="BH554" s="99"/>
    </row>
    <row r="555" spans="1:62" s="103" customFormat="1" ht="15.75" customHeight="1" x14ac:dyDescent="0.2">
      <c r="A555" s="18"/>
      <c r="B555" s="19">
        <v>180</v>
      </c>
      <c r="C555" s="19"/>
      <c r="D555" s="19">
        <v>16698</v>
      </c>
      <c r="E555" s="19" t="s">
        <v>1224</v>
      </c>
      <c r="F555" s="93">
        <v>1993</v>
      </c>
      <c r="G555" s="19" t="s">
        <v>308</v>
      </c>
      <c r="H555" s="19"/>
      <c r="I555" s="19" t="s">
        <v>41</v>
      </c>
      <c r="J555" s="19" t="s">
        <v>255</v>
      </c>
      <c r="K555" s="19" t="s">
        <v>1398</v>
      </c>
      <c r="L555" s="19" t="s">
        <v>1202</v>
      </c>
      <c r="M555" s="19" t="s">
        <v>1203</v>
      </c>
      <c r="N555" s="19" t="s">
        <v>109</v>
      </c>
      <c r="O555" s="19" t="s">
        <v>235</v>
      </c>
      <c r="P555" s="19" t="s">
        <v>51</v>
      </c>
      <c r="Q555" s="19"/>
      <c r="R555" s="19" t="s">
        <v>256</v>
      </c>
      <c r="S555" s="19" t="s">
        <v>309</v>
      </c>
      <c r="T555" s="19" t="s">
        <v>44</v>
      </c>
      <c r="U555" s="19" t="s">
        <v>44</v>
      </c>
      <c r="V555" s="19" t="s">
        <v>253</v>
      </c>
      <c r="W555" s="19" t="s">
        <v>231</v>
      </c>
      <c r="X555" s="19" t="s">
        <v>46</v>
      </c>
      <c r="Y555" s="29"/>
      <c r="Z555" s="19"/>
      <c r="AA555" s="19"/>
      <c r="AB555" s="19" t="s">
        <v>310</v>
      </c>
      <c r="AC555" s="19" t="s">
        <v>1322</v>
      </c>
      <c r="AD555" s="19"/>
      <c r="AE555" s="19"/>
      <c r="AF555" s="19"/>
      <c r="AG555" s="19" t="s">
        <v>235</v>
      </c>
      <c r="AH555" s="19"/>
      <c r="AI555" s="19"/>
      <c r="AJ555" s="19" t="s">
        <v>234</v>
      </c>
      <c r="AK555" s="19" t="s">
        <v>234</v>
      </c>
      <c r="AL555" s="19"/>
      <c r="AM555" s="19" t="s">
        <v>234</v>
      </c>
      <c r="AN555" s="19" t="s">
        <v>234</v>
      </c>
      <c r="AO555" s="19" t="s">
        <v>235</v>
      </c>
      <c r="AP555" s="94"/>
      <c r="AQ555" s="19" t="s">
        <v>91</v>
      </c>
      <c r="AR555" s="19" t="s">
        <v>241</v>
      </c>
      <c r="AS555" s="19"/>
      <c r="AT555" s="65" t="str">
        <f t="shared" si="169"/>
        <v>N</v>
      </c>
      <c r="AU555" s="65" t="str">
        <f t="shared" si="186"/>
        <v>N</v>
      </c>
      <c r="AV555" s="65" t="str">
        <f>AU555</f>
        <v>N</v>
      </c>
      <c r="AW555" s="99"/>
      <c r="AX555" s="99"/>
      <c r="AY555" s="19"/>
      <c r="AZ555" s="96" t="str">
        <f t="shared" si="187"/>
        <v>n</v>
      </c>
      <c r="BA555" s="96" t="str">
        <f>IF(AZ555="n","n",VLOOKUP(AZ555,'Conversion factors'!$C$4:$D$24,2,FALSE))</f>
        <v>n</v>
      </c>
      <c r="BB555" s="96" t="str">
        <f t="shared" si="188"/>
        <v>n</v>
      </c>
      <c r="BC555" s="97"/>
      <c r="BD555" s="96" t="str">
        <f t="shared" si="170"/>
        <v>n</v>
      </c>
      <c r="BE555" s="96" t="str">
        <f t="shared" si="189"/>
        <v>n</v>
      </c>
      <c r="BF555" s="98" t="str">
        <f t="shared" si="171"/>
        <v/>
      </c>
      <c r="BG555" s="96" t="str">
        <f>IF(BF555="","",IF(ISNUMBER(VLOOKUP(BF555,'Conversion factors'!$B$35:$C$52,2,FALSE)),"y","n"))</f>
        <v/>
      </c>
      <c r="BH555" s="99" t="s">
        <v>1470</v>
      </c>
    </row>
    <row r="556" spans="1:62" s="103" customFormat="1" ht="15.75" customHeight="1" x14ac:dyDescent="0.2">
      <c r="A556" s="18"/>
      <c r="B556" s="19">
        <v>180</v>
      </c>
      <c r="C556" s="19"/>
      <c r="D556" s="19">
        <v>16698</v>
      </c>
      <c r="E556" s="19" t="s">
        <v>1224</v>
      </c>
      <c r="F556" s="93">
        <v>1993</v>
      </c>
      <c r="G556" s="19" t="s">
        <v>308</v>
      </c>
      <c r="H556" s="19"/>
      <c r="I556" s="19" t="s">
        <v>41</v>
      </c>
      <c r="J556" s="19" t="s">
        <v>255</v>
      </c>
      <c r="K556" s="19" t="s">
        <v>1398</v>
      </c>
      <c r="L556" s="19" t="s">
        <v>1202</v>
      </c>
      <c r="M556" s="19" t="s">
        <v>1203</v>
      </c>
      <c r="N556" s="19" t="s">
        <v>109</v>
      </c>
      <c r="O556" s="19" t="s">
        <v>235</v>
      </c>
      <c r="P556" s="19" t="s">
        <v>51</v>
      </c>
      <c r="Q556" s="19"/>
      <c r="R556" s="19" t="s">
        <v>256</v>
      </c>
      <c r="S556" s="19" t="s">
        <v>311</v>
      </c>
      <c r="T556" s="19" t="s">
        <v>44</v>
      </c>
      <c r="U556" s="19" t="s">
        <v>44</v>
      </c>
      <c r="V556" s="19" t="s">
        <v>253</v>
      </c>
      <c r="W556" s="19" t="s">
        <v>231</v>
      </c>
      <c r="X556" s="19" t="s">
        <v>46</v>
      </c>
      <c r="Y556" s="29"/>
      <c r="Z556" s="19"/>
      <c r="AA556" s="19"/>
      <c r="AB556" s="19" t="s">
        <v>312</v>
      </c>
      <c r="AC556" s="19" t="s">
        <v>1322</v>
      </c>
      <c r="AD556" s="19"/>
      <c r="AE556" s="19"/>
      <c r="AF556" s="19"/>
      <c r="AG556" s="19" t="s">
        <v>235</v>
      </c>
      <c r="AH556" s="19"/>
      <c r="AI556" s="19"/>
      <c r="AJ556" s="19" t="s">
        <v>234</v>
      </c>
      <c r="AK556" s="19" t="s">
        <v>234</v>
      </c>
      <c r="AL556" s="19"/>
      <c r="AM556" s="19" t="s">
        <v>234</v>
      </c>
      <c r="AN556" s="19" t="s">
        <v>234</v>
      </c>
      <c r="AO556" s="19" t="s">
        <v>235</v>
      </c>
      <c r="AP556" s="94"/>
      <c r="AQ556" s="19" t="s">
        <v>91</v>
      </c>
      <c r="AR556" s="19" t="s">
        <v>241</v>
      </c>
      <c r="AS556" s="19"/>
      <c r="AT556" s="65" t="str">
        <f t="shared" si="169"/>
        <v>N</v>
      </c>
      <c r="AU556" s="65" t="str">
        <f t="shared" si="186"/>
        <v>N</v>
      </c>
      <c r="AV556" s="65" t="str">
        <f>AU556</f>
        <v>N</v>
      </c>
      <c r="AW556" s="99"/>
      <c r="AX556" s="99"/>
      <c r="AY556" s="19"/>
      <c r="AZ556" s="96" t="str">
        <f t="shared" si="187"/>
        <v>n</v>
      </c>
      <c r="BA556" s="96" t="str">
        <f>IF(AZ556="n","n",VLOOKUP(AZ556,'Conversion factors'!$C$4:$D$24,2,FALSE))</f>
        <v>n</v>
      </c>
      <c r="BB556" s="96" t="str">
        <f t="shared" si="188"/>
        <v>n</v>
      </c>
      <c r="BC556" s="97"/>
      <c r="BD556" s="96" t="str">
        <f t="shared" si="170"/>
        <v>n</v>
      </c>
      <c r="BE556" s="96" t="str">
        <f t="shared" si="189"/>
        <v>n</v>
      </c>
      <c r="BF556" s="98" t="str">
        <f t="shared" si="171"/>
        <v/>
      </c>
      <c r="BG556" s="96" t="str">
        <f>IF(BF556="","",IF(ISNUMBER(VLOOKUP(BF556,'Conversion factors'!$B$35:$C$52,2,FALSE)),"y","n"))</f>
        <v/>
      </c>
      <c r="BH556" s="99" t="s">
        <v>1470</v>
      </c>
    </row>
    <row r="557" spans="1:62" s="103" customFormat="1" ht="15.75" customHeight="1" x14ac:dyDescent="0.2">
      <c r="A557" s="18"/>
      <c r="B557" s="19">
        <v>180</v>
      </c>
      <c r="C557" s="19"/>
      <c r="D557" s="19">
        <v>16698</v>
      </c>
      <c r="E557" s="19" t="s">
        <v>1224</v>
      </c>
      <c r="F557" s="93">
        <v>1993</v>
      </c>
      <c r="G557" s="19" t="s">
        <v>308</v>
      </c>
      <c r="H557" s="19"/>
      <c r="I557" s="19" t="s">
        <v>41</v>
      </c>
      <c r="J557" s="19" t="s">
        <v>255</v>
      </c>
      <c r="K557" s="19" t="s">
        <v>1398</v>
      </c>
      <c r="L557" s="19" t="s">
        <v>1202</v>
      </c>
      <c r="M557" s="19" t="s">
        <v>1203</v>
      </c>
      <c r="N557" s="19" t="s">
        <v>109</v>
      </c>
      <c r="O557" s="19" t="s">
        <v>235</v>
      </c>
      <c r="P557" s="19" t="s">
        <v>51</v>
      </c>
      <c r="Q557" s="19"/>
      <c r="R557" s="19" t="s">
        <v>256</v>
      </c>
      <c r="S557" s="19" t="s">
        <v>311</v>
      </c>
      <c r="T557" s="19" t="s">
        <v>54</v>
      </c>
      <c r="U557" s="19" t="s">
        <v>54</v>
      </c>
      <c r="V557" s="19" t="s">
        <v>253</v>
      </c>
      <c r="W557" s="19" t="s">
        <v>231</v>
      </c>
      <c r="X557" s="19" t="s">
        <v>46</v>
      </c>
      <c r="Y557" s="29"/>
      <c r="Z557" s="19"/>
      <c r="AA557" s="19"/>
      <c r="AB557" s="19" t="s">
        <v>313</v>
      </c>
      <c r="AC557" s="19" t="s">
        <v>1322</v>
      </c>
      <c r="AD557" s="19"/>
      <c r="AE557" s="19"/>
      <c r="AF557" s="19"/>
      <c r="AG557" s="19" t="s">
        <v>235</v>
      </c>
      <c r="AH557" s="19"/>
      <c r="AI557" s="19"/>
      <c r="AJ557" s="19" t="s">
        <v>234</v>
      </c>
      <c r="AK557" s="19" t="s">
        <v>234</v>
      </c>
      <c r="AL557" s="19"/>
      <c r="AM557" s="19" t="s">
        <v>234</v>
      </c>
      <c r="AN557" s="19" t="s">
        <v>234</v>
      </c>
      <c r="AO557" s="19" t="s">
        <v>235</v>
      </c>
      <c r="AP557" s="94"/>
      <c r="AQ557" s="19" t="s">
        <v>91</v>
      </c>
      <c r="AR557" s="19" t="s">
        <v>241</v>
      </c>
      <c r="AS557" s="19"/>
      <c r="AT557" s="65" t="str">
        <f t="shared" si="169"/>
        <v>N</v>
      </c>
      <c r="AU557" s="65" t="str">
        <f t="shared" si="186"/>
        <v>N</v>
      </c>
      <c r="AV557" s="65" t="str">
        <f>AU557</f>
        <v>N</v>
      </c>
      <c r="AW557" s="99"/>
      <c r="AX557" s="99"/>
      <c r="AY557" s="19"/>
      <c r="AZ557" s="96" t="str">
        <f t="shared" si="187"/>
        <v>n</v>
      </c>
      <c r="BA557" s="96" t="str">
        <f>IF(AZ557="n","n",VLOOKUP(AZ557,'Conversion factors'!$C$4:$D$24,2,FALSE))</f>
        <v>n</v>
      </c>
      <c r="BB557" s="96" t="str">
        <f t="shared" si="188"/>
        <v>n</v>
      </c>
      <c r="BC557" s="97"/>
      <c r="BD557" s="96" t="str">
        <f t="shared" si="170"/>
        <v>n</v>
      </c>
      <c r="BE557" s="96" t="str">
        <f t="shared" si="189"/>
        <v>n</v>
      </c>
      <c r="BF557" s="98" t="str">
        <f t="shared" si="171"/>
        <v/>
      </c>
      <c r="BG557" s="96" t="str">
        <f>IF(BF557="","",IF(ISNUMBER(VLOOKUP(BF557,'Conversion factors'!$B$35:$C$52,2,FALSE)),"y","n"))</f>
        <v/>
      </c>
      <c r="BH557" s="99"/>
    </row>
    <row r="558" spans="1:62" s="103" customFormat="1" ht="15.75" customHeight="1" x14ac:dyDescent="0.2">
      <c r="A558" s="18"/>
      <c r="B558" s="19">
        <v>180</v>
      </c>
      <c r="C558" s="19"/>
      <c r="D558" s="19">
        <v>16698</v>
      </c>
      <c r="E558" s="19" t="s">
        <v>1224</v>
      </c>
      <c r="F558" s="93">
        <v>1993</v>
      </c>
      <c r="G558" s="19" t="s">
        <v>308</v>
      </c>
      <c r="H558" s="19"/>
      <c r="I558" s="19" t="s">
        <v>41</v>
      </c>
      <c r="J558" s="19" t="s">
        <v>255</v>
      </c>
      <c r="K558" s="19" t="s">
        <v>1398</v>
      </c>
      <c r="L558" s="19" t="s">
        <v>1202</v>
      </c>
      <c r="M558" s="19" t="s">
        <v>1203</v>
      </c>
      <c r="N558" s="19" t="s">
        <v>109</v>
      </c>
      <c r="O558" s="19" t="s">
        <v>235</v>
      </c>
      <c r="P558" s="19" t="s">
        <v>51</v>
      </c>
      <c r="Q558" s="19"/>
      <c r="R558" s="19" t="s">
        <v>256</v>
      </c>
      <c r="S558" s="19" t="s">
        <v>309</v>
      </c>
      <c r="T558" s="19" t="s">
        <v>54</v>
      </c>
      <c r="U558" s="19" t="s">
        <v>54</v>
      </c>
      <c r="V558" s="19" t="s">
        <v>253</v>
      </c>
      <c r="W558" s="19" t="s">
        <v>231</v>
      </c>
      <c r="X558" s="19" t="s">
        <v>46</v>
      </c>
      <c r="Y558" s="29"/>
      <c r="Z558" s="19"/>
      <c r="AA558" s="19"/>
      <c r="AB558" s="19" t="s">
        <v>313</v>
      </c>
      <c r="AC558" s="19" t="s">
        <v>1322</v>
      </c>
      <c r="AD558" s="19"/>
      <c r="AE558" s="19"/>
      <c r="AF558" s="19"/>
      <c r="AG558" s="19" t="s">
        <v>235</v>
      </c>
      <c r="AH558" s="19"/>
      <c r="AI558" s="19"/>
      <c r="AJ558" s="19" t="s">
        <v>234</v>
      </c>
      <c r="AK558" s="19" t="s">
        <v>234</v>
      </c>
      <c r="AL558" s="19"/>
      <c r="AM558" s="19" t="s">
        <v>234</v>
      </c>
      <c r="AN558" s="19" t="s">
        <v>234</v>
      </c>
      <c r="AO558" s="19" t="s">
        <v>235</v>
      </c>
      <c r="AP558" s="94"/>
      <c r="AQ558" s="19" t="s">
        <v>91</v>
      </c>
      <c r="AR558" s="19" t="s">
        <v>241</v>
      </c>
      <c r="AS558" s="19"/>
      <c r="AT558" s="65" t="str">
        <f t="shared" si="169"/>
        <v>N</v>
      </c>
      <c r="AU558" s="65" t="str">
        <f t="shared" si="186"/>
        <v>N</v>
      </c>
      <c r="AV558" s="65" t="str">
        <f>AU558</f>
        <v>N</v>
      </c>
      <c r="AW558" s="99"/>
      <c r="AX558" s="99"/>
      <c r="AY558" s="19"/>
      <c r="AZ558" s="96" t="str">
        <f t="shared" si="187"/>
        <v>n</v>
      </c>
      <c r="BA558" s="96" t="str">
        <f>IF(AZ558="n","n",VLOOKUP(AZ558,'Conversion factors'!$C$4:$D$24,2,FALSE))</f>
        <v>n</v>
      </c>
      <c r="BB558" s="96" t="str">
        <f t="shared" si="188"/>
        <v>n</v>
      </c>
      <c r="BC558" s="97"/>
      <c r="BD558" s="96" t="str">
        <f t="shared" si="170"/>
        <v>n</v>
      </c>
      <c r="BE558" s="96" t="str">
        <f t="shared" si="189"/>
        <v>n</v>
      </c>
      <c r="BF558" s="98" t="str">
        <f t="shared" si="171"/>
        <v/>
      </c>
      <c r="BG558" s="96" t="str">
        <f>IF(BF558="","",IF(ISNUMBER(VLOOKUP(BF558,'Conversion factors'!$B$35:$C$52,2,FALSE)),"y","n"))</f>
        <v/>
      </c>
      <c r="BH558" s="99"/>
    </row>
    <row r="559" spans="1:62" s="103" customFormat="1" ht="15.75" customHeight="1" x14ac:dyDescent="0.2">
      <c r="A559" s="18"/>
      <c r="B559" s="19">
        <v>201</v>
      </c>
      <c r="C559" s="19"/>
      <c r="D559" s="19">
        <v>50470</v>
      </c>
      <c r="E559" s="19" t="s">
        <v>1224</v>
      </c>
      <c r="F559" s="93">
        <v>1999</v>
      </c>
      <c r="G559" s="19" t="s">
        <v>422</v>
      </c>
      <c r="H559" s="19"/>
      <c r="I559" s="19" t="s">
        <v>41</v>
      </c>
      <c r="J559" s="19" t="s">
        <v>255</v>
      </c>
      <c r="K559" s="19" t="s">
        <v>1398</v>
      </c>
      <c r="L559" s="19" t="s">
        <v>1202</v>
      </c>
      <c r="M559" s="19" t="s">
        <v>1203</v>
      </c>
      <c r="N559" s="19" t="s">
        <v>109</v>
      </c>
      <c r="O559" s="19" t="s">
        <v>235</v>
      </c>
      <c r="P559" s="19" t="s">
        <v>51</v>
      </c>
      <c r="Q559" s="19"/>
      <c r="R559" s="19" t="s">
        <v>81</v>
      </c>
      <c r="S559" s="19" t="s">
        <v>302</v>
      </c>
      <c r="T559" s="19" t="s">
        <v>44</v>
      </c>
      <c r="U559" s="19" t="s">
        <v>44</v>
      </c>
      <c r="V559" s="19" t="s">
        <v>85</v>
      </c>
      <c r="W559" s="19" t="s">
        <v>231</v>
      </c>
      <c r="X559" s="19" t="s">
        <v>46</v>
      </c>
      <c r="Y559" s="29"/>
      <c r="Z559" s="19"/>
      <c r="AA559" s="19"/>
      <c r="AB559" s="19" t="s">
        <v>423</v>
      </c>
      <c r="AC559" s="19" t="s">
        <v>1322</v>
      </c>
      <c r="AD559" s="19"/>
      <c r="AE559" s="19"/>
      <c r="AF559" s="19"/>
      <c r="AG559" s="19" t="s">
        <v>235</v>
      </c>
      <c r="AH559" s="19"/>
      <c r="AI559" s="19"/>
      <c r="AJ559" s="19">
        <v>6</v>
      </c>
      <c r="AK559" s="19" t="s">
        <v>424</v>
      </c>
      <c r="AL559" s="19"/>
      <c r="AM559" s="19" t="s">
        <v>234</v>
      </c>
      <c r="AN559" s="19" t="s">
        <v>234</v>
      </c>
      <c r="AO559" s="19" t="s">
        <v>235</v>
      </c>
      <c r="AP559" s="94"/>
      <c r="AQ559" s="19" t="s">
        <v>425</v>
      </c>
      <c r="AR559" s="19" t="s">
        <v>241</v>
      </c>
      <c r="AS559" s="19"/>
      <c r="AT559" s="65" t="str">
        <f t="shared" si="169"/>
        <v>N</v>
      </c>
      <c r="AU559" s="65" t="str">
        <f t="shared" si="186"/>
        <v>N</v>
      </c>
      <c r="AV559" s="65" t="s">
        <v>162</v>
      </c>
      <c r="AW559" s="99" t="s">
        <v>1405</v>
      </c>
      <c r="AX559" s="99"/>
      <c r="AY559" s="19"/>
      <c r="AZ559" s="96" t="str">
        <f t="shared" si="187"/>
        <v>n</v>
      </c>
      <c r="BA559" s="96" t="str">
        <f>IF(AZ559="n","n",VLOOKUP(AZ559,'Conversion factors'!$C$4:$D$24,2,FALSE))</f>
        <v>n</v>
      </c>
      <c r="BB559" s="96" t="str">
        <f t="shared" si="188"/>
        <v>n</v>
      </c>
      <c r="BC559" s="97"/>
      <c r="BD559" s="96" t="str">
        <f t="shared" si="170"/>
        <v>n</v>
      </c>
      <c r="BE559" s="96" t="str">
        <f t="shared" si="189"/>
        <v>n</v>
      </c>
      <c r="BF559" s="98" t="str">
        <f t="shared" si="171"/>
        <v/>
      </c>
      <c r="BG559" s="96" t="str">
        <f>IF(BF559="","",IF(ISNUMBER(VLOOKUP(BF559,'Conversion factors'!$B$35:$C$52,2,FALSE)),"y","n"))</f>
        <v/>
      </c>
      <c r="BH559" s="99"/>
    </row>
    <row r="560" spans="1:62" s="103" customFormat="1" ht="15.75" customHeight="1" x14ac:dyDescent="0.2">
      <c r="A560" s="18"/>
      <c r="B560" s="19">
        <v>280</v>
      </c>
      <c r="C560" s="19"/>
      <c r="D560" s="19">
        <v>101775</v>
      </c>
      <c r="E560" s="19" t="s">
        <v>1224</v>
      </c>
      <c r="F560" s="93">
        <v>2007</v>
      </c>
      <c r="G560" s="19" t="s">
        <v>988</v>
      </c>
      <c r="H560" s="19"/>
      <c r="I560" s="19" t="s">
        <v>41</v>
      </c>
      <c r="J560" s="19" t="s">
        <v>255</v>
      </c>
      <c r="K560" s="19" t="s">
        <v>1398</v>
      </c>
      <c r="L560" s="19" t="s">
        <v>1202</v>
      </c>
      <c r="M560" s="19" t="s">
        <v>1203</v>
      </c>
      <c r="N560" s="19" t="s">
        <v>109</v>
      </c>
      <c r="O560" s="19" t="s">
        <v>235</v>
      </c>
      <c r="P560" s="19" t="s">
        <v>51</v>
      </c>
      <c r="Q560" s="19"/>
      <c r="R560" s="19" t="s">
        <v>81</v>
      </c>
      <c r="S560" s="19" t="s">
        <v>989</v>
      </c>
      <c r="T560" s="19" t="s">
        <v>44</v>
      </c>
      <c r="U560" s="19" t="s">
        <v>44</v>
      </c>
      <c r="V560" s="19" t="s">
        <v>85</v>
      </c>
      <c r="W560" s="19" t="s">
        <v>231</v>
      </c>
      <c r="X560" s="19" t="s">
        <v>46</v>
      </c>
      <c r="Y560" s="29"/>
      <c r="Z560" s="19" t="s">
        <v>731</v>
      </c>
      <c r="AA560" s="19"/>
      <c r="AB560" s="19"/>
      <c r="AC560" s="19" t="s">
        <v>1322</v>
      </c>
      <c r="AD560" s="19"/>
      <c r="AE560" s="19"/>
      <c r="AF560" s="19"/>
      <c r="AG560" s="19" t="s">
        <v>235</v>
      </c>
      <c r="AH560" s="19"/>
      <c r="AI560" s="19"/>
      <c r="AJ560" s="19">
        <v>5.5</v>
      </c>
      <c r="AK560" s="19" t="s">
        <v>449</v>
      </c>
      <c r="AL560" s="19"/>
      <c r="AM560" s="19" t="s">
        <v>234</v>
      </c>
      <c r="AN560" s="19" t="s">
        <v>234</v>
      </c>
      <c r="AO560" s="19" t="s">
        <v>235</v>
      </c>
      <c r="AP560" s="94"/>
      <c r="AQ560" s="19" t="s">
        <v>150</v>
      </c>
      <c r="AR560" s="19" t="s">
        <v>241</v>
      </c>
      <c r="AS560" s="19"/>
      <c r="AT560" s="65" t="str">
        <f t="shared" si="169"/>
        <v>N</v>
      </c>
      <c r="AU560" s="65" t="str">
        <f t="shared" si="186"/>
        <v>N</v>
      </c>
      <c r="AV560" s="65" t="s">
        <v>162</v>
      </c>
      <c r="AW560" s="99" t="s">
        <v>1405</v>
      </c>
      <c r="AX560" s="99"/>
      <c r="AY560" s="19"/>
      <c r="AZ560" s="96" t="str">
        <f t="shared" si="187"/>
        <v>n</v>
      </c>
      <c r="BA560" s="96" t="str">
        <f>IF(AZ560="n","n",VLOOKUP(AZ560,'Conversion factors'!$C$4:$D$24,2,FALSE))</f>
        <v>n</v>
      </c>
      <c r="BB560" s="96" t="str">
        <f t="shared" si="188"/>
        <v>n</v>
      </c>
      <c r="BC560" s="97"/>
      <c r="BD560" s="96" t="str">
        <f t="shared" si="170"/>
        <v>n</v>
      </c>
      <c r="BE560" s="96" t="str">
        <f t="shared" si="189"/>
        <v>n</v>
      </c>
      <c r="BF560" s="98" t="str">
        <f t="shared" si="171"/>
        <v/>
      </c>
      <c r="BG560" s="96" t="str">
        <f>IF(BF560="","",IF(ISNUMBER(VLOOKUP(BF560,'Conversion factors'!$B$35:$C$52,2,FALSE)),"y","n"))</f>
        <v/>
      </c>
      <c r="BH560" s="99"/>
    </row>
    <row r="561" spans="1:60" s="103" customFormat="1" ht="15.75" customHeight="1" x14ac:dyDescent="0.2">
      <c r="A561" s="18"/>
      <c r="B561" s="19">
        <v>280</v>
      </c>
      <c r="C561" s="19"/>
      <c r="D561" s="19">
        <v>101775</v>
      </c>
      <c r="E561" s="19" t="s">
        <v>1224</v>
      </c>
      <c r="F561" s="93">
        <v>2007</v>
      </c>
      <c r="G561" s="19" t="s">
        <v>988</v>
      </c>
      <c r="H561" s="19"/>
      <c r="I561" s="19" t="s">
        <v>41</v>
      </c>
      <c r="J561" s="19" t="s">
        <v>255</v>
      </c>
      <c r="K561" s="19" t="s">
        <v>1398</v>
      </c>
      <c r="L561" s="19" t="s">
        <v>1202</v>
      </c>
      <c r="M561" s="19" t="s">
        <v>1203</v>
      </c>
      <c r="N561" s="19" t="s">
        <v>109</v>
      </c>
      <c r="O561" s="19" t="s">
        <v>235</v>
      </c>
      <c r="P561" s="19" t="s">
        <v>51</v>
      </c>
      <c r="Q561" s="19"/>
      <c r="R561" s="19" t="s">
        <v>81</v>
      </c>
      <c r="S561" s="19" t="s">
        <v>989</v>
      </c>
      <c r="T561" s="19" t="s">
        <v>44</v>
      </c>
      <c r="U561" s="19" t="s">
        <v>44</v>
      </c>
      <c r="V561" s="19" t="s">
        <v>126</v>
      </c>
      <c r="W561" s="19" t="s">
        <v>231</v>
      </c>
      <c r="X561" s="19" t="s">
        <v>46</v>
      </c>
      <c r="Y561" s="29"/>
      <c r="Z561" s="19"/>
      <c r="AA561" s="19"/>
      <c r="AB561" s="19" t="s">
        <v>1201</v>
      </c>
      <c r="AC561" s="19" t="s">
        <v>1322</v>
      </c>
      <c r="AD561" s="19"/>
      <c r="AE561" s="19"/>
      <c r="AF561" s="19"/>
      <c r="AG561" s="19" t="s">
        <v>235</v>
      </c>
      <c r="AH561" s="19"/>
      <c r="AI561" s="19"/>
      <c r="AJ561" s="19">
        <v>5.5</v>
      </c>
      <c r="AK561" s="19" t="s">
        <v>449</v>
      </c>
      <c r="AL561" s="19"/>
      <c r="AM561" s="19" t="s">
        <v>234</v>
      </c>
      <c r="AN561" s="19" t="s">
        <v>234</v>
      </c>
      <c r="AO561" s="19" t="s">
        <v>235</v>
      </c>
      <c r="AP561" s="94"/>
      <c r="AQ561" s="19" t="s">
        <v>150</v>
      </c>
      <c r="AR561" s="19" t="s">
        <v>241</v>
      </c>
      <c r="AS561" s="19"/>
      <c r="AT561" s="65" t="str">
        <f t="shared" si="169"/>
        <v>N</v>
      </c>
      <c r="AU561" s="65" t="str">
        <f t="shared" si="186"/>
        <v>N</v>
      </c>
      <c r="AV561" s="65" t="s">
        <v>162</v>
      </c>
      <c r="AW561" s="99" t="s">
        <v>1405</v>
      </c>
      <c r="AX561" s="99"/>
      <c r="AY561" s="19"/>
      <c r="AZ561" s="96" t="str">
        <f t="shared" si="187"/>
        <v>n</v>
      </c>
      <c r="BA561" s="96" t="str">
        <f>IF(AZ561="n","n",VLOOKUP(AZ561,'Conversion factors'!$C$4:$D$24,2,FALSE))</f>
        <v>n</v>
      </c>
      <c r="BB561" s="96" t="str">
        <f t="shared" si="188"/>
        <v>n</v>
      </c>
      <c r="BC561" s="97"/>
      <c r="BD561" s="96" t="str">
        <f t="shared" si="170"/>
        <v>n</v>
      </c>
      <c r="BE561" s="96" t="str">
        <f t="shared" si="189"/>
        <v>n</v>
      </c>
      <c r="BF561" s="98" t="str">
        <f t="shared" si="171"/>
        <v/>
      </c>
      <c r="BG561" s="96" t="str">
        <f>IF(BF561="","",IF(ISNUMBER(VLOOKUP(BF561,'Conversion factors'!$B$35:$C$52,2,FALSE)),"y","n"))</f>
        <v/>
      </c>
      <c r="BH561" s="99"/>
    </row>
    <row r="562" spans="1:60" s="103" customFormat="1" ht="15.75" customHeight="1" x14ac:dyDescent="0.2">
      <c r="A562" s="18"/>
      <c r="B562" s="19">
        <v>280</v>
      </c>
      <c r="C562" s="19"/>
      <c r="D562" s="19">
        <v>101775</v>
      </c>
      <c r="E562" s="19" t="s">
        <v>1224</v>
      </c>
      <c r="F562" s="93">
        <v>2007</v>
      </c>
      <c r="G562" s="19" t="s">
        <v>988</v>
      </c>
      <c r="H562" s="19"/>
      <c r="I562" s="19" t="s">
        <v>41</v>
      </c>
      <c r="J562" s="19" t="s">
        <v>255</v>
      </c>
      <c r="K562" s="19" t="s">
        <v>1398</v>
      </c>
      <c r="L562" s="19" t="s">
        <v>1202</v>
      </c>
      <c r="M562" s="19" t="s">
        <v>1203</v>
      </c>
      <c r="N562" s="19" t="s">
        <v>109</v>
      </c>
      <c r="O562" s="19" t="s">
        <v>235</v>
      </c>
      <c r="P562" s="19" t="s">
        <v>51</v>
      </c>
      <c r="Q562" s="19"/>
      <c r="R562" s="19" t="s">
        <v>81</v>
      </c>
      <c r="S562" s="19" t="s">
        <v>989</v>
      </c>
      <c r="T562" s="19" t="s">
        <v>44</v>
      </c>
      <c r="U562" s="19" t="s">
        <v>44</v>
      </c>
      <c r="V562" s="19" t="s">
        <v>126</v>
      </c>
      <c r="W562" s="19" t="s">
        <v>231</v>
      </c>
      <c r="X562" s="19" t="s">
        <v>46</v>
      </c>
      <c r="Y562" s="29"/>
      <c r="Z562" s="19" t="s">
        <v>990</v>
      </c>
      <c r="AA562" s="19"/>
      <c r="AB562" s="19"/>
      <c r="AC562" s="19" t="s">
        <v>1322</v>
      </c>
      <c r="AD562" s="19"/>
      <c r="AE562" s="19"/>
      <c r="AF562" s="19"/>
      <c r="AG562" s="19" t="s">
        <v>235</v>
      </c>
      <c r="AH562" s="19"/>
      <c r="AI562" s="19"/>
      <c r="AJ562" s="19">
        <v>5.5</v>
      </c>
      <c r="AK562" s="19" t="s">
        <v>449</v>
      </c>
      <c r="AL562" s="19"/>
      <c r="AM562" s="19" t="s">
        <v>234</v>
      </c>
      <c r="AN562" s="19" t="s">
        <v>234</v>
      </c>
      <c r="AO562" s="19" t="s">
        <v>235</v>
      </c>
      <c r="AP562" s="94"/>
      <c r="AQ562" s="19" t="s">
        <v>150</v>
      </c>
      <c r="AR562" s="19" t="s">
        <v>241</v>
      </c>
      <c r="AS562" s="19"/>
      <c r="AT562" s="65" t="str">
        <f t="shared" si="169"/>
        <v>N</v>
      </c>
      <c r="AU562" s="65" t="str">
        <f t="shared" si="186"/>
        <v>N</v>
      </c>
      <c r="AV562" s="65" t="s">
        <v>162</v>
      </c>
      <c r="AW562" s="99" t="s">
        <v>1405</v>
      </c>
      <c r="AX562" s="99"/>
      <c r="AY562" s="19"/>
      <c r="AZ562" s="96" t="str">
        <f t="shared" si="187"/>
        <v>n</v>
      </c>
      <c r="BA562" s="96" t="str">
        <f>IF(AZ562="n","n",VLOOKUP(AZ562,'Conversion factors'!$C$4:$D$24,2,FALSE))</f>
        <v>n</v>
      </c>
      <c r="BB562" s="96" t="str">
        <f t="shared" si="188"/>
        <v>n</v>
      </c>
      <c r="BC562" s="97"/>
      <c r="BD562" s="96" t="str">
        <f t="shared" si="170"/>
        <v>n</v>
      </c>
      <c r="BE562" s="96" t="str">
        <f t="shared" si="189"/>
        <v>n</v>
      </c>
      <c r="BF562" s="98" t="str">
        <f t="shared" si="171"/>
        <v/>
      </c>
      <c r="BG562" s="96" t="str">
        <f>IF(BF562="","",IF(ISNUMBER(VLOOKUP(BF562,'Conversion factors'!$B$35:$C$52,2,FALSE)),"y","n"))</f>
        <v/>
      </c>
      <c r="BH562" s="99"/>
    </row>
    <row r="563" spans="1:60" s="103" customFormat="1" ht="15.75" customHeight="1" x14ac:dyDescent="0.2">
      <c r="A563" s="18"/>
      <c r="B563" s="19">
        <v>306</v>
      </c>
      <c r="C563" s="19"/>
      <c r="D563" s="19">
        <v>113958</v>
      </c>
      <c r="E563" s="19" t="s">
        <v>1224</v>
      </c>
      <c r="F563" s="93">
        <v>2007</v>
      </c>
      <c r="G563" s="19" t="s">
        <v>1056</v>
      </c>
      <c r="H563" s="19"/>
      <c r="I563" s="19" t="s">
        <v>41</v>
      </c>
      <c r="J563" s="19" t="s">
        <v>255</v>
      </c>
      <c r="K563" s="19" t="s">
        <v>1398</v>
      </c>
      <c r="L563" s="19" t="s">
        <v>1202</v>
      </c>
      <c r="M563" s="19" t="s">
        <v>1203</v>
      </c>
      <c r="N563" s="19" t="s">
        <v>109</v>
      </c>
      <c r="O563" s="19" t="s">
        <v>235</v>
      </c>
      <c r="P563" s="19" t="s">
        <v>51</v>
      </c>
      <c r="Q563" s="19"/>
      <c r="R563" s="19" t="s">
        <v>81</v>
      </c>
      <c r="S563" s="19" t="s">
        <v>858</v>
      </c>
      <c r="T563" s="19" t="s">
        <v>49</v>
      </c>
      <c r="U563" s="19" t="s">
        <v>49</v>
      </c>
      <c r="V563" s="19" t="s">
        <v>85</v>
      </c>
      <c r="W563" s="19" t="s">
        <v>231</v>
      </c>
      <c r="X563" s="19" t="s">
        <v>46</v>
      </c>
      <c r="Y563" s="29"/>
      <c r="Z563" s="19"/>
      <c r="AA563" s="19"/>
      <c r="AB563" s="19" t="s">
        <v>1057</v>
      </c>
      <c r="AC563" s="19" t="s">
        <v>1322</v>
      </c>
      <c r="AD563" s="19"/>
      <c r="AE563" s="19">
        <f>2.497*2*40.078*1.25+4.118*24.3*0.41</f>
        <v>291.21454899999998</v>
      </c>
      <c r="AF563" s="19"/>
      <c r="AG563" s="19" t="s">
        <v>235</v>
      </c>
      <c r="AH563" s="19"/>
      <c r="AI563" s="19"/>
      <c r="AJ563" s="19">
        <v>5.5</v>
      </c>
      <c r="AK563" s="19" t="s">
        <v>449</v>
      </c>
      <c r="AL563" s="19"/>
      <c r="AM563" s="19" t="s">
        <v>234</v>
      </c>
      <c r="AN563" s="19" t="s">
        <v>234</v>
      </c>
      <c r="AO563" s="19" t="s">
        <v>235</v>
      </c>
      <c r="AP563" s="94"/>
      <c r="AQ563" s="19" t="s">
        <v>102</v>
      </c>
      <c r="AR563" s="19" t="s">
        <v>241</v>
      </c>
      <c r="AS563" s="19"/>
      <c r="AT563" s="65" t="str">
        <f t="shared" si="169"/>
        <v>N</v>
      </c>
      <c r="AU563" s="65" t="str">
        <f t="shared" si="186"/>
        <v>N</v>
      </c>
      <c r="AV563" s="65" t="str">
        <f t="shared" ref="AV563:AV587" si="190">AU563</f>
        <v>N</v>
      </c>
      <c r="AW563" s="99"/>
      <c r="AX563" s="99"/>
      <c r="AY563" s="19"/>
      <c r="AZ563" s="96" t="str">
        <f t="shared" si="187"/>
        <v>n</v>
      </c>
      <c r="BA563" s="96" t="str">
        <f>IF(AZ563="n","n",VLOOKUP(AZ563,'Conversion factors'!$C$4:$D$24,2,FALSE))</f>
        <v>n</v>
      </c>
      <c r="BB563" s="96" t="str">
        <f t="shared" si="188"/>
        <v>n</v>
      </c>
      <c r="BC563" s="97"/>
      <c r="BD563" s="96" t="str">
        <f t="shared" si="170"/>
        <v>n</v>
      </c>
      <c r="BE563" s="96" t="str">
        <f t="shared" si="189"/>
        <v>n</v>
      </c>
      <c r="BF563" s="98" t="str">
        <f t="shared" si="171"/>
        <v/>
      </c>
      <c r="BG563" s="96" t="str">
        <f>IF(BF563="","",IF(ISNUMBER(VLOOKUP(BF563,'Conversion factors'!$B$35:$C$52,2,FALSE)),"y","n"))</f>
        <v/>
      </c>
      <c r="BH563" s="99"/>
    </row>
    <row r="564" spans="1:60" s="103" customFormat="1" ht="15.75" customHeight="1" x14ac:dyDescent="0.2">
      <c r="A564" s="18"/>
      <c r="B564" s="19">
        <v>306</v>
      </c>
      <c r="C564" s="19"/>
      <c r="D564" s="19">
        <v>113958</v>
      </c>
      <c r="E564" s="19" t="s">
        <v>1224</v>
      </c>
      <c r="F564" s="93">
        <v>2007</v>
      </c>
      <c r="G564" s="19" t="s">
        <v>1056</v>
      </c>
      <c r="H564" s="19"/>
      <c r="I564" s="19" t="s">
        <v>41</v>
      </c>
      <c r="J564" s="19" t="s">
        <v>255</v>
      </c>
      <c r="K564" s="19" t="s">
        <v>1398</v>
      </c>
      <c r="L564" s="19" t="s">
        <v>1202</v>
      </c>
      <c r="M564" s="19" t="s">
        <v>1203</v>
      </c>
      <c r="N564" s="19" t="s">
        <v>109</v>
      </c>
      <c r="O564" s="19" t="s">
        <v>235</v>
      </c>
      <c r="P564" s="19" t="s">
        <v>51</v>
      </c>
      <c r="Q564" s="19"/>
      <c r="R564" s="19" t="s">
        <v>81</v>
      </c>
      <c r="S564" s="19" t="s">
        <v>451</v>
      </c>
      <c r="T564" s="19" t="s">
        <v>49</v>
      </c>
      <c r="U564" s="19" t="s">
        <v>49</v>
      </c>
      <c r="V564" s="19" t="s">
        <v>85</v>
      </c>
      <c r="W564" s="19" t="s">
        <v>231</v>
      </c>
      <c r="X564" s="19" t="s">
        <v>46</v>
      </c>
      <c r="Y564" s="29"/>
      <c r="Z564" s="19"/>
      <c r="AA564" s="19"/>
      <c r="AB564" s="19" t="s">
        <v>605</v>
      </c>
      <c r="AC564" s="19" t="s">
        <v>1322</v>
      </c>
      <c r="AD564" s="19"/>
      <c r="AE564" s="19">
        <f t="shared" ref="AE564:AE571" si="191">2.497*2*40.078*1.25+4.118*24.3*0.41</f>
        <v>291.21454899999998</v>
      </c>
      <c r="AF564" s="19"/>
      <c r="AG564" s="19" t="s">
        <v>235</v>
      </c>
      <c r="AH564" s="19"/>
      <c r="AI564" s="19"/>
      <c r="AJ564" s="19">
        <v>5.5</v>
      </c>
      <c r="AK564" s="19" t="s">
        <v>449</v>
      </c>
      <c r="AL564" s="19"/>
      <c r="AM564" s="19" t="s">
        <v>234</v>
      </c>
      <c r="AN564" s="19" t="s">
        <v>234</v>
      </c>
      <c r="AO564" s="19" t="s">
        <v>235</v>
      </c>
      <c r="AP564" s="94"/>
      <c r="AQ564" s="19" t="s">
        <v>102</v>
      </c>
      <c r="AR564" s="19" t="s">
        <v>241</v>
      </c>
      <c r="AS564" s="19"/>
      <c r="AT564" s="65" t="str">
        <f t="shared" si="169"/>
        <v>N</v>
      </c>
      <c r="AU564" s="65" t="str">
        <f t="shared" si="186"/>
        <v>N</v>
      </c>
      <c r="AV564" s="65" t="str">
        <f t="shared" si="190"/>
        <v>N</v>
      </c>
      <c r="AW564" s="99"/>
      <c r="AX564" s="99"/>
      <c r="AY564" s="19"/>
      <c r="AZ564" s="96" t="str">
        <f t="shared" si="187"/>
        <v>n</v>
      </c>
      <c r="BA564" s="96" t="str">
        <f>IF(AZ564="n","n",VLOOKUP(AZ564,'Conversion factors'!$C$4:$D$24,2,FALSE))</f>
        <v>n</v>
      </c>
      <c r="BB564" s="96" t="str">
        <f t="shared" si="188"/>
        <v>n</v>
      </c>
      <c r="BC564" s="97"/>
      <c r="BD564" s="96" t="str">
        <f t="shared" si="170"/>
        <v>n</v>
      </c>
      <c r="BE564" s="96" t="str">
        <f t="shared" si="189"/>
        <v>n</v>
      </c>
      <c r="BF564" s="98" t="str">
        <f t="shared" si="171"/>
        <v/>
      </c>
      <c r="BG564" s="96" t="str">
        <f>IF(BF564="","",IF(ISNUMBER(VLOOKUP(BF564,'Conversion factors'!$B$35:$C$52,2,FALSE)),"y","n"))</f>
        <v/>
      </c>
      <c r="BH564" s="99"/>
    </row>
    <row r="565" spans="1:60" s="103" customFormat="1" ht="15.75" customHeight="1" x14ac:dyDescent="0.2">
      <c r="A565" s="18"/>
      <c r="B565" s="19">
        <v>306</v>
      </c>
      <c r="C565" s="19"/>
      <c r="D565" s="19">
        <v>113958</v>
      </c>
      <c r="E565" s="19" t="s">
        <v>1224</v>
      </c>
      <c r="F565" s="93">
        <v>2007</v>
      </c>
      <c r="G565" s="19" t="s">
        <v>1056</v>
      </c>
      <c r="H565" s="19"/>
      <c r="I565" s="19" t="s">
        <v>41</v>
      </c>
      <c r="J565" s="19" t="s">
        <v>255</v>
      </c>
      <c r="K565" s="19" t="s">
        <v>1398</v>
      </c>
      <c r="L565" s="19" t="s">
        <v>1202</v>
      </c>
      <c r="M565" s="19" t="s">
        <v>1203</v>
      </c>
      <c r="N565" s="19" t="s">
        <v>109</v>
      </c>
      <c r="O565" s="19" t="s">
        <v>235</v>
      </c>
      <c r="P565" s="19" t="s">
        <v>51</v>
      </c>
      <c r="Q565" s="19"/>
      <c r="R565" s="19" t="s">
        <v>81</v>
      </c>
      <c r="S565" s="19" t="s">
        <v>483</v>
      </c>
      <c r="T565" s="19" t="s">
        <v>49</v>
      </c>
      <c r="U565" s="19" t="s">
        <v>49</v>
      </c>
      <c r="V565" s="19" t="s">
        <v>85</v>
      </c>
      <c r="W565" s="19" t="s">
        <v>231</v>
      </c>
      <c r="X565" s="19" t="s">
        <v>46</v>
      </c>
      <c r="Y565" s="29"/>
      <c r="Z565" s="19"/>
      <c r="AA565" s="19"/>
      <c r="AB565" s="19" t="s">
        <v>1017</v>
      </c>
      <c r="AC565" s="19" t="s">
        <v>1322</v>
      </c>
      <c r="AD565" s="19"/>
      <c r="AE565" s="19">
        <f t="shared" si="191"/>
        <v>291.21454899999998</v>
      </c>
      <c r="AF565" s="19"/>
      <c r="AG565" s="19" t="s">
        <v>235</v>
      </c>
      <c r="AH565" s="19"/>
      <c r="AI565" s="19"/>
      <c r="AJ565" s="19">
        <v>5.5</v>
      </c>
      <c r="AK565" s="19" t="s">
        <v>449</v>
      </c>
      <c r="AL565" s="19"/>
      <c r="AM565" s="19" t="s">
        <v>234</v>
      </c>
      <c r="AN565" s="19" t="s">
        <v>234</v>
      </c>
      <c r="AO565" s="19" t="s">
        <v>235</v>
      </c>
      <c r="AP565" s="94"/>
      <c r="AQ565" s="19" t="s">
        <v>102</v>
      </c>
      <c r="AR565" s="19" t="s">
        <v>241</v>
      </c>
      <c r="AS565" s="19"/>
      <c r="AT565" s="65" t="str">
        <f t="shared" si="169"/>
        <v>N</v>
      </c>
      <c r="AU565" s="65" t="str">
        <f t="shared" si="186"/>
        <v>N</v>
      </c>
      <c r="AV565" s="65" t="str">
        <f t="shared" si="190"/>
        <v>N</v>
      </c>
      <c r="AW565" s="99"/>
      <c r="AX565" s="99"/>
      <c r="AY565" s="19"/>
      <c r="AZ565" s="96" t="str">
        <f t="shared" si="187"/>
        <v>n</v>
      </c>
      <c r="BA565" s="96" t="str">
        <f>IF(AZ565="n","n",VLOOKUP(AZ565,'Conversion factors'!$C$4:$D$24,2,FALSE))</f>
        <v>n</v>
      </c>
      <c r="BB565" s="96" t="str">
        <f t="shared" si="188"/>
        <v>n</v>
      </c>
      <c r="BC565" s="97"/>
      <c r="BD565" s="96" t="str">
        <f t="shared" si="170"/>
        <v>n</v>
      </c>
      <c r="BE565" s="96" t="str">
        <f t="shared" si="189"/>
        <v>n</v>
      </c>
      <c r="BF565" s="98" t="str">
        <f t="shared" si="171"/>
        <v/>
      </c>
      <c r="BG565" s="96" t="str">
        <f>IF(BF565="","",IF(ISNUMBER(VLOOKUP(BF565,'Conversion factors'!$B$35:$C$52,2,FALSE)),"y","n"))</f>
        <v/>
      </c>
      <c r="BH565" s="99"/>
    </row>
    <row r="566" spans="1:60" s="103" customFormat="1" ht="15.75" customHeight="1" x14ac:dyDescent="0.2">
      <c r="A566" s="18"/>
      <c r="B566" s="19">
        <v>306</v>
      </c>
      <c r="C566" s="19"/>
      <c r="D566" s="19">
        <v>113958</v>
      </c>
      <c r="E566" s="19" t="s">
        <v>1224</v>
      </c>
      <c r="F566" s="93">
        <v>2007</v>
      </c>
      <c r="G566" s="19" t="s">
        <v>1056</v>
      </c>
      <c r="H566" s="19"/>
      <c r="I566" s="19" t="s">
        <v>41</v>
      </c>
      <c r="J566" s="19" t="s">
        <v>255</v>
      </c>
      <c r="K566" s="19" t="s">
        <v>1398</v>
      </c>
      <c r="L566" s="19" t="s">
        <v>1202</v>
      </c>
      <c r="M566" s="19" t="s">
        <v>1203</v>
      </c>
      <c r="N566" s="19" t="s">
        <v>109</v>
      </c>
      <c r="O566" s="19" t="s">
        <v>235</v>
      </c>
      <c r="P566" s="19" t="s">
        <v>51</v>
      </c>
      <c r="Q566" s="19"/>
      <c r="R566" s="19" t="s">
        <v>81</v>
      </c>
      <c r="S566" s="19" t="s">
        <v>483</v>
      </c>
      <c r="T566" s="19" t="s">
        <v>927</v>
      </c>
      <c r="U566" s="19" t="s">
        <v>927</v>
      </c>
      <c r="V566" s="19" t="s">
        <v>85</v>
      </c>
      <c r="W566" s="19" t="s">
        <v>231</v>
      </c>
      <c r="X566" s="19" t="s">
        <v>46</v>
      </c>
      <c r="Y566" s="29"/>
      <c r="Z566" s="19"/>
      <c r="AA566" s="19"/>
      <c r="AB566" s="19" t="s">
        <v>741</v>
      </c>
      <c r="AC566" s="19" t="s">
        <v>1322</v>
      </c>
      <c r="AD566" s="19"/>
      <c r="AE566" s="19">
        <f t="shared" si="191"/>
        <v>291.21454899999998</v>
      </c>
      <c r="AF566" s="19"/>
      <c r="AG566" s="19" t="s">
        <v>235</v>
      </c>
      <c r="AH566" s="19"/>
      <c r="AI566" s="19"/>
      <c r="AJ566" s="19">
        <v>5.5</v>
      </c>
      <c r="AK566" s="19" t="s">
        <v>449</v>
      </c>
      <c r="AL566" s="19"/>
      <c r="AM566" s="19" t="s">
        <v>234</v>
      </c>
      <c r="AN566" s="19" t="s">
        <v>234</v>
      </c>
      <c r="AO566" s="19" t="s">
        <v>235</v>
      </c>
      <c r="AP566" s="94"/>
      <c r="AQ566" s="19" t="s">
        <v>102</v>
      </c>
      <c r="AR566" s="19" t="s">
        <v>241</v>
      </c>
      <c r="AS566" s="19"/>
      <c r="AT566" s="65" t="str">
        <f t="shared" si="169"/>
        <v>N</v>
      </c>
      <c r="AU566" s="65" t="str">
        <f t="shared" si="186"/>
        <v>N</v>
      </c>
      <c r="AV566" s="65" t="str">
        <f t="shared" si="190"/>
        <v>N</v>
      </c>
      <c r="AW566" s="99"/>
      <c r="AX566" s="99"/>
      <c r="AY566" s="19"/>
      <c r="AZ566" s="96" t="str">
        <f t="shared" si="187"/>
        <v>n</v>
      </c>
      <c r="BA566" s="96" t="str">
        <f>IF(AZ566="n","n",VLOOKUP(AZ566,'Conversion factors'!$C$4:$D$24,2,FALSE))</f>
        <v>n</v>
      </c>
      <c r="BB566" s="96" t="str">
        <f t="shared" si="188"/>
        <v>n</v>
      </c>
      <c r="BC566" s="97"/>
      <c r="BD566" s="96" t="str">
        <f t="shared" si="170"/>
        <v>n</v>
      </c>
      <c r="BE566" s="96" t="str">
        <f t="shared" si="189"/>
        <v>n</v>
      </c>
      <c r="BF566" s="98" t="str">
        <f t="shared" si="171"/>
        <v/>
      </c>
      <c r="BG566" s="96" t="str">
        <f>IF(BF566="","",IF(ISNUMBER(VLOOKUP(BF566,'Conversion factors'!$B$35:$C$52,2,FALSE)),"y","n"))</f>
        <v/>
      </c>
      <c r="BH566" s="99" t="s">
        <v>1474</v>
      </c>
    </row>
    <row r="567" spans="1:60" s="103" customFormat="1" ht="15.75" customHeight="1" x14ac:dyDescent="0.2">
      <c r="A567" s="18"/>
      <c r="B567" s="19">
        <v>306</v>
      </c>
      <c r="C567" s="19"/>
      <c r="D567" s="19">
        <v>113958</v>
      </c>
      <c r="E567" s="19" t="s">
        <v>1224</v>
      </c>
      <c r="F567" s="93">
        <v>2007</v>
      </c>
      <c r="G567" s="19" t="s">
        <v>1056</v>
      </c>
      <c r="H567" s="19"/>
      <c r="I567" s="19" t="s">
        <v>41</v>
      </c>
      <c r="J567" s="19" t="s">
        <v>255</v>
      </c>
      <c r="K567" s="19" t="s">
        <v>1398</v>
      </c>
      <c r="L567" s="19" t="s">
        <v>1202</v>
      </c>
      <c r="M567" s="19" t="s">
        <v>1203</v>
      </c>
      <c r="N567" s="19" t="s">
        <v>109</v>
      </c>
      <c r="O567" s="19" t="s">
        <v>235</v>
      </c>
      <c r="P567" s="19" t="s">
        <v>51</v>
      </c>
      <c r="Q567" s="19"/>
      <c r="R567" s="19" t="s">
        <v>81</v>
      </c>
      <c r="S567" s="19" t="s">
        <v>858</v>
      </c>
      <c r="T567" s="19" t="s">
        <v>927</v>
      </c>
      <c r="U567" s="19" t="s">
        <v>927</v>
      </c>
      <c r="V567" s="19" t="s">
        <v>85</v>
      </c>
      <c r="W567" s="19" t="s">
        <v>231</v>
      </c>
      <c r="X567" s="19" t="s">
        <v>46</v>
      </c>
      <c r="Y567" s="29"/>
      <c r="Z567" s="19"/>
      <c r="AA567" s="19"/>
      <c r="AB567" s="19" t="s">
        <v>991</v>
      </c>
      <c r="AC567" s="19" t="s">
        <v>1322</v>
      </c>
      <c r="AD567" s="19"/>
      <c r="AE567" s="19">
        <f t="shared" si="191"/>
        <v>291.21454899999998</v>
      </c>
      <c r="AF567" s="19"/>
      <c r="AG567" s="19" t="s">
        <v>235</v>
      </c>
      <c r="AH567" s="19"/>
      <c r="AI567" s="19"/>
      <c r="AJ567" s="19">
        <v>5.5</v>
      </c>
      <c r="AK567" s="19" t="s">
        <v>449</v>
      </c>
      <c r="AL567" s="19"/>
      <c r="AM567" s="19" t="s">
        <v>234</v>
      </c>
      <c r="AN567" s="19" t="s">
        <v>234</v>
      </c>
      <c r="AO567" s="19" t="s">
        <v>235</v>
      </c>
      <c r="AP567" s="94"/>
      <c r="AQ567" s="19" t="s">
        <v>102</v>
      </c>
      <c r="AR567" s="19" t="s">
        <v>241</v>
      </c>
      <c r="AS567" s="19"/>
      <c r="AT567" s="65" t="str">
        <f t="shared" si="169"/>
        <v>N</v>
      </c>
      <c r="AU567" s="65" t="str">
        <f t="shared" si="186"/>
        <v>N</v>
      </c>
      <c r="AV567" s="65" t="str">
        <f t="shared" si="190"/>
        <v>N</v>
      </c>
      <c r="AW567" s="99"/>
      <c r="AX567" s="99"/>
      <c r="AY567" s="19"/>
      <c r="AZ567" s="96" t="str">
        <f t="shared" si="187"/>
        <v>n</v>
      </c>
      <c r="BA567" s="96" t="str">
        <f>IF(AZ567="n","n",VLOOKUP(AZ567,'Conversion factors'!$C$4:$D$24,2,FALSE))</f>
        <v>n</v>
      </c>
      <c r="BB567" s="96" t="str">
        <f t="shared" si="188"/>
        <v>n</v>
      </c>
      <c r="BC567" s="97"/>
      <c r="BD567" s="96" t="str">
        <f t="shared" si="170"/>
        <v>n</v>
      </c>
      <c r="BE567" s="96" t="str">
        <f t="shared" si="189"/>
        <v>n</v>
      </c>
      <c r="BF567" s="98" t="str">
        <f t="shared" si="171"/>
        <v/>
      </c>
      <c r="BG567" s="96" t="str">
        <f>IF(BF567="","",IF(ISNUMBER(VLOOKUP(BF567,'Conversion factors'!$B$35:$C$52,2,FALSE)),"y","n"))</f>
        <v/>
      </c>
      <c r="BH567" s="99" t="s">
        <v>1474</v>
      </c>
    </row>
    <row r="568" spans="1:60" s="103" customFormat="1" ht="15.75" customHeight="1" x14ac:dyDescent="0.2">
      <c r="A568" s="18"/>
      <c r="B568" s="19">
        <v>306</v>
      </c>
      <c r="C568" s="19"/>
      <c r="D568" s="19">
        <v>113958</v>
      </c>
      <c r="E568" s="19" t="s">
        <v>1224</v>
      </c>
      <c r="F568" s="93">
        <v>2007</v>
      </c>
      <c r="G568" s="19" t="s">
        <v>1056</v>
      </c>
      <c r="H568" s="19"/>
      <c r="I568" s="19" t="s">
        <v>41</v>
      </c>
      <c r="J568" s="19" t="s">
        <v>255</v>
      </c>
      <c r="K568" s="19" t="s">
        <v>1398</v>
      </c>
      <c r="L568" s="19" t="s">
        <v>1202</v>
      </c>
      <c r="M568" s="19" t="s">
        <v>1203</v>
      </c>
      <c r="N568" s="19" t="s">
        <v>109</v>
      </c>
      <c r="O568" s="19" t="s">
        <v>235</v>
      </c>
      <c r="P568" s="19" t="s">
        <v>51</v>
      </c>
      <c r="Q568" s="19"/>
      <c r="R568" s="19" t="s">
        <v>81</v>
      </c>
      <c r="S568" s="19" t="s">
        <v>451</v>
      </c>
      <c r="T568" s="19" t="s">
        <v>927</v>
      </c>
      <c r="U568" s="19" t="s">
        <v>927</v>
      </c>
      <c r="V568" s="19" t="s">
        <v>85</v>
      </c>
      <c r="W568" s="19" t="s">
        <v>231</v>
      </c>
      <c r="X568" s="19" t="s">
        <v>46</v>
      </c>
      <c r="Y568" s="29"/>
      <c r="Z568" s="19"/>
      <c r="AA568" s="19"/>
      <c r="AB568" s="19" t="s">
        <v>1016</v>
      </c>
      <c r="AC568" s="19" t="s">
        <v>1322</v>
      </c>
      <c r="AD568" s="19"/>
      <c r="AE568" s="19">
        <f t="shared" si="191"/>
        <v>291.21454899999998</v>
      </c>
      <c r="AF568" s="19"/>
      <c r="AG568" s="19" t="s">
        <v>235</v>
      </c>
      <c r="AH568" s="19"/>
      <c r="AI568" s="19"/>
      <c r="AJ568" s="19">
        <v>5.5</v>
      </c>
      <c r="AK568" s="19" t="s">
        <v>449</v>
      </c>
      <c r="AL568" s="19"/>
      <c r="AM568" s="19" t="s">
        <v>234</v>
      </c>
      <c r="AN568" s="19" t="s">
        <v>234</v>
      </c>
      <c r="AO568" s="19" t="s">
        <v>235</v>
      </c>
      <c r="AP568" s="94"/>
      <c r="AQ568" s="19" t="s">
        <v>102</v>
      </c>
      <c r="AR568" s="19" t="s">
        <v>241</v>
      </c>
      <c r="AS568" s="19"/>
      <c r="AT568" s="65" t="str">
        <f t="shared" si="169"/>
        <v>N</v>
      </c>
      <c r="AU568" s="65" t="str">
        <f t="shared" si="186"/>
        <v>N</v>
      </c>
      <c r="AV568" s="65" t="str">
        <f t="shared" si="190"/>
        <v>N</v>
      </c>
      <c r="AW568" s="99"/>
      <c r="AX568" s="99"/>
      <c r="AY568" s="19"/>
      <c r="AZ568" s="96" t="str">
        <f t="shared" si="187"/>
        <v>n</v>
      </c>
      <c r="BA568" s="96" t="str">
        <f>IF(AZ568="n","n",VLOOKUP(AZ568,'Conversion factors'!$C$4:$D$24,2,FALSE))</f>
        <v>n</v>
      </c>
      <c r="BB568" s="96" t="str">
        <f t="shared" si="188"/>
        <v>n</v>
      </c>
      <c r="BC568" s="97"/>
      <c r="BD568" s="96" t="str">
        <f t="shared" si="170"/>
        <v>n</v>
      </c>
      <c r="BE568" s="96" t="str">
        <f t="shared" si="189"/>
        <v>n</v>
      </c>
      <c r="BF568" s="98" t="str">
        <f t="shared" si="171"/>
        <v/>
      </c>
      <c r="BG568" s="96" t="str">
        <f>IF(BF568="","",IF(ISNUMBER(VLOOKUP(BF568,'Conversion factors'!$B$35:$C$52,2,FALSE)),"y","n"))</f>
        <v/>
      </c>
      <c r="BH568" s="99" t="s">
        <v>1474</v>
      </c>
    </row>
    <row r="569" spans="1:60" s="103" customFormat="1" ht="15.75" customHeight="1" x14ac:dyDescent="0.2">
      <c r="A569" s="18"/>
      <c r="B569" s="19">
        <v>306</v>
      </c>
      <c r="C569" s="19"/>
      <c r="D569" s="19">
        <v>113958</v>
      </c>
      <c r="E569" s="19" t="s">
        <v>1224</v>
      </c>
      <c r="F569" s="93">
        <v>2007</v>
      </c>
      <c r="G569" s="19" t="s">
        <v>1056</v>
      </c>
      <c r="H569" s="19"/>
      <c r="I569" s="19" t="s">
        <v>41</v>
      </c>
      <c r="J569" s="19" t="s">
        <v>255</v>
      </c>
      <c r="K569" s="19" t="s">
        <v>1398</v>
      </c>
      <c r="L569" s="19" t="s">
        <v>1202</v>
      </c>
      <c r="M569" s="19" t="s">
        <v>1203</v>
      </c>
      <c r="N569" s="19" t="s">
        <v>109</v>
      </c>
      <c r="O569" s="19" t="s">
        <v>235</v>
      </c>
      <c r="P569" s="19" t="s">
        <v>51</v>
      </c>
      <c r="Q569" s="19"/>
      <c r="R569" s="19" t="s">
        <v>81</v>
      </c>
      <c r="S569" s="19" t="s">
        <v>451</v>
      </c>
      <c r="T569" s="19" t="s">
        <v>44</v>
      </c>
      <c r="U569" s="19" t="s">
        <v>44</v>
      </c>
      <c r="V569" s="19" t="s">
        <v>85</v>
      </c>
      <c r="W569" s="19" t="s">
        <v>231</v>
      </c>
      <c r="X569" s="19" t="s">
        <v>46</v>
      </c>
      <c r="Y569" s="29"/>
      <c r="Z569" s="19"/>
      <c r="AA569" s="19"/>
      <c r="AB569" s="19" t="s">
        <v>1058</v>
      </c>
      <c r="AC569" s="19" t="s">
        <v>1322</v>
      </c>
      <c r="AD569" s="19"/>
      <c r="AE569" s="19">
        <f t="shared" si="191"/>
        <v>291.21454899999998</v>
      </c>
      <c r="AF569" s="19"/>
      <c r="AG569" s="19" t="s">
        <v>235</v>
      </c>
      <c r="AH569" s="19"/>
      <c r="AI569" s="19"/>
      <c r="AJ569" s="19">
        <v>5.5</v>
      </c>
      <c r="AK569" s="19" t="s">
        <v>449</v>
      </c>
      <c r="AL569" s="19"/>
      <c r="AM569" s="19" t="s">
        <v>234</v>
      </c>
      <c r="AN569" s="19" t="s">
        <v>234</v>
      </c>
      <c r="AO569" s="19" t="s">
        <v>235</v>
      </c>
      <c r="AP569" s="94"/>
      <c r="AQ569" s="19" t="s">
        <v>102</v>
      </c>
      <c r="AR569" s="19" t="s">
        <v>241</v>
      </c>
      <c r="AS569" s="19"/>
      <c r="AT569" s="65" t="str">
        <f t="shared" si="169"/>
        <v>N</v>
      </c>
      <c r="AU569" s="65" t="str">
        <f t="shared" si="186"/>
        <v>N</v>
      </c>
      <c r="AV569" s="65" t="str">
        <f t="shared" si="190"/>
        <v>N</v>
      </c>
      <c r="AW569" s="99"/>
      <c r="AX569" s="99"/>
      <c r="AY569" s="19"/>
      <c r="AZ569" s="96" t="str">
        <f t="shared" si="187"/>
        <v>n</v>
      </c>
      <c r="BA569" s="96" t="str">
        <f>IF(AZ569="n","n",VLOOKUP(AZ569,'Conversion factors'!$C$4:$D$24,2,FALSE))</f>
        <v>n</v>
      </c>
      <c r="BB569" s="96" t="str">
        <f t="shared" si="188"/>
        <v>n</v>
      </c>
      <c r="BC569" s="97"/>
      <c r="BD569" s="96" t="str">
        <f t="shared" si="170"/>
        <v>n</v>
      </c>
      <c r="BE569" s="96" t="str">
        <f t="shared" si="189"/>
        <v>n</v>
      </c>
      <c r="BF569" s="98" t="str">
        <f t="shared" si="171"/>
        <v/>
      </c>
      <c r="BG569" s="96" t="str">
        <f>IF(BF569="","",IF(ISNUMBER(VLOOKUP(BF569,'Conversion factors'!$B$35:$C$52,2,FALSE)),"y","n"))</f>
        <v/>
      </c>
      <c r="BH569" s="99" t="s">
        <v>1474</v>
      </c>
    </row>
    <row r="570" spans="1:60" s="103" customFormat="1" ht="15.75" customHeight="1" x14ac:dyDescent="0.2">
      <c r="A570" s="18"/>
      <c r="B570" s="19">
        <v>306</v>
      </c>
      <c r="C570" s="19"/>
      <c r="D570" s="19">
        <v>113958</v>
      </c>
      <c r="E570" s="19" t="s">
        <v>1224</v>
      </c>
      <c r="F570" s="93">
        <v>2007</v>
      </c>
      <c r="G570" s="19" t="s">
        <v>1056</v>
      </c>
      <c r="H570" s="19"/>
      <c r="I570" s="19" t="s">
        <v>41</v>
      </c>
      <c r="J570" s="19" t="s">
        <v>255</v>
      </c>
      <c r="K570" s="19" t="s">
        <v>1398</v>
      </c>
      <c r="L570" s="19" t="s">
        <v>1202</v>
      </c>
      <c r="M570" s="19" t="s">
        <v>1203</v>
      </c>
      <c r="N570" s="19" t="s">
        <v>109</v>
      </c>
      <c r="O570" s="19" t="s">
        <v>235</v>
      </c>
      <c r="P570" s="19" t="s">
        <v>51</v>
      </c>
      <c r="Q570" s="19"/>
      <c r="R570" s="19" t="s">
        <v>81</v>
      </c>
      <c r="S570" s="19" t="s">
        <v>858</v>
      </c>
      <c r="T570" s="19" t="s">
        <v>44</v>
      </c>
      <c r="U570" s="19" t="s">
        <v>44</v>
      </c>
      <c r="V570" s="19" t="s">
        <v>85</v>
      </c>
      <c r="W570" s="19" t="s">
        <v>231</v>
      </c>
      <c r="X570" s="19" t="s">
        <v>46</v>
      </c>
      <c r="Y570" s="29"/>
      <c r="Z570" s="19"/>
      <c r="AA570" s="19"/>
      <c r="AB570" s="19" t="s">
        <v>1059</v>
      </c>
      <c r="AC570" s="19" t="s">
        <v>1322</v>
      </c>
      <c r="AD570" s="19"/>
      <c r="AE570" s="19">
        <f t="shared" si="191"/>
        <v>291.21454899999998</v>
      </c>
      <c r="AF570" s="19"/>
      <c r="AG570" s="19" t="s">
        <v>235</v>
      </c>
      <c r="AH570" s="19"/>
      <c r="AI570" s="19"/>
      <c r="AJ570" s="19">
        <v>5.5</v>
      </c>
      <c r="AK570" s="19" t="s">
        <v>449</v>
      </c>
      <c r="AL570" s="19"/>
      <c r="AM570" s="19" t="s">
        <v>234</v>
      </c>
      <c r="AN570" s="19" t="s">
        <v>234</v>
      </c>
      <c r="AO570" s="19" t="s">
        <v>235</v>
      </c>
      <c r="AP570" s="94"/>
      <c r="AQ570" s="19" t="s">
        <v>102</v>
      </c>
      <c r="AR570" s="19" t="s">
        <v>241</v>
      </c>
      <c r="AS570" s="19"/>
      <c r="AT570" s="65" t="str">
        <f t="shared" si="169"/>
        <v>N</v>
      </c>
      <c r="AU570" s="65" t="str">
        <f t="shared" si="186"/>
        <v>N</v>
      </c>
      <c r="AV570" s="65" t="str">
        <f t="shared" si="190"/>
        <v>N</v>
      </c>
      <c r="AW570" s="99"/>
      <c r="AX570" s="99"/>
      <c r="AY570" s="19"/>
      <c r="AZ570" s="96" t="str">
        <f t="shared" si="187"/>
        <v>n</v>
      </c>
      <c r="BA570" s="96" t="str">
        <f>IF(AZ570="n","n",VLOOKUP(AZ570,'Conversion factors'!$C$4:$D$24,2,FALSE))</f>
        <v>n</v>
      </c>
      <c r="BB570" s="96" t="str">
        <f t="shared" si="188"/>
        <v>n</v>
      </c>
      <c r="BC570" s="97"/>
      <c r="BD570" s="96" t="str">
        <f t="shared" si="170"/>
        <v>n</v>
      </c>
      <c r="BE570" s="96" t="str">
        <f t="shared" si="189"/>
        <v>n</v>
      </c>
      <c r="BF570" s="98" t="str">
        <f t="shared" si="171"/>
        <v/>
      </c>
      <c r="BG570" s="96" t="str">
        <f>IF(BF570="","",IF(ISNUMBER(VLOOKUP(BF570,'Conversion factors'!$B$35:$C$52,2,FALSE)),"y","n"))</f>
        <v/>
      </c>
      <c r="BH570" s="99" t="s">
        <v>1474</v>
      </c>
    </row>
    <row r="571" spans="1:60" s="103" customFormat="1" ht="15.75" customHeight="1" x14ac:dyDescent="0.2">
      <c r="A571" s="18"/>
      <c r="B571" s="19">
        <v>306</v>
      </c>
      <c r="C571" s="19"/>
      <c r="D571" s="19">
        <v>113958</v>
      </c>
      <c r="E571" s="19" t="s">
        <v>1224</v>
      </c>
      <c r="F571" s="93">
        <v>2007</v>
      </c>
      <c r="G571" s="19" t="s">
        <v>1056</v>
      </c>
      <c r="H571" s="19"/>
      <c r="I571" s="19" t="s">
        <v>41</v>
      </c>
      <c r="J571" s="19" t="s">
        <v>255</v>
      </c>
      <c r="K571" s="19" t="s">
        <v>1398</v>
      </c>
      <c r="L571" s="19" t="s">
        <v>1202</v>
      </c>
      <c r="M571" s="19" t="s">
        <v>1203</v>
      </c>
      <c r="N571" s="19" t="s">
        <v>109</v>
      </c>
      <c r="O571" s="19" t="s">
        <v>235</v>
      </c>
      <c r="P571" s="19" t="s">
        <v>51</v>
      </c>
      <c r="Q571" s="19"/>
      <c r="R571" s="19" t="s">
        <v>81</v>
      </c>
      <c r="S571" s="19" t="s">
        <v>483</v>
      </c>
      <c r="T571" s="19" t="s">
        <v>44</v>
      </c>
      <c r="U571" s="19" t="s">
        <v>44</v>
      </c>
      <c r="V571" s="19" t="s">
        <v>85</v>
      </c>
      <c r="W571" s="19" t="s">
        <v>231</v>
      </c>
      <c r="X571" s="19" t="s">
        <v>46</v>
      </c>
      <c r="Y571" s="29"/>
      <c r="Z571" s="19"/>
      <c r="AA571" s="19"/>
      <c r="AB571" s="19" t="s">
        <v>1060</v>
      </c>
      <c r="AC571" s="19" t="s">
        <v>1322</v>
      </c>
      <c r="AD571" s="19"/>
      <c r="AE571" s="19">
        <f t="shared" si="191"/>
        <v>291.21454899999998</v>
      </c>
      <c r="AF571" s="19"/>
      <c r="AG571" s="19" t="s">
        <v>235</v>
      </c>
      <c r="AH571" s="19"/>
      <c r="AI571" s="19"/>
      <c r="AJ571" s="19">
        <v>5.5</v>
      </c>
      <c r="AK571" s="19" t="s">
        <v>449</v>
      </c>
      <c r="AL571" s="19"/>
      <c r="AM571" s="19" t="s">
        <v>234</v>
      </c>
      <c r="AN571" s="19" t="s">
        <v>234</v>
      </c>
      <c r="AO571" s="19" t="s">
        <v>235</v>
      </c>
      <c r="AP571" s="94"/>
      <c r="AQ571" s="19" t="s">
        <v>102</v>
      </c>
      <c r="AR571" s="19" t="s">
        <v>241</v>
      </c>
      <c r="AS571" s="19"/>
      <c r="AT571" s="65" t="str">
        <f t="shared" si="169"/>
        <v>N</v>
      </c>
      <c r="AU571" s="65" t="str">
        <f t="shared" si="186"/>
        <v>N</v>
      </c>
      <c r="AV571" s="65" t="str">
        <f t="shared" si="190"/>
        <v>N</v>
      </c>
      <c r="AW571" s="99"/>
      <c r="AX571" s="99"/>
      <c r="AY571" s="19"/>
      <c r="AZ571" s="96" t="str">
        <f t="shared" si="187"/>
        <v>n</v>
      </c>
      <c r="BA571" s="96" t="str">
        <f>IF(AZ571="n","n",VLOOKUP(AZ571,'Conversion factors'!$C$4:$D$24,2,FALSE))</f>
        <v>n</v>
      </c>
      <c r="BB571" s="96" t="str">
        <f t="shared" si="188"/>
        <v>n</v>
      </c>
      <c r="BC571" s="97"/>
      <c r="BD571" s="96" t="str">
        <f t="shared" si="170"/>
        <v>n</v>
      </c>
      <c r="BE571" s="96" t="str">
        <f t="shared" si="189"/>
        <v>n</v>
      </c>
      <c r="BF571" s="98" t="str">
        <f t="shared" si="171"/>
        <v/>
      </c>
      <c r="BG571" s="96" t="str">
        <f>IF(BF571="","",IF(ISNUMBER(VLOOKUP(BF571,'Conversion factors'!$B$35:$C$52,2,FALSE)),"y","n"))</f>
        <v/>
      </c>
      <c r="BH571" s="99" t="s">
        <v>1474</v>
      </c>
    </row>
    <row r="572" spans="1:60" s="103" customFormat="1" ht="15.75" customHeight="1" x14ac:dyDescent="0.2">
      <c r="A572" s="18"/>
      <c r="B572" s="19">
        <v>319</v>
      </c>
      <c r="C572" s="19"/>
      <c r="D572" s="19">
        <v>160820</v>
      </c>
      <c r="E572" s="19" t="s">
        <v>1224</v>
      </c>
      <c r="F572" s="93">
        <v>2012</v>
      </c>
      <c r="G572" s="19" t="s">
        <v>1126</v>
      </c>
      <c r="H572" s="19"/>
      <c r="I572" s="19" t="s">
        <v>41</v>
      </c>
      <c r="J572" s="19" t="s">
        <v>255</v>
      </c>
      <c r="K572" s="19" t="s">
        <v>1398</v>
      </c>
      <c r="L572" s="19" t="s">
        <v>1202</v>
      </c>
      <c r="M572" s="19" t="s">
        <v>1203</v>
      </c>
      <c r="N572" s="19" t="s">
        <v>109</v>
      </c>
      <c r="O572" s="19" t="s">
        <v>235</v>
      </c>
      <c r="P572" s="19" t="s">
        <v>51</v>
      </c>
      <c r="Q572" s="19"/>
      <c r="R572" s="19" t="s">
        <v>81</v>
      </c>
      <c r="S572" s="19" t="s">
        <v>989</v>
      </c>
      <c r="T572" s="19" t="s">
        <v>44</v>
      </c>
      <c r="U572" s="19" t="s">
        <v>44</v>
      </c>
      <c r="V572" s="19" t="s">
        <v>85</v>
      </c>
      <c r="W572" s="19" t="s">
        <v>45</v>
      </c>
      <c r="X572" s="19" t="s">
        <v>46</v>
      </c>
      <c r="Y572" s="29"/>
      <c r="Z572" s="19" t="s">
        <v>86</v>
      </c>
      <c r="AA572" s="19"/>
      <c r="AB572" s="19"/>
      <c r="AC572" s="19" t="s">
        <v>1322</v>
      </c>
      <c r="AD572" s="19"/>
      <c r="AE572" s="19"/>
      <c r="AF572" s="19"/>
      <c r="AG572" s="19" t="s">
        <v>235</v>
      </c>
      <c r="AH572" s="19"/>
      <c r="AI572" s="19"/>
      <c r="AJ572" s="19" t="s">
        <v>234</v>
      </c>
      <c r="AK572" s="19" t="s">
        <v>234</v>
      </c>
      <c r="AL572" s="19"/>
      <c r="AM572" s="19" t="s">
        <v>234</v>
      </c>
      <c r="AN572" s="19" t="s">
        <v>234</v>
      </c>
      <c r="AO572" s="19" t="s">
        <v>235</v>
      </c>
      <c r="AP572" s="94"/>
      <c r="AQ572" s="19" t="s">
        <v>1129</v>
      </c>
      <c r="AR572" s="19" t="s">
        <v>241</v>
      </c>
      <c r="AS572" s="19"/>
      <c r="AT572" s="65" t="str">
        <f t="shared" si="169"/>
        <v>N</v>
      </c>
      <c r="AU572" s="65" t="str">
        <f t="shared" si="186"/>
        <v>N</v>
      </c>
      <c r="AV572" s="65" t="str">
        <f t="shared" si="190"/>
        <v>N</v>
      </c>
      <c r="AW572" s="99"/>
      <c r="AX572" s="99"/>
      <c r="AY572" s="19"/>
      <c r="AZ572" s="96" t="str">
        <f t="shared" si="187"/>
        <v>n</v>
      </c>
      <c r="BA572" s="96" t="str">
        <f>IF(AZ572="n","n",VLOOKUP(AZ572,'Conversion factors'!$C$4:$D$24,2,FALSE))</f>
        <v>n</v>
      </c>
      <c r="BB572" s="96" t="str">
        <f t="shared" si="188"/>
        <v>n</v>
      </c>
      <c r="BC572" s="97"/>
      <c r="BD572" s="96" t="str">
        <f t="shared" si="170"/>
        <v>n</v>
      </c>
      <c r="BE572" s="96" t="str">
        <f t="shared" si="189"/>
        <v>n</v>
      </c>
      <c r="BF572" s="98" t="str">
        <f t="shared" si="171"/>
        <v/>
      </c>
      <c r="BG572" s="96" t="str">
        <f>IF(BF572="","",IF(ISNUMBER(VLOOKUP(BF572,'Conversion factors'!$B$35:$C$52,2,FALSE)),"y","n"))</f>
        <v/>
      </c>
      <c r="BH572" s="99"/>
    </row>
    <row r="573" spans="1:60" s="103" customFormat="1" ht="15.75" customHeight="1" x14ac:dyDescent="0.2">
      <c r="A573" s="18"/>
      <c r="B573" s="19">
        <v>322</v>
      </c>
      <c r="C573" s="19"/>
      <c r="D573" s="19">
        <v>163332</v>
      </c>
      <c r="E573" s="19" t="s">
        <v>1224</v>
      </c>
      <c r="F573" s="93">
        <v>2010</v>
      </c>
      <c r="G573" s="19" t="s">
        <v>1141</v>
      </c>
      <c r="H573" s="19"/>
      <c r="I573" s="19" t="s">
        <v>41</v>
      </c>
      <c r="J573" s="19" t="s">
        <v>255</v>
      </c>
      <c r="K573" s="19" t="s">
        <v>1398</v>
      </c>
      <c r="L573" s="19" t="s">
        <v>1202</v>
      </c>
      <c r="M573" s="19" t="s">
        <v>1203</v>
      </c>
      <c r="N573" s="19" t="s">
        <v>109</v>
      </c>
      <c r="O573" s="19" t="s">
        <v>235</v>
      </c>
      <c r="P573" s="19" t="s">
        <v>51</v>
      </c>
      <c r="Q573" s="19"/>
      <c r="R573" s="19" t="s">
        <v>256</v>
      </c>
      <c r="S573" s="19" t="s">
        <v>304</v>
      </c>
      <c r="T573" s="19" t="s">
        <v>54</v>
      </c>
      <c r="U573" s="19" t="s">
        <v>54</v>
      </c>
      <c r="V573" s="19" t="s">
        <v>85</v>
      </c>
      <c r="W573" s="19" t="s">
        <v>45</v>
      </c>
      <c r="X573" s="19" t="s">
        <v>46</v>
      </c>
      <c r="Y573" s="29"/>
      <c r="Z573" s="19">
        <v>300</v>
      </c>
      <c r="AA573" s="19"/>
      <c r="AB573" s="19"/>
      <c r="AC573" s="19" t="s">
        <v>1322</v>
      </c>
      <c r="AD573" s="19"/>
      <c r="AE573" s="19"/>
      <c r="AF573" s="19"/>
      <c r="AG573" s="19" t="s">
        <v>235</v>
      </c>
      <c r="AH573" s="19"/>
      <c r="AI573" s="19"/>
      <c r="AJ573" s="19" t="s">
        <v>234</v>
      </c>
      <c r="AK573" s="19" t="s">
        <v>234</v>
      </c>
      <c r="AL573" s="19"/>
      <c r="AM573" s="19" t="s">
        <v>234</v>
      </c>
      <c r="AN573" s="19" t="s">
        <v>234</v>
      </c>
      <c r="AO573" s="19" t="s">
        <v>235</v>
      </c>
      <c r="AP573" s="94"/>
      <c r="AQ573" s="19" t="s">
        <v>150</v>
      </c>
      <c r="AR573" s="19" t="s">
        <v>241</v>
      </c>
      <c r="AS573" s="19"/>
      <c r="AT573" s="65" t="str">
        <f t="shared" si="169"/>
        <v>N</v>
      </c>
      <c r="AU573" s="65" t="str">
        <f t="shared" si="186"/>
        <v>N</v>
      </c>
      <c r="AV573" s="65" t="str">
        <f t="shared" si="190"/>
        <v>N</v>
      </c>
      <c r="AW573" s="99"/>
      <c r="AX573" s="99"/>
      <c r="AY573" s="19"/>
      <c r="AZ573" s="96" t="str">
        <f t="shared" si="187"/>
        <v>n</v>
      </c>
      <c r="BA573" s="96" t="str">
        <f>IF(AZ573="n","n",VLOOKUP(AZ573,'Conversion factors'!$C$4:$D$24,2,FALSE))</f>
        <v>n</v>
      </c>
      <c r="BB573" s="96" t="str">
        <f t="shared" si="188"/>
        <v>n</v>
      </c>
      <c r="BC573" s="97"/>
      <c r="BD573" s="96" t="str">
        <f t="shared" si="170"/>
        <v>n</v>
      </c>
      <c r="BE573" s="96" t="str">
        <f t="shared" si="189"/>
        <v>n</v>
      </c>
      <c r="BF573" s="98" t="str">
        <f t="shared" si="171"/>
        <v/>
      </c>
      <c r="BG573" s="96" t="str">
        <f>IF(BF573="","",IF(ISNUMBER(VLOOKUP(BF573,'Conversion factors'!$B$35:$C$52,2,FALSE)),"y","n"))</f>
        <v/>
      </c>
      <c r="BH573" s="99"/>
    </row>
    <row r="574" spans="1:60" s="103" customFormat="1" ht="15.75" customHeight="1" x14ac:dyDescent="0.2">
      <c r="A574" s="18"/>
      <c r="B574" s="19">
        <v>322</v>
      </c>
      <c r="C574" s="19"/>
      <c r="D574" s="19">
        <v>163332</v>
      </c>
      <c r="E574" s="19" t="s">
        <v>1224</v>
      </c>
      <c r="F574" s="93">
        <v>2010</v>
      </c>
      <c r="G574" s="19" t="s">
        <v>1141</v>
      </c>
      <c r="H574" s="19"/>
      <c r="I574" s="19" t="s">
        <v>41</v>
      </c>
      <c r="J574" s="19" t="s">
        <v>255</v>
      </c>
      <c r="K574" s="19" t="s">
        <v>1398</v>
      </c>
      <c r="L574" s="19" t="s">
        <v>1202</v>
      </c>
      <c r="M574" s="19" t="s">
        <v>1203</v>
      </c>
      <c r="N574" s="19" t="s">
        <v>109</v>
      </c>
      <c r="O574" s="19" t="s">
        <v>235</v>
      </c>
      <c r="P574" s="19" t="s">
        <v>51</v>
      </c>
      <c r="Q574" s="19"/>
      <c r="R574" s="19" t="s">
        <v>256</v>
      </c>
      <c r="S574" s="19" t="s">
        <v>304</v>
      </c>
      <c r="T574" s="19" t="s">
        <v>54</v>
      </c>
      <c r="U574" s="19" t="s">
        <v>54</v>
      </c>
      <c r="V574" s="19" t="s">
        <v>126</v>
      </c>
      <c r="W574" s="19" t="s">
        <v>45</v>
      </c>
      <c r="X574" s="19" t="s">
        <v>46</v>
      </c>
      <c r="Y574" s="29"/>
      <c r="Z574" s="19">
        <v>300</v>
      </c>
      <c r="AA574" s="19"/>
      <c r="AB574" s="19"/>
      <c r="AC574" s="19" t="s">
        <v>1322</v>
      </c>
      <c r="AD574" s="19"/>
      <c r="AE574" s="19"/>
      <c r="AF574" s="19"/>
      <c r="AG574" s="19" t="s">
        <v>235</v>
      </c>
      <c r="AH574" s="19"/>
      <c r="AI574" s="19"/>
      <c r="AJ574" s="19" t="s">
        <v>234</v>
      </c>
      <c r="AK574" s="19" t="s">
        <v>234</v>
      </c>
      <c r="AL574" s="19"/>
      <c r="AM574" s="19" t="s">
        <v>234</v>
      </c>
      <c r="AN574" s="19" t="s">
        <v>234</v>
      </c>
      <c r="AO574" s="19" t="s">
        <v>235</v>
      </c>
      <c r="AP574" s="94"/>
      <c r="AQ574" s="19" t="s">
        <v>150</v>
      </c>
      <c r="AR574" s="19" t="s">
        <v>241</v>
      </c>
      <c r="AS574" s="19"/>
      <c r="AT574" s="65" t="str">
        <f t="shared" si="169"/>
        <v>N</v>
      </c>
      <c r="AU574" s="65" t="str">
        <f t="shared" si="186"/>
        <v>N</v>
      </c>
      <c r="AV574" s="65" t="str">
        <f t="shared" si="190"/>
        <v>N</v>
      </c>
      <c r="AW574" s="99"/>
      <c r="AX574" s="99"/>
      <c r="AY574" s="19"/>
      <c r="AZ574" s="96" t="str">
        <f t="shared" si="187"/>
        <v>n</v>
      </c>
      <c r="BA574" s="96" t="str">
        <f>IF(AZ574="n","n",VLOOKUP(AZ574,'Conversion factors'!$C$4:$D$24,2,FALSE))</f>
        <v>n</v>
      </c>
      <c r="BB574" s="96" t="str">
        <f t="shared" si="188"/>
        <v>n</v>
      </c>
      <c r="BC574" s="97"/>
      <c r="BD574" s="96" t="str">
        <f t="shared" si="170"/>
        <v>n</v>
      </c>
      <c r="BE574" s="96" t="str">
        <f t="shared" si="189"/>
        <v>n</v>
      </c>
      <c r="BF574" s="98" t="str">
        <f t="shared" si="171"/>
        <v/>
      </c>
      <c r="BG574" s="96" t="str">
        <f>IF(BF574="","",IF(ISNUMBER(VLOOKUP(BF574,'Conversion factors'!$B$35:$C$52,2,FALSE)),"y","n"))</f>
        <v/>
      </c>
      <c r="BH574" s="99"/>
    </row>
    <row r="575" spans="1:60" s="103" customFormat="1" ht="15.75" customHeight="1" x14ac:dyDescent="0.2">
      <c r="A575" s="18"/>
      <c r="B575" s="19">
        <v>322</v>
      </c>
      <c r="C575" s="19"/>
      <c r="D575" s="19">
        <v>163332</v>
      </c>
      <c r="E575" s="19" t="s">
        <v>1224</v>
      </c>
      <c r="F575" s="93">
        <v>2010</v>
      </c>
      <c r="G575" s="19" t="s">
        <v>1141</v>
      </c>
      <c r="H575" s="19"/>
      <c r="I575" s="19" t="s">
        <v>41</v>
      </c>
      <c r="J575" s="19" t="s">
        <v>255</v>
      </c>
      <c r="K575" s="19" t="s">
        <v>1398</v>
      </c>
      <c r="L575" s="19" t="s">
        <v>1202</v>
      </c>
      <c r="M575" s="19" t="s">
        <v>1203</v>
      </c>
      <c r="N575" s="19" t="s">
        <v>109</v>
      </c>
      <c r="O575" s="19" t="s">
        <v>235</v>
      </c>
      <c r="P575" s="19" t="s">
        <v>51</v>
      </c>
      <c r="Q575" s="19"/>
      <c r="R575" s="19" t="s">
        <v>256</v>
      </c>
      <c r="S575" s="19" t="s">
        <v>304</v>
      </c>
      <c r="T575" s="19" t="s">
        <v>55</v>
      </c>
      <c r="U575" s="19" t="s">
        <v>55</v>
      </c>
      <c r="V575" s="19" t="s">
        <v>1209</v>
      </c>
      <c r="W575" s="19" t="s">
        <v>45</v>
      </c>
      <c r="X575" s="19" t="s">
        <v>46</v>
      </c>
      <c r="Y575" s="29"/>
      <c r="Z575" s="19">
        <v>300</v>
      </c>
      <c r="AA575" s="19"/>
      <c r="AB575" s="19"/>
      <c r="AC575" s="19" t="s">
        <v>1322</v>
      </c>
      <c r="AD575" s="19"/>
      <c r="AE575" s="19"/>
      <c r="AF575" s="19"/>
      <c r="AG575" s="19" t="s">
        <v>235</v>
      </c>
      <c r="AH575" s="19"/>
      <c r="AI575" s="19"/>
      <c r="AJ575" s="19" t="s">
        <v>234</v>
      </c>
      <c r="AK575" s="19" t="s">
        <v>234</v>
      </c>
      <c r="AL575" s="19"/>
      <c r="AM575" s="19" t="s">
        <v>234</v>
      </c>
      <c r="AN575" s="19" t="s">
        <v>234</v>
      </c>
      <c r="AO575" s="19" t="s">
        <v>235</v>
      </c>
      <c r="AP575" s="94"/>
      <c r="AQ575" s="19" t="s">
        <v>150</v>
      </c>
      <c r="AR575" s="19" t="s">
        <v>241</v>
      </c>
      <c r="AS575" s="19"/>
      <c r="AT575" s="65" t="str">
        <f t="shared" si="169"/>
        <v>N</v>
      </c>
      <c r="AU575" s="65" t="str">
        <f t="shared" si="186"/>
        <v>N</v>
      </c>
      <c r="AV575" s="65" t="str">
        <f t="shared" si="190"/>
        <v>N</v>
      </c>
      <c r="AW575" s="99"/>
      <c r="AX575" s="99"/>
      <c r="AY575" s="19"/>
      <c r="AZ575" s="96" t="str">
        <f t="shared" si="187"/>
        <v>n</v>
      </c>
      <c r="BA575" s="96" t="str">
        <f>IF(AZ575="n","n",VLOOKUP(AZ575,'Conversion factors'!$C$4:$D$24,2,FALSE))</f>
        <v>n</v>
      </c>
      <c r="BB575" s="96" t="str">
        <f t="shared" si="188"/>
        <v>n</v>
      </c>
      <c r="BC575" s="97"/>
      <c r="BD575" s="96" t="str">
        <f t="shared" si="170"/>
        <v>n</v>
      </c>
      <c r="BE575" s="96" t="str">
        <f t="shared" si="189"/>
        <v>n</v>
      </c>
      <c r="BF575" s="98" t="str">
        <f t="shared" si="171"/>
        <v/>
      </c>
      <c r="BG575" s="96" t="str">
        <f>IF(BF575="","",IF(ISNUMBER(VLOOKUP(BF575,'Conversion factors'!$B$35:$C$52,2,FALSE)),"y","n"))</f>
        <v/>
      </c>
      <c r="BH575" s="99" t="s">
        <v>1470</v>
      </c>
    </row>
    <row r="576" spans="1:60" s="103" customFormat="1" ht="15.75" customHeight="1" x14ac:dyDescent="0.2">
      <c r="A576" s="18"/>
      <c r="B576" s="19">
        <v>322</v>
      </c>
      <c r="C576" s="19"/>
      <c r="D576" s="19">
        <v>163332</v>
      </c>
      <c r="E576" s="19" t="s">
        <v>1224</v>
      </c>
      <c r="F576" s="93">
        <v>2010</v>
      </c>
      <c r="G576" s="19" t="s">
        <v>1141</v>
      </c>
      <c r="H576" s="19"/>
      <c r="I576" s="19" t="s">
        <v>41</v>
      </c>
      <c r="J576" s="19" t="s">
        <v>255</v>
      </c>
      <c r="K576" s="19" t="s">
        <v>1398</v>
      </c>
      <c r="L576" s="19" t="s">
        <v>1202</v>
      </c>
      <c r="M576" s="19" t="s">
        <v>1203</v>
      </c>
      <c r="N576" s="19" t="s">
        <v>109</v>
      </c>
      <c r="O576" s="19" t="s">
        <v>235</v>
      </c>
      <c r="P576" s="19" t="s">
        <v>51</v>
      </c>
      <c r="Q576" s="19"/>
      <c r="R576" s="19" t="s">
        <v>256</v>
      </c>
      <c r="S576" s="19" t="s">
        <v>304</v>
      </c>
      <c r="T576" s="19" t="s">
        <v>54</v>
      </c>
      <c r="U576" s="19" t="s">
        <v>54</v>
      </c>
      <c r="V576" s="19" t="s">
        <v>1209</v>
      </c>
      <c r="W576" s="19" t="s">
        <v>45</v>
      </c>
      <c r="X576" s="19" t="s">
        <v>46</v>
      </c>
      <c r="Y576" s="29"/>
      <c r="Z576" s="19">
        <v>150</v>
      </c>
      <c r="AA576" s="19"/>
      <c r="AB576" s="19"/>
      <c r="AC576" s="19" t="s">
        <v>1322</v>
      </c>
      <c r="AD576" s="19"/>
      <c r="AE576" s="19"/>
      <c r="AF576" s="19"/>
      <c r="AG576" s="19" t="s">
        <v>235</v>
      </c>
      <c r="AH576" s="19"/>
      <c r="AI576" s="19"/>
      <c r="AJ576" s="19" t="s">
        <v>234</v>
      </c>
      <c r="AK576" s="19" t="s">
        <v>234</v>
      </c>
      <c r="AL576" s="19"/>
      <c r="AM576" s="19" t="s">
        <v>234</v>
      </c>
      <c r="AN576" s="19" t="s">
        <v>234</v>
      </c>
      <c r="AO576" s="19" t="s">
        <v>235</v>
      </c>
      <c r="AP576" s="94"/>
      <c r="AQ576" s="19" t="s">
        <v>150</v>
      </c>
      <c r="AR576" s="19" t="s">
        <v>241</v>
      </c>
      <c r="AS576" s="19"/>
      <c r="AT576" s="65" t="str">
        <f t="shared" si="169"/>
        <v>N</v>
      </c>
      <c r="AU576" s="65" t="str">
        <f t="shared" si="186"/>
        <v>N</v>
      </c>
      <c r="AV576" s="65" t="str">
        <f t="shared" si="190"/>
        <v>N</v>
      </c>
      <c r="AW576" s="99"/>
      <c r="AX576" s="99"/>
      <c r="AY576" s="19"/>
      <c r="AZ576" s="96" t="str">
        <f t="shared" si="187"/>
        <v>n</v>
      </c>
      <c r="BA576" s="96" t="str">
        <f>IF(AZ576="n","n",VLOOKUP(AZ576,'Conversion factors'!$C$4:$D$24,2,FALSE))</f>
        <v>n</v>
      </c>
      <c r="BB576" s="96" t="str">
        <f t="shared" si="188"/>
        <v>n</v>
      </c>
      <c r="BC576" s="97"/>
      <c r="BD576" s="96" t="str">
        <f t="shared" si="170"/>
        <v>n</v>
      </c>
      <c r="BE576" s="96" t="str">
        <f t="shared" si="189"/>
        <v>n</v>
      </c>
      <c r="BF576" s="98" t="str">
        <f t="shared" si="171"/>
        <v/>
      </c>
      <c r="BG576" s="96" t="str">
        <f>IF(BF576="","",IF(ISNUMBER(VLOOKUP(BF576,'Conversion factors'!$B$35:$C$52,2,FALSE)),"y","n"))</f>
        <v/>
      </c>
      <c r="BH576" s="99"/>
    </row>
    <row r="577" spans="1:62" s="103" customFormat="1" ht="15.75" customHeight="1" x14ac:dyDescent="0.2">
      <c r="A577" s="18"/>
      <c r="B577" s="19">
        <v>322</v>
      </c>
      <c r="C577" s="19"/>
      <c r="D577" s="19">
        <v>163332</v>
      </c>
      <c r="E577" s="19" t="s">
        <v>1224</v>
      </c>
      <c r="F577" s="93">
        <v>2010</v>
      </c>
      <c r="G577" s="19" t="s">
        <v>1141</v>
      </c>
      <c r="H577" s="19"/>
      <c r="I577" s="19" t="s">
        <v>41</v>
      </c>
      <c r="J577" s="19" t="s">
        <v>255</v>
      </c>
      <c r="K577" s="19" t="s">
        <v>1398</v>
      </c>
      <c r="L577" s="19" t="s">
        <v>1202</v>
      </c>
      <c r="M577" s="19" t="s">
        <v>1203</v>
      </c>
      <c r="N577" s="19" t="s">
        <v>109</v>
      </c>
      <c r="O577" s="19" t="s">
        <v>235</v>
      </c>
      <c r="P577" s="19" t="s">
        <v>51</v>
      </c>
      <c r="Q577" s="19"/>
      <c r="R577" s="19" t="s">
        <v>256</v>
      </c>
      <c r="S577" s="19" t="s">
        <v>302</v>
      </c>
      <c r="T577" s="19" t="s">
        <v>55</v>
      </c>
      <c r="U577" s="19" t="s">
        <v>55</v>
      </c>
      <c r="V577" s="19" t="s">
        <v>101</v>
      </c>
      <c r="W577" s="19" t="s">
        <v>45</v>
      </c>
      <c r="X577" s="19" t="s">
        <v>46</v>
      </c>
      <c r="Y577" s="29"/>
      <c r="Z577" s="19">
        <v>300</v>
      </c>
      <c r="AA577" s="19"/>
      <c r="AB577" s="19"/>
      <c r="AC577" s="19" t="s">
        <v>1322</v>
      </c>
      <c r="AD577" s="19"/>
      <c r="AE577" s="19"/>
      <c r="AF577" s="19"/>
      <c r="AG577" s="19" t="s">
        <v>235</v>
      </c>
      <c r="AH577" s="19"/>
      <c r="AI577" s="19"/>
      <c r="AJ577" s="19" t="s">
        <v>234</v>
      </c>
      <c r="AK577" s="19" t="s">
        <v>234</v>
      </c>
      <c r="AL577" s="19"/>
      <c r="AM577" s="19" t="s">
        <v>234</v>
      </c>
      <c r="AN577" s="19" t="s">
        <v>234</v>
      </c>
      <c r="AO577" s="19" t="s">
        <v>235</v>
      </c>
      <c r="AP577" s="94"/>
      <c r="AQ577" s="19" t="s">
        <v>150</v>
      </c>
      <c r="AR577" s="19" t="s">
        <v>241</v>
      </c>
      <c r="AS577" s="19"/>
      <c r="AT577" s="65" t="str">
        <f t="shared" si="169"/>
        <v>N</v>
      </c>
      <c r="AU577" s="65" t="str">
        <f t="shared" si="186"/>
        <v>N</v>
      </c>
      <c r="AV577" s="65" t="str">
        <f t="shared" si="190"/>
        <v>N</v>
      </c>
      <c r="AW577" s="99"/>
      <c r="AX577" s="99"/>
      <c r="AY577" s="19"/>
      <c r="AZ577" s="96" t="str">
        <f t="shared" si="187"/>
        <v>n</v>
      </c>
      <c r="BA577" s="96" t="str">
        <f>IF(AZ577="n","n",VLOOKUP(AZ577,'Conversion factors'!$C$4:$D$24,2,FALSE))</f>
        <v>n</v>
      </c>
      <c r="BB577" s="96" t="str">
        <f t="shared" si="188"/>
        <v>n</v>
      </c>
      <c r="BC577" s="97"/>
      <c r="BD577" s="96" t="str">
        <f t="shared" si="170"/>
        <v>n</v>
      </c>
      <c r="BE577" s="96" t="str">
        <f t="shared" si="189"/>
        <v>n</v>
      </c>
      <c r="BF577" s="98" t="str">
        <f t="shared" si="171"/>
        <v/>
      </c>
      <c r="BG577" s="96" t="str">
        <f>IF(BF577="","",IF(ISNUMBER(VLOOKUP(BF577,'Conversion factors'!$B$35:$C$52,2,FALSE)),"y","n"))</f>
        <v/>
      </c>
      <c r="BH577" s="99" t="s">
        <v>1470</v>
      </c>
    </row>
    <row r="578" spans="1:62" s="103" customFormat="1" ht="15.75" customHeight="1" x14ac:dyDescent="0.2">
      <c r="A578" s="18"/>
      <c r="B578" s="19">
        <v>322</v>
      </c>
      <c r="C578" s="19"/>
      <c r="D578" s="19">
        <v>163332</v>
      </c>
      <c r="E578" s="19" t="s">
        <v>1224</v>
      </c>
      <c r="F578" s="93">
        <v>2010</v>
      </c>
      <c r="G578" s="19" t="s">
        <v>1141</v>
      </c>
      <c r="H578" s="19"/>
      <c r="I578" s="19" t="s">
        <v>41</v>
      </c>
      <c r="J578" s="19" t="s">
        <v>255</v>
      </c>
      <c r="K578" s="19" t="s">
        <v>1398</v>
      </c>
      <c r="L578" s="19" t="s">
        <v>1202</v>
      </c>
      <c r="M578" s="19" t="s">
        <v>1203</v>
      </c>
      <c r="N578" s="19" t="s">
        <v>109</v>
      </c>
      <c r="O578" s="19" t="s">
        <v>235</v>
      </c>
      <c r="P578" s="19" t="s">
        <v>51</v>
      </c>
      <c r="Q578" s="19"/>
      <c r="R578" s="19" t="s">
        <v>256</v>
      </c>
      <c r="S578" s="19" t="s">
        <v>304</v>
      </c>
      <c r="T578" s="19" t="s">
        <v>55</v>
      </c>
      <c r="U578" s="19" t="s">
        <v>55</v>
      </c>
      <c r="V578" s="19" t="s">
        <v>101</v>
      </c>
      <c r="W578" s="19" t="s">
        <v>45</v>
      </c>
      <c r="X578" s="19" t="s">
        <v>46</v>
      </c>
      <c r="Y578" s="29"/>
      <c r="Z578" s="19">
        <v>300</v>
      </c>
      <c r="AA578" s="19"/>
      <c r="AB578" s="19"/>
      <c r="AC578" s="19" t="s">
        <v>1322</v>
      </c>
      <c r="AD578" s="19"/>
      <c r="AE578" s="19"/>
      <c r="AF578" s="19"/>
      <c r="AG578" s="19" t="s">
        <v>235</v>
      </c>
      <c r="AH578" s="19"/>
      <c r="AI578" s="19"/>
      <c r="AJ578" s="19" t="s">
        <v>234</v>
      </c>
      <c r="AK578" s="19" t="s">
        <v>234</v>
      </c>
      <c r="AL578" s="19"/>
      <c r="AM578" s="19" t="s">
        <v>234</v>
      </c>
      <c r="AN578" s="19" t="s">
        <v>234</v>
      </c>
      <c r="AO578" s="19" t="s">
        <v>235</v>
      </c>
      <c r="AP578" s="94"/>
      <c r="AQ578" s="19" t="s">
        <v>150</v>
      </c>
      <c r="AR578" s="19" t="s">
        <v>241</v>
      </c>
      <c r="AS578" s="19"/>
      <c r="AT578" s="65" t="str">
        <f t="shared" si="169"/>
        <v>N</v>
      </c>
      <c r="AU578" s="65" t="str">
        <f t="shared" si="186"/>
        <v>N</v>
      </c>
      <c r="AV578" s="65" t="str">
        <f t="shared" si="190"/>
        <v>N</v>
      </c>
      <c r="AW578" s="99"/>
      <c r="AX578" s="99"/>
      <c r="AY578" s="19"/>
      <c r="AZ578" s="96" t="str">
        <f t="shared" si="187"/>
        <v>n</v>
      </c>
      <c r="BA578" s="96" t="str">
        <f>IF(AZ578="n","n",VLOOKUP(AZ578,'Conversion factors'!$C$4:$D$24,2,FALSE))</f>
        <v>n</v>
      </c>
      <c r="BB578" s="96" t="str">
        <f t="shared" si="188"/>
        <v>n</v>
      </c>
      <c r="BC578" s="97"/>
      <c r="BD578" s="96" t="str">
        <f t="shared" si="170"/>
        <v>n</v>
      </c>
      <c r="BE578" s="96" t="str">
        <f t="shared" si="189"/>
        <v>n</v>
      </c>
      <c r="BF578" s="98" t="str">
        <f t="shared" si="171"/>
        <v/>
      </c>
      <c r="BG578" s="96" t="str">
        <f>IF(BF578="","",IF(ISNUMBER(VLOOKUP(BF578,'Conversion factors'!$B$35:$C$52,2,FALSE)),"y","n"))</f>
        <v/>
      </c>
      <c r="BH578" s="99" t="s">
        <v>1470</v>
      </c>
    </row>
    <row r="579" spans="1:62" s="103" customFormat="1" ht="15.75" customHeight="1" x14ac:dyDescent="0.2">
      <c r="A579" s="18"/>
      <c r="B579" s="19">
        <v>322</v>
      </c>
      <c r="C579" s="19"/>
      <c r="D579" s="19">
        <v>163332</v>
      </c>
      <c r="E579" s="19" t="s">
        <v>1224</v>
      </c>
      <c r="F579" s="93">
        <v>2010</v>
      </c>
      <c r="G579" s="19" t="s">
        <v>1141</v>
      </c>
      <c r="H579" s="19"/>
      <c r="I579" s="19" t="s">
        <v>41</v>
      </c>
      <c r="J579" s="19" t="s">
        <v>255</v>
      </c>
      <c r="K579" s="19" t="s">
        <v>1398</v>
      </c>
      <c r="L579" s="19" t="s">
        <v>1202</v>
      </c>
      <c r="M579" s="19" t="s">
        <v>1203</v>
      </c>
      <c r="N579" s="19" t="s">
        <v>109</v>
      </c>
      <c r="O579" s="19" t="s">
        <v>235</v>
      </c>
      <c r="P579" s="19" t="s">
        <v>51</v>
      </c>
      <c r="Q579" s="19"/>
      <c r="R579" s="19" t="s">
        <v>256</v>
      </c>
      <c r="S579" s="19" t="s">
        <v>1142</v>
      </c>
      <c r="T579" s="19" t="s">
        <v>55</v>
      </c>
      <c r="U579" s="19" t="s">
        <v>55</v>
      </c>
      <c r="V579" s="19" t="s">
        <v>101</v>
      </c>
      <c r="W579" s="19" t="s">
        <v>45</v>
      </c>
      <c r="X579" s="19" t="s">
        <v>46</v>
      </c>
      <c r="Y579" s="29"/>
      <c r="Z579" s="19">
        <v>150</v>
      </c>
      <c r="AA579" s="19"/>
      <c r="AB579" s="19"/>
      <c r="AC579" s="19" t="s">
        <v>1322</v>
      </c>
      <c r="AD579" s="19"/>
      <c r="AE579" s="19"/>
      <c r="AF579" s="19"/>
      <c r="AG579" s="19" t="s">
        <v>235</v>
      </c>
      <c r="AH579" s="19"/>
      <c r="AI579" s="19"/>
      <c r="AJ579" s="19" t="s">
        <v>234</v>
      </c>
      <c r="AK579" s="19" t="s">
        <v>234</v>
      </c>
      <c r="AL579" s="19"/>
      <c r="AM579" s="19" t="s">
        <v>234</v>
      </c>
      <c r="AN579" s="19" t="s">
        <v>234</v>
      </c>
      <c r="AO579" s="19" t="s">
        <v>235</v>
      </c>
      <c r="AP579" s="94"/>
      <c r="AQ579" s="19" t="s">
        <v>150</v>
      </c>
      <c r="AR579" s="19" t="s">
        <v>241</v>
      </c>
      <c r="AS579" s="19"/>
      <c r="AT579" s="65" t="str">
        <f t="shared" si="169"/>
        <v>N</v>
      </c>
      <c r="AU579" s="65" t="str">
        <f t="shared" si="186"/>
        <v>N</v>
      </c>
      <c r="AV579" s="65" t="str">
        <f t="shared" si="190"/>
        <v>N</v>
      </c>
      <c r="AW579" s="99"/>
      <c r="AX579" s="99"/>
      <c r="AY579" s="19"/>
      <c r="AZ579" s="96" t="str">
        <f t="shared" si="187"/>
        <v>n</v>
      </c>
      <c r="BA579" s="96" t="str">
        <f>IF(AZ579="n","n",VLOOKUP(AZ579,'Conversion factors'!$C$4:$D$24,2,FALSE))</f>
        <v>n</v>
      </c>
      <c r="BB579" s="96" t="str">
        <f t="shared" si="188"/>
        <v>n</v>
      </c>
      <c r="BC579" s="97"/>
      <c r="BD579" s="96" t="str">
        <f t="shared" si="170"/>
        <v>n</v>
      </c>
      <c r="BE579" s="96" t="str">
        <f t="shared" si="189"/>
        <v>n</v>
      </c>
      <c r="BF579" s="98" t="str">
        <f t="shared" si="171"/>
        <v/>
      </c>
      <c r="BG579" s="96" t="str">
        <f>IF(BF579="","",IF(ISNUMBER(VLOOKUP(BF579,'Conversion factors'!$B$35:$C$52,2,FALSE)),"y","n"))</f>
        <v/>
      </c>
      <c r="BH579" s="99" t="s">
        <v>1470</v>
      </c>
    </row>
    <row r="580" spans="1:62" s="103" customFormat="1" ht="15.75" customHeight="1" x14ac:dyDescent="0.2">
      <c r="A580" s="18"/>
      <c r="B580" s="19">
        <v>322</v>
      </c>
      <c r="C580" s="19"/>
      <c r="D580" s="19">
        <v>163332</v>
      </c>
      <c r="E580" s="19" t="s">
        <v>1224</v>
      </c>
      <c r="F580" s="93">
        <v>2010</v>
      </c>
      <c r="G580" s="19" t="s">
        <v>1141</v>
      </c>
      <c r="H580" s="19"/>
      <c r="I580" s="19" t="s">
        <v>41</v>
      </c>
      <c r="J580" s="19" t="s">
        <v>255</v>
      </c>
      <c r="K580" s="19" t="s">
        <v>1398</v>
      </c>
      <c r="L580" s="19" t="s">
        <v>1202</v>
      </c>
      <c r="M580" s="19" t="s">
        <v>1203</v>
      </c>
      <c r="N580" s="19" t="s">
        <v>109</v>
      </c>
      <c r="O580" s="19" t="s">
        <v>235</v>
      </c>
      <c r="P580" s="19" t="s">
        <v>51</v>
      </c>
      <c r="Q580" s="19"/>
      <c r="R580" s="19" t="s">
        <v>256</v>
      </c>
      <c r="S580" s="19" t="s">
        <v>302</v>
      </c>
      <c r="T580" s="19" t="s">
        <v>55</v>
      </c>
      <c r="U580" s="19" t="s">
        <v>55</v>
      </c>
      <c r="V580" s="19" t="s">
        <v>101</v>
      </c>
      <c r="W580" s="19" t="s">
        <v>45</v>
      </c>
      <c r="X580" s="19" t="s">
        <v>46</v>
      </c>
      <c r="Y580" s="29"/>
      <c r="Z580" s="19">
        <v>150</v>
      </c>
      <c r="AA580" s="19"/>
      <c r="AB580" s="19"/>
      <c r="AC580" s="19" t="s">
        <v>1322</v>
      </c>
      <c r="AD580" s="19"/>
      <c r="AE580" s="19"/>
      <c r="AF580" s="19"/>
      <c r="AG580" s="19" t="s">
        <v>235</v>
      </c>
      <c r="AH580" s="19"/>
      <c r="AI580" s="19"/>
      <c r="AJ580" s="19" t="s">
        <v>234</v>
      </c>
      <c r="AK580" s="19" t="s">
        <v>234</v>
      </c>
      <c r="AL580" s="19"/>
      <c r="AM580" s="19" t="s">
        <v>234</v>
      </c>
      <c r="AN580" s="19" t="s">
        <v>234</v>
      </c>
      <c r="AO580" s="19" t="s">
        <v>235</v>
      </c>
      <c r="AP580" s="94"/>
      <c r="AQ580" s="19" t="s">
        <v>150</v>
      </c>
      <c r="AR580" s="19" t="s">
        <v>241</v>
      </c>
      <c r="AS580" s="19"/>
      <c r="AT580" s="65" t="str">
        <f t="shared" si="169"/>
        <v>N</v>
      </c>
      <c r="AU580" s="65" t="str">
        <f t="shared" si="186"/>
        <v>N</v>
      </c>
      <c r="AV580" s="65" t="str">
        <f t="shared" si="190"/>
        <v>N</v>
      </c>
      <c r="AW580" s="99"/>
      <c r="AX580" s="99"/>
      <c r="AY580" s="19"/>
      <c r="AZ580" s="96" t="str">
        <f t="shared" si="187"/>
        <v>n</v>
      </c>
      <c r="BA580" s="96" t="str">
        <f>IF(AZ580="n","n",VLOOKUP(AZ580,'Conversion factors'!$C$4:$D$24,2,FALSE))</f>
        <v>n</v>
      </c>
      <c r="BB580" s="96" t="str">
        <f t="shared" si="188"/>
        <v>n</v>
      </c>
      <c r="BC580" s="97"/>
      <c r="BD580" s="96" t="str">
        <f t="shared" si="170"/>
        <v>n</v>
      </c>
      <c r="BE580" s="96" t="str">
        <f t="shared" si="189"/>
        <v>n</v>
      </c>
      <c r="BF580" s="98" t="str">
        <f t="shared" si="171"/>
        <v/>
      </c>
      <c r="BG580" s="96" t="str">
        <f>IF(BF580="","",IF(ISNUMBER(VLOOKUP(BF580,'Conversion factors'!$B$35:$C$52,2,FALSE)),"y","n"))</f>
        <v/>
      </c>
      <c r="BH580" s="99" t="s">
        <v>1470</v>
      </c>
    </row>
    <row r="581" spans="1:62" s="103" customFormat="1" ht="15.75" customHeight="1" x14ac:dyDescent="0.2">
      <c r="A581" s="18"/>
      <c r="B581" s="19">
        <v>322</v>
      </c>
      <c r="C581" s="19"/>
      <c r="D581" s="19">
        <v>163332</v>
      </c>
      <c r="E581" s="19" t="s">
        <v>1224</v>
      </c>
      <c r="F581" s="93">
        <v>2010</v>
      </c>
      <c r="G581" s="19" t="s">
        <v>1141</v>
      </c>
      <c r="H581" s="19"/>
      <c r="I581" s="19" t="s">
        <v>41</v>
      </c>
      <c r="J581" s="19" t="s">
        <v>255</v>
      </c>
      <c r="K581" s="19" t="s">
        <v>1398</v>
      </c>
      <c r="L581" s="19" t="s">
        <v>1202</v>
      </c>
      <c r="M581" s="19" t="s">
        <v>1203</v>
      </c>
      <c r="N581" s="19" t="s">
        <v>109</v>
      </c>
      <c r="O581" s="19" t="s">
        <v>235</v>
      </c>
      <c r="P581" s="19" t="s">
        <v>51</v>
      </c>
      <c r="Q581" s="19"/>
      <c r="R581" s="19" t="s">
        <v>256</v>
      </c>
      <c r="S581" s="19" t="s">
        <v>435</v>
      </c>
      <c r="T581" s="19" t="s">
        <v>55</v>
      </c>
      <c r="U581" s="19" t="s">
        <v>55</v>
      </c>
      <c r="V581" s="19" t="s">
        <v>101</v>
      </c>
      <c r="W581" s="19" t="s">
        <v>45</v>
      </c>
      <c r="X581" s="19" t="s">
        <v>46</v>
      </c>
      <c r="Y581" s="29"/>
      <c r="Z581" s="19">
        <v>150</v>
      </c>
      <c r="AA581" s="19"/>
      <c r="AB581" s="19"/>
      <c r="AC581" s="19" t="s">
        <v>1322</v>
      </c>
      <c r="AD581" s="19"/>
      <c r="AE581" s="19"/>
      <c r="AF581" s="19"/>
      <c r="AG581" s="19" t="s">
        <v>235</v>
      </c>
      <c r="AH581" s="19"/>
      <c r="AI581" s="19"/>
      <c r="AJ581" s="19" t="s">
        <v>234</v>
      </c>
      <c r="AK581" s="19" t="s">
        <v>234</v>
      </c>
      <c r="AL581" s="19"/>
      <c r="AM581" s="19" t="s">
        <v>234</v>
      </c>
      <c r="AN581" s="19" t="s">
        <v>234</v>
      </c>
      <c r="AO581" s="19" t="s">
        <v>235</v>
      </c>
      <c r="AP581" s="94"/>
      <c r="AQ581" s="19" t="s">
        <v>150</v>
      </c>
      <c r="AR581" s="19" t="s">
        <v>241</v>
      </c>
      <c r="AS581" s="19"/>
      <c r="AT581" s="65" t="str">
        <f t="shared" si="169"/>
        <v>N</v>
      </c>
      <c r="AU581" s="65" t="str">
        <f t="shared" si="186"/>
        <v>N</v>
      </c>
      <c r="AV581" s="65" t="str">
        <f t="shared" si="190"/>
        <v>N</v>
      </c>
      <c r="AW581" s="99"/>
      <c r="AX581" s="99"/>
      <c r="AY581" s="19"/>
      <c r="AZ581" s="96" t="str">
        <f t="shared" si="187"/>
        <v>n</v>
      </c>
      <c r="BA581" s="96" t="str">
        <f>IF(AZ581="n","n",VLOOKUP(AZ581,'Conversion factors'!$C$4:$D$24,2,FALSE))</f>
        <v>n</v>
      </c>
      <c r="BB581" s="96" t="str">
        <f t="shared" si="188"/>
        <v>n</v>
      </c>
      <c r="BC581" s="97"/>
      <c r="BD581" s="96" t="str">
        <f t="shared" si="170"/>
        <v>n</v>
      </c>
      <c r="BE581" s="96" t="str">
        <f t="shared" si="189"/>
        <v>n</v>
      </c>
      <c r="BF581" s="98" t="str">
        <f t="shared" si="171"/>
        <v/>
      </c>
      <c r="BG581" s="96" t="str">
        <f>IF(BF581="","",IF(ISNUMBER(VLOOKUP(BF581,'Conversion factors'!$B$35:$C$52,2,FALSE)),"y","n"))</f>
        <v/>
      </c>
      <c r="BH581" s="99" t="s">
        <v>1470</v>
      </c>
    </row>
    <row r="582" spans="1:62" s="103" customFormat="1" ht="15.75" customHeight="1" x14ac:dyDescent="0.2">
      <c r="A582" s="18"/>
      <c r="B582" s="19">
        <v>322</v>
      </c>
      <c r="C582" s="19"/>
      <c r="D582" s="19">
        <v>163332</v>
      </c>
      <c r="E582" s="19" t="s">
        <v>1224</v>
      </c>
      <c r="F582" s="93">
        <v>2010</v>
      </c>
      <c r="G582" s="19" t="s">
        <v>1141</v>
      </c>
      <c r="H582" s="19"/>
      <c r="I582" s="19" t="s">
        <v>41</v>
      </c>
      <c r="J582" s="19" t="s">
        <v>255</v>
      </c>
      <c r="K582" s="19" t="s">
        <v>1398</v>
      </c>
      <c r="L582" s="19" t="s">
        <v>1202</v>
      </c>
      <c r="M582" s="19" t="s">
        <v>1203</v>
      </c>
      <c r="N582" s="19" t="s">
        <v>109</v>
      </c>
      <c r="O582" s="19" t="s">
        <v>235</v>
      </c>
      <c r="P582" s="19" t="s">
        <v>51</v>
      </c>
      <c r="Q582" s="19"/>
      <c r="R582" s="19" t="s">
        <v>256</v>
      </c>
      <c r="S582" s="19" t="s">
        <v>302</v>
      </c>
      <c r="T582" s="19" t="s">
        <v>54</v>
      </c>
      <c r="U582" s="19" t="s">
        <v>54</v>
      </c>
      <c r="V582" s="19" t="s">
        <v>101</v>
      </c>
      <c r="W582" s="19" t="s">
        <v>45</v>
      </c>
      <c r="X582" s="19" t="s">
        <v>46</v>
      </c>
      <c r="Y582" s="29"/>
      <c r="Z582" s="19">
        <v>150</v>
      </c>
      <c r="AA582" s="19"/>
      <c r="AB582" s="19"/>
      <c r="AC582" s="19" t="s">
        <v>1322</v>
      </c>
      <c r="AD582" s="19"/>
      <c r="AE582" s="19"/>
      <c r="AF582" s="19"/>
      <c r="AG582" s="19" t="s">
        <v>235</v>
      </c>
      <c r="AH582" s="19"/>
      <c r="AI582" s="19"/>
      <c r="AJ582" s="19" t="s">
        <v>234</v>
      </c>
      <c r="AK582" s="19" t="s">
        <v>234</v>
      </c>
      <c r="AL582" s="19"/>
      <c r="AM582" s="19" t="s">
        <v>234</v>
      </c>
      <c r="AN582" s="19" t="s">
        <v>234</v>
      </c>
      <c r="AO582" s="19" t="s">
        <v>235</v>
      </c>
      <c r="AP582" s="94"/>
      <c r="AQ582" s="19" t="s">
        <v>150</v>
      </c>
      <c r="AR582" s="19" t="s">
        <v>241</v>
      </c>
      <c r="AS582" s="19"/>
      <c r="AT582" s="65" t="str">
        <f t="shared" si="169"/>
        <v>N</v>
      </c>
      <c r="AU582" s="65" t="str">
        <f t="shared" si="186"/>
        <v>N</v>
      </c>
      <c r="AV582" s="65" t="str">
        <f t="shared" si="190"/>
        <v>N</v>
      </c>
      <c r="AW582" s="99"/>
      <c r="AX582" s="99"/>
      <c r="AY582" s="19"/>
      <c r="AZ582" s="96" t="str">
        <f t="shared" si="187"/>
        <v>n</v>
      </c>
      <c r="BA582" s="96" t="str">
        <f>IF(AZ582="n","n",VLOOKUP(AZ582,'Conversion factors'!$C$4:$D$24,2,FALSE))</f>
        <v>n</v>
      </c>
      <c r="BB582" s="96" t="str">
        <f t="shared" si="188"/>
        <v>n</v>
      </c>
      <c r="BC582" s="97"/>
      <c r="BD582" s="96" t="str">
        <f t="shared" si="170"/>
        <v>n</v>
      </c>
      <c r="BE582" s="96" t="str">
        <f t="shared" si="189"/>
        <v>n</v>
      </c>
      <c r="BF582" s="98" t="str">
        <f t="shared" si="171"/>
        <v/>
      </c>
      <c r="BG582" s="96" t="str">
        <f>IF(BF582="","",IF(ISNUMBER(VLOOKUP(BF582,'Conversion factors'!$B$35:$C$52,2,FALSE)),"y","n"))</f>
        <v/>
      </c>
      <c r="BH582" s="99"/>
    </row>
    <row r="583" spans="1:62" s="103" customFormat="1" ht="15.75" customHeight="1" x14ac:dyDescent="0.2">
      <c r="A583" s="18"/>
      <c r="B583" s="19">
        <v>322</v>
      </c>
      <c r="C583" s="19"/>
      <c r="D583" s="19">
        <v>163332</v>
      </c>
      <c r="E583" s="19" t="s">
        <v>1224</v>
      </c>
      <c r="F583" s="93">
        <v>2010</v>
      </c>
      <c r="G583" s="19" t="s">
        <v>1141</v>
      </c>
      <c r="H583" s="19"/>
      <c r="I583" s="19" t="s">
        <v>41</v>
      </c>
      <c r="J583" s="19" t="s">
        <v>255</v>
      </c>
      <c r="K583" s="19" t="s">
        <v>1398</v>
      </c>
      <c r="L583" s="19" t="s">
        <v>1202</v>
      </c>
      <c r="M583" s="19" t="s">
        <v>1203</v>
      </c>
      <c r="N583" s="19" t="s">
        <v>109</v>
      </c>
      <c r="O583" s="19" t="s">
        <v>235</v>
      </c>
      <c r="P583" s="19" t="s">
        <v>51</v>
      </c>
      <c r="Q583" s="19"/>
      <c r="R583" s="19" t="s">
        <v>256</v>
      </c>
      <c r="S583" s="19" t="s">
        <v>1143</v>
      </c>
      <c r="T583" s="19" t="s">
        <v>54</v>
      </c>
      <c r="U583" s="19" t="s">
        <v>54</v>
      </c>
      <c r="V583" s="19" t="s">
        <v>101</v>
      </c>
      <c r="W583" s="19" t="s">
        <v>45</v>
      </c>
      <c r="X583" s="19" t="s">
        <v>46</v>
      </c>
      <c r="Y583" s="29"/>
      <c r="Z583" s="19">
        <v>150</v>
      </c>
      <c r="AA583" s="19"/>
      <c r="AB583" s="19"/>
      <c r="AC583" s="19" t="s">
        <v>1322</v>
      </c>
      <c r="AD583" s="19"/>
      <c r="AE583" s="19"/>
      <c r="AF583" s="19"/>
      <c r="AG583" s="19" t="s">
        <v>235</v>
      </c>
      <c r="AH583" s="19"/>
      <c r="AI583" s="19"/>
      <c r="AJ583" s="19" t="s">
        <v>234</v>
      </c>
      <c r="AK583" s="19" t="s">
        <v>234</v>
      </c>
      <c r="AL583" s="19"/>
      <c r="AM583" s="19" t="s">
        <v>234</v>
      </c>
      <c r="AN583" s="19" t="s">
        <v>234</v>
      </c>
      <c r="AO583" s="19" t="s">
        <v>235</v>
      </c>
      <c r="AP583" s="94"/>
      <c r="AQ583" s="19" t="s">
        <v>150</v>
      </c>
      <c r="AR583" s="19" t="s">
        <v>241</v>
      </c>
      <c r="AS583" s="19"/>
      <c r="AT583" s="65" t="str">
        <f t="shared" ref="AT583:AT646" si="192">IF(F583&lt;1980,"N",IF(AC583="M","Y",IF(AC583="SM","Y","N")))</f>
        <v>N</v>
      </c>
      <c r="AU583" s="65" t="str">
        <f t="shared" si="186"/>
        <v>N</v>
      </c>
      <c r="AV583" s="65" t="str">
        <f t="shared" si="190"/>
        <v>N</v>
      </c>
      <c r="AW583" s="99"/>
      <c r="AX583" s="99"/>
      <c r="AY583" s="19"/>
      <c r="AZ583" s="96" t="str">
        <f t="shared" si="187"/>
        <v>n</v>
      </c>
      <c r="BA583" s="96" t="str">
        <f>IF(AZ583="n","n",VLOOKUP(AZ583,'Conversion factors'!$C$4:$D$24,2,FALSE))</f>
        <v>n</v>
      </c>
      <c r="BB583" s="96" t="str">
        <f t="shared" si="188"/>
        <v>n</v>
      </c>
      <c r="BC583" s="97"/>
      <c r="BD583" s="96" t="str">
        <f t="shared" ref="BD583:BD646" si="193">IF(AV583="N","n",X583)</f>
        <v>n</v>
      </c>
      <c r="BE583" s="96" t="str">
        <f t="shared" si="189"/>
        <v>n</v>
      </c>
      <c r="BF583" s="98" t="str">
        <f t="shared" si="171"/>
        <v/>
      </c>
      <c r="BG583" s="96" t="str">
        <f>IF(BF583="","",IF(ISNUMBER(VLOOKUP(BF583,'Conversion factors'!$B$35:$C$52,2,FALSE)),"y","n"))</f>
        <v/>
      </c>
      <c r="BH583" s="99"/>
    </row>
    <row r="584" spans="1:62" s="103" customFormat="1" ht="15.75" customHeight="1" x14ac:dyDescent="0.2">
      <c r="A584" s="18"/>
      <c r="B584" s="19">
        <v>322</v>
      </c>
      <c r="C584" s="19"/>
      <c r="D584" s="19">
        <v>163332</v>
      </c>
      <c r="E584" s="19" t="s">
        <v>1224</v>
      </c>
      <c r="F584" s="93">
        <v>2010</v>
      </c>
      <c r="G584" s="19" t="s">
        <v>1141</v>
      </c>
      <c r="H584" s="19"/>
      <c r="I584" s="19" t="s">
        <v>41</v>
      </c>
      <c r="J584" s="19" t="s">
        <v>255</v>
      </c>
      <c r="K584" s="19" t="s">
        <v>1398</v>
      </c>
      <c r="L584" s="19" t="s">
        <v>1202</v>
      </c>
      <c r="M584" s="19" t="s">
        <v>1203</v>
      </c>
      <c r="N584" s="19" t="s">
        <v>109</v>
      </c>
      <c r="O584" s="19" t="s">
        <v>235</v>
      </c>
      <c r="P584" s="19" t="s">
        <v>51</v>
      </c>
      <c r="Q584" s="19"/>
      <c r="R584" s="19" t="s">
        <v>256</v>
      </c>
      <c r="S584" s="19" t="s">
        <v>304</v>
      </c>
      <c r="T584" s="19" t="s">
        <v>54</v>
      </c>
      <c r="U584" s="19" t="s">
        <v>54</v>
      </c>
      <c r="V584" s="19" t="s">
        <v>101</v>
      </c>
      <c r="W584" s="19" t="s">
        <v>45</v>
      </c>
      <c r="X584" s="19" t="s">
        <v>46</v>
      </c>
      <c r="Y584" s="29"/>
      <c r="Z584" s="19">
        <v>150</v>
      </c>
      <c r="AA584" s="19"/>
      <c r="AB584" s="19"/>
      <c r="AC584" s="19" t="s">
        <v>1322</v>
      </c>
      <c r="AD584" s="19"/>
      <c r="AE584" s="19"/>
      <c r="AF584" s="19"/>
      <c r="AG584" s="19" t="s">
        <v>235</v>
      </c>
      <c r="AH584" s="19"/>
      <c r="AI584" s="19"/>
      <c r="AJ584" s="19" t="s">
        <v>234</v>
      </c>
      <c r="AK584" s="19" t="s">
        <v>234</v>
      </c>
      <c r="AL584" s="19"/>
      <c r="AM584" s="19" t="s">
        <v>234</v>
      </c>
      <c r="AN584" s="19" t="s">
        <v>234</v>
      </c>
      <c r="AO584" s="19" t="s">
        <v>235</v>
      </c>
      <c r="AP584" s="94"/>
      <c r="AQ584" s="19" t="s">
        <v>150</v>
      </c>
      <c r="AR584" s="19" t="s">
        <v>241</v>
      </c>
      <c r="AS584" s="19"/>
      <c r="AT584" s="65" t="str">
        <f t="shared" si="192"/>
        <v>N</v>
      </c>
      <c r="AU584" s="65" t="str">
        <f t="shared" si="186"/>
        <v>N</v>
      </c>
      <c r="AV584" s="65" t="str">
        <f t="shared" si="190"/>
        <v>N</v>
      </c>
      <c r="AW584" s="99"/>
      <c r="AX584" s="99"/>
      <c r="AY584" s="19"/>
      <c r="AZ584" s="96" t="str">
        <f t="shared" si="187"/>
        <v>n</v>
      </c>
      <c r="BA584" s="96" t="str">
        <f>IF(AZ584="n","n",VLOOKUP(AZ584,'Conversion factors'!$C$4:$D$24,2,FALSE))</f>
        <v>n</v>
      </c>
      <c r="BB584" s="96" t="str">
        <f t="shared" si="188"/>
        <v>n</v>
      </c>
      <c r="BC584" s="97"/>
      <c r="BD584" s="96" t="str">
        <f t="shared" si="193"/>
        <v>n</v>
      </c>
      <c r="BE584" s="96" t="str">
        <f t="shared" si="189"/>
        <v>n</v>
      </c>
      <c r="BF584" s="98" t="str">
        <f t="shared" ref="BF584:BF647" si="194">IF(BE584="n","",AZ584)</f>
        <v/>
      </c>
      <c r="BG584" s="96" t="str">
        <f>IF(BF584="","",IF(ISNUMBER(VLOOKUP(BF584,'Conversion factors'!$B$35:$C$52,2,FALSE)),"y","n"))</f>
        <v/>
      </c>
      <c r="BH584" s="99"/>
    </row>
    <row r="585" spans="1:62" s="103" customFormat="1" ht="15.75" customHeight="1" x14ac:dyDescent="0.2">
      <c r="A585" s="18"/>
      <c r="B585" s="19">
        <v>327</v>
      </c>
      <c r="C585" s="19"/>
      <c r="D585" s="19">
        <v>169176</v>
      </c>
      <c r="E585" s="19" t="s">
        <v>1224</v>
      </c>
      <c r="F585" s="93">
        <v>2012</v>
      </c>
      <c r="G585" s="19" t="s">
        <v>1178</v>
      </c>
      <c r="H585" s="19"/>
      <c r="I585" s="19" t="s">
        <v>41</v>
      </c>
      <c r="J585" s="19" t="s">
        <v>255</v>
      </c>
      <c r="K585" s="19" t="s">
        <v>1398</v>
      </c>
      <c r="L585" s="19" t="s">
        <v>1202</v>
      </c>
      <c r="M585" s="19" t="s">
        <v>1203</v>
      </c>
      <c r="N585" s="19" t="s">
        <v>109</v>
      </c>
      <c r="O585" s="19" t="s">
        <v>264</v>
      </c>
      <c r="P585" s="19" t="s">
        <v>51</v>
      </c>
      <c r="Q585" s="19"/>
      <c r="R585" s="19" t="s">
        <v>256</v>
      </c>
      <c r="S585" s="19" t="s">
        <v>309</v>
      </c>
      <c r="T585" s="19" t="s">
        <v>44</v>
      </c>
      <c r="U585" s="19" t="s">
        <v>44</v>
      </c>
      <c r="V585" s="19" t="s">
        <v>85</v>
      </c>
      <c r="W585" s="19" t="s">
        <v>45</v>
      </c>
      <c r="X585" s="19" t="s">
        <v>46</v>
      </c>
      <c r="Y585" s="29"/>
      <c r="Z585" s="19"/>
      <c r="AA585" s="19"/>
      <c r="AB585" s="19" t="s">
        <v>1179</v>
      </c>
      <c r="AC585" s="19" t="s">
        <v>1322</v>
      </c>
      <c r="AD585" s="19"/>
      <c r="AE585" s="19"/>
      <c r="AF585" s="19"/>
      <c r="AG585" s="19" t="s">
        <v>235</v>
      </c>
      <c r="AH585" s="19"/>
      <c r="AI585" s="19"/>
      <c r="AJ585" s="19" t="s">
        <v>234</v>
      </c>
      <c r="AK585" s="19" t="s">
        <v>234</v>
      </c>
      <c r="AL585" s="19"/>
      <c r="AM585" s="19" t="s">
        <v>234</v>
      </c>
      <c r="AN585" s="19" t="s">
        <v>234</v>
      </c>
      <c r="AO585" s="19" t="s">
        <v>235</v>
      </c>
      <c r="AP585" s="94"/>
      <c r="AQ585" s="19" t="s">
        <v>234</v>
      </c>
      <c r="AR585" s="19" t="s">
        <v>241</v>
      </c>
      <c r="AS585" s="19"/>
      <c r="AT585" s="65" t="str">
        <f t="shared" si="192"/>
        <v>N</v>
      </c>
      <c r="AU585" s="65" t="str">
        <f t="shared" si="186"/>
        <v>N</v>
      </c>
      <c r="AV585" s="65" t="str">
        <f t="shared" si="190"/>
        <v>N</v>
      </c>
      <c r="AW585" s="99"/>
      <c r="AX585" s="99"/>
      <c r="AY585" s="19"/>
      <c r="AZ585" s="96" t="str">
        <f t="shared" si="187"/>
        <v>n</v>
      </c>
      <c r="BA585" s="96" t="str">
        <f>IF(AZ585="n","n",VLOOKUP(AZ585,'Conversion factors'!$C$4:$D$24,2,FALSE))</f>
        <v>n</v>
      </c>
      <c r="BB585" s="96" t="str">
        <f t="shared" si="188"/>
        <v>n</v>
      </c>
      <c r="BC585" s="97"/>
      <c r="BD585" s="96" t="str">
        <f t="shared" si="193"/>
        <v>n</v>
      </c>
      <c r="BE585" s="96" t="str">
        <f t="shared" si="189"/>
        <v>n</v>
      </c>
      <c r="BF585" s="98" t="str">
        <f t="shared" si="194"/>
        <v/>
      </c>
      <c r="BG585" s="96" t="str">
        <f>IF(BF585="","",IF(ISNUMBER(VLOOKUP(BF585,'Conversion factors'!$B$35:$C$52,2,FALSE)),"y","n"))</f>
        <v/>
      </c>
      <c r="BH585" s="116" t="s">
        <v>1312</v>
      </c>
    </row>
    <row r="586" spans="1:62" s="103" customFormat="1" ht="15.75" customHeight="1" x14ac:dyDescent="0.2">
      <c r="A586" s="18"/>
      <c r="B586" s="19">
        <v>327</v>
      </c>
      <c r="C586" s="19"/>
      <c r="D586" s="19">
        <v>169176</v>
      </c>
      <c r="E586" s="19" t="s">
        <v>1224</v>
      </c>
      <c r="F586" s="93">
        <v>2012</v>
      </c>
      <c r="G586" s="19" t="s">
        <v>1178</v>
      </c>
      <c r="H586" s="19"/>
      <c r="I586" s="19" t="s">
        <v>41</v>
      </c>
      <c r="J586" s="19" t="s">
        <v>255</v>
      </c>
      <c r="K586" s="19" t="s">
        <v>1398</v>
      </c>
      <c r="L586" s="19" t="s">
        <v>1202</v>
      </c>
      <c r="M586" s="19" t="s">
        <v>1203</v>
      </c>
      <c r="N586" s="19" t="s">
        <v>109</v>
      </c>
      <c r="O586" s="19" t="s">
        <v>264</v>
      </c>
      <c r="P586" s="19" t="s">
        <v>51</v>
      </c>
      <c r="Q586" s="19"/>
      <c r="R586" s="19" t="s">
        <v>256</v>
      </c>
      <c r="S586" s="19" t="s">
        <v>309</v>
      </c>
      <c r="T586" s="19" t="s">
        <v>44</v>
      </c>
      <c r="U586" s="19" t="s">
        <v>44</v>
      </c>
      <c r="V586" s="19" t="s">
        <v>85</v>
      </c>
      <c r="W586" s="19" t="s">
        <v>45</v>
      </c>
      <c r="X586" s="19" t="s">
        <v>46</v>
      </c>
      <c r="Y586" s="29"/>
      <c r="Z586" s="19"/>
      <c r="AA586" s="19"/>
      <c r="AB586" s="19" t="s">
        <v>1180</v>
      </c>
      <c r="AC586" s="19" t="s">
        <v>1322</v>
      </c>
      <c r="AD586" s="19"/>
      <c r="AE586" s="19"/>
      <c r="AF586" s="19"/>
      <c r="AG586" s="19" t="s">
        <v>235</v>
      </c>
      <c r="AH586" s="19"/>
      <c r="AI586" s="19"/>
      <c r="AJ586" s="19" t="s">
        <v>234</v>
      </c>
      <c r="AK586" s="19" t="s">
        <v>234</v>
      </c>
      <c r="AL586" s="19"/>
      <c r="AM586" s="19" t="s">
        <v>234</v>
      </c>
      <c r="AN586" s="19" t="s">
        <v>234</v>
      </c>
      <c r="AO586" s="19" t="s">
        <v>235</v>
      </c>
      <c r="AP586" s="94"/>
      <c r="AQ586" s="19" t="s">
        <v>234</v>
      </c>
      <c r="AR586" s="19" t="s">
        <v>241</v>
      </c>
      <c r="AS586" s="19"/>
      <c r="AT586" s="65" t="str">
        <f t="shared" si="192"/>
        <v>N</v>
      </c>
      <c r="AU586" s="65" t="str">
        <f t="shared" si="186"/>
        <v>N</v>
      </c>
      <c r="AV586" s="65" t="str">
        <f t="shared" si="190"/>
        <v>N</v>
      </c>
      <c r="AW586" s="99"/>
      <c r="AX586" s="99"/>
      <c r="AY586" s="19"/>
      <c r="AZ586" s="96" t="str">
        <f t="shared" si="187"/>
        <v>n</v>
      </c>
      <c r="BA586" s="96" t="str">
        <f>IF(AZ586="n","n",VLOOKUP(AZ586,'Conversion factors'!$C$4:$D$24,2,FALSE))</f>
        <v>n</v>
      </c>
      <c r="BB586" s="96" t="str">
        <f t="shared" si="188"/>
        <v>n</v>
      </c>
      <c r="BC586" s="97"/>
      <c r="BD586" s="96" t="str">
        <f t="shared" si="193"/>
        <v>n</v>
      </c>
      <c r="BE586" s="96" t="str">
        <f t="shared" si="189"/>
        <v>n</v>
      </c>
      <c r="BF586" s="98" t="str">
        <f t="shared" si="194"/>
        <v/>
      </c>
      <c r="BG586" s="96" t="str">
        <f>IF(BF586="","",IF(ISNUMBER(VLOOKUP(BF586,'Conversion factors'!$B$35:$C$52,2,FALSE)),"y","n"))</f>
        <v/>
      </c>
      <c r="BH586" s="116" t="s">
        <v>1312</v>
      </c>
    </row>
    <row r="587" spans="1:62" s="103" customFormat="1" ht="15.75" customHeight="1" x14ac:dyDescent="0.2">
      <c r="A587" s="18"/>
      <c r="B587" s="19">
        <v>327</v>
      </c>
      <c r="C587" s="19"/>
      <c r="D587" s="19">
        <v>169176</v>
      </c>
      <c r="E587" s="19" t="s">
        <v>1224</v>
      </c>
      <c r="F587" s="93">
        <v>2012</v>
      </c>
      <c r="G587" s="19" t="s">
        <v>1178</v>
      </c>
      <c r="H587" s="19"/>
      <c r="I587" s="19" t="s">
        <v>41</v>
      </c>
      <c r="J587" s="19" t="s">
        <v>255</v>
      </c>
      <c r="K587" s="19" t="s">
        <v>1398</v>
      </c>
      <c r="L587" s="19" t="s">
        <v>1202</v>
      </c>
      <c r="M587" s="19" t="s">
        <v>1203</v>
      </c>
      <c r="N587" s="19" t="s">
        <v>109</v>
      </c>
      <c r="O587" s="19" t="s">
        <v>264</v>
      </c>
      <c r="P587" s="19" t="s">
        <v>51</v>
      </c>
      <c r="Q587" s="19"/>
      <c r="R587" s="19" t="s">
        <v>256</v>
      </c>
      <c r="S587" s="19" t="s">
        <v>309</v>
      </c>
      <c r="T587" s="19" t="s">
        <v>44</v>
      </c>
      <c r="U587" s="19" t="s">
        <v>44</v>
      </c>
      <c r="V587" s="19" t="s">
        <v>85</v>
      </c>
      <c r="W587" s="19" t="s">
        <v>45</v>
      </c>
      <c r="X587" s="19" t="s">
        <v>46</v>
      </c>
      <c r="Y587" s="29"/>
      <c r="Z587" s="19"/>
      <c r="AA587" s="19"/>
      <c r="AB587" s="19" t="s">
        <v>1181</v>
      </c>
      <c r="AC587" s="19" t="s">
        <v>1322</v>
      </c>
      <c r="AD587" s="19"/>
      <c r="AE587" s="19"/>
      <c r="AF587" s="19"/>
      <c r="AG587" s="19" t="s">
        <v>235</v>
      </c>
      <c r="AH587" s="19"/>
      <c r="AI587" s="19"/>
      <c r="AJ587" s="19" t="s">
        <v>234</v>
      </c>
      <c r="AK587" s="19" t="s">
        <v>234</v>
      </c>
      <c r="AL587" s="19"/>
      <c r="AM587" s="19" t="s">
        <v>234</v>
      </c>
      <c r="AN587" s="19" t="s">
        <v>234</v>
      </c>
      <c r="AO587" s="19" t="s">
        <v>235</v>
      </c>
      <c r="AP587" s="94"/>
      <c r="AQ587" s="19" t="s">
        <v>234</v>
      </c>
      <c r="AR587" s="19" t="s">
        <v>241</v>
      </c>
      <c r="AS587" s="19"/>
      <c r="AT587" s="65" t="str">
        <f t="shared" si="192"/>
        <v>N</v>
      </c>
      <c r="AU587" s="65" t="str">
        <f t="shared" si="186"/>
        <v>N</v>
      </c>
      <c r="AV587" s="65" t="str">
        <f t="shared" si="190"/>
        <v>N</v>
      </c>
      <c r="AW587" s="99"/>
      <c r="AX587" s="99"/>
      <c r="AY587" s="19"/>
      <c r="AZ587" s="96" t="str">
        <f t="shared" si="187"/>
        <v>n</v>
      </c>
      <c r="BA587" s="96" t="str">
        <f>IF(AZ587="n","n",VLOOKUP(AZ587,'Conversion factors'!$C$4:$D$24,2,FALSE))</f>
        <v>n</v>
      </c>
      <c r="BB587" s="96" t="str">
        <f t="shared" si="188"/>
        <v>n</v>
      </c>
      <c r="BC587" s="97"/>
      <c r="BD587" s="96" t="str">
        <f t="shared" si="193"/>
        <v>n</v>
      </c>
      <c r="BE587" s="96" t="str">
        <f t="shared" si="189"/>
        <v>n</v>
      </c>
      <c r="BF587" s="98" t="str">
        <f t="shared" si="194"/>
        <v/>
      </c>
      <c r="BG587" s="96" t="str">
        <f>IF(BF587="","",IF(ISNUMBER(VLOOKUP(BF587,'Conversion factors'!$B$35:$C$52,2,FALSE)),"y","n"))</f>
        <v/>
      </c>
      <c r="BH587" s="116" t="s">
        <v>1312</v>
      </c>
    </row>
    <row r="588" spans="1:62" s="103" customFormat="1" ht="15.75" customHeight="1" x14ac:dyDescent="0.2">
      <c r="A588" s="18"/>
      <c r="B588" s="20">
        <v>344</v>
      </c>
      <c r="C588" s="20"/>
      <c r="D588" s="20"/>
      <c r="E588" s="20" t="s">
        <v>1359</v>
      </c>
      <c r="F588" s="93">
        <v>2011</v>
      </c>
      <c r="G588" s="19" t="s">
        <v>1370</v>
      </c>
      <c r="H588" s="20"/>
      <c r="I588" s="19" t="s">
        <v>1371</v>
      </c>
      <c r="J588" s="19" t="s">
        <v>255</v>
      </c>
      <c r="K588" s="19" t="s">
        <v>1398</v>
      </c>
      <c r="L588" s="19" t="s">
        <v>1202</v>
      </c>
      <c r="M588" s="19" t="s">
        <v>1203</v>
      </c>
      <c r="N588" s="19" t="s">
        <v>109</v>
      </c>
      <c r="O588" s="19" t="s">
        <v>187</v>
      </c>
      <c r="P588" s="19" t="s">
        <v>51</v>
      </c>
      <c r="Q588" s="20"/>
      <c r="R588" s="19" t="s">
        <v>81</v>
      </c>
      <c r="S588" s="19" t="s">
        <v>1310</v>
      </c>
      <c r="T588" s="19" t="s">
        <v>44</v>
      </c>
      <c r="U588" s="19" t="s">
        <v>44</v>
      </c>
      <c r="V588" s="19">
        <v>7</v>
      </c>
      <c r="W588" s="19" t="s">
        <v>45</v>
      </c>
      <c r="X588" s="19" t="s">
        <v>46</v>
      </c>
      <c r="Y588" s="20"/>
      <c r="Z588" s="20"/>
      <c r="AA588" s="20"/>
      <c r="AB588" s="19">
        <v>28600</v>
      </c>
      <c r="AC588" s="19" t="s">
        <v>162</v>
      </c>
      <c r="AD588" s="20"/>
      <c r="AE588" s="20"/>
      <c r="AF588" s="20"/>
      <c r="AG588" s="19"/>
      <c r="AH588" s="19"/>
      <c r="AI588" s="19"/>
      <c r="AJ588" s="19">
        <f>MEDIAN(4.6,4.8)</f>
        <v>4.6999999999999993</v>
      </c>
      <c r="AK588" s="19" t="s">
        <v>1372</v>
      </c>
      <c r="AL588" s="19"/>
      <c r="AM588" s="20"/>
      <c r="AN588" s="19"/>
      <c r="AO588" s="20"/>
      <c r="AP588" s="94"/>
      <c r="AQ588" s="19">
        <v>22</v>
      </c>
      <c r="AR588" s="19"/>
      <c r="AS588" s="20"/>
      <c r="AT588" s="65" t="str">
        <f t="shared" si="192"/>
        <v>N</v>
      </c>
      <c r="AU588" s="65" t="str">
        <f t="shared" si="186"/>
        <v>N</v>
      </c>
      <c r="AV588" s="65" t="s">
        <v>162</v>
      </c>
      <c r="AW588" s="99" t="s">
        <v>1405</v>
      </c>
      <c r="AX588" s="99"/>
      <c r="AY588" s="20"/>
      <c r="AZ588" s="96" t="str">
        <f t="shared" si="187"/>
        <v>n</v>
      </c>
      <c r="BA588" s="96" t="str">
        <f>IF(AZ588="n","n",VLOOKUP(AZ588,'Conversion factors'!$C$4:$D$24,2,FALSE))</f>
        <v>n</v>
      </c>
      <c r="BB588" s="96" t="str">
        <f t="shared" si="188"/>
        <v>n</v>
      </c>
      <c r="BC588" s="20"/>
      <c r="BD588" s="96" t="str">
        <f t="shared" si="193"/>
        <v>n</v>
      </c>
      <c r="BE588" s="96" t="str">
        <f t="shared" si="189"/>
        <v>n</v>
      </c>
      <c r="BF588" s="98" t="str">
        <f t="shared" si="194"/>
        <v/>
      </c>
      <c r="BG588" s="96" t="str">
        <f>IF(BF588="","",IF(ISNUMBER(VLOOKUP(BF588,'Conversion factors'!$B$35:$C$52,2,FALSE)),"y","n"))</f>
        <v/>
      </c>
      <c r="BH588" s="116" t="s">
        <v>1312</v>
      </c>
      <c r="BI588" s="20"/>
      <c r="BJ588" s="20"/>
    </row>
    <row r="589" spans="1:62" s="103" customFormat="1" ht="15.75" customHeight="1" x14ac:dyDescent="0.2">
      <c r="A589" s="18"/>
      <c r="B589" s="20">
        <v>344</v>
      </c>
      <c r="C589" s="20"/>
      <c r="D589" s="20"/>
      <c r="E589" s="20" t="s">
        <v>1359</v>
      </c>
      <c r="F589" s="93">
        <v>2011</v>
      </c>
      <c r="G589" s="19" t="s">
        <v>1370</v>
      </c>
      <c r="H589" s="20"/>
      <c r="I589" s="19" t="s">
        <v>1371</v>
      </c>
      <c r="J589" s="19" t="s">
        <v>255</v>
      </c>
      <c r="K589" s="19" t="s">
        <v>1398</v>
      </c>
      <c r="L589" s="19" t="s">
        <v>1202</v>
      </c>
      <c r="M589" s="19" t="s">
        <v>1203</v>
      </c>
      <c r="N589" s="19" t="s">
        <v>109</v>
      </c>
      <c r="O589" s="19" t="s">
        <v>187</v>
      </c>
      <c r="P589" s="19" t="s">
        <v>51</v>
      </c>
      <c r="Q589" s="20"/>
      <c r="R589" s="19" t="s">
        <v>81</v>
      </c>
      <c r="S589" s="19" t="s">
        <v>1314</v>
      </c>
      <c r="T589" s="19" t="s">
        <v>44</v>
      </c>
      <c r="U589" s="19" t="s">
        <v>44</v>
      </c>
      <c r="V589" s="19">
        <v>7</v>
      </c>
      <c r="W589" s="19" t="s">
        <v>45</v>
      </c>
      <c r="X589" s="19" t="s">
        <v>46</v>
      </c>
      <c r="Y589" s="20"/>
      <c r="Z589" s="20"/>
      <c r="AA589" s="20"/>
      <c r="AB589" s="19">
        <v>12500</v>
      </c>
      <c r="AC589" s="19" t="s">
        <v>162</v>
      </c>
      <c r="AD589" s="20"/>
      <c r="AE589" s="20"/>
      <c r="AF589" s="20"/>
      <c r="AG589" s="19"/>
      <c r="AH589" s="19"/>
      <c r="AI589" s="19"/>
      <c r="AJ589" s="19">
        <f>MEDIAN(4.6,4.8)</f>
        <v>4.6999999999999993</v>
      </c>
      <c r="AK589" s="19" t="s">
        <v>1372</v>
      </c>
      <c r="AL589" s="19"/>
      <c r="AM589" s="20"/>
      <c r="AN589" s="19"/>
      <c r="AO589" s="20"/>
      <c r="AP589" s="94"/>
      <c r="AQ589" s="19">
        <v>22</v>
      </c>
      <c r="AR589" s="19"/>
      <c r="AS589" s="20"/>
      <c r="AT589" s="65" t="str">
        <f t="shared" si="192"/>
        <v>N</v>
      </c>
      <c r="AU589" s="65" t="str">
        <f t="shared" si="186"/>
        <v>N</v>
      </c>
      <c r="AV589" s="65" t="s">
        <v>162</v>
      </c>
      <c r="AW589" s="99" t="s">
        <v>1405</v>
      </c>
      <c r="AX589" s="99"/>
      <c r="AY589" s="20"/>
      <c r="AZ589" s="96" t="str">
        <f t="shared" si="187"/>
        <v>n</v>
      </c>
      <c r="BA589" s="96" t="str">
        <f>IF(AZ589="n","n",VLOOKUP(AZ589,'Conversion factors'!$C$4:$D$24,2,FALSE))</f>
        <v>n</v>
      </c>
      <c r="BB589" s="96" t="str">
        <f t="shared" si="188"/>
        <v>n</v>
      </c>
      <c r="BC589" s="20"/>
      <c r="BD589" s="96" t="str">
        <f t="shared" si="193"/>
        <v>n</v>
      </c>
      <c r="BE589" s="96" t="str">
        <f t="shared" si="189"/>
        <v>n</v>
      </c>
      <c r="BF589" s="98" t="str">
        <f t="shared" si="194"/>
        <v/>
      </c>
      <c r="BG589" s="96" t="str">
        <f>IF(BF589="","",IF(ISNUMBER(VLOOKUP(BF589,'Conversion factors'!$B$35:$C$52,2,FALSE)),"y","n"))</f>
        <v/>
      </c>
      <c r="BH589" s="116" t="s">
        <v>1312</v>
      </c>
      <c r="BI589" s="20"/>
      <c r="BJ589" s="20"/>
    </row>
    <row r="590" spans="1:62" s="103" customFormat="1" ht="15.75" customHeight="1" x14ac:dyDescent="0.2">
      <c r="A590" s="18"/>
      <c r="B590" s="19">
        <v>171</v>
      </c>
      <c r="C590" s="19"/>
      <c r="D590" s="19">
        <v>3977</v>
      </c>
      <c r="E590" s="19" t="s">
        <v>1224</v>
      </c>
      <c r="F590" s="93">
        <v>1992</v>
      </c>
      <c r="G590" s="19" t="s">
        <v>248</v>
      </c>
      <c r="H590" s="19"/>
      <c r="I590" s="19" t="s">
        <v>41</v>
      </c>
      <c r="J590" s="19" t="s">
        <v>249</v>
      </c>
      <c r="K590" s="19" t="s">
        <v>1398</v>
      </c>
      <c r="L590" s="19" t="s">
        <v>1202</v>
      </c>
      <c r="M590" s="19" t="s">
        <v>1203</v>
      </c>
      <c r="N590" s="19" t="s">
        <v>109</v>
      </c>
      <c r="O590" s="19" t="s">
        <v>235</v>
      </c>
      <c r="P590" s="19" t="s">
        <v>162</v>
      </c>
      <c r="Q590" s="19"/>
      <c r="R590" s="19" t="s">
        <v>81</v>
      </c>
      <c r="S590" s="19" t="s">
        <v>243</v>
      </c>
      <c r="T590" s="19" t="s">
        <v>44</v>
      </c>
      <c r="U590" s="19" t="s">
        <v>44</v>
      </c>
      <c r="V590" s="19" t="s">
        <v>253</v>
      </c>
      <c r="W590" s="19" t="s">
        <v>231</v>
      </c>
      <c r="X590" s="19" t="s">
        <v>46</v>
      </c>
      <c r="Y590" s="29"/>
      <c r="Z590" s="19" t="s">
        <v>144</v>
      </c>
      <c r="AA590" s="19"/>
      <c r="AB590" s="19"/>
      <c r="AC590" s="19" t="s">
        <v>1322</v>
      </c>
      <c r="AD590" s="19"/>
      <c r="AE590" s="19"/>
      <c r="AF590" s="19"/>
      <c r="AG590" s="19" t="s">
        <v>235</v>
      </c>
      <c r="AH590" s="19"/>
      <c r="AI590" s="19"/>
      <c r="AJ590" s="19">
        <f>MEDIAN(7.8,8.3)</f>
        <v>8.0500000000000007</v>
      </c>
      <c r="AK590" s="19" t="s">
        <v>251</v>
      </c>
      <c r="AL590" s="19"/>
      <c r="AM590" s="19" t="s">
        <v>234</v>
      </c>
      <c r="AN590" s="19" t="s">
        <v>234</v>
      </c>
      <c r="AO590" s="19" t="s">
        <v>235</v>
      </c>
      <c r="AP590" s="94"/>
      <c r="AQ590" s="19" t="s">
        <v>252</v>
      </c>
      <c r="AR590" s="19"/>
      <c r="AS590" s="19"/>
      <c r="AT590" s="65" t="str">
        <f t="shared" si="192"/>
        <v>N</v>
      </c>
      <c r="AU590" s="65" t="str">
        <f t="shared" si="186"/>
        <v>N</v>
      </c>
      <c r="AV590" s="65" t="str">
        <f>AU590</f>
        <v>N</v>
      </c>
      <c r="AW590" s="99"/>
      <c r="AX590" s="99"/>
      <c r="AY590" s="19"/>
      <c r="AZ590" s="96" t="str">
        <f t="shared" si="187"/>
        <v>n</v>
      </c>
      <c r="BA590" s="96" t="str">
        <f>IF(AZ590="n","n",VLOOKUP(AZ590,'Conversion factors'!$C$4:$D$24,2,FALSE))</f>
        <v>n</v>
      </c>
      <c r="BB590" s="96" t="str">
        <f t="shared" si="188"/>
        <v>n</v>
      </c>
      <c r="BC590" s="97"/>
      <c r="BD590" s="96" t="str">
        <f t="shared" si="193"/>
        <v>n</v>
      </c>
      <c r="BE590" s="96" t="str">
        <f t="shared" si="189"/>
        <v>n</v>
      </c>
      <c r="BF590" s="98" t="str">
        <f t="shared" si="194"/>
        <v/>
      </c>
      <c r="BG590" s="96" t="str">
        <f>IF(BF590="","",IF(ISNUMBER(VLOOKUP(BF590,'Conversion factors'!$B$35:$C$52,2,FALSE)),"y","n"))</f>
        <v/>
      </c>
      <c r="BH590" s="99"/>
    </row>
    <row r="591" spans="1:62" s="103" customFormat="1" ht="15.75" customHeight="1" x14ac:dyDescent="0.2">
      <c r="A591" s="18"/>
      <c r="B591" s="19">
        <v>171</v>
      </c>
      <c r="C591" s="19"/>
      <c r="D591" s="19">
        <v>3977</v>
      </c>
      <c r="E591" s="19" t="s">
        <v>1224</v>
      </c>
      <c r="F591" s="93">
        <v>1992</v>
      </c>
      <c r="G591" s="19" t="s">
        <v>248</v>
      </c>
      <c r="H591" s="19"/>
      <c r="I591" s="19" t="s">
        <v>41</v>
      </c>
      <c r="J591" s="19" t="s">
        <v>249</v>
      </c>
      <c r="K591" s="19" t="s">
        <v>1398</v>
      </c>
      <c r="L591" s="19" t="s">
        <v>1202</v>
      </c>
      <c r="M591" s="19" t="s">
        <v>1203</v>
      </c>
      <c r="N591" s="19" t="s">
        <v>109</v>
      </c>
      <c r="O591" s="19" t="s">
        <v>235</v>
      </c>
      <c r="P591" s="19" t="s">
        <v>162</v>
      </c>
      <c r="Q591" s="19"/>
      <c r="R591" s="19" t="s">
        <v>81</v>
      </c>
      <c r="S591" s="19" t="s">
        <v>243</v>
      </c>
      <c r="T591" s="19" t="s">
        <v>44</v>
      </c>
      <c r="U591" s="19" t="s">
        <v>44</v>
      </c>
      <c r="V591" s="19" t="s">
        <v>253</v>
      </c>
      <c r="W591" s="19" t="s">
        <v>231</v>
      </c>
      <c r="X591" s="19" t="s">
        <v>46</v>
      </c>
      <c r="Y591" s="29"/>
      <c r="Z591" s="19" t="s">
        <v>253</v>
      </c>
      <c r="AA591" s="19"/>
      <c r="AB591" s="19"/>
      <c r="AC591" s="19" t="s">
        <v>1322</v>
      </c>
      <c r="AD591" s="19"/>
      <c r="AE591" s="19"/>
      <c r="AF591" s="19"/>
      <c r="AG591" s="19" t="s">
        <v>235</v>
      </c>
      <c r="AH591" s="19"/>
      <c r="AI591" s="19"/>
      <c r="AJ591" s="19">
        <f>MEDIAN(7.8,8.3)</f>
        <v>8.0500000000000007</v>
      </c>
      <c r="AK591" s="19" t="s">
        <v>251</v>
      </c>
      <c r="AL591" s="19"/>
      <c r="AM591" s="19" t="s">
        <v>234</v>
      </c>
      <c r="AN591" s="19" t="s">
        <v>234</v>
      </c>
      <c r="AO591" s="19" t="s">
        <v>235</v>
      </c>
      <c r="AP591" s="94"/>
      <c r="AQ591" s="19" t="s">
        <v>252</v>
      </c>
      <c r="AR591" s="19"/>
      <c r="AS591" s="19"/>
      <c r="AT591" s="65" t="str">
        <f t="shared" si="192"/>
        <v>N</v>
      </c>
      <c r="AU591" s="65" t="str">
        <f t="shared" si="186"/>
        <v>N</v>
      </c>
      <c r="AV591" s="65" t="str">
        <f>AU591</f>
        <v>N</v>
      </c>
      <c r="AW591" s="99"/>
      <c r="AX591" s="99"/>
      <c r="AY591" s="19"/>
      <c r="AZ591" s="96" t="str">
        <f t="shared" si="187"/>
        <v>n</v>
      </c>
      <c r="BA591" s="96" t="str">
        <f>IF(AZ591="n","n",VLOOKUP(AZ591,'Conversion factors'!$C$4:$D$24,2,FALSE))</f>
        <v>n</v>
      </c>
      <c r="BB591" s="96" t="str">
        <f t="shared" si="188"/>
        <v>n</v>
      </c>
      <c r="BC591" s="97"/>
      <c r="BD591" s="96" t="str">
        <f t="shared" si="193"/>
        <v>n</v>
      </c>
      <c r="BE591" s="96" t="str">
        <f t="shared" si="189"/>
        <v>n</v>
      </c>
      <c r="BF591" s="98" t="str">
        <f t="shared" si="194"/>
        <v/>
      </c>
      <c r="BG591" s="96" t="str">
        <f>IF(BF591="","",IF(ISNUMBER(VLOOKUP(BF591,'Conversion factors'!$B$35:$C$52,2,FALSE)),"y","n"))</f>
        <v/>
      </c>
      <c r="BH591" s="99"/>
    </row>
    <row r="592" spans="1:62" s="118" customFormat="1" ht="15.75" customHeight="1" x14ac:dyDescent="0.2">
      <c r="A592" s="117"/>
      <c r="B592" s="19">
        <v>333</v>
      </c>
      <c r="C592" s="19"/>
      <c r="D592" s="19"/>
      <c r="E592" s="19" t="s">
        <v>1301</v>
      </c>
      <c r="F592" s="19">
        <v>1995</v>
      </c>
      <c r="G592" s="19" t="s">
        <v>1516</v>
      </c>
      <c r="H592" s="19" t="s">
        <v>1307</v>
      </c>
      <c r="I592" s="19" t="s">
        <v>1311</v>
      </c>
      <c r="J592" s="19" t="s">
        <v>1308</v>
      </c>
      <c r="K592" s="19" t="s">
        <v>1398</v>
      </c>
      <c r="L592" s="19" t="s">
        <v>1202</v>
      </c>
      <c r="M592" s="19" t="s">
        <v>1203</v>
      </c>
      <c r="N592" s="19" t="s">
        <v>109</v>
      </c>
      <c r="O592" s="19" t="s">
        <v>187</v>
      </c>
      <c r="P592" s="19" t="s">
        <v>51</v>
      </c>
      <c r="Q592" s="19"/>
      <c r="R592" s="19" t="s">
        <v>1309</v>
      </c>
      <c r="S592" s="19" t="s">
        <v>1310</v>
      </c>
      <c r="T592" s="19" t="s">
        <v>44</v>
      </c>
      <c r="U592" s="19" t="s">
        <v>44</v>
      </c>
      <c r="V592" s="19">
        <v>7</v>
      </c>
      <c r="W592" s="19" t="s">
        <v>45</v>
      </c>
      <c r="X592" s="19" t="s">
        <v>46</v>
      </c>
      <c r="Y592" s="19"/>
      <c r="Z592" s="19"/>
      <c r="AA592" s="19"/>
      <c r="AB592" s="19">
        <v>14500</v>
      </c>
      <c r="AC592" s="19" t="s">
        <v>214</v>
      </c>
      <c r="AD592" s="19"/>
      <c r="AE592" s="19"/>
      <c r="AF592" s="19"/>
      <c r="AG592" s="19" t="s">
        <v>235</v>
      </c>
      <c r="AH592" s="19"/>
      <c r="AI592" s="19"/>
      <c r="AJ592" s="19">
        <v>5</v>
      </c>
      <c r="AK592" s="19">
        <v>5</v>
      </c>
      <c r="AL592" s="19"/>
      <c r="AM592" s="19"/>
      <c r="AN592" s="19" t="s">
        <v>235</v>
      </c>
      <c r="AO592" s="19"/>
      <c r="AP592" s="94"/>
      <c r="AQ592" s="19">
        <v>22</v>
      </c>
      <c r="AR592" s="19"/>
      <c r="AS592" s="19"/>
      <c r="AT592" s="65" t="str">
        <f t="shared" si="192"/>
        <v>Y</v>
      </c>
      <c r="AU592" s="65" t="str">
        <f t="shared" si="186"/>
        <v>N</v>
      </c>
      <c r="AV592" s="65" t="s">
        <v>162</v>
      </c>
      <c r="AW592" s="99" t="s">
        <v>1405</v>
      </c>
      <c r="AX592" s="99"/>
      <c r="AY592" s="19"/>
      <c r="AZ592" s="96" t="str">
        <f t="shared" si="187"/>
        <v>n</v>
      </c>
      <c r="BA592" s="96" t="str">
        <f>IF(AZ592="n","n",VLOOKUP(AZ592,'Conversion factors'!$C$4:$D$24,2,FALSE))</f>
        <v>n</v>
      </c>
      <c r="BB592" s="96" t="str">
        <f t="shared" si="188"/>
        <v>n</v>
      </c>
      <c r="BD592" s="96" t="str">
        <f t="shared" si="193"/>
        <v>n</v>
      </c>
      <c r="BE592" s="96" t="str">
        <f t="shared" si="189"/>
        <v>n</v>
      </c>
      <c r="BF592" s="98" t="str">
        <f t="shared" si="194"/>
        <v/>
      </c>
      <c r="BG592" s="96" t="str">
        <f>IF(BF592="","",IF(ISNUMBER(VLOOKUP(BF592,'Conversion factors'!$B$35:$C$52,2,FALSE)),"y","n"))</f>
        <v/>
      </c>
      <c r="BH592" s="116" t="s">
        <v>1312</v>
      </c>
    </row>
    <row r="593" spans="1:60" ht="15.75" customHeight="1" x14ac:dyDescent="0.2">
      <c r="B593" s="19">
        <v>333</v>
      </c>
      <c r="C593" s="19"/>
      <c r="D593" s="19"/>
      <c r="E593" s="19" t="s">
        <v>1301</v>
      </c>
      <c r="F593" s="19">
        <v>1995</v>
      </c>
      <c r="G593" s="19" t="s">
        <v>1516</v>
      </c>
      <c r="H593" s="19" t="s">
        <v>1307</v>
      </c>
      <c r="I593" s="19" t="s">
        <v>1311</v>
      </c>
      <c r="J593" s="19" t="s">
        <v>1308</v>
      </c>
      <c r="K593" s="19" t="s">
        <v>1398</v>
      </c>
      <c r="L593" s="19" t="s">
        <v>1202</v>
      </c>
      <c r="M593" s="19" t="s">
        <v>1203</v>
      </c>
      <c r="N593" s="19" t="s">
        <v>109</v>
      </c>
      <c r="O593" s="19" t="s">
        <v>187</v>
      </c>
      <c r="P593" s="19" t="s">
        <v>51</v>
      </c>
      <c r="Q593" s="19"/>
      <c r="R593" s="19" t="s">
        <v>1309</v>
      </c>
      <c r="S593" s="19" t="s">
        <v>1310</v>
      </c>
      <c r="T593" s="19" t="s">
        <v>44</v>
      </c>
      <c r="U593" s="19" t="s">
        <v>44</v>
      </c>
      <c r="V593" s="19">
        <v>7</v>
      </c>
      <c r="W593" s="19" t="s">
        <v>45</v>
      </c>
      <c r="X593" s="19" t="s">
        <v>46</v>
      </c>
      <c r="Y593" s="19"/>
      <c r="Z593" s="19"/>
      <c r="AA593" s="19"/>
      <c r="AB593" s="19">
        <v>9290</v>
      </c>
      <c r="AC593" s="19" t="s">
        <v>214</v>
      </c>
      <c r="AD593" s="19"/>
      <c r="AE593" s="19"/>
      <c r="AF593" s="19"/>
      <c r="AG593" s="19" t="s">
        <v>235</v>
      </c>
      <c r="AH593" s="19"/>
      <c r="AI593" s="19"/>
      <c r="AJ593" s="19">
        <v>5.5</v>
      </c>
      <c r="AK593" s="19">
        <v>5.5</v>
      </c>
      <c r="AL593" s="19"/>
      <c r="AM593" s="19"/>
      <c r="AN593" s="19" t="s">
        <v>235</v>
      </c>
      <c r="AO593" s="19"/>
      <c r="AP593" s="94"/>
      <c r="AQ593" s="19">
        <v>22</v>
      </c>
      <c r="AR593" s="19"/>
      <c r="AS593" s="19"/>
      <c r="AT593" s="65" t="str">
        <f t="shared" si="192"/>
        <v>Y</v>
      </c>
      <c r="AU593" s="65" t="str">
        <f t="shared" si="186"/>
        <v>N</v>
      </c>
      <c r="AV593" s="65" t="s">
        <v>162</v>
      </c>
      <c r="AW593" s="99" t="s">
        <v>1405</v>
      </c>
      <c r="AX593" s="99"/>
      <c r="AY593" s="19"/>
      <c r="AZ593" s="96" t="str">
        <f t="shared" si="187"/>
        <v>n</v>
      </c>
      <c r="BA593" s="96" t="str">
        <f>IF(AZ593="n","n",VLOOKUP(AZ593,'Conversion factors'!$C$4:$D$24,2,FALSE))</f>
        <v>n</v>
      </c>
      <c r="BB593" s="96" t="str">
        <f t="shared" si="188"/>
        <v>n</v>
      </c>
      <c r="BD593" s="96" t="str">
        <f t="shared" si="193"/>
        <v>n</v>
      </c>
      <c r="BE593" s="96" t="str">
        <f t="shared" si="189"/>
        <v>n</v>
      </c>
      <c r="BF593" s="98" t="str">
        <f t="shared" si="194"/>
        <v/>
      </c>
      <c r="BG593" s="96" t="str">
        <f>IF(BF593="","",IF(ISNUMBER(VLOOKUP(BF593,'Conversion factors'!$B$35:$C$52,2,FALSE)),"y","n"))</f>
        <v/>
      </c>
      <c r="BH593" s="116" t="s">
        <v>1312</v>
      </c>
    </row>
    <row r="594" spans="1:60" ht="15.75" customHeight="1" x14ac:dyDescent="0.2">
      <c r="B594" s="19">
        <v>334</v>
      </c>
      <c r="C594" s="19"/>
      <c r="D594" s="19"/>
      <c r="E594" s="19" t="s">
        <v>1301</v>
      </c>
      <c r="F594" s="93">
        <v>1988</v>
      </c>
      <c r="G594" s="19" t="s">
        <v>1313</v>
      </c>
      <c r="H594" s="19" t="s">
        <v>1307</v>
      </c>
      <c r="I594" s="19" t="s">
        <v>1311</v>
      </c>
      <c r="J594" s="19" t="s">
        <v>1308</v>
      </c>
      <c r="K594" s="19" t="s">
        <v>1398</v>
      </c>
      <c r="L594" s="19" t="s">
        <v>1202</v>
      </c>
      <c r="M594" s="19" t="s">
        <v>1203</v>
      </c>
      <c r="N594" s="19" t="s">
        <v>109</v>
      </c>
      <c r="O594" s="19" t="s">
        <v>187</v>
      </c>
      <c r="P594" s="19" t="s">
        <v>51</v>
      </c>
      <c r="Q594" s="19"/>
      <c r="R594" s="19" t="s">
        <v>81</v>
      </c>
      <c r="S594" s="19" t="s">
        <v>1314</v>
      </c>
      <c r="T594" s="19" t="s">
        <v>44</v>
      </c>
      <c r="U594" s="19" t="s">
        <v>44</v>
      </c>
      <c r="V594" s="19">
        <v>7</v>
      </c>
      <c r="W594" s="19" t="s">
        <v>45</v>
      </c>
      <c r="X594" s="19" t="s">
        <v>46</v>
      </c>
      <c r="Y594" s="19"/>
      <c r="Z594" s="19"/>
      <c r="AA594" s="19"/>
      <c r="AB594" s="24">
        <f>GEOMEAN(1000,2000,34000,9000)</f>
        <v>4973.7947036147325</v>
      </c>
      <c r="AC594" s="19" t="s">
        <v>214</v>
      </c>
      <c r="AD594" s="19"/>
      <c r="AE594" s="19"/>
      <c r="AF594" s="19"/>
      <c r="AG594" s="19" t="s">
        <v>235</v>
      </c>
      <c r="AH594" s="19"/>
      <c r="AI594" s="19"/>
      <c r="AJ594" s="19">
        <v>6</v>
      </c>
      <c r="AK594" s="19">
        <v>6</v>
      </c>
      <c r="AL594" s="19"/>
      <c r="AM594" s="19"/>
      <c r="AN594" s="19" t="s">
        <v>235</v>
      </c>
      <c r="AO594" s="19"/>
      <c r="AP594" s="94"/>
      <c r="AQ594" s="19" t="s">
        <v>1315</v>
      </c>
      <c r="AR594" s="19"/>
      <c r="AS594" s="19"/>
      <c r="AT594" s="65" t="str">
        <f t="shared" si="192"/>
        <v>Y</v>
      </c>
      <c r="AU594" s="65" t="str">
        <f t="shared" si="186"/>
        <v>Y</v>
      </c>
      <c r="AV594" s="65" t="s">
        <v>162</v>
      </c>
      <c r="AW594" s="99" t="s">
        <v>1523</v>
      </c>
      <c r="AX594" s="99"/>
      <c r="AY594" s="19"/>
      <c r="AZ594" s="96" t="str">
        <f t="shared" si="187"/>
        <v>n</v>
      </c>
      <c r="BA594" s="96" t="str">
        <f>IF(AZ594="n","n",VLOOKUP(AZ594,'Conversion factors'!$C$4:$D$24,2,FALSE))</f>
        <v>n</v>
      </c>
      <c r="BB594" s="96" t="str">
        <f t="shared" si="188"/>
        <v>n</v>
      </c>
      <c r="BD594" s="96" t="str">
        <f t="shared" si="193"/>
        <v>n</v>
      </c>
      <c r="BE594" s="96" t="str">
        <f t="shared" si="189"/>
        <v>n</v>
      </c>
      <c r="BF594" s="98" t="str">
        <f t="shared" si="194"/>
        <v/>
      </c>
      <c r="BG594" s="96" t="str">
        <f>IF(BF594="","",IF(ISNUMBER(VLOOKUP(BF594,'Conversion factors'!$B$35:$C$52,2,FALSE)),"y","n"))</f>
        <v/>
      </c>
      <c r="BH594" s="116" t="s">
        <v>1312</v>
      </c>
    </row>
    <row r="595" spans="1:60" ht="15.75" customHeight="1" x14ac:dyDescent="0.2">
      <c r="B595" s="19">
        <v>334</v>
      </c>
      <c r="C595" s="19"/>
      <c r="D595" s="19"/>
      <c r="E595" s="19" t="s">
        <v>1301</v>
      </c>
      <c r="F595" s="93">
        <v>1988</v>
      </c>
      <c r="G595" s="19" t="s">
        <v>1313</v>
      </c>
      <c r="H595" s="19" t="s">
        <v>1307</v>
      </c>
      <c r="I595" s="19" t="s">
        <v>1311</v>
      </c>
      <c r="J595" s="19" t="s">
        <v>1308</v>
      </c>
      <c r="K595" s="19" t="s">
        <v>1398</v>
      </c>
      <c r="L595" s="19" t="s">
        <v>1202</v>
      </c>
      <c r="M595" s="19" t="s">
        <v>1203</v>
      </c>
      <c r="N595" s="19" t="s">
        <v>109</v>
      </c>
      <c r="O595" s="19" t="s">
        <v>187</v>
      </c>
      <c r="P595" s="19" t="s">
        <v>51</v>
      </c>
      <c r="Q595" s="19"/>
      <c r="R595" s="19" t="s">
        <v>1309</v>
      </c>
      <c r="S595" s="19" t="s">
        <v>1310</v>
      </c>
      <c r="T595" s="19" t="s">
        <v>44</v>
      </c>
      <c r="U595" s="19" t="s">
        <v>44</v>
      </c>
      <c r="V595" s="19">
        <v>7</v>
      </c>
      <c r="W595" s="19" t="s">
        <v>45</v>
      </c>
      <c r="X595" s="19" t="s">
        <v>46</v>
      </c>
      <c r="Y595" s="19"/>
      <c r="Z595" s="19"/>
      <c r="AA595" s="19"/>
      <c r="AB595" s="24">
        <f>GEOMEAN(53000,53000,92000)</f>
        <v>63696.150861594069</v>
      </c>
      <c r="AC595" s="19" t="s">
        <v>214</v>
      </c>
      <c r="AD595" s="19"/>
      <c r="AE595" s="19"/>
      <c r="AF595" s="19"/>
      <c r="AG595" s="19" t="s">
        <v>235</v>
      </c>
      <c r="AH595" s="19"/>
      <c r="AI595" s="19"/>
      <c r="AJ595" s="19">
        <v>6</v>
      </c>
      <c r="AK595" s="19">
        <v>6</v>
      </c>
      <c r="AL595" s="19"/>
      <c r="AM595" s="19"/>
      <c r="AN595" s="19" t="s">
        <v>235</v>
      </c>
      <c r="AO595" s="19"/>
      <c r="AP595" s="94"/>
      <c r="AQ595" s="19" t="s">
        <v>1315</v>
      </c>
      <c r="AR595" s="19"/>
      <c r="AS595" s="19"/>
      <c r="AT595" s="65" t="str">
        <f t="shared" si="192"/>
        <v>Y</v>
      </c>
      <c r="AU595" s="65" t="str">
        <f t="shared" si="186"/>
        <v>Y</v>
      </c>
      <c r="AV595" s="65" t="s">
        <v>162</v>
      </c>
      <c r="AW595" s="99" t="s">
        <v>1523</v>
      </c>
      <c r="AX595" s="99"/>
      <c r="AY595" s="19"/>
      <c r="AZ595" s="96" t="str">
        <f t="shared" si="187"/>
        <v>n</v>
      </c>
      <c r="BA595" s="96" t="str">
        <f>IF(AZ595="n","n",VLOOKUP(AZ595,'Conversion factors'!$C$4:$D$24,2,FALSE))</f>
        <v>n</v>
      </c>
      <c r="BB595" s="96" t="str">
        <f t="shared" si="188"/>
        <v>n</v>
      </c>
      <c r="BD595" s="96" t="str">
        <f t="shared" si="193"/>
        <v>n</v>
      </c>
      <c r="BE595" s="96" t="str">
        <f t="shared" si="189"/>
        <v>n</v>
      </c>
      <c r="BF595" s="98" t="str">
        <f t="shared" si="194"/>
        <v/>
      </c>
      <c r="BG595" s="96" t="str">
        <f>IF(BF595="","",IF(ISNUMBER(VLOOKUP(BF595,'Conversion factors'!$B$35:$C$52,2,FALSE)),"y","n"))</f>
        <v/>
      </c>
      <c r="BH595" s="116" t="s">
        <v>1312</v>
      </c>
    </row>
    <row r="596" spans="1:60" ht="15.75" customHeight="1" x14ac:dyDescent="0.2">
      <c r="B596" s="19">
        <v>334</v>
      </c>
      <c r="C596" s="19"/>
      <c r="D596" s="19"/>
      <c r="E596" s="19" t="s">
        <v>1301</v>
      </c>
      <c r="F596" s="93">
        <v>1988</v>
      </c>
      <c r="G596" s="19" t="s">
        <v>1313</v>
      </c>
      <c r="H596" s="19" t="s">
        <v>1307</v>
      </c>
      <c r="I596" s="19" t="s">
        <v>1311</v>
      </c>
      <c r="J596" s="19" t="s">
        <v>1308</v>
      </c>
      <c r="K596" s="19" t="s">
        <v>1398</v>
      </c>
      <c r="L596" s="19" t="s">
        <v>1202</v>
      </c>
      <c r="M596" s="19" t="s">
        <v>1203</v>
      </c>
      <c r="N596" s="19" t="s">
        <v>109</v>
      </c>
      <c r="O596" s="19" t="s">
        <v>187</v>
      </c>
      <c r="P596" s="19" t="s">
        <v>51</v>
      </c>
      <c r="Q596" s="19"/>
      <c r="R596" s="19" t="s">
        <v>1309</v>
      </c>
      <c r="S596" s="19" t="s">
        <v>1310</v>
      </c>
      <c r="T596" s="19" t="s">
        <v>54</v>
      </c>
      <c r="U596" s="19" t="s">
        <v>54</v>
      </c>
      <c r="V596" s="19">
        <v>7</v>
      </c>
      <c r="W596" s="19" t="s">
        <v>45</v>
      </c>
      <c r="X596" s="19" t="s">
        <v>46</v>
      </c>
      <c r="Y596" s="19"/>
      <c r="Z596" s="19"/>
      <c r="AA596" s="19"/>
      <c r="AB596" s="24">
        <f>GEOMEAN(11500,4400)</f>
        <v>7113.3676975114959</v>
      </c>
      <c r="AC596" s="19" t="s">
        <v>214</v>
      </c>
      <c r="AD596" s="19"/>
      <c r="AE596" s="19"/>
      <c r="AF596" s="19"/>
      <c r="AG596" s="19" t="s">
        <v>235</v>
      </c>
      <c r="AH596" s="19"/>
      <c r="AI596" s="19"/>
      <c r="AJ596" s="19">
        <v>6</v>
      </c>
      <c r="AK596" s="19">
        <v>6</v>
      </c>
      <c r="AL596" s="19"/>
      <c r="AM596" s="19"/>
      <c r="AN596" s="19" t="s">
        <v>235</v>
      </c>
      <c r="AO596" s="19"/>
      <c r="AP596" s="94"/>
      <c r="AQ596" s="19" t="s">
        <v>1315</v>
      </c>
      <c r="AR596" s="19"/>
      <c r="AS596" s="19"/>
      <c r="AT596" s="65" t="str">
        <f t="shared" si="192"/>
        <v>Y</v>
      </c>
      <c r="AU596" s="65" t="str">
        <f t="shared" si="186"/>
        <v>Y</v>
      </c>
      <c r="AV596" s="65" t="s">
        <v>162</v>
      </c>
      <c r="AW596" s="99" t="s">
        <v>1523</v>
      </c>
      <c r="AX596" s="99"/>
      <c r="AY596" s="19"/>
      <c r="AZ596" s="96" t="str">
        <f t="shared" si="187"/>
        <v>n</v>
      </c>
      <c r="BA596" s="96" t="str">
        <f>IF(AZ596="n","n",VLOOKUP(AZ596,'Conversion factors'!$C$4:$D$24,2,FALSE))</f>
        <v>n</v>
      </c>
      <c r="BB596" s="96" t="str">
        <f t="shared" si="188"/>
        <v>n</v>
      </c>
      <c r="BD596" s="96" t="str">
        <f t="shared" si="193"/>
        <v>n</v>
      </c>
      <c r="BE596" s="96" t="str">
        <f t="shared" si="189"/>
        <v>n</v>
      </c>
      <c r="BF596" s="98" t="str">
        <f t="shared" si="194"/>
        <v/>
      </c>
      <c r="BG596" s="96" t="str">
        <f>IF(BF596="","",IF(ISNUMBER(VLOOKUP(BF596,'Conversion factors'!$B$35:$C$52,2,FALSE)),"y","n"))</f>
        <v/>
      </c>
      <c r="BH596" s="116" t="s">
        <v>1312</v>
      </c>
    </row>
    <row r="597" spans="1:60" s="103" customFormat="1" ht="15.75" customHeight="1" x14ac:dyDescent="0.2">
      <c r="A597" s="18"/>
      <c r="B597" s="19">
        <v>211</v>
      </c>
      <c r="C597" s="19"/>
      <c r="D597" s="19">
        <v>60097</v>
      </c>
      <c r="E597" s="19" t="s">
        <v>1224</v>
      </c>
      <c r="F597" s="93">
        <v>1998</v>
      </c>
      <c r="G597" s="19" t="s">
        <v>472</v>
      </c>
      <c r="H597" s="19"/>
      <c r="I597" s="19" t="s">
        <v>41</v>
      </c>
      <c r="J597" s="19" t="s">
        <v>473</v>
      </c>
      <c r="K597" s="19" t="s">
        <v>250</v>
      </c>
      <c r="L597" s="19" t="s">
        <v>1202</v>
      </c>
      <c r="M597" s="19" t="s">
        <v>1203</v>
      </c>
      <c r="N597" s="19" t="s">
        <v>109</v>
      </c>
      <c r="O597" s="19" t="s">
        <v>235</v>
      </c>
      <c r="P597" s="19" t="s">
        <v>162</v>
      </c>
      <c r="Q597" s="19"/>
      <c r="R597" s="19" t="s">
        <v>81</v>
      </c>
      <c r="S597" s="19" t="s">
        <v>474</v>
      </c>
      <c r="T597" s="19" t="s">
        <v>110</v>
      </c>
      <c r="U597" s="19" t="s">
        <v>44</v>
      </c>
      <c r="V597" s="19" t="s">
        <v>253</v>
      </c>
      <c r="W597" s="19" t="s">
        <v>231</v>
      </c>
      <c r="X597" s="19" t="s">
        <v>46</v>
      </c>
      <c r="Y597" s="29"/>
      <c r="Z597" s="19"/>
      <c r="AA597" s="19"/>
      <c r="AB597" s="19" t="s">
        <v>475</v>
      </c>
      <c r="AC597" s="19" t="s">
        <v>1322</v>
      </c>
      <c r="AD597" s="19"/>
      <c r="AE597" s="19"/>
      <c r="AF597" s="19"/>
      <c r="AG597" s="19" t="s">
        <v>235</v>
      </c>
      <c r="AH597" s="19"/>
      <c r="AI597" s="19"/>
      <c r="AJ597" s="19" t="s">
        <v>234</v>
      </c>
      <c r="AK597" s="19" t="s">
        <v>234</v>
      </c>
      <c r="AL597" s="19"/>
      <c r="AM597" s="19" t="s">
        <v>234</v>
      </c>
      <c r="AN597" s="19" t="s">
        <v>234</v>
      </c>
      <c r="AO597" s="19" t="s">
        <v>235</v>
      </c>
      <c r="AP597" s="94"/>
      <c r="AQ597" s="19" t="s">
        <v>476</v>
      </c>
      <c r="AR597" s="19" t="s">
        <v>241</v>
      </c>
      <c r="AS597" s="19"/>
      <c r="AT597" s="65" t="str">
        <f t="shared" si="192"/>
        <v>N</v>
      </c>
      <c r="AU597" s="65" t="str">
        <f t="shared" si="186"/>
        <v>N</v>
      </c>
      <c r="AV597" s="65" t="str">
        <f t="shared" ref="AV597:AV660" si="195">AU597</f>
        <v>N</v>
      </c>
      <c r="AW597" s="99"/>
      <c r="AX597" s="99"/>
      <c r="AY597" s="19"/>
      <c r="AZ597" s="96" t="str">
        <f t="shared" si="187"/>
        <v>n</v>
      </c>
      <c r="BA597" s="96" t="str">
        <f>IF(AZ597="n","n",VLOOKUP(AZ597,'Conversion factors'!$C$4:$D$24,2,FALSE))</f>
        <v>n</v>
      </c>
      <c r="BB597" s="96" t="str">
        <f t="shared" si="188"/>
        <v>n</v>
      </c>
      <c r="BC597" s="97"/>
      <c r="BD597" s="96" t="str">
        <f t="shared" si="193"/>
        <v>n</v>
      </c>
      <c r="BE597" s="96" t="str">
        <f t="shared" si="189"/>
        <v>n</v>
      </c>
      <c r="BF597" s="98" t="str">
        <f t="shared" si="194"/>
        <v/>
      </c>
      <c r="BG597" s="96" t="str">
        <f>IF(BF597="","",IF(ISNUMBER(VLOOKUP(BF597,'Conversion factors'!$B$35:$C$52,2,FALSE)),"y","n"))</f>
        <v/>
      </c>
      <c r="BH597" s="99"/>
    </row>
    <row r="598" spans="1:60" s="103" customFormat="1" ht="15.75" customHeight="1" x14ac:dyDescent="0.2">
      <c r="A598" s="18"/>
      <c r="B598" s="19">
        <v>211</v>
      </c>
      <c r="C598" s="19"/>
      <c r="D598" s="19">
        <v>60097</v>
      </c>
      <c r="E598" s="19" t="s">
        <v>1224</v>
      </c>
      <c r="F598" s="93">
        <v>1998</v>
      </c>
      <c r="G598" s="19" t="s">
        <v>472</v>
      </c>
      <c r="H598" s="19"/>
      <c r="I598" s="19" t="s">
        <v>41</v>
      </c>
      <c r="J598" s="19" t="s">
        <v>473</v>
      </c>
      <c r="K598" s="19" t="s">
        <v>250</v>
      </c>
      <c r="L598" s="19" t="s">
        <v>1202</v>
      </c>
      <c r="M598" s="19" t="s">
        <v>1203</v>
      </c>
      <c r="N598" s="19" t="s">
        <v>109</v>
      </c>
      <c r="O598" s="19" t="s">
        <v>235</v>
      </c>
      <c r="P598" s="19" t="s">
        <v>162</v>
      </c>
      <c r="Q598" s="19"/>
      <c r="R598" s="19" t="s">
        <v>81</v>
      </c>
      <c r="S598" s="19" t="s">
        <v>474</v>
      </c>
      <c r="T598" s="19" t="s">
        <v>110</v>
      </c>
      <c r="U598" s="19" t="s">
        <v>44</v>
      </c>
      <c r="V598" s="19" t="s">
        <v>253</v>
      </c>
      <c r="W598" s="19" t="s">
        <v>231</v>
      </c>
      <c r="X598" s="19" t="s">
        <v>46</v>
      </c>
      <c r="Y598" s="29"/>
      <c r="Z598" s="19"/>
      <c r="AA598" s="19"/>
      <c r="AB598" s="19" t="s">
        <v>477</v>
      </c>
      <c r="AC598" s="19" t="s">
        <v>1322</v>
      </c>
      <c r="AD598" s="19"/>
      <c r="AE598" s="19"/>
      <c r="AF598" s="19"/>
      <c r="AG598" s="19" t="s">
        <v>235</v>
      </c>
      <c r="AH598" s="19"/>
      <c r="AI598" s="19"/>
      <c r="AJ598" s="19" t="s">
        <v>234</v>
      </c>
      <c r="AK598" s="19" t="s">
        <v>234</v>
      </c>
      <c r="AL598" s="19"/>
      <c r="AM598" s="19" t="s">
        <v>234</v>
      </c>
      <c r="AN598" s="19" t="s">
        <v>234</v>
      </c>
      <c r="AO598" s="19" t="s">
        <v>235</v>
      </c>
      <c r="AP598" s="94"/>
      <c r="AQ598" s="19" t="s">
        <v>476</v>
      </c>
      <c r="AR598" s="19" t="s">
        <v>241</v>
      </c>
      <c r="AS598" s="19"/>
      <c r="AT598" s="65" t="str">
        <f t="shared" si="192"/>
        <v>N</v>
      </c>
      <c r="AU598" s="65" t="str">
        <f t="shared" si="186"/>
        <v>N</v>
      </c>
      <c r="AV598" s="65" t="str">
        <f t="shared" si="195"/>
        <v>N</v>
      </c>
      <c r="AW598" s="99"/>
      <c r="AX598" s="99"/>
      <c r="AY598" s="19"/>
      <c r="AZ598" s="96" t="str">
        <f t="shared" si="187"/>
        <v>n</v>
      </c>
      <c r="BA598" s="96" t="str">
        <f>IF(AZ598="n","n",VLOOKUP(AZ598,'Conversion factors'!$C$4:$D$24,2,FALSE))</f>
        <v>n</v>
      </c>
      <c r="BB598" s="96" t="str">
        <f t="shared" si="188"/>
        <v>n</v>
      </c>
      <c r="BC598" s="97"/>
      <c r="BD598" s="96" t="str">
        <f t="shared" si="193"/>
        <v>n</v>
      </c>
      <c r="BE598" s="96" t="str">
        <f t="shared" si="189"/>
        <v>n</v>
      </c>
      <c r="BF598" s="98" t="str">
        <f t="shared" si="194"/>
        <v/>
      </c>
      <c r="BG598" s="96" t="str">
        <f>IF(BF598="","",IF(ISNUMBER(VLOOKUP(BF598,'Conversion factors'!$B$35:$C$52,2,FALSE)),"y","n"))</f>
        <v/>
      </c>
      <c r="BH598" s="99"/>
    </row>
    <row r="599" spans="1:60" s="103" customFormat="1" ht="15.75" customHeight="1" x14ac:dyDescent="0.2">
      <c r="A599" s="18"/>
      <c r="B599" s="19">
        <v>211</v>
      </c>
      <c r="C599" s="19"/>
      <c r="D599" s="19">
        <v>60097</v>
      </c>
      <c r="E599" s="19" t="s">
        <v>1224</v>
      </c>
      <c r="F599" s="93">
        <v>1998</v>
      </c>
      <c r="G599" s="19" t="s">
        <v>472</v>
      </c>
      <c r="H599" s="19"/>
      <c r="I599" s="19" t="s">
        <v>41</v>
      </c>
      <c r="J599" s="19" t="s">
        <v>473</v>
      </c>
      <c r="K599" s="19" t="s">
        <v>250</v>
      </c>
      <c r="L599" s="19" t="s">
        <v>1202</v>
      </c>
      <c r="M599" s="19" t="s">
        <v>1203</v>
      </c>
      <c r="N599" s="19" t="s">
        <v>109</v>
      </c>
      <c r="O599" s="19" t="s">
        <v>235</v>
      </c>
      <c r="P599" s="19" t="s">
        <v>162</v>
      </c>
      <c r="Q599" s="19"/>
      <c r="R599" s="19" t="s">
        <v>81</v>
      </c>
      <c r="S599" s="19" t="s">
        <v>478</v>
      </c>
      <c r="T599" s="19" t="s">
        <v>110</v>
      </c>
      <c r="U599" s="19" t="s">
        <v>44</v>
      </c>
      <c r="V599" s="19" t="s">
        <v>253</v>
      </c>
      <c r="W599" s="19" t="s">
        <v>231</v>
      </c>
      <c r="X599" s="19" t="s">
        <v>46</v>
      </c>
      <c r="Y599" s="29"/>
      <c r="Z599" s="19"/>
      <c r="AA599" s="19"/>
      <c r="AB599" s="19" t="s">
        <v>479</v>
      </c>
      <c r="AC599" s="19" t="s">
        <v>1322</v>
      </c>
      <c r="AD599" s="19"/>
      <c r="AE599" s="19"/>
      <c r="AF599" s="19"/>
      <c r="AG599" s="19" t="s">
        <v>235</v>
      </c>
      <c r="AH599" s="19"/>
      <c r="AI599" s="19"/>
      <c r="AJ599" s="19" t="s">
        <v>234</v>
      </c>
      <c r="AK599" s="19" t="s">
        <v>234</v>
      </c>
      <c r="AL599" s="19"/>
      <c r="AM599" s="19" t="s">
        <v>234</v>
      </c>
      <c r="AN599" s="19" t="s">
        <v>234</v>
      </c>
      <c r="AO599" s="19" t="s">
        <v>235</v>
      </c>
      <c r="AP599" s="94"/>
      <c r="AQ599" s="19" t="s">
        <v>476</v>
      </c>
      <c r="AR599" s="19" t="s">
        <v>241</v>
      </c>
      <c r="AS599" s="19"/>
      <c r="AT599" s="65" t="str">
        <f t="shared" si="192"/>
        <v>N</v>
      </c>
      <c r="AU599" s="65" t="str">
        <f t="shared" si="186"/>
        <v>N</v>
      </c>
      <c r="AV599" s="65" t="str">
        <f t="shared" si="195"/>
        <v>N</v>
      </c>
      <c r="AW599" s="99"/>
      <c r="AX599" s="99"/>
      <c r="AY599" s="19"/>
      <c r="AZ599" s="96" t="str">
        <f t="shared" si="187"/>
        <v>n</v>
      </c>
      <c r="BA599" s="96" t="str">
        <f>IF(AZ599="n","n",VLOOKUP(AZ599,'Conversion factors'!$C$4:$D$24,2,FALSE))</f>
        <v>n</v>
      </c>
      <c r="BB599" s="96" t="str">
        <f t="shared" si="188"/>
        <v>n</v>
      </c>
      <c r="BC599" s="97"/>
      <c r="BD599" s="96" t="str">
        <f t="shared" si="193"/>
        <v>n</v>
      </c>
      <c r="BE599" s="96" t="str">
        <f t="shared" si="189"/>
        <v>n</v>
      </c>
      <c r="BF599" s="98" t="str">
        <f t="shared" si="194"/>
        <v/>
      </c>
      <c r="BG599" s="96" t="str">
        <f>IF(BF599="","",IF(ISNUMBER(VLOOKUP(BF599,'Conversion factors'!$B$35:$C$52,2,FALSE)),"y","n"))</f>
        <v/>
      </c>
      <c r="BH599" s="99"/>
    </row>
    <row r="600" spans="1:60" s="103" customFormat="1" ht="15.75" customHeight="1" x14ac:dyDescent="0.2">
      <c r="A600" s="18"/>
      <c r="B600" s="19">
        <v>211</v>
      </c>
      <c r="C600" s="19"/>
      <c r="D600" s="19">
        <v>60097</v>
      </c>
      <c r="E600" s="19" t="s">
        <v>1224</v>
      </c>
      <c r="F600" s="93">
        <v>1998</v>
      </c>
      <c r="G600" s="19" t="s">
        <v>472</v>
      </c>
      <c r="H600" s="19"/>
      <c r="I600" s="19" t="s">
        <v>41</v>
      </c>
      <c r="J600" s="19" t="s">
        <v>473</v>
      </c>
      <c r="K600" s="19" t="s">
        <v>250</v>
      </c>
      <c r="L600" s="19" t="s">
        <v>1202</v>
      </c>
      <c r="M600" s="19" t="s">
        <v>1203</v>
      </c>
      <c r="N600" s="19" t="s">
        <v>109</v>
      </c>
      <c r="O600" s="19" t="s">
        <v>235</v>
      </c>
      <c r="P600" s="19" t="s">
        <v>162</v>
      </c>
      <c r="Q600" s="19"/>
      <c r="R600" s="19" t="s">
        <v>81</v>
      </c>
      <c r="S600" s="19" t="s">
        <v>402</v>
      </c>
      <c r="T600" s="19" t="s">
        <v>110</v>
      </c>
      <c r="U600" s="19" t="s">
        <v>44</v>
      </c>
      <c r="V600" s="19" t="s">
        <v>253</v>
      </c>
      <c r="W600" s="19" t="s">
        <v>231</v>
      </c>
      <c r="X600" s="19" t="s">
        <v>46</v>
      </c>
      <c r="Y600" s="29"/>
      <c r="Z600" s="19"/>
      <c r="AA600" s="19"/>
      <c r="AB600" s="19" t="s">
        <v>480</v>
      </c>
      <c r="AC600" s="19" t="s">
        <v>1322</v>
      </c>
      <c r="AD600" s="19"/>
      <c r="AE600" s="19"/>
      <c r="AF600" s="19"/>
      <c r="AG600" s="19" t="s">
        <v>235</v>
      </c>
      <c r="AH600" s="19"/>
      <c r="AI600" s="19"/>
      <c r="AJ600" s="19" t="s">
        <v>234</v>
      </c>
      <c r="AK600" s="19" t="s">
        <v>234</v>
      </c>
      <c r="AL600" s="19"/>
      <c r="AM600" s="19" t="s">
        <v>234</v>
      </c>
      <c r="AN600" s="19" t="s">
        <v>234</v>
      </c>
      <c r="AO600" s="19" t="s">
        <v>235</v>
      </c>
      <c r="AP600" s="94"/>
      <c r="AQ600" s="19" t="s">
        <v>476</v>
      </c>
      <c r="AR600" s="19" t="s">
        <v>241</v>
      </c>
      <c r="AS600" s="19"/>
      <c r="AT600" s="65" t="str">
        <f t="shared" si="192"/>
        <v>N</v>
      </c>
      <c r="AU600" s="65" t="str">
        <f t="shared" si="186"/>
        <v>N</v>
      </c>
      <c r="AV600" s="65" t="str">
        <f t="shared" si="195"/>
        <v>N</v>
      </c>
      <c r="AW600" s="99"/>
      <c r="AX600" s="99"/>
      <c r="AY600" s="19"/>
      <c r="AZ600" s="96" t="str">
        <f t="shared" si="187"/>
        <v>n</v>
      </c>
      <c r="BA600" s="96" t="str">
        <f>IF(AZ600="n","n",VLOOKUP(AZ600,'Conversion factors'!$C$4:$D$24,2,FALSE))</f>
        <v>n</v>
      </c>
      <c r="BB600" s="96" t="str">
        <f t="shared" si="188"/>
        <v>n</v>
      </c>
      <c r="BC600" s="97"/>
      <c r="BD600" s="96" t="str">
        <f t="shared" si="193"/>
        <v>n</v>
      </c>
      <c r="BE600" s="96" t="str">
        <f t="shared" si="189"/>
        <v>n</v>
      </c>
      <c r="BF600" s="98" t="str">
        <f t="shared" si="194"/>
        <v/>
      </c>
      <c r="BG600" s="96" t="str">
        <f>IF(BF600="","",IF(ISNUMBER(VLOOKUP(BF600,'Conversion factors'!$B$35:$C$52,2,FALSE)),"y","n"))</f>
        <v/>
      </c>
      <c r="BH600" s="99"/>
    </row>
    <row r="601" spans="1:60" s="103" customFormat="1" ht="15.75" customHeight="1" x14ac:dyDescent="0.2">
      <c r="A601" s="18"/>
      <c r="B601" s="19">
        <v>211</v>
      </c>
      <c r="C601" s="19"/>
      <c r="D601" s="19">
        <v>60097</v>
      </c>
      <c r="E601" s="19" t="s">
        <v>1224</v>
      </c>
      <c r="F601" s="93">
        <v>1998</v>
      </c>
      <c r="G601" s="19" t="s">
        <v>472</v>
      </c>
      <c r="H601" s="19"/>
      <c r="I601" s="19" t="s">
        <v>41</v>
      </c>
      <c r="J601" s="19" t="s">
        <v>473</v>
      </c>
      <c r="K601" s="19" t="s">
        <v>250</v>
      </c>
      <c r="L601" s="19" t="s">
        <v>1202</v>
      </c>
      <c r="M601" s="19" t="s">
        <v>1203</v>
      </c>
      <c r="N601" s="19" t="s">
        <v>109</v>
      </c>
      <c r="O601" s="19" t="s">
        <v>235</v>
      </c>
      <c r="P601" s="19" t="s">
        <v>162</v>
      </c>
      <c r="Q601" s="19"/>
      <c r="R601" s="19" t="s">
        <v>81</v>
      </c>
      <c r="S601" s="19" t="s">
        <v>481</v>
      </c>
      <c r="T601" s="19" t="s">
        <v>110</v>
      </c>
      <c r="U601" s="19" t="s">
        <v>44</v>
      </c>
      <c r="V601" s="19" t="s">
        <v>253</v>
      </c>
      <c r="W601" s="19" t="s">
        <v>231</v>
      </c>
      <c r="X601" s="19" t="s">
        <v>46</v>
      </c>
      <c r="Y601" s="29"/>
      <c r="Z601" s="19"/>
      <c r="AA601" s="19"/>
      <c r="AB601" s="19" t="s">
        <v>482</v>
      </c>
      <c r="AC601" s="19" t="s">
        <v>1322</v>
      </c>
      <c r="AD601" s="19"/>
      <c r="AE601" s="19"/>
      <c r="AF601" s="19"/>
      <c r="AG601" s="19" t="s">
        <v>235</v>
      </c>
      <c r="AH601" s="19"/>
      <c r="AI601" s="19"/>
      <c r="AJ601" s="19" t="s">
        <v>234</v>
      </c>
      <c r="AK601" s="19" t="s">
        <v>234</v>
      </c>
      <c r="AL601" s="19"/>
      <c r="AM601" s="19" t="s">
        <v>234</v>
      </c>
      <c r="AN601" s="19" t="s">
        <v>234</v>
      </c>
      <c r="AO601" s="19" t="s">
        <v>235</v>
      </c>
      <c r="AP601" s="94"/>
      <c r="AQ601" s="19" t="s">
        <v>476</v>
      </c>
      <c r="AR601" s="19" t="s">
        <v>241</v>
      </c>
      <c r="AS601" s="19"/>
      <c r="AT601" s="65" t="str">
        <f t="shared" si="192"/>
        <v>N</v>
      </c>
      <c r="AU601" s="65" t="str">
        <f t="shared" si="186"/>
        <v>N</v>
      </c>
      <c r="AV601" s="65" t="str">
        <f t="shared" si="195"/>
        <v>N</v>
      </c>
      <c r="AW601" s="99"/>
      <c r="AX601" s="99"/>
      <c r="AY601" s="19"/>
      <c r="AZ601" s="96" t="str">
        <f t="shared" si="187"/>
        <v>n</v>
      </c>
      <c r="BA601" s="96" t="str">
        <f>IF(AZ601="n","n",VLOOKUP(AZ601,'Conversion factors'!$C$4:$D$24,2,FALSE))</f>
        <v>n</v>
      </c>
      <c r="BB601" s="96" t="str">
        <f t="shared" si="188"/>
        <v>n</v>
      </c>
      <c r="BC601" s="97"/>
      <c r="BD601" s="96" t="str">
        <f t="shared" si="193"/>
        <v>n</v>
      </c>
      <c r="BE601" s="96" t="str">
        <f t="shared" si="189"/>
        <v>n</v>
      </c>
      <c r="BF601" s="98" t="str">
        <f t="shared" si="194"/>
        <v/>
      </c>
      <c r="BG601" s="96" t="str">
        <f>IF(BF601="","",IF(ISNUMBER(VLOOKUP(BF601,'Conversion factors'!$B$35:$C$52,2,FALSE)),"y","n"))</f>
        <v/>
      </c>
      <c r="BH601" s="99"/>
    </row>
    <row r="602" spans="1:60" s="103" customFormat="1" ht="15.75" customHeight="1" x14ac:dyDescent="0.2">
      <c r="A602" s="18"/>
      <c r="B602" s="19">
        <v>211</v>
      </c>
      <c r="C602" s="19"/>
      <c r="D602" s="19">
        <v>60097</v>
      </c>
      <c r="E602" s="19" t="s">
        <v>1224</v>
      </c>
      <c r="F602" s="93">
        <v>1998</v>
      </c>
      <c r="G602" s="19" t="s">
        <v>472</v>
      </c>
      <c r="H602" s="19"/>
      <c r="I602" s="19" t="s">
        <v>41</v>
      </c>
      <c r="J602" s="19" t="s">
        <v>473</v>
      </c>
      <c r="K602" s="19" t="s">
        <v>250</v>
      </c>
      <c r="L602" s="19" t="s">
        <v>1202</v>
      </c>
      <c r="M602" s="19" t="s">
        <v>1203</v>
      </c>
      <c r="N602" s="19" t="s">
        <v>109</v>
      </c>
      <c r="O602" s="19" t="s">
        <v>235</v>
      </c>
      <c r="P602" s="19" t="s">
        <v>162</v>
      </c>
      <c r="Q602" s="19"/>
      <c r="R602" s="19" t="s">
        <v>81</v>
      </c>
      <c r="S602" s="19" t="s">
        <v>483</v>
      </c>
      <c r="T602" s="19" t="s">
        <v>110</v>
      </c>
      <c r="U602" s="19" t="s">
        <v>44</v>
      </c>
      <c r="V602" s="19" t="s">
        <v>253</v>
      </c>
      <c r="W602" s="19" t="s">
        <v>231</v>
      </c>
      <c r="X602" s="19" t="s">
        <v>46</v>
      </c>
      <c r="Y602" s="29"/>
      <c r="Z602" s="19"/>
      <c r="AA602" s="19"/>
      <c r="AB602" s="19" t="s">
        <v>484</v>
      </c>
      <c r="AC602" s="19" t="s">
        <v>1322</v>
      </c>
      <c r="AD602" s="19"/>
      <c r="AE602" s="19"/>
      <c r="AF602" s="19"/>
      <c r="AG602" s="19" t="s">
        <v>235</v>
      </c>
      <c r="AH602" s="19"/>
      <c r="AI602" s="19"/>
      <c r="AJ602" s="19" t="s">
        <v>234</v>
      </c>
      <c r="AK602" s="19" t="s">
        <v>234</v>
      </c>
      <c r="AL602" s="19"/>
      <c r="AM602" s="19" t="s">
        <v>234</v>
      </c>
      <c r="AN602" s="19" t="s">
        <v>234</v>
      </c>
      <c r="AO602" s="19" t="s">
        <v>235</v>
      </c>
      <c r="AP602" s="94"/>
      <c r="AQ602" s="19" t="s">
        <v>476</v>
      </c>
      <c r="AR602" s="19" t="s">
        <v>241</v>
      </c>
      <c r="AS602" s="19"/>
      <c r="AT602" s="65" t="str">
        <f t="shared" si="192"/>
        <v>N</v>
      </c>
      <c r="AU602" s="65" t="str">
        <f t="shared" si="186"/>
        <v>N</v>
      </c>
      <c r="AV602" s="65" t="str">
        <f t="shared" si="195"/>
        <v>N</v>
      </c>
      <c r="AW602" s="99"/>
      <c r="AX602" s="99"/>
      <c r="AY602" s="19"/>
      <c r="AZ602" s="96" t="str">
        <f t="shared" si="187"/>
        <v>n</v>
      </c>
      <c r="BA602" s="96" t="str">
        <f>IF(AZ602="n","n",VLOOKUP(AZ602,'Conversion factors'!$C$4:$D$24,2,FALSE))</f>
        <v>n</v>
      </c>
      <c r="BB602" s="96" t="str">
        <f t="shared" si="188"/>
        <v>n</v>
      </c>
      <c r="BC602" s="97"/>
      <c r="BD602" s="96" t="str">
        <f t="shared" si="193"/>
        <v>n</v>
      </c>
      <c r="BE602" s="96" t="str">
        <f t="shared" si="189"/>
        <v>n</v>
      </c>
      <c r="BF602" s="98" t="str">
        <f t="shared" si="194"/>
        <v/>
      </c>
      <c r="BG602" s="96" t="str">
        <f>IF(BF602="","",IF(ISNUMBER(VLOOKUP(BF602,'Conversion factors'!$B$35:$C$52,2,FALSE)),"y","n"))</f>
        <v/>
      </c>
      <c r="BH602" s="99"/>
    </row>
    <row r="603" spans="1:60" s="103" customFormat="1" ht="15.75" customHeight="1" x14ac:dyDescent="0.2">
      <c r="A603" s="18"/>
      <c r="B603" s="19">
        <v>211</v>
      </c>
      <c r="C603" s="19"/>
      <c r="D603" s="19">
        <v>60097</v>
      </c>
      <c r="E603" s="19" t="s">
        <v>1224</v>
      </c>
      <c r="F603" s="93">
        <v>1998</v>
      </c>
      <c r="G603" s="19" t="s">
        <v>472</v>
      </c>
      <c r="H603" s="19"/>
      <c r="I603" s="19" t="s">
        <v>41</v>
      </c>
      <c r="J603" s="19" t="s">
        <v>473</v>
      </c>
      <c r="K603" s="19" t="s">
        <v>250</v>
      </c>
      <c r="L603" s="19" t="s">
        <v>1202</v>
      </c>
      <c r="M603" s="19" t="s">
        <v>1203</v>
      </c>
      <c r="N603" s="19" t="s">
        <v>109</v>
      </c>
      <c r="O603" s="19" t="s">
        <v>235</v>
      </c>
      <c r="P603" s="19" t="s">
        <v>162</v>
      </c>
      <c r="Q603" s="19"/>
      <c r="R603" s="19" t="s">
        <v>81</v>
      </c>
      <c r="S603" s="19" t="s">
        <v>483</v>
      </c>
      <c r="T603" s="19" t="s">
        <v>110</v>
      </c>
      <c r="U603" s="19" t="s">
        <v>44</v>
      </c>
      <c r="V603" s="19" t="s">
        <v>253</v>
      </c>
      <c r="W603" s="19" t="s">
        <v>231</v>
      </c>
      <c r="X603" s="19" t="s">
        <v>46</v>
      </c>
      <c r="Y603" s="29"/>
      <c r="Z603" s="19"/>
      <c r="AA603" s="19"/>
      <c r="AB603" s="19" t="s">
        <v>485</v>
      </c>
      <c r="AC603" s="19" t="s">
        <v>1322</v>
      </c>
      <c r="AD603" s="19"/>
      <c r="AE603" s="19"/>
      <c r="AF603" s="19"/>
      <c r="AG603" s="19" t="s">
        <v>235</v>
      </c>
      <c r="AH603" s="19"/>
      <c r="AI603" s="19"/>
      <c r="AJ603" s="19" t="s">
        <v>234</v>
      </c>
      <c r="AK603" s="19" t="s">
        <v>234</v>
      </c>
      <c r="AL603" s="19"/>
      <c r="AM603" s="19" t="s">
        <v>234</v>
      </c>
      <c r="AN603" s="19" t="s">
        <v>234</v>
      </c>
      <c r="AO603" s="19" t="s">
        <v>235</v>
      </c>
      <c r="AP603" s="94"/>
      <c r="AQ603" s="19" t="s">
        <v>476</v>
      </c>
      <c r="AR603" s="19" t="s">
        <v>241</v>
      </c>
      <c r="AS603" s="19"/>
      <c r="AT603" s="65" t="str">
        <f t="shared" si="192"/>
        <v>N</v>
      </c>
      <c r="AU603" s="65" t="str">
        <f t="shared" si="186"/>
        <v>N</v>
      </c>
      <c r="AV603" s="65" t="str">
        <f t="shared" si="195"/>
        <v>N</v>
      </c>
      <c r="AW603" s="99"/>
      <c r="AX603" s="99"/>
      <c r="AY603" s="19"/>
      <c r="AZ603" s="96" t="str">
        <f t="shared" si="187"/>
        <v>n</v>
      </c>
      <c r="BA603" s="96" t="str">
        <f>IF(AZ603="n","n",VLOOKUP(AZ603,'Conversion factors'!$C$4:$D$24,2,FALSE))</f>
        <v>n</v>
      </c>
      <c r="BB603" s="96" t="str">
        <f t="shared" si="188"/>
        <v>n</v>
      </c>
      <c r="BC603" s="97"/>
      <c r="BD603" s="96" t="str">
        <f t="shared" si="193"/>
        <v>n</v>
      </c>
      <c r="BE603" s="96" t="str">
        <f t="shared" si="189"/>
        <v>n</v>
      </c>
      <c r="BF603" s="98" t="str">
        <f t="shared" si="194"/>
        <v/>
      </c>
      <c r="BG603" s="96" t="str">
        <f>IF(BF603="","",IF(ISNUMBER(VLOOKUP(BF603,'Conversion factors'!$B$35:$C$52,2,FALSE)),"y","n"))</f>
        <v/>
      </c>
      <c r="BH603" s="99"/>
    </row>
    <row r="604" spans="1:60" s="103" customFormat="1" ht="15.75" customHeight="1" x14ac:dyDescent="0.2">
      <c r="A604" s="18"/>
      <c r="B604" s="19">
        <v>211</v>
      </c>
      <c r="C604" s="19"/>
      <c r="D604" s="19">
        <v>60097</v>
      </c>
      <c r="E604" s="19" t="s">
        <v>1224</v>
      </c>
      <c r="F604" s="93">
        <v>1998</v>
      </c>
      <c r="G604" s="19" t="s">
        <v>472</v>
      </c>
      <c r="H604" s="19"/>
      <c r="I604" s="19" t="s">
        <v>41</v>
      </c>
      <c r="J604" s="19" t="s">
        <v>473</v>
      </c>
      <c r="K604" s="19" t="s">
        <v>250</v>
      </c>
      <c r="L604" s="19" t="s">
        <v>1202</v>
      </c>
      <c r="M604" s="19" t="s">
        <v>1203</v>
      </c>
      <c r="N604" s="19" t="s">
        <v>109</v>
      </c>
      <c r="O604" s="19" t="s">
        <v>235</v>
      </c>
      <c r="P604" s="19" t="s">
        <v>162</v>
      </c>
      <c r="Q604" s="19"/>
      <c r="R604" s="19" t="s">
        <v>81</v>
      </c>
      <c r="S604" s="19" t="s">
        <v>402</v>
      </c>
      <c r="T604" s="19" t="s">
        <v>110</v>
      </c>
      <c r="U604" s="19" t="s">
        <v>44</v>
      </c>
      <c r="V604" s="19" t="s">
        <v>253</v>
      </c>
      <c r="W604" s="19" t="s">
        <v>231</v>
      </c>
      <c r="X604" s="19" t="s">
        <v>46</v>
      </c>
      <c r="Y604" s="29"/>
      <c r="Z604" s="19"/>
      <c r="AA604" s="19"/>
      <c r="AB604" s="19" t="s">
        <v>486</v>
      </c>
      <c r="AC604" s="19" t="s">
        <v>1322</v>
      </c>
      <c r="AD604" s="19"/>
      <c r="AE604" s="19"/>
      <c r="AF604" s="19"/>
      <c r="AG604" s="19" t="s">
        <v>235</v>
      </c>
      <c r="AH604" s="19"/>
      <c r="AI604" s="19"/>
      <c r="AJ604" s="19" t="s">
        <v>234</v>
      </c>
      <c r="AK604" s="19" t="s">
        <v>234</v>
      </c>
      <c r="AL604" s="19"/>
      <c r="AM604" s="19" t="s">
        <v>234</v>
      </c>
      <c r="AN604" s="19" t="s">
        <v>234</v>
      </c>
      <c r="AO604" s="19" t="s">
        <v>235</v>
      </c>
      <c r="AP604" s="94"/>
      <c r="AQ604" s="19" t="s">
        <v>476</v>
      </c>
      <c r="AR604" s="19" t="s">
        <v>241</v>
      </c>
      <c r="AS604" s="19"/>
      <c r="AT604" s="65" t="str">
        <f t="shared" si="192"/>
        <v>N</v>
      </c>
      <c r="AU604" s="65" t="str">
        <f t="shared" si="186"/>
        <v>N</v>
      </c>
      <c r="AV604" s="65" t="str">
        <f t="shared" si="195"/>
        <v>N</v>
      </c>
      <c r="AW604" s="99"/>
      <c r="AX604" s="99"/>
      <c r="AY604" s="19"/>
      <c r="AZ604" s="96" t="str">
        <f t="shared" si="187"/>
        <v>n</v>
      </c>
      <c r="BA604" s="96" t="str">
        <f>IF(AZ604="n","n",VLOOKUP(AZ604,'Conversion factors'!$C$4:$D$24,2,FALSE))</f>
        <v>n</v>
      </c>
      <c r="BB604" s="96" t="str">
        <f t="shared" si="188"/>
        <v>n</v>
      </c>
      <c r="BC604" s="97"/>
      <c r="BD604" s="96" t="str">
        <f t="shared" si="193"/>
        <v>n</v>
      </c>
      <c r="BE604" s="96" t="str">
        <f t="shared" si="189"/>
        <v>n</v>
      </c>
      <c r="BF604" s="98" t="str">
        <f t="shared" si="194"/>
        <v/>
      </c>
      <c r="BG604" s="96" t="str">
        <f>IF(BF604="","",IF(ISNUMBER(VLOOKUP(BF604,'Conversion factors'!$B$35:$C$52,2,FALSE)),"y","n"))</f>
        <v/>
      </c>
      <c r="BH604" s="99"/>
    </row>
    <row r="605" spans="1:60" s="103" customFormat="1" ht="15.75" customHeight="1" x14ac:dyDescent="0.2">
      <c r="A605" s="18"/>
      <c r="B605" s="19">
        <v>211</v>
      </c>
      <c r="C605" s="19"/>
      <c r="D605" s="19">
        <v>60097</v>
      </c>
      <c r="E605" s="19" t="s">
        <v>1224</v>
      </c>
      <c r="F605" s="93">
        <v>1998</v>
      </c>
      <c r="G605" s="19" t="s">
        <v>472</v>
      </c>
      <c r="H605" s="19"/>
      <c r="I605" s="19" t="s">
        <v>41</v>
      </c>
      <c r="J605" s="19" t="s">
        <v>473</v>
      </c>
      <c r="K605" s="19" t="s">
        <v>250</v>
      </c>
      <c r="L605" s="19" t="s">
        <v>1202</v>
      </c>
      <c r="M605" s="19" t="s">
        <v>1203</v>
      </c>
      <c r="N605" s="19" t="s">
        <v>109</v>
      </c>
      <c r="O605" s="19" t="s">
        <v>235</v>
      </c>
      <c r="P605" s="19" t="s">
        <v>162</v>
      </c>
      <c r="Q605" s="19"/>
      <c r="R605" s="19" t="s">
        <v>81</v>
      </c>
      <c r="S605" s="19" t="s">
        <v>402</v>
      </c>
      <c r="T605" s="19" t="s">
        <v>110</v>
      </c>
      <c r="U605" s="19" t="s">
        <v>44</v>
      </c>
      <c r="V605" s="19" t="s">
        <v>253</v>
      </c>
      <c r="W605" s="19" t="s">
        <v>231</v>
      </c>
      <c r="X605" s="19" t="s">
        <v>46</v>
      </c>
      <c r="Y605" s="29"/>
      <c r="Z605" s="19"/>
      <c r="AA605" s="19"/>
      <c r="AB605" s="19" t="s">
        <v>487</v>
      </c>
      <c r="AC605" s="19" t="s">
        <v>1322</v>
      </c>
      <c r="AD605" s="19"/>
      <c r="AE605" s="19"/>
      <c r="AF605" s="19"/>
      <c r="AG605" s="19" t="s">
        <v>235</v>
      </c>
      <c r="AH605" s="19"/>
      <c r="AI605" s="19"/>
      <c r="AJ605" s="19" t="s">
        <v>234</v>
      </c>
      <c r="AK605" s="19" t="s">
        <v>234</v>
      </c>
      <c r="AL605" s="19"/>
      <c r="AM605" s="19" t="s">
        <v>234</v>
      </c>
      <c r="AN605" s="19" t="s">
        <v>234</v>
      </c>
      <c r="AO605" s="19" t="s">
        <v>235</v>
      </c>
      <c r="AP605" s="94"/>
      <c r="AQ605" s="19" t="s">
        <v>476</v>
      </c>
      <c r="AR605" s="19" t="s">
        <v>241</v>
      </c>
      <c r="AS605" s="19"/>
      <c r="AT605" s="65" t="str">
        <f t="shared" si="192"/>
        <v>N</v>
      </c>
      <c r="AU605" s="65" t="str">
        <f t="shared" si="186"/>
        <v>N</v>
      </c>
      <c r="AV605" s="65" t="str">
        <f t="shared" si="195"/>
        <v>N</v>
      </c>
      <c r="AW605" s="99"/>
      <c r="AX605" s="99"/>
      <c r="AY605" s="19"/>
      <c r="AZ605" s="96" t="str">
        <f t="shared" si="187"/>
        <v>n</v>
      </c>
      <c r="BA605" s="96" t="str">
        <f>IF(AZ605="n","n",VLOOKUP(AZ605,'Conversion factors'!$C$4:$D$24,2,FALSE))</f>
        <v>n</v>
      </c>
      <c r="BB605" s="96" t="str">
        <f t="shared" si="188"/>
        <v>n</v>
      </c>
      <c r="BC605" s="97"/>
      <c r="BD605" s="96" t="str">
        <f t="shared" si="193"/>
        <v>n</v>
      </c>
      <c r="BE605" s="96" t="str">
        <f t="shared" si="189"/>
        <v>n</v>
      </c>
      <c r="BF605" s="98" t="str">
        <f t="shared" si="194"/>
        <v/>
      </c>
      <c r="BG605" s="96" t="str">
        <f>IF(BF605="","",IF(ISNUMBER(VLOOKUP(BF605,'Conversion factors'!$B$35:$C$52,2,FALSE)),"y","n"))</f>
        <v/>
      </c>
      <c r="BH605" s="99"/>
    </row>
    <row r="606" spans="1:60" s="103" customFormat="1" ht="15.75" customHeight="1" x14ac:dyDescent="0.2">
      <c r="A606" s="18"/>
      <c r="B606" s="19">
        <v>211</v>
      </c>
      <c r="C606" s="19"/>
      <c r="D606" s="19">
        <v>60097</v>
      </c>
      <c r="E606" s="19" t="s">
        <v>1224</v>
      </c>
      <c r="F606" s="93">
        <v>1998</v>
      </c>
      <c r="G606" s="19" t="s">
        <v>472</v>
      </c>
      <c r="H606" s="19"/>
      <c r="I606" s="19" t="s">
        <v>41</v>
      </c>
      <c r="J606" s="19" t="s">
        <v>473</v>
      </c>
      <c r="K606" s="19" t="s">
        <v>250</v>
      </c>
      <c r="L606" s="19" t="s">
        <v>1202</v>
      </c>
      <c r="M606" s="19" t="s">
        <v>1203</v>
      </c>
      <c r="N606" s="19" t="s">
        <v>109</v>
      </c>
      <c r="O606" s="19" t="s">
        <v>235</v>
      </c>
      <c r="P606" s="19" t="s">
        <v>162</v>
      </c>
      <c r="Q606" s="19"/>
      <c r="R606" s="19" t="s">
        <v>81</v>
      </c>
      <c r="S606" s="19" t="s">
        <v>474</v>
      </c>
      <c r="T606" s="19" t="s">
        <v>110</v>
      </c>
      <c r="U606" s="19" t="s">
        <v>44</v>
      </c>
      <c r="V606" s="19" t="s">
        <v>253</v>
      </c>
      <c r="W606" s="19" t="s">
        <v>231</v>
      </c>
      <c r="X606" s="19" t="s">
        <v>46</v>
      </c>
      <c r="Y606" s="29"/>
      <c r="Z606" s="19"/>
      <c r="AA606" s="19"/>
      <c r="AB606" s="19" t="s">
        <v>488</v>
      </c>
      <c r="AC606" s="19" t="s">
        <v>1322</v>
      </c>
      <c r="AD606" s="19"/>
      <c r="AE606" s="19"/>
      <c r="AF606" s="19"/>
      <c r="AG606" s="19" t="s">
        <v>235</v>
      </c>
      <c r="AH606" s="19"/>
      <c r="AI606" s="19"/>
      <c r="AJ606" s="19" t="s">
        <v>234</v>
      </c>
      <c r="AK606" s="19" t="s">
        <v>234</v>
      </c>
      <c r="AL606" s="19"/>
      <c r="AM606" s="19" t="s">
        <v>234</v>
      </c>
      <c r="AN606" s="19" t="s">
        <v>234</v>
      </c>
      <c r="AO606" s="19" t="s">
        <v>235</v>
      </c>
      <c r="AP606" s="94"/>
      <c r="AQ606" s="19" t="s">
        <v>476</v>
      </c>
      <c r="AR606" s="19" t="s">
        <v>241</v>
      </c>
      <c r="AS606" s="19"/>
      <c r="AT606" s="65" t="str">
        <f t="shared" si="192"/>
        <v>N</v>
      </c>
      <c r="AU606" s="65" t="str">
        <f t="shared" si="186"/>
        <v>N</v>
      </c>
      <c r="AV606" s="65" t="str">
        <f t="shared" si="195"/>
        <v>N</v>
      </c>
      <c r="AW606" s="99"/>
      <c r="AX606" s="99"/>
      <c r="AY606" s="19"/>
      <c r="AZ606" s="96" t="str">
        <f t="shared" si="187"/>
        <v>n</v>
      </c>
      <c r="BA606" s="96" t="str">
        <f>IF(AZ606="n","n",VLOOKUP(AZ606,'Conversion factors'!$C$4:$D$24,2,FALSE))</f>
        <v>n</v>
      </c>
      <c r="BB606" s="96" t="str">
        <f t="shared" si="188"/>
        <v>n</v>
      </c>
      <c r="BC606" s="97"/>
      <c r="BD606" s="96" t="str">
        <f t="shared" si="193"/>
        <v>n</v>
      </c>
      <c r="BE606" s="96" t="str">
        <f t="shared" si="189"/>
        <v>n</v>
      </c>
      <c r="BF606" s="98" t="str">
        <f t="shared" si="194"/>
        <v/>
      </c>
      <c r="BG606" s="96" t="str">
        <f>IF(BF606="","",IF(ISNUMBER(VLOOKUP(BF606,'Conversion factors'!$B$35:$C$52,2,FALSE)),"y","n"))</f>
        <v/>
      </c>
      <c r="BH606" s="99"/>
    </row>
    <row r="607" spans="1:60" s="103" customFormat="1" ht="15.75" customHeight="1" x14ac:dyDescent="0.2">
      <c r="A607" s="18"/>
      <c r="B607" s="19">
        <v>211</v>
      </c>
      <c r="C607" s="19"/>
      <c r="D607" s="19">
        <v>60097</v>
      </c>
      <c r="E607" s="19" t="s">
        <v>1224</v>
      </c>
      <c r="F607" s="93">
        <v>1998</v>
      </c>
      <c r="G607" s="19" t="s">
        <v>472</v>
      </c>
      <c r="H607" s="19"/>
      <c r="I607" s="19" t="s">
        <v>41</v>
      </c>
      <c r="J607" s="19" t="s">
        <v>473</v>
      </c>
      <c r="K607" s="19" t="s">
        <v>250</v>
      </c>
      <c r="L607" s="19" t="s">
        <v>1202</v>
      </c>
      <c r="M607" s="19" t="s">
        <v>1203</v>
      </c>
      <c r="N607" s="19" t="s">
        <v>109</v>
      </c>
      <c r="O607" s="19" t="s">
        <v>235</v>
      </c>
      <c r="P607" s="19" t="s">
        <v>162</v>
      </c>
      <c r="Q607" s="19"/>
      <c r="R607" s="19" t="s">
        <v>81</v>
      </c>
      <c r="S607" s="19" t="s">
        <v>402</v>
      </c>
      <c r="T607" s="19" t="s">
        <v>110</v>
      </c>
      <c r="U607" s="19" t="s">
        <v>44</v>
      </c>
      <c r="V607" s="19" t="s">
        <v>253</v>
      </c>
      <c r="W607" s="19" t="s">
        <v>231</v>
      </c>
      <c r="X607" s="19" t="s">
        <v>46</v>
      </c>
      <c r="Y607" s="29"/>
      <c r="Z607" s="19"/>
      <c r="AA607" s="19"/>
      <c r="AB607" s="19" t="s">
        <v>489</v>
      </c>
      <c r="AC607" s="19" t="s">
        <v>1322</v>
      </c>
      <c r="AD607" s="19"/>
      <c r="AE607" s="19"/>
      <c r="AF607" s="19"/>
      <c r="AG607" s="19" t="s">
        <v>235</v>
      </c>
      <c r="AH607" s="19"/>
      <c r="AI607" s="19"/>
      <c r="AJ607" s="19" t="s">
        <v>234</v>
      </c>
      <c r="AK607" s="19" t="s">
        <v>234</v>
      </c>
      <c r="AL607" s="19"/>
      <c r="AM607" s="19" t="s">
        <v>234</v>
      </c>
      <c r="AN607" s="19" t="s">
        <v>234</v>
      </c>
      <c r="AO607" s="19" t="s">
        <v>235</v>
      </c>
      <c r="AP607" s="94"/>
      <c r="AQ607" s="19" t="s">
        <v>476</v>
      </c>
      <c r="AR607" s="19" t="s">
        <v>241</v>
      </c>
      <c r="AS607" s="19"/>
      <c r="AT607" s="65" t="str">
        <f t="shared" si="192"/>
        <v>N</v>
      </c>
      <c r="AU607" s="65" t="str">
        <f t="shared" si="186"/>
        <v>N</v>
      </c>
      <c r="AV607" s="65" t="str">
        <f t="shared" si="195"/>
        <v>N</v>
      </c>
      <c r="AW607" s="99"/>
      <c r="AX607" s="99"/>
      <c r="AY607" s="19"/>
      <c r="AZ607" s="96" t="str">
        <f t="shared" si="187"/>
        <v>n</v>
      </c>
      <c r="BA607" s="96" t="str">
        <f>IF(AZ607="n","n",VLOOKUP(AZ607,'Conversion factors'!$C$4:$D$24,2,FALSE))</f>
        <v>n</v>
      </c>
      <c r="BB607" s="96" t="str">
        <f t="shared" si="188"/>
        <v>n</v>
      </c>
      <c r="BC607" s="97"/>
      <c r="BD607" s="96" t="str">
        <f t="shared" si="193"/>
        <v>n</v>
      </c>
      <c r="BE607" s="96" t="str">
        <f t="shared" si="189"/>
        <v>n</v>
      </c>
      <c r="BF607" s="98" t="str">
        <f t="shared" si="194"/>
        <v/>
      </c>
      <c r="BG607" s="96" t="str">
        <f>IF(BF607="","",IF(ISNUMBER(VLOOKUP(BF607,'Conversion factors'!$B$35:$C$52,2,FALSE)),"y","n"))</f>
        <v/>
      </c>
      <c r="BH607" s="99"/>
    </row>
    <row r="608" spans="1:60" s="103" customFormat="1" ht="15.75" customHeight="1" x14ac:dyDescent="0.2">
      <c r="A608" s="18"/>
      <c r="B608" s="19">
        <v>211</v>
      </c>
      <c r="C608" s="19"/>
      <c r="D608" s="19">
        <v>60097</v>
      </c>
      <c r="E608" s="19" t="s">
        <v>1224</v>
      </c>
      <c r="F608" s="93">
        <v>1998</v>
      </c>
      <c r="G608" s="19" t="s">
        <v>472</v>
      </c>
      <c r="H608" s="19"/>
      <c r="I608" s="19" t="s">
        <v>41</v>
      </c>
      <c r="J608" s="19" t="s">
        <v>473</v>
      </c>
      <c r="K608" s="19" t="s">
        <v>250</v>
      </c>
      <c r="L608" s="19" t="s">
        <v>1202</v>
      </c>
      <c r="M608" s="19" t="s">
        <v>1203</v>
      </c>
      <c r="N608" s="19" t="s">
        <v>109</v>
      </c>
      <c r="O608" s="19" t="s">
        <v>235</v>
      </c>
      <c r="P608" s="19" t="s">
        <v>162</v>
      </c>
      <c r="Q608" s="19"/>
      <c r="R608" s="19" t="s">
        <v>81</v>
      </c>
      <c r="S608" s="19" t="s">
        <v>481</v>
      </c>
      <c r="T608" s="19" t="s">
        <v>110</v>
      </c>
      <c r="U608" s="19" t="s">
        <v>44</v>
      </c>
      <c r="V608" s="19" t="s">
        <v>253</v>
      </c>
      <c r="W608" s="19" t="s">
        <v>231</v>
      </c>
      <c r="X608" s="19" t="s">
        <v>46</v>
      </c>
      <c r="Y608" s="29"/>
      <c r="Z608" s="19"/>
      <c r="AA608" s="19"/>
      <c r="AB608" s="19" t="s">
        <v>490</v>
      </c>
      <c r="AC608" s="19" t="s">
        <v>1322</v>
      </c>
      <c r="AD608" s="19"/>
      <c r="AE608" s="19"/>
      <c r="AF608" s="19"/>
      <c r="AG608" s="19" t="s">
        <v>235</v>
      </c>
      <c r="AH608" s="19"/>
      <c r="AI608" s="19"/>
      <c r="AJ608" s="19" t="s">
        <v>234</v>
      </c>
      <c r="AK608" s="19" t="s">
        <v>234</v>
      </c>
      <c r="AL608" s="19"/>
      <c r="AM608" s="19" t="s">
        <v>234</v>
      </c>
      <c r="AN608" s="19" t="s">
        <v>234</v>
      </c>
      <c r="AO608" s="19" t="s">
        <v>235</v>
      </c>
      <c r="AP608" s="94"/>
      <c r="AQ608" s="19" t="s">
        <v>476</v>
      </c>
      <c r="AR608" s="19" t="s">
        <v>241</v>
      </c>
      <c r="AS608" s="19"/>
      <c r="AT608" s="65" t="str">
        <f t="shared" si="192"/>
        <v>N</v>
      </c>
      <c r="AU608" s="65" t="str">
        <f t="shared" ref="AU608:AU671" si="196">IF(AT608="N","N",IF(AJ608&lt;6,"N",IF(AJ608&gt;8.5,"N","Y")))</f>
        <v>N</v>
      </c>
      <c r="AV608" s="65" t="str">
        <f t="shared" si="195"/>
        <v>N</v>
      </c>
      <c r="AW608" s="99"/>
      <c r="AX608" s="99"/>
      <c r="AY608" s="19"/>
      <c r="AZ608" s="96" t="str">
        <f t="shared" si="187"/>
        <v>n</v>
      </c>
      <c r="BA608" s="96" t="str">
        <f>IF(AZ608="n","n",VLOOKUP(AZ608,'Conversion factors'!$C$4:$D$24,2,FALSE))</f>
        <v>n</v>
      </c>
      <c r="BB608" s="96" t="str">
        <f t="shared" si="188"/>
        <v>n</v>
      </c>
      <c r="BC608" s="97"/>
      <c r="BD608" s="96" t="str">
        <f t="shared" si="193"/>
        <v>n</v>
      </c>
      <c r="BE608" s="96" t="str">
        <f t="shared" si="189"/>
        <v>n</v>
      </c>
      <c r="BF608" s="98" t="str">
        <f t="shared" si="194"/>
        <v/>
      </c>
      <c r="BG608" s="96" t="str">
        <f>IF(BF608="","",IF(ISNUMBER(VLOOKUP(BF608,'Conversion factors'!$B$35:$C$52,2,FALSE)),"y","n"))</f>
        <v/>
      </c>
      <c r="BH608" s="99"/>
    </row>
    <row r="609" spans="1:60" s="103" customFormat="1" ht="15.75" customHeight="1" x14ac:dyDescent="0.2">
      <c r="A609" s="18"/>
      <c r="B609" s="19">
        <v>211</v>
      </c>
      <c r="C609" s="19"/>
      <c r="D609" s="19">
        <v>60097</v>
      </c>
      <c r="E609" s="19" t="s">
        <v>1224</v>
      </c>
      <c r="F609" s="93">
        <v>1998</v>
      </c>
      <c r="G609" s="19" t="s">
        <v>472</v>
      </c>
      <c r="H609" s="19"/>
      <c r="I609" s="19" t="s">
        <v>41</v>
      </c>
      <c r="J609" s="19" t="s">
        <v>473</v>
      </c>
      <c r="K609" s="19" t="s">
        <v>250</v>
      </c>
      <c r="L609" s="19" t="s">
        <v>1202</v>
      </c>
      <c r="M609" s="19" t="s">
        <v>1203</v>
      </c>
      <c r="N609" s="19" t="s">
        <v>109</v>
      </c>
      <c r="O609" s="19" t="s">
        <v>235</v>
      </c>
      <c r="P609" s="19" t="s">
        <v>162</v>
      </c>
      <c r="Q609" s="19"/>
      <c r="R609" s="19" t="s">
        <v>81</v>
      </c>
      <c r="S609" s="19" t="s">
        <v>478</v>
      </c>
      <c r="T609" s="19" t="s">
        <v>110</v>
      </c>
      <c r="U609" s="19" t="s">
        <v>44</v>
      </c>
      <c r="V609" s="19" t="s">
        <v>253</v>
      </c>
      <c r="W609" s="19" t="s">
        <v>231</v>
      </c>
      <c r="X609" s="19" t="s">
        <v>46</v>
      </c>
      <c r="Y609" s="29"/>
      <c r="Z609" s="19"/>
      <c r="AA609" s="19"/>
      <c r="AB609" s="19" t="s">
        <v>491</v>
      </c>
      <c r="AC609" s="19" t="s">
        <v>1322</v>
      </c>
      <c r="AD609" s="19"/>
      <c r="AE609" s="19"/>
      <c r="AF609" s="19"/>
      <c r="AG609" s="19" t="s">
        <v>235</v>
      </c>
      <c r="AH609" s="19"/>
      <c r="AI609" s="19"/>
      <c r="AJ609" s="19" t="s">
        <v>234</v>
      </c>
      <c r="AK609" s="19" t="s">
        <v>234</v>
      </c>
      <c r="AL609" s="19"/>
      <c r="AM609" s="19" t="s">
        <v>234</v>
      </c>
      <c r="AN609" s="19" t="s">
        <v>234</v>
      </c>
      <c r="AO609" s="19" t="s">
        <v>235</v>
      </c>
      <c r="AP609" s="94"/>
      <c r="AQ609" s="19" t="s">
        <v>476</v>
      </c>
      <c r="AR609" s="19" t="s">
        <v>241</v>
      </c>
      <c r="AS609" s="19"/>
      <c r="AT609" s="65" t="str">
        <f t="shared" si="192"/>
        <v>N</v>
      </c>
      <c r="AU609" s="65" t="str">
        <f t="shared" si="196"/>
        <v>N</v>
      </c>
      <c r="AV609" s="65" t="str">
        <f t="shared" si="195"/>
        <v>N</v>
      </c>
      <c r="AW609" s="99"/>
      <c r="AX609" s="99"/>
      <c r="AY609" s="19"/>
      <c r="AZ609" s="96" t="str">
        <f t="shared" ref="AZ609:AZ672" si="197">IF(AV609="N","n",T609)</f>
        <v>n</v>
      </c>
      <c r="BA609" s="96" t="str">
        <f>IF(AZ609="n","n",VLOOKUP(AZ609,'Conversion factors'!$C$4:$D$24,2,FALSE))</f>
        <v>n</v>
      </c>
      <c r="BB609" s="96" t="str">
        <f t="shared" ref="BB609:BB672" si="198">IF(BA609="n","n",AB609/BA609)</f>
        <v>n</v>
      </c>
      <c r="BC609" s="97"/>
      <c r="BD609" s="96" t="str">
        <f t="shared" si="193"/>
        <v>n</v>
      </c>
      <c r="BE609" s="96" t="str">
        <f t="shared" ref="BE609:BE672" si="199">IF(BD609="chronic","y","n")</f>
        <v>n</v>
      </c>
      <c r="BF609" s="98" t="str">
        <f t="shared" si="194"/>
        <v/>
      </c>
      <c r="BG609" s="96" t="str">
        <f>IF(BF609="","",IF(ISNUMBER(VLOOKUP(BF609,'Conversion factors'!$B$35:$C$52,2,FALSE)),"y","n"))</f>
        <v/>
      </c>
      <c r="BH609" s="99"/>
    </row>
    <row r="610" spans="1:60" s="103" customFormat="1" ht="15.75" customHeight="1" x14ac:dyDescent="0.2">
      <c r="A610" s="18"/>
      <c r="B610" s="19">
        <v>211</v>
      </c>
      <c r="C610" s="19"/>
      <c r="D610" s="19">
        <v>60097</v>
      </c>
      <c r="E610" s="19" t="s">
        <v>1224</v>
      </c>
      <c r="F610" s="93">
        <v>1998</v>
      </c>
      <c r="G610" s="19" t="s">
        <v>472</v>
      </c>
      <c r="H610" s="19"/>
      <c r="I610" s="19" t="s">
        <v>41</v>
      </c>
      <c r="J610" s="19" t="s">
        <v>473</v>
      </c>
      <c r="K610" s="19" t="s">
        <v>250</v>
      </c>
      <c r="L610" s="19" t="s">
        <v>1202</v>
      </c>
      <c r="M610" s="19" t="s">
        <v>1203</v>
      </c>
      <c r="N610" s="19" t="s">
        <v>109</v>
      </c>
      <c r="O610" s="19" t="s">
        <v>235</v>
      </c>
      <c r="P610" s="19" t="s">
        <v>162</v>
      </c>
      <c r="Q610" s="19"/>
      <c r="R610" s="19" t="s">
        <v>81</v>
      </c>
      <c r="S610" s="19" t="s">
        <v>483</v>
      </c>
      <c r="T610" s="19" t="s">
        <v>110</v>
      </c>
      <c r="U610" s="19" t="s">
        <v>44</v>
      </c>
      <c r="V610" s="19" t="s">
        <v>253</v>
      </c>
      <c r="W610" s="19" t="s">
        <v>231</v>
      </c>
      <c r="X610" s="19" t="s">
        <v>46</v>
      </c>
      <c r="Y610" s="29"/>
      <c r="Z610" s="19"/>
      <c r="AA610" s="19"/>
      <c r="AB610" s="19" t="s">
        <v>492</v>
      </c>
      <c r="AC610" s="19" t="s">
        <v>1322</v>
      </c>
      <c r="AD610" s="19"/>
      <c r="AE610" s="19"/>
      <c r="AF610" s="19"/>
      <c r="AG610" s="19" t="s">
        <v>235</v>
      </c>
      <c r="AH610" s="19"/>
      <c r="AI610" s="19"/>
      <c r="AJ610" s="19" t="s">
        <v>234</v>
      </c>
      <c r="AK610" s="19" t="s">
        <v>234</v>
      </c>
      <c r="AL610" s="19"/>
      <c r="AM610" s="19" t="s">
        <v>234</v>
      </c>
      <c r="AN610" s="19" t="s">
        <v>234</v>
      </c>
      <c r="AO610" s="19" t="s">
        <v>235</v>
      </c>
      <c r="AP610" s="94"/>
      <c r="AQ610" s="19" t="s">
        <v>476</v>
      </c>
      <c r="AR610" s="19" t="s">
        <v>241</v>
      </c>
      <c r="AS610" s="19"/>
      <c r="AT610" s="65" t="str">
        <f t="shared" si="192"/>
        <v>N</v>
      </c>
      <c r="AU610" s="65" t="str">
        <f t="shared" si="196"/>
        <v>N</v>
      </c>
      <c r="AV610" s="65" t="str">
        <f t="shared" si="195"/>
        <v>N</v>
      </c>
      <c r="AW610" s="99"/>
      <c r="AX610" s="99"/>
      <c r="AY610" s="19"/>
      <c r="AZ610" s="96" t="str">
        <f t="shared" si="197"/>
        <v>n</v>
      </c>
      <c r="BA610" s="96" t="str">
        <f>IF(AZ610="n","n",VLOOKUP(AZ610,'Conversion factors'!$C$4:$D$24,2,FALSE))</f>
        <v>n</v>
      </c>
      <c r="BB610" s="96" t="str">
        <f t="shared" si="198"/>
        <v>n</v>
      </c>
      <c r="BC610" s="97"/>
      <c r="BD610" s="96" t="str">
        <f t="shared" si="193"/>
        <v>n</v>
      </c>
      <c r="BE610" s="96" t="str">
        <f t="shared" si="199"/>
        <v>n</v>
      </c>
      <c r="BF610" s="98" t="str">
        <f t="shared" si="194"/>
        <v/>
      </c>
      <c r="BG610" s="96" t="str">
        <f>IF(BF610="","",IF(ISNUMBER(VLOOKUP(BF610,'Conversion factors'!$B$35:$C$52,2,FALSE)),"y","n"))</f>
        <v/>
      </c>
      <c r="BH610" s="99"/>
    </row>
    <row r="611" spans="1:60" s="103" customFormat="1" ht="15.75" customHeight="1" x14ac:dyDescent="0.2">
      <c r="A611" s="18"/>
      <c r="B611" s="19">
        <v>211</v>
      </c>
      <c r="C611" s="19"/>
      <c r="D611" s="19">
        <v>60097</v>
      </c>
      <c r="E611" s="19" t="s">
        <v>1224</v>
      </c>
      <c r="F611" s="93">
        <v>1998</v>
      </c>
      <c r="G611" s="19" t="s">
        <v>472</v>
      </c>
      <c r="H611" s="19"/>
      <c r="I611" s="19" t="s">
        <v>41</v>
      </c>
      <c r="J611" s="19" t="s">
        <v>473</v>
      </c>
      <c r="K611" s="19" t="s">
        <v>250</v>
      </c>
      <c r="L611" s="19" t="s">
        <v>1202</v>
      </c>
      <c r="M611" s="19" t="s">
        <v>1203</v>
      </c>
      <c r="N611" s="19" t="s">
        <v>109</v>
      </c>
      <c r="O611" s="19" t="s">
        <v>235</v>
      </c>
      <c r="P611" s="19" t="s">
        <v>162</v>
      </c>
      <c r="Q611" s="19"/>
      <c r="R611" s="19" t="s">
        <v>81</v>
      </c>
      <c r="S611" s="19" t="s">
        <v>481</v>
      </c>
      <c r="T611" s="19" t="s">
        <v>110</v>
      </c>
      <c r="U611" s="19" t="s">
        <v>44</v>
      </c>
      <c r="V611" s="19" t="s">
        <v>253</v>
      </c>
      <c r="W611" s="19" t="s">
        <v>231</v>
      </c>
      <c r="X611" s="19" t="s">
        <v>46</v>
      </c>
      <c r="Y611" s="29"/>
      <c r="Z611" s="19"/>
      <c r="AA611" s="19"/>
      <c r="AB611" s="19" t="s">
        <v>493</v>
      </c>
      <c r="AC611" s="19" t="s">
        <v>1322</v>
      </c>
      <c r="AD611" s="19"/>
      <c r="AE611" s="19"/>
      <c r="AF611" s="19"/>
      <c r="AG611" s="19" t="s">
        <v>235</v>
      </c>
      <c r="AH611" s="19"/>
      <c r="AI611" s="19"/>
      <c r="AJ611" s="19" t="s">
        <v>234</v>
      </c>
      <c r="AK611" s="19" t="s">
        <v>234</v>
      </c>
      <c r="AL611" s="19"/>
      <c r="AM611" s="19" t="s">
        <v>234</v>
      </c>
      <c r="AN611" s="19" t="s">
        <v>234</v>
      </c>
      <c r="AO611" s="19" t="s">
        <v>235</v>
      </c>
      <c r="AP611" s="94"/>
      <c r="AQ611" s="19" t="s">
        <v>476</v>
      </c>
      <c r="AR611" s="19" t="s">
        <v>241</v>
      </c>
      <c r="AS611" s="19"/>
      <c r="AT611" s="65" t="str">
        <f t="shared" si="192"/>
        <v>N</v>
      </c>
      <c r="AU611" s="65" t="str">
        <f t="shared" si="196"/>
        <v>N</v>
      </c>
      <c r="AV611" s="65" t="str">
        <f t="shared" si="195"/>
        <v>N</v>
      </c>
      <c r="AW611" s="99"/>
      <c r="AX611" s="99"/>
      <c r="AY611" s="19"/>
      <c r="AZ611" s="96" t="str">
        <f t="shared" si="197"/>
        <v>n</v>
      </c>
      <c r="BA611" s="96" t="str">
        <f>IF(AZ611="n","n",VLOOKUP(AZ611,'Conversion factors'!$C$4:$D$24,2,FALSE))</f>
        <v>n</v>
      </c>
      <c r="BB611" s="96" t="str">
        <f t="shared" si="198"/>
        <v>n</v>
      </c>
      <c r="BC611" s="97"/>
      <c r="BD611" s="96" t="str">
        <f t="shared" si="193"/>
        <v>n</v>
      </c>
      <c r="BE611" s="96" t="str">
        <f t="shared" si="199"/>
        <v>n</v>
      </c>
      <c r="BF611" s="98" t="str">
        <f t="shared" si="194"/>
        <v/>
      </c>
      <c r="BG611" s="96" t="str">
        <f>IF(BF611="","",IF(ISNUMBER(VLOOKUP(BF611,'Conversion factors'!$B$35:$C$52,2,FALSE)),"y","n"))</f>
        <v/>
      </c>
      <c r="BH611" s="99"/>
    </row>
    <row r="612" spans="1:60" s="103" customFormat="1" ht="15.75" customHeight="1" x14ac:dyDescent="0.2">
      <c r="A612" s="18"/>
      <c r="B612" s="19">
        <v>211</v>
      </c>
      <c r="C612" s="19"/>
      <c r="D612" s="19">
        <v>60097</v>
      </c>
      <c r="E612" s="19" t="s">
        <v>1224</v>
      </c>
      <c r="F612" s="93">
        <v>1998</v>
      </c>
      <c r="G612" s="19" t="s">
        <v>472</v>
      </c>
      <c r="H612" s="19"/>
      <c r="I612" s="19" t="s">
        <v>41</v>
      </c>
      <c r="J612" s="19" t="s">
        <v>473</v>
      </c>
      <c r="K612" s="19" t="s">
        <v>250</v>
      </c>
      <c r="L612" s="19" t="s">
        <v>1202</v>
      </c>
      <c r="M612" s="19" t="s">
        <v>1203</v>
      </c>
      <c r="N612" s="19" t="s">
        <v>109</v>
      </c>
      <c r="O612" s="19" t="s">
        <v>235</v>
      </c>
      <c r="P612" s="19" t="s">
        <v>162</v>
      </c>
      <c r="Q612" s="19"/>
      <c r="R612" s="19" t="s">
        <v>81</v>
      </c>
      <c r="S612" s="19" t="s">
        <v>402</v>
      </c>
      <c r="T612" s="19" t="s">
        <v>110</v>
      </c>
      <c r="U612" s="19" t="s">
        <v>44</v>
      </c>
      <c r="V612" s="19" t="s">
        <v>253</v>
      </c>
      <c r="W612" s="19" t="s">
        <v>231</v>
      </c>
      <c r="X612" s="19" t="s">
        <v>46</v>
      </c>
      <c r="Y612" s="29"/>
      <c r="Z612" s="19"/>
      <c r="AA612" s="19"/>
      <c r="AB612" s="19" t="s">
        <v>494</v>
      </c>
      <c r="AC612" s="19" t="s">
        <v>1322</v>
      </c>
      <c r="AD612" s="19"/>
      <c r="AE612" s="19"/>
      <c r="AF612" s="19"/>
      <c r="AG612" s="19" t="s">
        <v>235</v>
      </c>
      <c r="AH612" s="19"/>
      <c r="AI612" s="19"/>
      <c r="AJ612" s="19" t="s">
        <v>234</v>
      </c>
      <c r="AK612" s="19" t="s">
        <v>234</v>
      </c>
      <c r="AL612" s="19"/>
      <c r="AM612" s="19" t="s">
        <v>234</v>
      </c>
      <c r="AN612" s="19" t="s">
        <v>234</v>
      </c>
      <c r="AO612" s="19" t="s">
        <v>235</v>
      </c>
      <c r="AP612" s="94"/>
      <c r="AQ612" s="19" t="s">
        <v>476</v>
      </c>
      <c r="AR612" s="19" t="s">
        <v>241</v>
      </c>
      <c r="AS612" s="19"/>
      <c r="AT612" s="65" t="str">
        <f t="shared" si="192"/>
        <v>N</v>
      </c>
      <c r="AU612" s="65" t="str">
        <f t="shared" si="196"/>
        <v>N</v>
      </c>
      <c r="AV612" s="65" t="str">
        <f t="shared" si="195"/>
        <v>N</v>
      </c>
      <c r="AW612" s="99"/>
      <c r="AX612" s="99"/>
      <c r="AY612" s="19"/>
      <c r="AZ612" s="96" t="str">
        <f t="shared" si="197"/>
        <v>n</v>
      </c>
      <c r="BA612" s="96" t="str">
        <f>IF(AZ612="n","n",VLOOKUP(AZ612,'Conversion factors'!$C$4:$D$24,2,FALSE))</f>
        <v>n</v>
      </c>
      <c r="BB612" s="96" t="str">
        <f t="shared" si="198"/>
        <v>n</v>
      </c>
      <c r="BC612" s="97"/>
      <c r="BD612" s="96" t="str">
        <f t="shared" si="193"/>
        <v>n</v>
      </c>
      <c r="BE612" s="96" t="str">
        <f t="shared" si="199"/>
        <v>n</v>
      </c>
      <c r="BF612" s="98" t="str">
        <f t="shared" si="194"/>
        <v/>
      </c>
      <c r="BG612" s="96" t="str">
        <f>IF(BF612="","",IF(ISNUMBER(VLOOKUP(BF612,'Conversion factors'!$B$35:$C$52,2,FALSE)),"y","n"))</f>
        <v/>
      </c>
      <c r="BH612" s="99"/>
    </row>
    <row r="613" spans="1:60" s="103" customFormat="1" ht="15.75" customHeight="1" x14ac:dyDescent="0.2">
      <c r="A613" s="18"/>
      <c r="B613" s="19">
        <v>211</v>
      </c>
      <c r="C613" s="19"/>
      <c r="D613" s="19">
        <v>60097</v>
      </c>
      <c r="E613" s="19" t="s">
        <v>1224</v>
      </c>
      <c r="F613" s="93">
        <v>1998</v>
      </c>
      <c r="G613" s="19" t="s">
        <v>472</v>
      </c>
      <c r="H613" s="19"/>
      <c r="I613" s="19" t="s">
        <v>41</v>
      </c>
      <c r="J613" s="19" t="s">
        <v>473</v>
      </c>
      <c r="K613" s="19" t="s">
        <v>250</v>
      </c>
      <c r="L613" s="19" t="s">
        <v>1202</v>
      </c>
      <c r="M613" s="19" t="s">
        <v>1203</v>
      </c>
      <c r="N613" s="19" t="s">
        <v>109</v>
      </c>
      <c r="O613" s="19" t="s">
        <v>235</v>
      </c>
      <c r="P613" s="19" t="s">
        <v>162</v>
      </c>
      <c r="Q613" s="19"/>
      <c r="R613" s="19" t="s">
        <v>81</v>
      </c>
      <c r="S613" s="19" t="s">
        <v>402</v>
      </c>
      <c r="T613" s="19" t="s">
        <v>110</v>
      </c>
      <c r="U613" s="19" t="s">
        <v>44</v>
      </c>
      <c r="V613" s="19" t="s">
        <v>253</v>
      </c>
      <c r="W613" s="19" t="s">
        <v>231</v>
      </c>
      <c r="X613" s="19" t="s">
        <v>46</v>
      </c>
      <c r="Y613" s="29"/>
      <c r="Z613" s="19"/>
      <c r="AA613" s="19"/>
      <c r="AB613" s="19" t="s">
        <v>495</v>
      </c>
      <c r="AC613" s="19" t="s">
        <v>1322</v>
      </c>
      <c r="AD613" s="19"/>
      <c r="AE613" s="19"/>
      <c r="AF613" s="19"/>
      <c r="AG613" s="19" t="s">
        <v>235</v>
      </c>
      <c r="AH613" s="19"/>
      <c r="AI613" s="19"/>
      <c r="AJ613" s="19" t="s">
        <v>234</v>
      </c>
      <c r="AK613" s="19" t="s">
        <v>234</v>
      </c>
      <c r="AL613" s="19"/>
      <c r="AM613" s="19" t="s">
        <v>234</v>
      </c>
      <c r="AN613" s="19" t="s">
        <v>234</v>
      </c>
      <c r="AO613" s="19" t="s">
        <v>235</v>
      </c>
      <c r="AP613" s="94"/>
      <c r="AQ613" s="19" t="s">
        <v>476</v>
      </c>
      <c r="AR613" s="19" t="s">
        <v>241</v>
      </c>
      <c r="AS613" s="19"/>
      <c r="AT613" s="65" t="str">
        <f t="shared" si="192"/>
        <v>N</v>
      </c>
      <c r="AU613" s="65" t="str">
        <f t="shared" si="196"/>
        <v>N</v>
      </c>
      <c r="AV613" s="65" t="str">
        <f t="shared" si="195"/>
        <v>N</v>
      </c>
      <c r="AW613" s="99"/>
      <c r="AX613" s="99"/>
      <c r="AY613" s="19"/>
      <c r="AZ613" s="96" t="str">
        <f t="shared" si="197"/>
        <v>n</v>
      </c>
      <c r="BA613" s="96" t="str">
        <f>IF(AZ613="n","n",VLOOKUP(AZ613,'Conversion factors'!$C$4:$D$24,2,FALSE))</f>
        <v>n</v>
      </c>
      <c r="BB613" s="96" t="str">
        <f t="shared" si="198"/>
        <v>n</v>
      </c>
      <c r="BC613" s="97"/>
      <c r="BD613" s="96" t="str">
        <f t="shared" si="193"/>
        <v>n</v>
      </c>
      <c r="BE613" s="96" t="str">
        <f t="shared" si="199"/>
        <v>n</v>
      </c>
      <c r="BF613" s="98" t="str">
        <f t="shared" si="194"/>
        <v/>
      </c>
      <c r="BG613" s="96" t="str">
        <f>IF(BF613="","",IF(ISNUMBER(VLOOKUP(BF613,'Conversion factors'!$B$35:$C$52,2,FALSE)),"y","n"))</f>
        <v/>
      </c>
      <c r="BH613" s="99"/>
    </row>
    <row r="614" spans="1:60" s="103" customFormat="1" ht="15.75" customHeight="1" x14ac:dyDescent="0.2">
      <c r="A614" s="18"/>
      <c r="B614" s="19">
        <v>211</v>
      </c>
      <c r="C614" s="19"/>
      <c r="D614" s="19">
        <v>60097</v>
      </c>
      <c r="E614" s="19" t="s">
        <v>1224</v>
      </c>
      <c r="F614" s="93">
        <v>1998</v>
      </c>
      <c r="G614" s="19" t="s">
        <v>472</v>
      </c>
      <c r="H614" s="19"/>
      <c r="I614" s="19" t="s">
        <v>41</v>
      </c>
      <c r="J614" s="19" t="s">
        <v>473</v>
      </c>
      <c r="K614" s="19" t="s">
        <v>250</v>
      </c>
      <c r="L614" s="19" t="s">
        <v>1202</v>
      </c>
      <c r="M614" s="19" t="s">
        <v>1203</v>
      </c>
      <c r="N614" s="19" t="s">
        <v>109</v>
      </c>
      <c r="O614" s="19" t="s">
        <v>235</v>
      </c>
      <c r="P614" s="19" t="s">
        <v>162</v>
      </c>
      <c r="Q614" s="19"/>
      <c r="R614" s="19" t="s">
        <v>81</v>
      </c>
      <c r="S614" s="19" t="s">
        <v>478</v>
      </c>
      <c r="T614" s="19" t="s">
        <v>110</v>
      </c>
      <c r="U614" s="19" t="s">
        <v>44</v>
      </c>
      <c r="V614" s="19" t="s">
        <v>253</v>
      </c>
      <c r="W614" s="19" t="s">
        <v>231</v>
      </c>
      <c r="X614" s="19" t="s">
        <v>46</v>
      </c>
      <c r="Y614" s="29"/>
      <c r="Z614" s="19"/>
      <c r="AA614" s="19"/>
      <c r="AB614" s="19" t="s">
        <v>496</v>
      </c>
      <c r="AC614" s="19" t="s">
        <v>1322</v>
      </c>
      <c r="AD614" s="19"/>
      <c r="AE614" s="19"/>
      <c r="AF614" s="19"/>
      <c r="AG614" s="19" t="s">
        <v>235</v>
      </c>
      <c r="AH614" s="19"/>
      <c r="AI614" s="19"/>
      <c r="AJ614" s="19" t="s">
        <v>234</v>
      </c>
      <c r="AK614" s="19" t="s">
        <v>234</v>
      </c>
      <c r="AL614" s="19"/>
      <c r="AM614" s="19" t="s">
        <v>234</v>
      </c>
      <c r="AN614" s="19" t="s">
        <v>234</v>
      </c>
      <c r="AO614" s="19" t="s">
        <v>235</v>
      </c>
      <c r="AP614" s="94"/>
      <c r="AQ614" s="19" t="s">
        <v>476</v>
      </c>
      <c r="AR614" s="19" t="s">
        <v>241</v>
      </c>
      <c r="AS614" s="19"/>
      <c r="AT614" s="65" t="str">
        <f t="shared" si="192"/>
        <v>N</v>
      </c>
      <c r="AU614" s="65" t="str">
        <f t="shared" si="196"/>
        <v>N</v>
      </c>
      <c r="AV614" s="65" t="str">
        <f t="shared" si="195"/>
        <v>N</v>
      </c>
      <c r="AW614" s="99"/>
      <c r="AX614" s="99"/>
      <c r="AY614" s="19"/>
      <c r="AZ614" s="96" t="str">
        <f t="shared" si="197"/>
        <v>n</v>
      </c>
      <c r="BA614" s="96" t="str">
        <f>IF(AZ614="n","n",VLOOKUP(AZ614,'Conversion factors'!$C$4:$D$24,2,FALSE))</f>
        <v>n</v>
      </c>
      <c r="BB614" s="96" t="str">
        <f t="shared" si="198"/>
        <v>n</v>
      </c>
      <c r="BC614" s="97"/>
      <c r="BD614" s="96" t="str">
        <f t="shared" si="193"/>
        <v>n</v>
      </c>
      <c r="BE614" s="96" t="str">
        <f t="shared" si="199"/>
        <v>n</v>
      </c>
      <c r="BF614" s="98" t="str">
        <f t="shared" si="194"/>
        <v/>
      </c>
      <c r="BG614" s="96" t="str">
        <f>IF(BF614="","",IF(ISNUMBER(VLOOKUP(BF614,'Conversion factors'!$B$35:$C$52,2,FALSE)),"y","n"))</f>
        <v/>
      </c>
      <c r="BH614" s="99"/>
    </row>
    <row r="615" spans="1:60" s="103" customFormat="1" ht="15.75" customHeight="1" x14ac:dyDescent="0.2">
      <c r="A615" s="18"/>
      <c r="B615" s="19">
        <v>211</v>
      </c>
      <c r="C615" s="19"/>
      <c r="D615" s="19">
        <v>60097</v>
      </c>
      <c r="E615" s="19" t="s">
        <v>1224</v>
      </c>
      <c r="F615" s="93">
        <v>1998</v>
      </c>
      <c r="G615" s="19" t="s">
        <v>472</v>
      </c>
      <c r="H615" s="19"/>
      <c r="I615" s="19" t="s">
        <v>41</v>
      </c>
      <c r="J615" s="19" t="s">
        <v>473</v>
      </c>
      <c r="K615" s="19" t="s">
        <v>250</v>
      </c>
      <c r="L615" s="19" t="s">
        <v>1202</v>
      </c>
      <c r="M615" s="19" t="s">
        <v>1203</v>
      </c>
      <c r="N615" s="19" t="s">
        <v>109</v>
      </c>
      <c r="O615" s="19" t="s">
        <v>235</v>
      </c>
      <c r="P615" s="19" t="s">
        <v>162</v>
      </c>
      <c r="Q615" s="19"/>
      <c r="R615" s="19" t="s">
        <v>81</v>
      </c>
      <c r="S615" s="19" t="s">
        <v>402</v>
      </c>
      <c r="T615" s="19" t="s">
        <v>55</v>
      </c>
      <c r="U615" s="19" t="s">
        <v>55</v>
      </c>
      <c r="V615" s="19" t="s">
        <v>253</v>
      </c>
      <c r="W615" s="19" t="s">
        <v>231</v>
      </c>
      <c r="X615" s="19" t="s">
        <v>46</v>
      </c>
      <c r="Y615" s="29"/>
      <c r="Z615" s="19"/>
      <c r="AA615" s="19"/>
      <c r="AB615" s="19" t="s">
        <v>497</v>
      </c>
      <c r="AC615" s="19" t="s">
        <v>1322</v>
      </c>
      <c r="AD615" s="19"/>
      <c r="AE615" s="19"/>
      <c r="AF615" s="19"/>
      <c r="AG615" s="19" t="s">
        <v>235</v>
      </c>
      <c r="AH615" s="19"/>
      <c r="AI615" s="19"/>
      <c r="AJ615" s="19" t="s">
        <v>234</v>
      </c>
      <c r="AK615" s="19" t="s">
        <v>234</v>
      </c>
      <c r="AL615" s="19"/>
      <c r="AM615" s="19" t="s">
        <v>234</v>
      </c>
      <c r="AN615" s="19" t="s">
        <v>234</v>
      </c>
      <c r="AO615" s="19" t="s">
        <v>235</v>
      </c>
      <c r="AP615" s="94"/>
      <c r="AQ615" s="19" t="s">
        <v>476</v>
      </c>
      <c r="AR615" s="19" t="s">
        <v>241</v>
      </c>
      <c r="AS615" s="19"/>
      <c r="AT615" s="65" t="str">
        <f t="shared" si="192"/>
        <v>N</v>
      </c>
      <c r="AU615" s="65" t="str">
        <f t="shared" si="196"/>
        <v>N</v>
      </c>
      <c r="AV615" s="65" t="str">
        <f t="shared" si="195"/>
        <v>N</v>
      </c>
      <c r="AW615" s="99"/>
      <c r="AX615" s="99"/>
      <c r="AY615" s="19"/>
      <c r="AZ615" s="96" t="str">
        <f t="shared" si="197"/>
        <v>n</v>
      </c>
      <c r="BA615" s="96" t="str">
        <f>IF(AZ615="n","n",VLOOKUP(AZ615,'Conversion factors'!$C$4:$D$24,2,FALSE))</f>
        <v>n</v>
      </c>
      <c r="BB615" s="96" t="str">
        <f t="shared" si="198"/>
        <v>n</v>
      </c>
      <c r="BC615" s="97"/>
      <c r="BD615" s="96" t="str">
        <f t="shared" si="193"/>
        <v>n</v>
      </c>
      <c r="BE615" s="96" t="str">
        <f t="shared" si="199"/>
        <v>n</v>
      </c>
      <c r="BF615" s="98" t="str">
        <f t="shared" si="194"/>
        <v/>
      </c>
      <c r="BG615" s="96" t="str">
        <f>IF(BF615="","",IF(ISNUMBER(VLOOKUP(BF615,'Conversion factors'!$B$35:$C$52,2,FALSE)),"y","n"))</f>
        <v/>
      </c>
      <c r="BH615" s="99"/>
    </row>
    <row r="616" spans="1:60" s="103" customFormat="1" ht="15.75" customHeight="1" x14ac:dyDescent="0.2">
      <c r="A616" s="18"/>
      <c r="B616" s="19">
        <v>211</v>
      </c>
      <c r="C616" s="19"/>
      <c r="D616" s="19">
        <v>60097</v>
      </c>
      <c r="E616" s="19" t="s">
        <v>1224</v>
      </c>
      <c r="F616" s="93">
        <v>1998</v>
      </c>
      <c r="G616" s="19" t="s">
        <v>472</v>
      </c>
      <c r="H616" s="19"/>
      <c r="I616" s="19" t="s">
        <v>41</v>
      </c>
      <c r="J616" s="19" t="s">
        <v>473</v>
      </c>
      <c r="K616" s="19" t="s">
        <v>250</v>
      </c>
      <c r="L616" s="19" t="s">
        <v>1202</v>
      </c>
      <c r="M616" s="19" t="s">
        <v>1203</v>
      </c>
      <c r="N616" s="19" t="s">
        <v>109</v>
      </c>
      <c r="O616" s="19" t="s">
        <v>235</v>
      </c>
      <c r="P616" s="19" t="s">
        <v>162</v>
      </c>
      <c r="Q616" s="19"/>
      <c r="R616" s="19" t="s">
        <v>81</v>
      </c>
      <c r="S616" s="19" t="s">
        <v>402</v>
      </c>
      <c r="T616" s="19" t="s">
        <v>55</v>
      </c>
      <c r="U616" s="19" t="s">
        <v>55</v>
      </c>
      <c r="V616" s="19" t="s">
        <v>253</v>
      </c>
      <c r="W616" s="19" t="s">
        <v>231</v>
      </c>
      <c r="X616" s="19" t="s">
        <v>46</v>
      </c>
      <c r="Y616" s="29"/>
      <c r="Z616" s="19"/>
      <c r="AA616" s="19"/>
      <c r="AB616" s="19" t="s">
        <v>498</v>
      </c>
      <c r="AC616" s="19" t="s">
        <v>1322</v>
      </c>
      <c r="AD616" s="19"/>
      <c r="AE616" s="19"/>
      <c r="AF616" s="19"/>
      <c r="AG616" s="19" t="s">
        <v>235</v>
      </c>
      <c r="AH616" s="19"/>
      <c r="AI616" s="19"/>
      <c r="AJ616" s="19" t="s">
        <v>234</v>
      </c>
      <c r="AK616" s="19" t="s">
        <v>234</v>
      </c>
      <c r="AL616" s="19"/>
      <c r="AM616" s="19" t="s">
        <v>234</v>
      </c>
      <c r="AN616" s="19" t="s">
        <v>234</v>
      </c>
      <c r="AO616" s="19" t="s">
        <v>235</v>
      </c>
      <c r="AP616" s="94"/>
      <c r="AQ616" s="19" t="s">
        <v>476</v>
      </c>
      <c r="AR616" s="19" t="s">
        <v>241</v>
      </c>
      <c r="AS616" s="19"/>
      <c r="AT616" s="65" t="str">
        <f t="shared" si="192"/>
        <v>N</v>
      </c>
      <c r="AU616" s="65" t="str">
        <f t="shared" si="196"/>
        <v>N</v>
      </c>
      <c r="AV616" s="65" t="str">
        <f t="shared" si="195"/>
        <v>N</v>
      </c>
      <c r="AW616" s="99"/>
      <c r="AX616" s="99"/>
      <c r="AY616" s="19"/>
      <c r="AZ616" s="96" t="str">
        <f t="shared" si="197"/>
        <v>n</v>
      </c>
      <c r="BA616" s="96" t="str">
        <f>IF(AZ616="n","n",VLOOKUP(AZ616,'Conversion factors'!$C$4:$D$24,2,FALSE))</f>
        <v>n</v>
      </c>
      <c r="BB616" s="96" t="str">
        <f t="shared" si="198"/>
        <v>n</v>
      </c>
      <c r="BC616" s="97"/>
      <c r="BD616" s="96" t="str">
        <f t="shared" si="193"/>
        <v>n</v>
      </c>
      <c r="BE616" s="96" t="str">
        <f t="shared" si="199"/>
        <v>n</v>
      </c>
      <c r="BF616" s="98" t="str">
        <f t="shared" si="194"/>
        <v/>
      </c>
      <c r="BG616" s="96" t="str">
        <f>IF(BF616="","",IF(ISNUMBER(VLOOKUP(BF616,'Conversion factors'!$B$35:$C$52,2,FALSE)),"y","n"))</f>
        <v/>
      </c>
      <c r="BH616" s="99"/>
    </row>
    <row r="617" spans="1:60" s="103" customFormat="1" ht="15.75" customHeight="1" x14ac:dyDescent="0.2">
      <c r="A617" s="18"/>
      <c r="B617" s="19">
        <v>211</v>
      </c>
      <c r="C617" s="19"/>
      <c r="D617" s="19">
        <v>60097</v>
      </c>
      <c r="E617" s="19" t="s">
        <v>1224</v>
      </c>
      <c r="F617" s="93">
        <v>1998</v>
      </c>
      <c r="G617" s="19" t="s">
        <v>472</v>
      </c>
      <c r="H617" s="19"/>
      <c r="I617" s="19" t="s">
        <v>41</v>
      </c>
      <c r="J617" s="19" t="s">
        <v>473</v>
      </c>
      <c r="K617" s="19" t="s">
        <v>250</v>
      </c>
      <c r="L617" s="19" t="s">
        <v>1202</v>
      </c>
      <c r="M617" s="19" t="s">
        <v>1203</v>
      </c>
      <c r="N617" s="19" t="s">
        <v>109</v>
      </c>
      <c r="O617" s="19" t="s">
        <v>235</v>
      </c>
      <c r="P617" s="19" t="s">
        <v>162</v>
      </c>
      <c r="Q617" s="19"/>
      <c r="R617" s="19" t="s">
        <v>81</v>
      </c>
      <c r="S617" s="19" t="s">
        <v>402</v>
      </c>
      <c r="T617" s="19" t="s">
        <v>55</v>
      </c>
      <c r="U617" s="19" t="s">
        <v>55</v>
      </c>
      <c r="V617" s="19" t="s">
        <v>253</v>
      </c>
      <c r="W617" s="19" t="s">
        <v>231</v>
      </c>
      <c r="X617" s="19" t="s">
        <v>46</v>
      </c>
      <c r="Y617" s="29"/>
      <c r="Z617" s="19"/>
      <c r="AA617" s="19"/>
      <c r="AB617" s="19" t="s">
        <v>499</v>
      </c>
      <c r="AC617" s="19" t="s">
        <v>1322</v>
      </c>
      <c r="AD617" s="19"/>
      <c r="AE617" s="19"/>
      <c r="AF617" s="19"/>
      <c r="AG617" s="19" t="s">
        <v>235</v>
      </c>
      <c r="AH617" s="19"/>
      <c r="AI617" s="19"/>
      <c r="AJ617" s="19" t="s">
        <v>234</v>
      </c>
      <c r="AK617" s="19" t="s">
        <v>234</v>
      </c>
      <c r="AL617" s="19"/>
      <c r="AM617" s="19" t="s">
        <v>234</v>
      </c>
      <c r="AN617" s="19" t="s">
        <v>234</v>
      </c>
      <c r="AO617" s="19" t="s">
        <v>235</v>
      </c>
      <c r="AP617" s="94"/>
      <c r="AQ617" s="19" t="s">
        <v>476</v>
      </c>
      <c r="AR617" s="19" t="s">
        <v>241</v>
      </c>
      <c r="AS617" s="19"/>
      <c r="AT617" s="65" t="str">
        <f t="shared" si="192"/>
        <v>N</v>
      </c>
      <c r="AU617" s="65" t="str">
        <f t="shared" si="196"/>
        <v>N</v>
      </c>
      <c r="AV617" s="65" t="str">
        <f t="shared" si="195"/>
        <v>N</v>
      </c>
      <c r="AW617" s="99"/>
      <c r="AX617" s="99"/>
      <c r="AY617" s="19"/>
      <c r="AZ617" s="96" t="str">
        <f t="shared" si="197"/>
        <v>n</v>
      </c>
      <c r="BA617" s="96" t="str">
        <f>IF(AZ617="n","n",VLOOKUP(AZ617,'Conversion factors'!$C$4:$D$24,2,FALSE))</f>
        <v>n</v>
      </c>
      <c r="BB617" s="96" t="str">
        <f t="shared" si="198"/>
        <v>n</v>
      </c>
      <c r="BC617" s="97"/>
      <c r="BD617" s="96" t="str">
        <f t="shared" si="193"/>
        <v>n</v>
      </c>
      <c r="BE617" s="96" t="str">
        <f t="shared" si="199"/>
        <v>n</v>
      </c>
      <c r="BF617" s="98" t="str">
        <f t="shared" si="194"/>
        <v/>
      </c>
      <c r="BG617" s="96" t="str">
        <f>IF(BF617="","",IF(ISNUMBER(VLOOKUP(BF617,'Conversion factors'!$B$35:$C$52,2,FALSE)),"y","n"))</f>
        <v/>
      </c>
      <c r="BH617" s="99"/>
    </row>
    <row r="618" spans="1:60" s="103" customFormat="1" ht="15.75" customHeight="1" x14ac:dyDescent="0.2">
      <c r="A618" s="18"/>
      <c r="B618" s="19">
        <v>211</v>
      </c>
      <c r="C618" s="19"/>
      <c r="D618" s="19">
        <v>60097</v>
      </c>
      <c r="E618" s="19" t="s">
        <v>1224</v>
      </c>
      <c r="F618" s="93">
        <v>1998</v>
      </c>
      <c r="G618" s="19" t="s">
        <v>472</v>
      </c>
      <c r="H618" s="19"/>
      <c r="I618" s="19" t="s">
        <v>41</v>
      </c>
      <c r="J618" s="19" t="s">
        <v>473</v>
      </c>
      <c r="K618" s="19" t="s">
        <v>250</v>
      </c>
      <c r="L618" s="19" t="s">
        <v>1202</v>
      </c>
      <c r="M618" s="19" t="s">
        <v>1203</v>
      </c>
      <c r="N618" s="19" t="s">
        <v>109</v>
      </c>
      <c r="O618" s="19" t="s">
        <v>235</v>
      </c>
      <c r="P618" s="19" t="s">
        <v>162</v>
      </c>
      <c r="Q618" s="19"/>
      <c r="R618" s="19" t="s">
        <v>81</v>
      </c>
      <c r="S618" s="19" t="s">
        <v>474</v>
      </c>
      <c r="T618" s="19" t="s">
        <v>55</v>
      </c>
      <c r="U618" s="19" t="s">
        <v>55</v>
      </c>
      <c r="V618" s="19" t="s">
        <v>253</v>
      </c>
      <c r="W618" s="19" t="s">
        <v>231</v>
      </c>
      <c r="X618" s="19" t="s">
        <v>46</v>
      </c>
      <c r="Y618" s="29"/>
      <c r="Z618" s="19"/>
      <c r="AA618" s="19"/>
      <c r="AB618" s="19" t="s">
        <v>498</v>
      </c>
      <c r="AC618" s="19" t="s">
        <v>1322</v>
      </c>
      <c r="AD618" s="19"/>
      <c r="AE618" s="19"/>
      <c r="AF618" s="19"/>
      <c r="AG618" s="19" t="s">
        <v>235</v>
      </c>
      <c r="AH618" s="19"/>
      <c r="AI618" s="19"/>
      <c r="AJ618" s="19" t="s">
        <v>234</v>
      </c>
      <c r="AK618" s="19" t="s">
        <v>234</v>
      </c>
      <c r="AL618" s="19"/>
      <c r="AM618" s="19" t="s">
        <v>234</v>
      </c>
      <c r="AN618" s="19" t="s">
        <v>234</v>
      </c>
      <c r="AO618" s="19" t="s">
        <v>235</v>
      </c>
      <c r="AP618" s="94"/>
      <c r="AQ618" s="19" t="s">
        <v>476</v>
      </c>
      <c r="AR618" s="19" t="s">
        <v>241</v>
      </c>
      <c r="AS618" s="19"/>
      <c r="AT618" s="65" t="str">
        <f t="shared" si="192"/>
        <v>N</v>
      </c>
      <c r="AU618" s="65" t="str">
        <f t="shared" si="196"/>
        <v>N</v>
      </c>
      <c r="AV618" s="65" t="str">
        <f t="shared" si="195"/>
        <v>N</v>
      </c>
      <c r="AW618" s="99"/>
      <c r="AX618" s="99"/>
      <c r="AY618" s="19"/>
      <c r="AZ618" s="96" t="str">
        <f t="shared" si="197"/>
        <v>n</v>
      </c>
      <c r="BA618" s="96" t="str">
        <f>IF(AZ618="n","n",VLOOKUP(AZ618,'Conversion factors'!$C$4:$D$24,2,FALSE))</f>
        <v>n</v>
      </c>
      <c r="BB618" s="96" t="str">
        <f t="shared" si="198"/>
        <v>n</v>
      </c>
      <c r="BC618" s="97"/>
      <c r="BD618" s="96" t="str">
        <f t="shared" si="193"/>
        <v>n</v>
      </c>
      <c r="BE618" s="96" t="str">
        <f t="shared" si="199"/>
        <v>n</v>
      </c>
      <c r="BF618" s="98" t="str">
        <f t="shared" si="194"/>
        <v/>
      </c>
      <c r="BG618" s="96" t="str">
        <f>IF(BF618="","",IF(ISNUMBER(VLOOKUP(BF618,'Conversion factors'!$B$35:$C$52,2,FALSE)),"y","n"))</f>
        <v/>
      </c>
      <c r="BH618" s="99"/>
    </row>
    <row r="619" spans="1:60" s="103" customFormat="1" ht="15.75" customHeight="1" x14ac:dyDescent="0.2">
      <c r="A619" s="18"/>
      <c r="B619" s="19">
        <v>211</v>
      </c>
      <c r="C619" s="19"/>
      <c r="D619" s="19">
        <v>60097</v>
      </c>
      <c r="E619" s="19" t="s">
        <v>1224</v>
      </c>
      <c r="F619" s="93">
        <v>1998</v>
      </c>
      <c r="G619" s="19" t="s">
        <v>472</v>
      </c>
      <c r="H619" s="19"/>
      <c r="I619" s="19" t="s">
        <v>41</v>
      </c>
      <c r="J619" s="19" t="s">
        <v>473</v>
      </c>
      <c r="K619" s="19" t="s">
        <v>250</v>
      </c>
      <c r="L619" s="19" t="s">
        <v>1202</v>
      </c>
      <c r="M619" s="19" t="s">
        <v>1203</v>
      </c>
      <c r="N619" s="19" t="s">
        <v>109</v>
      </c>
      <c r="O619" s="19" t="s">
        <v>235</v>
      </c>
      <c r="P619" s="19" t="s">
        <v>162</v>
      </c>
      <c r="Q619" s="19"/>
      <c r="R619" s="19" t="s">
        <v>81</v>
      </c>
      <c r="S619" s="19" t="s">
        <v>481</v>
      </c>
      <c r="T619" s="19" t="s">
        <v>55</v>
      </c>
      <c r="U619" s="19" t="s">
        <v>55</v>
      </c>
      <c r="V619" s="19" t="s">
        <v>253</v>
      </c>
      <c r="W619" s="19" t="s">
        <v>231</v>
      </c>
      <c r="X619" s="19" t="s">
        <v>46</v>
      </c>
      <c r="Y619" s="29"/>
      <c r="Z619" s="19"/>
      <c r="AA619" s="19"/>
      <c r="AB619" s="19" t="s">
        <v>500</v>
      </c>
      <c r="AC619" s="19" t="s">
        <v>1322</v>
      </c>
      <c r="AD619" s="19"/>
      <c r="AE619" s="19"/>
      <c r="AF619" s="19"/>
      <c r="AG619" s="19" t="s">
        <v>235</v>
      </c>
      <c r="AH619" s="19"/>
      <c r="AI619" s="19"/>
      <c r="AJ619" s="19" t="s">
        <v>234</v>
      </c>
      <c r="AK619" s="19" t="s">
        <v>234</v>
      </c>
      <c r="AL619" s="19"/>
      <c r="AM619" s="19" t="s">
        <v>234</v>
      </c>
      <c r="AN619" s="19" t="s">
        <v>234</v>
      </c>
      <c r="AO619" s="19" t="s">
        <v>235</v>
      </c>
      <c r="AP619" s="94"/>
      <c r="AQ619" s="19" t="s">
        <v>476</v>
      </c>
      <c r="AR619" s="19" t="s">
        <v>241</v>
      </c>
      <c r="AS619" s="19"/>
      <c r="AT619" s="65" t="str">
        <f t="shared" si="192"/>
        <v>N</v>
      </c>
      <c r="AU619" s="65" t="str">
        <f t="shared" si="196"/>
        <v>N</v>
      </c>
      <c r="AV619" s="65" t="str">
        <f t="shared" si="195"/>
        <v>N</v>
      </c>
      <c r="AW619" s="99"/>
      <c r="AX619" s="99"/>
      <c r="AY619" s="19"/>
      <c r="AZ619" s="96" t="str">
        <f t="shared" si="197"/>
        <v>n</v>
      </c>
      <c r="BA619" s="96" t="str">
        <f>IF(AZ619="n","n",VLOOKUP(AZ619,'Conversion factors'!$C$4:$D$24,2,FALSE))</f>
        <v>n</v>
      </c>
      <c r="BB619" s="96" t="str">
        <f t="shared" si="198"/>
        <v>n</v>
      </c>
      <c r="BC619" s="97"/>
      <c r="BD619" s="96" t="str">
        <f t="shared" si="193"/>
        <v>n</v>
      </c>
      <c r="BE619" s="96" t="str">
        <f t="shared" si="199"/>
        <v>n</v>
      </c>
      <c r="BF619" s="98" t="str">
        <f t="shared" si="194"/>
        <v/>
      </c>
      <c r="BG619" s="96" t="str">
        <f>IF(BF619="","",IF(ISNUMBER(VLOOKUP(BF619,'Conversion factors'!$B$35:$C$52,2,FALSE)),"y","n"))</f>
        <v/>
      </c>
      <c r="BH619" s="99"/>
    </row>
    <row r="620" spans="1:60" s="103" customFormat="1" ht="15.75" customHeight="1" x14ac:dyDescent="0.2">
      <c r="A620" s="18"/>
      <c r="B620" s="19">
        <v>211</v>
      </c>
      <c r="C620" s="19"/>
      <c r="D620" s="19">
        <v>60097</v>
      </c>
      <c r="E620" s="19" t="s">
        <v>1224</v>
      </c>
      <c r="F620" s="93">
        <v>1998</v>
      </c>
      <c r="G620" s="19" t="s">
        <v>472</v>
      </c>
      <c r="H620" s="19"/>
      <c r="I620" s="19" t="s">
        <v>41</v>
      </c>
      <c r="J620" s="19" t="s">
        <v>473</v>
      </c>
      <c r="K620" s="19" t="s">
        <v>250</v>
      </c>
      <c r="L620" s="19" t="s">
        <v>1202</v>
      </c>
      <c r="M620" s="19" t="s">
        <v>1203</v>
      </c>
      <c r="N620" s="19" t="s">
        <v>109</v>
      </c>
      <c r="O620" s="19" t="s">
        <v>235</v>
      </c>
      <c r="P620" s="19" t="s">
        <v>162</v>
      </c>
      <c r="Q620" s="19"/>
      <c r="R620" s="19" t="s">
        <v>81</v>
      </c>
      <c r="S620" s="19" t="s">
        <v>481</v>
      </c>
      <c r="T620" s="19" t="s">
        <v>55</v>
      </c>
      <c r="U620" s="19" t="s">
        <v>55</v>
      </c>
      <c r="V620" s="19" t="s">
        <v>253</v>
      </c>
      <c r="W620" s="19" t="s">
        <v>231</v>
      </c>
      <c r="X620" s="19" t="s">
        <v>46</v>
      </c>
      <c r="Y620" s="29"/>
      <c r="Z620" s="19"/>
      <c r="AA620" s="19"/>
      <c r="AB620" s="19" t="s">
        <v>499</v>
      </c>
      <c r="AC620" s="19" t="s">
        <v>1322</v>
      </c>
      <c r="AD620" s="19"/>
      <c r="AE620" s="19"/>
      <c r="AF620" s="19"/>
      <c r="AG620" s="19" t="s">
        <v>235</v>
      </c>
      <c r="AH620" s="19"/>
      <c r="AI620" s="19"/>
      <c r="AJ620" s="19" t="s">
        <v>234</v>
      </c>
      <c r="AK620" s="19" t="s">
        <v>234</v>
      </c>
      <c r="AL620" s="19"/>
      <c r="AM620" s="19" t="s">
        <v>234</v>
      </c>
      <c r="AN620" s="19" t="s">
        <v>234</v>
      </c>
      <c r="AO620" s="19" t="s">
        <v>235</v>
      </c>
      <c r="AP620" s="94"/>
      <c r="AQ620" s="19" t="s">
        <v>476</v>
      </c>
      <c r="AR620" s="19" t="s">
        <v>241</v>
      </c>
      <c r="AS620" s="19"/>
      <c r="AT620" s="65" t="str">
        <f t="shared" si="192"/>
        <v>N</v>
      </c>
      <c r="AU620" s="65" t="str">
        <f t="shared" si="196"/>
        <v>N</v>
      </c>
      <c r="AV620" s="65" t="str">
        <f t="shared" si="195"/>
        <v>N</v>
      </c>
      <c r="AW620" s="99"/>
      <c r="AX620" s="99"/>
      <c r="AY620" s="19"/>
      <c r="AZ620" s="96" t="str">
        <f t="shared" si="197"/>
        <v>n</v>
      </c>
      <c r="BA620" s="96" t="str">
        <f>IF(AZ620="n","n",VLOOKUP(AZ620,'Conversion factors'!$C$4:$D$24,2,FALSE))</f>
        <v>n</v>
      </c>
      <c r="BB620" s="96" t="str">
        <f t="shared" si="198"/>
        <v>n</v>
      </c>
      <c r="BC620" s="97"/>
      <c r="BD620" s="96" t="str">
        <f t="shared" si="193"/>
        <v>n</v>
      </c>
      <c r="BE620" s="96" t="str">
        <f t="shared" si="199"/>
        <v>n</v>
      </c>
      <c r="BF620" s="98" t="str">
        <f t="shared" si="194"/>
        <v/>
      </c>
      <c r="BG620" s="96" t="str">
        <f>IF(BF620="","",IF(ISNUMBER(VLOOKUP(BF620,'Conversion factors'!$B$35:$C$52,2,FALSE)),"y","n"))</f>
        <v/>
      </c>
      <c r="BH620" s="99"/>
    </row>
    <row r="621" spans="1:60" s="103" customFormat="1" ht="15.75" customHeight="1" x14ac:dyDescent="0.2">
      <c r="A621" s="18"/>
      <c r="B621" s="19">
        <v>211</v>
      </c>
      <c r="C621" s="19"/>
      <c r="D621" s="19">
        <v>60097</v>
      </c>
      <c r="E621" s="19" t="s">
        <v>1224</v>
      </c>
      <c r="F621" s="93">
        <v>1998</v>
      </c>
      <c r="G621" s="19" t="s">
        <v>472</v>
      </c>
      <c r="H621" s="19"/>
      <c r="I621" s="19" t="s">
        <v>41</v>
      </c>
      <c r="J621" s="19" t="s">
        <v>473</v>
      </c>
      <c r="K621" s="19" t="s">
        <v>250</v>
      </c>
      <c r="L621" s="19" t="s">
        <v>1202</v>
      </c>
      <c r="M621" s="19" t="s">
        <v>1203</v>
      </c>
      <c r="N621" s="19" t="s">
        <v>109</v>
      </c>
      <c r="O621" s="19" t="s">
        <v>235</v>
      </c>
      <c r="P621" s="19" t="s">
        <v>162</v>
      </c>
      <c r="Q621" s="19"/>
      <c r="R621" s="19" t="s">
        <v>81</v>
      </c>
      <c r="S621" s="19" t="s">
        <v>402</v>
      </c>
      <c r="T621" s="19" t="s">
        <v>55</v>
      </c>
      <c r="U621" s="19" t="s">
        <v>55</v>
      </c>
      <c r="V621" s="19" t="s">
        <v>253</v>
      </c>
      <c r="W621" s="19" t="s">
        <v>231</v>
      </c>
      <c r="X621" s="19" t="s">
        <v>46</v>
      </c>
      <c r="Y621" s="29"/>
      <c r="Z621" s="19"/>
      <c r="AA621" s="19"/>
      <c r="AB621" s="19" t="s">
        <v>501</v>
      </c>
      <c r="AC621" s="19" t="s">
        <v>1322</v>
      </c>
      <c r="AD621" s="19"/>
      <c r="AE621" s="19"/>
      <c r="AF621" s="19"/>
      <c r="AG621" s="19" t="s">
        <v>235</v>
      </c>
      <c r="AH621" s="19"/>
      <c r="AI621" s="19"/>
      <c r="AJ621" s="19" t="s">
        <v>234</v>
      </c>
      <c r="AK621" s="19" t="s">
        <v>234</v>
      </c>
      <c r="AL621" s="19"/>
      <c r="AM621" s="19" t="s">
        <v>234</v>
      </c>
      <c r="AN621" s="19" t="s">
        <v>234</v>
      </c>
      <c r="AO621" s="19" t="s">
        <v>235</v>
      </c>
      <c r="AP621" s="94"/>
      <c r="AQ621" s="19" t="s">
        <v>476</v>
      </c>
      <c r="AR621" s="19" t="s">
        <v>241</v>
      </c>
      <c r="AS621" s="19"/>
      <c r="AT621" s="65" t="str">
        <f t="shared" si="192"/>
        <v>N</v>
      </c>
      <c r="AU621" s="65" t="str">
        <f t="shared" si="196"/>
        <v>N</v>
      </c>
      <c r="AV621" s="65" t="str">
        <f t="shared" si="195"/>
        <v>N</v>
      </c>
      <c r="AW621" s="99"/>
      <c r="AX621" s="99"/>
      <c r="AY621" s="19"/>
      <c r="AZ621" s="96" t="str">
        <f t="shared" si="197"/>
        <v>n</v>
      </c>
      <c r="BA621" s="96" t="str">
        <f>IF(AZ621="n","n",VLOOKUP(AZ621,'Conversion factors'!$C$4:$D$24,2,FALSE))</f>
        <v>n</v>
      </c>
      <c r="BB621" s="96" t="str">
        <f t="shared" si="198"/>
        <v>n</v>
      </c>
      <c r="BC621" s="97"/>
      <c r="BD621" s="96" t="str">
        <f t="shared" si="193"/>
        <v>n</v>
      </c>
      <c r="BE621" s="96" t="str">
        <f t="shared" si="199"/>
        <v>n</v>
      </c>
      <c r="BF621" s="98" t="str">
        <f t="shared" si="194"/>
        <v/>
      </c>
      <c r="BG621" s="96" t="str">
        <f>IF(BF621="","",IF(ISNUMBER(VLOOKUP(BF621,'Conversion factors'!$B$35:$C$52,2,FALSE)),"y","n"))</f>
        <v/>
      </c>
      <c r="BH621" s="99"/>
    </row>
    <row r="622" spans="1:60" s="103" customFormat="1" ht="15.75" customHeight="1" x14ac:dyDescent="0.2">
      <c r="A622" s="18"/>
      <c r="B622" s="19">
        <v>211</v>
      </c>
      <c r="C622" s="19"/>
      <c r="D622" s="19">
        <v>60097</v>
      </c>
      <c r="E622" s="19" t="s">
        <v>1224</v>
      </c>
      <c r="F622" s="93">
        <v>1998</v>
      </c>
      <c r="G622" s="19" t="s">
        <v>472</v>
      </c>
      <c r="H622" s="19"/>
      <c r="I622" s="19" t="s">
        <v>41</v>
      </c>
      <c r="J622" s="19" t="s">
        <v>473</v>
      </c>
      <c r="K622" s="19" t="s">
        <v>250</v>
      </c>
      <c r="L622" s="19" t="s">
        <v>1202</v>
      </c>
      <c r="M622" s="19" t="s">
        <v>1203</v>
      </c>
      <c r="N622" s="19" t="s">
        <v>109</v>
      </c>
      <c r="O622" s="19" t="s">
        <v>235</v>
      </c>
      <c r="P622" s="19" t="s">
        <v>162</v>
      </c>
      <c r="Q622" s="19"/>
      <c r="R622" s="19" t="s">
        <v>81</v>
      </c>
      <c r="S622" s="19" t="s">
        <v>474</v>
      </c>
      <c r="T622" s="19" t="s">
        <v>55</v>
      </c>
      <c r="U622" s="19" t="s">
        <v>55</v>
      </c>
      <c r="V622" s="19" t="s">
        <v>253</v>
      </c>
      <c r="W622" s="19" t="s">
        <v>231</v>
      </c>
      <c r="X622" s="19" t="s">
        <v>46</v>
      </c>
      <c r="Y622" s="29"/>
      <c r="Z622" s="19"/>
      <c r="AA622" s="19"/>
      <c r="AB622" s="19" t="s">
        <v>497</v>
      </c>
      <c r="AC622" s="19" t="s">
        <v>1322</v>
      </c>
      <c r="AD622" s="19"/>
      <c r="AE622" s="19"/>
      <c r="AF622" s="19"/>
      <c r="AG622" s="19" t="s">
        <v>235</v>
      </c>
      <c r="AH622" s="19"/>
      <c r="AI622" s="19"/>
      <c r="AJ622" s="19" t="s">
        <v>234</v>
      </c>
      <c r="AK622" s="19" t="s">
        <v>234</v>
      </c>
      <c r="AL622" s="19"/>
      <c r="AM622" s="19" t="s">
        <v>234</v>
      </c>
      <c r="AN622" s="19" t="s">
        <v>234</v>
      </c>
      <c r="AO622" s="19" t="s">
        <v>235</v>
      </c>
      <c r="AP622" s="94"/>
      <c r="AQ622" s="19" t="s">
        <v>476</v>
      </c>
      <c r="AR622" s="19" t="s">
        <v>241</v>
      </c>
      <c r="AS622" s="19"/>
      <c r="AT622" s="65" t="str">
        <f t="shared" si="192"/>
        <v>N</v>
      </c>
      <c r="AU622" s="65" t="str">
        <f t="shared" si="196"/>
        <v>N</v>
      </c>
      <c r="AV622" s="65" t="str">
        <f t="shared" si="195"/>
        <v>N</v>
      </c>
      <c r="AW622" s="99"/>
      <c r="AX622" s="99"/>
      <c r="AY622" s="19"/>
      <c r="AZ622" s="96" t="str">
        <f t="shared" si="197"/>
        <v>n</v>
      </c>
      <c r="BA622" s="96" t="str">
        <f>IF(AZ622="n","n",VLOOKUP(AZ622,'Conversion factors'!$C$4:$D$24,2,FALSE))</f>
        <v>n</v>
      </c>
      <c r="BB622" s="96" t="str">
        <f t="shared" si="198"/>
        <v>n</v>
      </c>
      <c r="BC622" s="97"/>
      <c r="BD622" s="96" t="str">
        <f t="shared" si="193"/>
        <v>n</v>
      </c>
      <c r="BE622" s="96" t="str">
        <f t="shared" si="199"/>
        <v>n</v>
      </c>
      <c r="BF622" s="98" t="str">
        <f t="shared" si="194"/>
        <v/>
      </c>
      <c r="BG622" s="96" t="str">
        <f>IF(BF622="","",IF(ISNUMBER(VLOOKUP(BF622,'Conversion factors'!$B$35:$C$52,2,FALSE)),"y","n"))</f>
        <v/>
      </c>
      <c r="BH622" s="99"/>
    </row>
    <row r="623" spans="1:60" s="103" customFormat="1" ht="15.75" customHeight="1" x14ac:dyDescent="0.2">
      <c r="A623" s="18"/>
      <c r="B623" s="19">
        <v>211</v>
      </c>
      <c r="C623" s="19"/>
      <c r="D623" s="19">
        <v>60097</v>
      </c>
      <c r="E623" s="19" t="s">
        <v>1224</v>
      </c>
      <c r="F623" s="93">
        <v>1998</v>
      </c>
      <c r="G623" s="19" t="s">
        <v>472</v>
      </c>
      <c r="H623" s="19"/>
      <c r="I623" s="19" t="s">
        <v>41</v>
      </c>
      <c r="J623" s="19" t="s">
        <v>473</v>
      </c>
      <c r="K623" s="19" t="s">
        <v>250</v>
      </c>
      <c r="L623" s="19" t="s">
        <v>1202</v>
      </c>
      <c r="M623" s="19" t="s">
        <v>1203</v>
      </c>
      <c r="N623" s="19" t="s">
        <v>109</v>
      </c>
      <c r="O623" s="19" t="s">
        <v>235</v>
      </c>
      <c r="P623" s="19" t="s">
        <v>162</v>
      </c>
      <c r="Q623" s="19"/>
      <c r="R623" s="19" t="s">
        <v>81</v>
      </c>
      <c r="S623" s="19" t="s">
        <v>402</v>
      </c>
      <c r="T623" s="19" t="s">
        <v>55</v>
      </c>
      <c r="U623" s="19" t="s">
        <v>55</v>
      </c>
      <c r="V623" s="19" t="s">
        <v>253</v>
      </c>
      <c r="W623" s="19" t="s">
        <v>231</v>
      </c>
      <c r="X623" s="19" t="s">
        <v>46</v>
      </c>
      <c r="Y623" s="29"/>
      <c r="Z623" s="19"/>
      <c r="AA623" s="19"/>
      <c r="AB623" s="19" t="s">
        <v>499</v>
      </c>
      <c r="AC623" s="19" t="s">
        <v>1322</v>
      </c>
      <c r="AD623" s="19"/>
      <c r="AE623" s="19"/>
      <c r="AF623" s="19"/>
      <c r="AG623" s="19" t="s">
        <v>235</v>
      </c>
      <c r="AH623" s="19"/>
      <c r="AI623" s="19"/>
      <c r="AJ623" s="19" t="s">
        <v>234</v>
      </c>
      <c r="AK623" s="19" t="s">
        <v>234</v>
      </c>
      <c r="AL623" s="19"/>
      <c r="AM623" s="19" t="s">
        <v>234</v>
      </c>
      <c r="AN623" s="19" t="s">
        <v>234</v>
      </c>
      <c r="AO623" s="19" t="s">
        <v>235</v>
      </c>
      <c r="AP623" s="94"/>
      <c r="AQ623" s="19" t="s">
        <v>476</v>
      </c>
      <c r="AR623" s="19" t="s">
        <v>241</v>
      </c>
      <c r="AS623" s="19"/>
      <c r="AT623" s="65" t="str">
        <f t="shared" si="192"/>
        <v>N</v>
      </c>
      <c r="AU623" s="65" t="str">
        <f t="shared" si="196"/>
        <v>N</v>
      </c>
      <c r="AV623" s="65" t="str">
        <f t="shared" si="195"/>
        <v>N</v>
      </c>
      <c r="AW623" s="99"/>
      <c r="AX623" s="99"/>
      <c r="AY623" s="19"/>
      <c r="AZ623" s="96" t="str">
        <f t="shared" si="197"/>
        <v>n</v>
      </c>
      <c r="BA623" s="96" t="str">
        <f>IF(AZ623="n","n",VLOOKUP(AZ623,'Conversion factors'!$C$4:$D$24,2,FALSE))</f>
        <v>n</v>
      </c>
      <c r="BB623" s="96" t="str">
        <f t="shared" si="198"/>
        <v>n</v>
      </c>
      <c r="BC623" s="97"/>
      <c r="BD623" s="96" t="str">
        <f t="shared" si="193"/>
        <v>n</v>
      </c>
      <c r="BE623" s="96" t="str">
        <f t="shared" si="199"/>
        <v>n</v>
      </c>
      <c r="BF623" s="98" t="str">
        <f t="shared" si="194"/>
        <v/>
      </c>
      <c r="BG623" s="96" t="str">
        <f>IF(BF623="","",IF(ISNUMBER(VLOOKUP(BF623,'Conversion factors'!$B$35:$C$52,2,FALSE)),"y","n"))</f>
        <v/>
      </c>
      <c r="BH623" s="99"/>
    </row>
    <row r="624" spans="1:60" s="103" customFormat="1" ht="15.75" customHeight="1" x14ac:dyDescent="0.2">
      <c r="A624" s="18"/>
      <c r="B624" s="19">
        <v>211</v>
      </c>
      <c r="C624" s="19"/>
      <c r="D624" s="19">
        <v>60097</v>
      </c>
      <c r="E624" s="19" t="s">
        <v>1224</v>
      </c>
      <c r="F624" s="93">
        <v>1998</v>
      </c>
      <c r="G624" s="19" t="s">
        <v>472</v>
      </c>
      <c r="H624" s="19"/>
      <c r="I624" s="19" t="s">
        <v>41</v>
      </c>
      <c r="J624" s="19" t="s">
        <v>473</v>
      </c>
      <c r="K624" s="19" t="s">
        <v>250</v>
      </c>
      <c r="L624" s="19" t="s">
        <v>1202</v>
      </c>
      <c r="M624" s="19" t="s">
        <v>1203</v>
      </c>
      <c r="N624" s="19" t="s">
        <v>109</v>
      </c>
      <c r="O624" s="19" t="s">
        <v>235</v>
      </c>
      <c r="P624" s="19" t="s">
        <v>162</v>
      </c>
      <c r="Q624" s="19"/>
      <c r="R624" s="19" t="s">
        <v>81</v>
      </c>
      <c r="S624" s="19" t="s">
        <v>481</v>
      </c>
      <c r="T624" s="19" t="s">
        <v>55</v>
      </c>
      <c r="U624" s="19" t="s">
        <v>55</v>
      </c>
      <c r="V624" s="19" t="s">
        <v>253</v>
      </c>
      <c r="W624" s="19" t="s">
        <v>231</v>
      </c>
      <c r="X624" s="19" t="s">
        <v>46</v>
      </c>
      <c r="Y624" s="29"/>
      <c r="Z624" s="19"/>
      <c r="AA624" s="19"/>
      <c r="AB624" s="19" t="s">
        <v>498</v>
      </c>
      <c r="AC624" s="19" t="s">
        <v>1322</v>
      </c>
      <c r="AD624" s="19"/>
      <c r="AE624" s="19"/>
      <c r="AF624" s="19"/>
      <c r="AG624" s="19" t="s">
        <v>235</v>
      </c>
      <c r="AH624" s="19"/>
      <c r="AI624" s="19"/>
      <c r="AJ624" s="19" t="s">
        <v>234</v>
      </c>
      <c r="AK624" s="19" t="s">
        <v>234</v>
      </c>
      <c r="AL624" s="19"/>
      <c r="AM624" s="19" t="s">
        <v>234</v>
      </c>
      <c r="AN624" s="19" t="s">
        <v>234</v>
      </c>
      <c r="AO624" s="19" t="s">
        <v>235</v>
      </c>
      <c r="AP624" s="94"/>
      <c r="AQ624" s="19" t="s">
        <v>476</v>
      </c>
      <c r="AR624" s="19" t="s">
        <v>241</v>
      </c>
      <c r="AS624" s="19"/>
      <c r="AT624" s="65" t="str">
        <f t="shared" si="192"/>
        <v>N</v>
      </c>
      <c r="AU624" s="65" t="str">
        <f t="shared" si="196"/>
        <v>N</v>
      </c>
      <c r="AV624" s="65" t="str">
        <f t="shared" si="195"/>
        <v>N</v>
      </c>
      <c r="AW624" s="99"/>
      <c r="AX624" s="99"/>
      <c r="AY624" s="19"/>
      <c r="AZ624" s="96" t="str">
        <f t="shared" si="197"/>
        <v>n</v>
      </c>
      <c r="BA624" s="96" t="str">
        <f>IF(AZ624="n","n",VLOOKUP(AZ624,'Conversion factors'!$C$4:$D$24,2,FALSE))</f>
        <v>n</v>
      </c>
      <c r="BB624" s="96" t="str">
        <f t="shared" si="198"/>
        <v>n</v>
      </c>
      <c r="BC624" s="97"/>
      <c r="BD624" s="96" t="str">
        <f t="shared" si="193"/>
        <v>n</v>
      </c>
      <c r="BE624" s="96" t="str">
        <f t="shared" si="199"/>
        <v>n</v>
      </c>
      <c r="BF624" s="98" t="str">
        <f t="shared" si="194"/>
        <v/>
      </c>
      <c r="BG624" s="96" t="str">
        <f>IF(BF624="","",IF(ISNUMBER(VLOOKUP(BF624,'Conversion factors'!$B$35:$C$52,2,FALSE)),"y","n"))</f>
        <v/>
      </c>
      <c r="BH624" s="99"/>
    </row>
    <row r="625" spans="1:60" s="103" customFormat="1" ht="15.75" customHeight="1" x14ac:dyDescent="0.2">
      <c r="A625" s="18"/>
      <c r="B625" s="19">
        <v>211</v>
      </c>
      <c r="C625" s="19"/>
      <c r="D625" s="19">
        <v>60097</v>
      </c>
      <c r="E625" s="19" t="s">
        <v>1224</v>
      </c>
      <c r="F625" s="93">
        <v>1998</v>
      </c>
      <c r="G625" s="19" t="s">
        <v>472</v>
      </c>
      <c r="H625" s="19"/>
      <c r="I625" s="19" t="s">
        <v>41</v>
      </c>
      <c r="J625" s="19" t="s">
        <v>473</v>
      </c>
      <c r="K625" s="19" t="s">
        <v>250</v>
      </c>
      <c r="L625" s="19" t="s">
        <v>1202</v>
      </c>
      <c r="M625" s="19" t="s">
        <v>1203</v>
      </c>
      <c r="N625" s="19" t="s">
        <v>109</v>
      </c>
      <c r="O625" s="19" t="s">
        <v>235</v>
      </c>
      <c r="P625" s="19" t="s">
        <v>162</v>
      </c>
      <c r="Q625" s="19"/>
      <c r="R625" s="19" t="s">
        <v>81</v>
      </c>
      <c r="S625" s="19" t="s">
        <v>483</v>
      </c>
      <c r="T625" s="19" t="s">
        <v>55</v>
      </c>
      <c r="U625" s="19" t="s">
        <v>55</v>
      </c>
      <c r="V625" s="19" t="s">
        <v>253</v>
      </c>
      <c r="W625" s="19" t="s">
        <v>231</v>
      </c>
      <c r="X625" s="19" t="s">
        <v>46</v>
      </c>
      <c r="Y625" s="29"/>
      <c r="Z625" s="19"/>
      <c r="AA625" s="19"/>
      <c r="AB625" s="19" t="s">
        <v>498</v>
      </c>
      <c r="AC625" s="19" t="s">
        <v>1322</v>
      </c>
      <c r="AD625" s="19"/>
      <c r="AE625" s="19"/>
      <c r="AF625" s="19"/>
      <c r="AG625" s="19" t="s">
        <v>235</v>
      </c>
      <c r="AH625" s="19"/>
      <c r="AI625" s="19"/>
      <c r="AJ625" s="19" t="s">
        <v>234</v>
      </c>
      <c r="AK625" s="19" t="s">
        <v>234</v>
      </c>
      <c r="AL625" s="19"/>
      <c r="AM625" s="19" t="s">
        <v>234</v>
      </c>
      <c r="AN625" s="19" t="s">
        <v>234</v>
      </c>
      <c r="AO625" s="19" t="s">
        <v>235</v>
      </c>
      <c r="AP625" s="94"/>
      <c r="AQ625" s="19" t="s">
        <v>476</v>
      </c>
      <c r="AR625" s="19" t="s">
        <v>241</v>
      </c>
      <c r="AS625" s="19"/>
      <c r="AT625" s="65" t="str">
        <f t="shared" si="192"/>
        <v>N</v>
      </c>
      <c r="AU625" s="65" t="str">
        <f t="shared" si="196"/>
        <v>N</v>
      </c>
      <c r="AV625" s="65" t="str">
        <f t="shared" si="195"/>
        <v>N</v>
      </c>
      <c r="AW625" s="99"/>
      <c r="AX625" s="99"/>
      <c r="AY625" s="19"/>
      <c r="AZ625" s="96" t="str">
        <f t="shared" si="197"/>
        <v>n</v>
      </c>
      <c r="BA625" s="96" t="str">
        <f>IF(AZ625="n","n",VLOOKUP(AZ625,'Conversion factors'!$C$4:$D$24,2,FALSE))</f>
        <v>n</v>
      </c>
      <c r="BB625" s="96" t="str">
        <f t="shared" si="198"/>
        <v>n</v>
      </c>
      <c r="BC625" s="97"/>
      <c r="BD625" s="96" t="str">
        <f t="shared" si="193"/>
        <v>n</v>
      </c>
      <c r="BE625" s="96" t="str">
        <f t="shared" si="199"/>
        <v>n</v>
      </c>
      <c r="BF625" s="98" t="str">
        <f t="shared" si="194"/>
        <v/>
      </c>
      <c r="BG625" s="96" t="str">
        <f>IF(BF625="","",IF(ISNUMBER(VLOOKUP(BF625,'Conversion factors'!$B$35:$C$52,2,FALSE)),"y","n"))</f>
        <v/>
      </c>
      <c r="BH625" s="99"/>
    </row>
    <row r="626" spans="1:60" s="103" customFormat="1" ht="15.75" customHeight="1" x14ac:dyDescent="0.2">
      <c r="A626" s="18"/>
      <c r="B626" s="19">
        <v>211</v>
      </c>
      <c r="C626" s="19"/>
      <c r="D626" s="19">
        <v>60097</v>
      </c>
      <c r="E626" s="19" t="s">
        <v>1224</v>
      </c>
      <c r="F626" s="93">
        <v>1998</v>
      </c>
      <c r="G626" s="19" t="s">
        <v>472</v>
      </c>
      <c r="H626" s="19"/>
      <c r="I626" s="19" t="s">
        <v>41</v>
      </c>
      <c r="J626" s="19" t="s">
        <v>473</v>
      </c>
      <c r="K626" s="19" t="s">
        <v>250</v>
      </c>
      <c r="L626" s="19" t="s">
        <v>1202</v>
      </c>
      <c r="M626" s="19" t="s">
        <v>1203</v>
      </c>
      <c r="N626" s="19" t="s">
        <v>109</v>
      </c>
      <c r="O626" s="19" t="s">
        <v>235</v>
      </c>
      <c r="P626" s="19" t="s">
        <v>162</v>
      </c>
      <c r="Q626" s="19"/>
      <c r="R626" s="19" t="s">
        <v>81</v>
      </c>
      <c r="S626" s="19" t="s">
        <v>474</v>
      </c>
      <c r="T626" s="19" t="s">
        <v>55</v>
      </c>
      <c r="U626" s="19" t="s">
        <v>55</v>
      </c>
      <c r="V626" s="19" t="s">
        <v>253</v>
      </c>
      <c r="W626" s="19" t="s">
        <v>231</v>
      </c>
      <c r="X626" s="19" t="s">
        <v>46</v>
      </c>
      <c r="Y626" s="29"/>
      <c r="Z626" s="19"/>
      <c r="AA626" s="19"/>
      <c r="AB626" s="19" t="s">
        <v>499</v>
      </c>
      <c r="AC626" s="19" t="s">
        <v>1322</v>
      </c>
      <c r="AD626" s="19"/>
      <c r="AE626" s="19"/>
      <c r="AF626" s="19"/>
      <c r="AG626" s="19" t="s">
        <v>235</v>
      </c>
      <c r="AH626" s="19"/>
      <c r="AI626" s="19"/>
      <c r="AJ626" s="19" t="s">
        <v>234</v>
      </c>
      <c r="AK626" s="19" t="s">
        <v>234</v>
      </c>
      <c r="AL626" s="19"/>
      <c r="AM626" s="19" t="s">
        <v>234</v>
      </c>
      <c r="AN626" s="19" t="s">
        <v>234</v>
      </c>
      <c r="AO626" s="19" t="s">
        <v>235</v>
      </c>
      <c r="AP626" s="94"/>
      <c r="AQ626" s="19" t="s">
        <v>476</v>
      </c>
      <c r="AR626" s="19" t="s">
        <v>241</v>
      </c>
      <c r="AS626" s="19"/>
      <c r="AT626" s="65" t="str">
        <f t="shared" si="192"/>
        <v>N</v>
      </c>
      <c r="AU626" s="65" t="str">
        <f t="shared" si="196"/>
        <v>N</v>
      </c>
      <c r="AV626" s="65" t="str">
        <f t="shared" si="195"/>
        <v>N</v>
      </c>
      <c r="AW626" s="99"/>
      <c r="AX626" s="99"/>
      <c r="AY626" s="19"/>
      <c r="AZ626" s="96" t="str">
        <f t="shared" si="197"/>
        <v>n</v>
      </c>
      <c r="BA626" s="96" t="str">
        <f>IF(AZ626="n","n",VLOOKUP(AZ626,'Conversion factors'!$C$4:$D$24,2,FALSE))</f>
        <v>n</v>
      </c>
      <c r="BB626" s="96" t="str">
        <f t="shared" si="198"/>
        <v>n</v>
      </c>
      <c r="BC626" s="97"/>
      <c r="BD626" s="96" t="str">
        <f t="shared" si="193"/>
        <v>n</v>
      </c>
      <c r="BE626" s="96" t="str">
        <f t="shared" si="199"/>
        <v>n</v>
      </c>
      <c r="BF626" s="98" t="str">
        <f t="shared" si="194"/>
        <v/>
      </c>
      <c r="BG626" s="96" t="str">
        <f>IF(BF626="","",IF(ISNUMBER(VLOOKUP(BF626,'Conversion factors'!$B$35:$C$52,2,FALSE)),"y","n"))</f>
        <v/>
      </c>
      <c r="BH626" s="99"/>
    </row>
    <row r="627" spans="1:60" s="103" customFormat="1" ht="15.75" customHeight="1" x14ac:dyDescent="0.2">
      <c r="A627" s="18"/>
      <c r="B627" s="19">
        <v>211</v>
      </c>
      <c r="C627" s="19"/>
      <c r="D627" s="19">
        <v>60097</v>
      </c>
      <c r="E627" s="19" t="s">
        <v>1224</v>
      </c>
      <c r="F627" s="93">
        <v>1998</v>
      </c>
      <c r="G627" s="19" t="s">
        <v>472</v>
      </c>
      <c r="H627" s="19"/>
      <c r="I627" s="19" t="s">
        <v>41</v>
      </c>
      <c r="J627" s="19" t="s">
        <v>473</v>
      </c>
      <c r="K627" s="19" t="s">
        <v>250</v>
      </c>
      <c r="L627" s="19" t="s">
        <v>1202</v>
      </c>
      <c r="M627" s="19" t="s">
        <v>1203</v>
      </c>
      <c r="N627" s="19" t="s">
        <v>109</v>
      </c>
      <c r="O627" s="19" t="s">
        <v>235</v>
      </c>
      <c r="P627" s="19" t="s">
        <v>162</v>
      </c>
      <c r="Q627" s="19"/>
      <c r="R627" s="19" t="s">
        <v>81</v>
      </c>
      <c r="S627" s="19" t="s">
        <v>478</v>
      </c>
      <c r="T627" s="19" t="s">
        <v>55</v>
      </c>
      <c r="U627" s="19" t="s">
        <v>55</v>
      </c>
      <c r="V627" s="19" t="s">
        <v>253</v>
      </c>
      <c r="W627" s="19" t="s">
        <v>231</v>
      </c>
      <c r="X627" s="19" t="s">
        <v>46</v>
      </c>
      <c r="Y627" s="29"/>
      <c r="Z627" s="19"/>
      <c r="AA627" s="19"/>
      <c r="AB627" s="19" t="s">
        <v>497</v>
      </c>
      <c r="AC627" s="19" t="s">
        <v>1322</v>
      </c>
      <c r="AD627" s="19"/>
      <c r="AE627" s="19"/>
      <c r="AF627" s="19"/>
      <c r="AG627" s="19" t="s">
        <v>235</v>
      </c>
      <c r="AH627" s="19"/>
      <c r="AI627" s="19"/>
      <c r="AJ627" s="19" t="s">
        <v>234</v>
      </c>
      <c r="AK627" s="19" t="s">
        <v>234</v>
      </c>
      <c r="AL627" s="19"/>
      <c r="AM627" s="19" t="s">
        <v>234</v>
      </c>
      <c r="AN627" s="19" t="s">
        <v>234</v>
      </c>
      <c r="AO627" s="19" t="s">
        <v>235</v>
      </c>
      <c r="AP627" s="94"/>
      <c r="AQ627" s="19" t="s">
        <v>476</v>
      </c>
      <c r="AR627" s="19" t="s">
        <v>241</v>
      </c>
      <c r="AS627" s="19"/>
      <c r="AT627" s="65" t="str">
        <f t="shared" si="192"/>
        <v>N</v>
      </c>
      <c r="AU627" s="65" t="str">
        <f t="shared" si="196"/>
        <v>N</v>
      </c>
      <c r="AV627" s="65" t="str">
        <f t="shared" si="195"/>
        <v>N</v>
      </c>
      <c r="AW627" s="99"/>
      <c r="AX627" s="99"/>
      <c r="AY627" s="19"/>
      <c r="AZ627" s="96" t="str">
        <f t="shared" si="197"/>
        <v>n</v>
      </c>
      <c r="BA627" s="96" t="str">
        <f>IF(AZ627="n","n",VLOOKUP(AZ627,'Conversion factors'!$C$4:$D$24,2,FALSE))</f>
        <v>n</v>
      </c>
      <c r="BB627" s="96" t="str">
        <f t="shared" si="198"/>
        <v>n</v>
      </c>
      <c r="BC627" s="97"/>
      <c r="BD627" s="96" t="str">
        <f t="shared" si="193"/>
        <v>n</v>
      </c>
      <c r="BE627" s="96" t="str">
        <f t="shared" si="199"/>
        <v>n</v>
      </c>
      <c r="BF627" s="98" t="str">
        <f t="shared" si="194"/>
        <v/>
      </c>
      <c r="BG627" s="96" t="str">
        <f>IF(BF627="","",IF(ISNUMBER(VLOOKUP(BF627,'Conversion factors'!$B$35:$C$52,2,FALSE)),"y","n"))</f>
        <v/>
      </c>
      <c r="BH627" s="99"/>
    </row>
    <row r="628" spans="1:60" s="103" customFormat="1" ht="15.75" customHeight="1" x14ac:dyDescent="0.2">
      <c r="A628" s="18"/>
      <c r="B628" s="19">
        <v>211</v>
      </c>
      <c r="C628" s="19"/>
      <c r="D628" s="19">
        <v>60097</v>
      </c>
      <c r="E628" s="19" t="s">
        <v>1224</v>
      </c>
      <c r="F628" s="93">
        <v>1998</v>
      </c>
      <c r="G628" s="19" t="s">
        <v>472</v>
      </c>
      <c r="H628" s="19"/>
      <c r="I628" s="19" t="s">
        <v>41</v>
      </c>
      <c r="J628" s="19" t="s">
        <v>473</v>
      </c>
      <c r="K628" s="19" t="s">
        <v>250</v>
      </c>
      <c r="L628" s="19" t="s">
        <v>1202</v>
      </c>
      <c r="M628" s="19" t="s">
        <v>1203</v>
      </c>
      <c r="N628" s="19" t="s">
        <v>109</v>
      </c>
      <c r="O628" s="19" t="s">
        <v>235</v>
      </c>
      <c r="P628" s="19" t="s">
        <v>162</v>
      </c>
      <c r="Q628" s="19"/>
      <c r="R628" s="19" t="s">
        <v>81</v>
      </c>
      <c r="S628" s="19" t="s">
        <v>478</v>
      </c>
      <c r="T628" s="19" t="s">
        <v>55</v>
      </c>
      <c r="U628" s="19" t="s">
        <v>55</v>
      </c>
      <c r="V628" s="19" t="s">
        <v>253</v>
      </c>
      <c r="W628" s="19" t="s">
        <v>231</v>
      </c>
      <c r="X628" s="19" t="s">
        <v>46</v>
      </c>
      <c r="Y628" s="29"/>
      <c r="Z628" s="19"/>
      <c r="AA628" s="19"/>
      <c r="AB628" s="19" t="s">
        <v>501</v>
      </c>
      <c r="AC628" s="19" t="s">
        <v>1322</v>
      </c>
      <c r="AD628" s="19"/>
      <c r="AE628" s="19"/>
      <c r="AF628" s="19"/>
      <c r="AG628" s="19" t="s">
        <v>235</v>
      </c>
      <c r="AH628" s="19"/>
      <c r="AI628" s="19"/>
      <c r="AJ628" s="19" t="s">
        <v>234</v>
      </c>
      <c r="AK628" s="19" t="s">
        <v>234</v>
      </c>
      <c r="AL628" s="19"/>
      <c r="AM628" s="19" t="s">
        <v>234</v>
      </c>
      <c r="AN628" s="19" t="s">
        <v>234</v>
      </c>
      <c r="AO628" s="19" t="s">
        <v>235</v>
      </c>
      <c r="AP628" s="94"/>
      <c r="AQ628" s="19" t="s">
        <v>476</v>
      </c>
      <c r="AR628" s="19" t="s">
        <v>241</v>
      </c>
      <c r="AS628" s="19"/>
      <c r="AT628" s="65" t="str">
        <f t="shared" si="192"/>
        <v>N</v>
      </c>
      <c r="AU628" s="65" t="str">
        <f t="shared" si="196"/>
        <v>N</v>
      </c>
      <c r="AV628" s="65" t="str">
        <f t="shared" si="195"/>
        <v>N</v>
      </c>
      <c r="AW628" s="99"/>
      <c r="AX628" s="99"/>
      <c r="AY628" s="19"/>
      <c r="AZ628" s="96" t="str">
        <f t="shared" si="197"/>
        <v>n</v>
      </c>
      <c r="BA628" s="96" t="str">
        <f>IF(AZ628="n","n",VLOOKUP(AZ628,'Conversion factors'!$C$4:$D$24,2,FALSE))</f>
        <v>n</v>
      </c>
      <c r="BB628" s="96" t="str">
        <f t="shared" si="198"/>
        <v>n</v>
      </c>
      <c r="BC628" s="97"/>
      <c r="BD628" s="96" t="str">
        <f t="shared" si="193"/>
        <v>n</v>
      </c>
      <c r="BE628" s="96" t="str">
        <f t="shared" si="199"/>
        <v>n</v>
      </c>
      <c r="BF628" s="98" t="str">
        <f t="shared" si="194"/>
        <v/>
      </c>
      <c r="BG628" s="96" t="str">
        <f>IF(BF628="","",IF(ISNUMBER(VLOOKUP(BF628,'Conversion factors'!$B$35:$C$52,2,FALSE)),"y","n"))</f>
        <v/>
      </c>
      <c r="BH628" s="99"/>
    </row>
    <row r="629" spans="1:60" s="103" customFormat="1" ht="15.75" customHeight="1" x14ac:dyDescent="0.2">
      <c r="A629" s="18"/>
      <c r="B629" s="19">
        <v>211</v>
      </c>
      <c r="C629" s="19"/>
      <c r="D629" s="19">
        <v>60097</v>
      </c>
      <c r="E629" s="19" t="s">
        <v>1224</v>
      </c>
      <c r="F629" s="93">
        <v>1998</v>
      </c>
      <c r="G629" s="19" t="s">
        <v>472</v>
      </c>
      <c r="H629" s="19"/>
      <c r="I629" s="19" t="s">
        <v>41</v>
      </c>
      <c r="J629" s="19" t="s">
        <v>473</v>
      </c>
      <c r="K629" s="19" t="s">
        <v>250</v>
      </c>
      <c r="L629" s="19" t="s">
        <v>1202</v>
      </c>
      <c r="M629" s="19" t="s">
        <v>1203</v>
      </c>
      <c r="N629" s="19" t="s">
        <v>109</v>
      </c>
      <c r="O629" s="19" t="s">
        <v>235</v>
      </c>
      <c r="P629" s="19" t="s">
        <v>162</v>
      </c>
      <c r="Q629" s="19"/>
      <c r="R629" s="19" t="s">
        <v>81</v>
      </c>
      <c r="S629" s="19" t="s">
        <v>483</v>
      </c>
      <c r="T629" s="19" t="s">
        <v>55</v>
      </c>
      <c r="U629" s="19" t="s">
        <v>55</v>
      </c>
      <c r="V629" s="19" t="s">
        <v>253</v>
      </c>
      <c r="W629" s="19" t="s">
        <v>231</v>
      </c>
      <c r="X629" s="19" t="s">
        <v>46</v>
      </c>
      <c r="Y629" s="29"/>
      <c r="Z629" s="19"/>
      <c r="AA629" s="19"/>
      <c r="AB629" s="19" t="s">
        <v>502</v>
      </c>
      <c r="AC629" s="19" t="s">
        <v>1322</v>
      </c>
      <c r="AD629" s="19"/>
      <c r="AE629" s="19"/>
      <c r="AF629" s="19"/>
      <c r="AG629" s="19" t="s">
        <v>235</v>
      </c>
      <c r="AH629" s="19"/>
      <c r="AI629" s="19"/>
      <c r="AJ629" s="19" t="s">
        <v>234</v>
      </c>
      <c r="AK629" s="19" t="s">
        <v>234</v>
      </c>
      <c r="AL629" s="19"/>
      <c r="AM629" s="19" t="s">
        <v>234</v>
      </c>
      <c r="AN629" s="19" t="s">
        <v>234</v>
      </c>
      <c r="AO629" s="19" t="s">
        <v>235</v>
      </c>
      <c r="AP629" s="94"/>
      <c r="AQ629" s="19" t="s">
        <v>476</v>
      </c>
      <c r="AR629" s="19" t="s">
        <v>241</v>
      </c>
      <c r="AS629" s="19"/>
      <c r="AT629" s="65" t="str">
        <f t="shared" si="192"/>
        <v>N</v>
      </c>
      <c r="AU629" s="65" t="str">
        <f t="shared" si="196"/>
        <v>N</v>
      </c>
      <c r="AV629" s="65" t="str">
        <f t="shared" si="195"/>
        <v>N</v>
      </c>
      <c r="AW629" s="99"/>
      <c r="AX629" s="99"/>
      <c r="AY629" s="19"/>
      <c r="AZ629" s="96" t="str">
        <f t="shared" si="197"/>
        <v>n</v>
      </c>
      <c r="BA629" s="96" t="str">
        <f>IF(AZ629="n","n",VLOOKUP(AZ629,'Conversion factors'!$C$4:$D$24,2,FALSE))</f>
        <v>n</v>
      </c>
      <c r="BB629" s="96" t="str">
        <f t="shared" si="198"/>
        <v>n</v>
      </c>
      <c r="BC629" s="97"/>
      <c r="BD629" s="96" t="str">
        <f t="shared" si="193"/>
        <v>n</v>
      </c>
      <c r="BE629" s="96" t="str">
        <f t="shared" si="199"/>
        <v>n</v>
      </c>
      <c r="BF629" s="98" t="str">
        <f t="shared" si="194"/>
        <v/>
      </c>
      <c r="BG629" s="96" t="str">
        <f>IF(BF629="","",IF(ISNUMBER(VLOOKUP(BF629,'Conversion factors'!$B$35:$C$52,2,FALSE)),"y","n"))</f>
        <v/>
      </c>
      <c r="BH629" s="99"/>
    </row>
    <row r="630" spans="1:60" s="103" customFormat="1" ht="15.75" customHeight="1" x14ac:dyDescent="0.2">
      <c r="A630" s="18"/>
      <c r="B630" s="19">
        <v>211</v>
      </c>
      <c r="C630" s="19"/>
      <c r="D630" s="19">
        <v>60097</v>
      </c>
      <c r="E630" s="19" t="s">
        <v>1224</v>
      </c>
      <c r="F630" s="93">
        <v>1998</v>
      </c>
      <c r="G630" s="19" t="s">
        <v>472</v>
      </c>
      <c r="H630" s="19"/>
      <c r="I630" s="19" t="s">
        <v>41</v>
      </c>
      <c r="J630" s="19" t="s">
        <v>473</v>
      </c>
      <c r="K630" s="19" t="s">
        <v>250</v>
      </c>
      <c r="L630" s="19" t="s">
        <v>1202</v>
      </c>
      <c r="M630" s="19" t="s">
        <v>1203</v>
      </c>
      <c r="N630" s="19" t="s">
        <v>109</v>
      </c>
      <c r="O630" s="19" t="s">
        <v>235</v>
      </c>
      <c r="P630" s="19" t="s">
        <v>162</v>
      </c>
      <c r="Q630" s="19"/>
      <c r="R630" s="19" t="s">
        <v>81</v>
      </c>
      <c r="S630" s="19" t="s">
        <v>478</v>
      </c>
      <c r="T630" s="19" t="s">
        <v>55</v>
      </c>
      <c r="U630" s="19" t="s">
        <v>55</v>
      </c>
      <c r="V630" s="19" t="s">
        <v>253</v>
      </c>
      <c r="W630" s="19" t="s">
        <v>231</v>
      </c>
      <c r="X630" s="19" t="s">
        <v>46</v>
      </c>
      <c r="Y630" s="29"/>
      <c r="Z630" s="19"/>
      <c r="AA630" s="19"/>
      <c r="AB630" s="19" t="s">
        <v>500</v>
      </c>
      <c r="AC630" s="19" t="s">
        <v>1322</v>
      </c>
      <c r="AD630" s="19"/>
      <c r="AE630" s="19"/>
      <c r="AF630" s="19"/>
      <c r="AG630" s="19" t="s">
        <v>235</v>
      </c>
      <c r="AH630" s="19"/>
      <c r="AI630" s="19"/>
      <c r="AJ630" s="19" t="s">
        <v>234</v>
      </c>
      <c r="AK630" s="19" t="s">
        <v>234</v>
      </c>
      <c r="AL630" s="19"/>
      <c r="AM630" s="19" t="s">
        <v>234</v>
      </c>
      <c r="AN630" s="19" t="s">
        <v>234</v>
      </c>
      <c r="AO630" s="19" t="s">
        <v>235</v>
      </c>
      <c r="AP630" s="94"/>
      <c r="AQ630" s="19" t="s">
        <v>476</v>
      </c>
      <c r="AR630" s="19" t="s">
        <v>241</v>
      </c>
      <c r="AS630" s="19"/>
      <c r="AT630" s="65" t="str">
        <f t="shared" si="192"/>
        <v>N</v>
      </c>
      <c r="AU630" s="65" t="str">
        <f t="shared" si="196"/>
        <v>N</v>
      </c>
      <c r="AV630" s="65" t="str">
        <f t="shared" si="195"/>
        <v>N</v>
      </c>
      <c r="AW630" s="99"/>
      <c r="AX630" s="99"/>
      <c r="AY630" s="19"/>
      <c r="AZ630" s="96" t="str">
        <f t="shared" si="197"/>
        <v>n</v>
      </c>
      <c r="BA630" s="96" t="str">
        <f>IF(AZ630="n","n",VLOOKUP(AZ630,'Conversion factors'!$C$4:$D$24,2,FALSE))</f>
        <v>n</v>
      </c>
      <c r="BB630" s="96" t="str">
        <f t="shared" si="198"/>
        <v>n</v>
      </c>
      <c r="BC630" s="97"/>
      <c r="BD630" s="96" t="str">
        <f t="shared" si="193"/>
        <v>n</v>
      </c>
      <c r="BE630" s="96" t="str">
        <f t="shared" si="199"/>
        <v>n</v>
      </c>
      <c r="BF630" s="98" t="str">
        <f t="shared" si="194"/>
        <v/>
      </c>
      <c r="BG630" s="96" t="str">
        <f>IF(BF630="","",IF(ISNUMBER(VLOOKUP(BF630,'Conversion factors'!$B$35:$C$52,2,FALSE)),"y","n"))</f>
        <v/>
      </c>
      <c r="BH630" s="99"/>
    </row>
    <row r="631" spans="1:60" s="103" customFormat="1" ht="15.75" customHeight="1" x14ac:dyDescent="0.2">
      <c r="A631" s="18"/>
      <c r="B631" s="19">
        <v>211</v>
      </c>
      <c r="C631" s="19"/>
      <c r="D631" s="19">
        <v>60097</v>
      </c>
      <c r="E631" s="19" t="s">
        <v>1224</v>
      </c>
      <c r="F631" s="93">
        <v>1998</v>
      </c>
      <c r="G631" s="19" t="s">
        <v>472</v>
      </c>
      <c r="H631" s="19"/>
      <c r="I631" s="19" t="s">
        <v>41</v>
      </c>
      <c r="J631" s="19" t="s">
        <v>473</v>
      </c>
      <c r="K631" s="19" t="s">
        <v>250</v>
      </c>
      <c r="L631" s="19" t="s">
        <v>1202</v>
      </c>
      <c r="M631" s="19" t="s">
        <v>1203</v>
      </c>
      <c r="N631" s="19" t="s">
        <v>109</v>
      </c>
      <c r="O631" s="19" t="s">
        <v>235</v>
      </c>
      <c r="P631" s="19" t="s">
        <v>162</v>
      </c>
      <c r="Q631" s="19"/>
      <c r="R631" s="19" t="s">
        <v>81</v>
      </c>
      <c r="S631" s="19" t="s">
        <v>483</v>
      </c>
      <c r="T631" s="19" t="s">
        <v>55</v>
      </c>
      <c r="U631" s="19" t="s">
        <v>55</v>
      </c>
      <c r="V631" s="19" t="s">
        <v>253</v>
      </c>
      <c r="W631" s="19" t="s">
        <v>231</v>
      </c>
      <c r="X631" s="19" t="s">
        <v>46</v>
      </c>
      <c r="Y631" s="29"/>
      <c r="Z631" s="19"/>
      <c r="AA631" s="19"/>
      <c r="AB631" s="19" t="s">
        <v>499</v>
      </c>
      <c r="AC631" s="19" t="s">
        <v>1322</v>
      </c>
      <c r="AD631" s="19"/>
      <c r="AE631" s="19"/>
      <c r="AF631" s="19"/>
      <c r="AG631" s="19" t="s">
        <v>235</v>
      </c>
      <c r="AH631" s="19"/>
      <c r="AI631" s="19"/>
      <c r="AJ631" s="19" t="s">
        <v>234</v>
      </c>
      <c r="AK631" s="19" t="s">
        <v>234</v>
      </c>
      <c r="AL631" s="19"/>
      <c r="AM631" s="19" t="s">
        <v>234</v>
      </c>
      <c r="AN631" s="19" t="s">
        <v>234</v>
      </c>
      <c r="AO631" s="19" t="s">
        <v>235</v>
      </c>
      <c r="AP631" s="94"/>
      <c r="AQ631" s="19" t="s">
        <v>476</v>
      </c>
      <c r="AR631" s="19" t="s">
        <v>241</v>
      </c>
      <c r="AS631" s="19"/>
      <c r="AT631" s="65" t="str">
        <f t="shared" si="192"/>
        <v>N</v>
      </c>
      <c r="AU631" s="65" t="str">
        <f t="shared" si="196"/>
        <v>N</v>
      </c>
      <c r="AV631" s="65" t="str">
        <f t="shared" si="195"/>
        <v>N</v>
      </c>
      <c r="AW631" s="99"/>
      <c r="AX631" s="99"/>
      <c r="AY631" s="19"/>
      <c r="AZ631" s="96" t="str">
        <f t="shared" si="197"/>
        <v>n</v>
      </c>
      <c r="BA631" s="96" t="str">
        <f>IF(AZ631="n","n",VLOOKUP(AZ631,'Conversion factors'!$C$4:$D$24,2,FALSE))</f>
        <v>n</v>
      </c>
      <c r="BB631" s="96" t="str">
        <f t="shared" si="198"/>
        <v>n</v>
      </c>
      <c r="BC631" s="97"/>
      <c r="BD631" s="96" t="str">
        <f t="shared" si="193"/>
        <v>n</v>
      </c>
      <c r="BE631" s="96" t="str">
        <f t="shared" si="199"/>
        <v>n</v>
      </c>
      <c r="BF631" s="98" t="str">
        <f t="shared" si="194"/>
        <v/>
      </c>
      <c r="BG631" s="96" t="str">
        <f>IF(BF631="","",IF(ISNUMBER(VLOOKUP(BF631,'Conversion factors'!$B$35:$C$52,2,FALSE)),"y","n"))</f>
        <v/>
      </c>
      <c r="BH631" s="99"/>
    </row>
    <row r="632" spans="1:60" s="103" customFormat="1" ht="15.75" customHeight="1" x14ac:dyDescent="0.2">
      <c r="A632" s="18"/>
      <c r="B632" s="19">
        <v>211</v>
      </c>
      <c r="C632" s="19"/>
      <c r="D632" s="19">
        <v>60097</v>
      </c>
      <c r="E632" s="19" t="s">
        <v>1224</v>
      </c>
      <c r="F632" s="93">
        <v>1998</v>
      </c>
      <c r="G632" s="19" t="s">
        <v>472</v>
      </c>
      <c r="H632" s="19"/>
      <c r="I632" s="19" t="s">
        <v>41</v>
      </c>
      <c r="J632" s="19" t="s">
        <v>473</v>
      </c>
      <c r="K632" s="19" t="s">
        <v>250</v>
      </c>
      <c r="L632" s="19" t="s">
        <v>1202</v>
      </c>
      <c r="M632" s="19" t="s">
        <v>1203</v>
      </c>
      <c r="N632" s="19" t="s">
        <v>109</v>
      </c>
      <c r="O632" s="19" t="s">
        <v>235</v>
      </c>
      <c r="P632" s="19" t="s">
        <v>162</v>
      </c>
      <c r="Q632" s="19"/>
      <c r="R632" s="19" t="s">
        <v>81</v>
      </c>
      <c r="S632" s="19" t="s">
        <v>402</v>
      </c>
      <c r="T632" s="19" t="s">
        <v>55</v>
      </c>
      <c r="U632" s="19" t="s">
        <v>55</v>
      </c>
      <c r="V632" s="19" t="s">
        <v>253</v>
      </c>
      <c r="W632" s="19" t="s">
        <v>231</v>
      </c>
      <c r="X632" s="19" t="s">
        <v>46</v>
      </c>
      <c r="Y632" s="29"/>
      <c r="Z632" s="19"/>
      <c r="AA632" s="19"/>
      <c r="AB632" s="19" t="s">
        <v>497</v>
      </c>
      <c r="AC632" s="19" t="s">
        <v>1322</v>
      </c>
      <c r="AD632" s="19"/>
      <c r="AE632" s="19"/>
      <c r="AF632" s="19"/>
      <c r="AG632" s="19" t="s">
        <v>235</v>
      </c>
      <c r="AH632" s="19"/>
      <c r="AI632" s="19"/>
      <c r="AJ632" s="19" t="s">
        <v>234</v>
      </c>
      <c r="AK632" s="19" t="s">
        <v>234</v>
      </c>
      <c r="AL632" s="19"/>
      <c r="AM632" s="19" t="s">
        <v>234</v>
      </c>
      <c r="AN632" s="19" t="s">
        <v>234</v>
      </c>
      <c r="AO632" s="19" t="s">
        <v>235</v>
      </c>
      <c r="AP632" s="94"/>
      <c r="AQ632" s="19" t="s">
        <v>476</v>
      </c>
      <c r="AR632" s="19" t="s">
        <v>241</v>
      </c>
      <c r="AS632" s="19"/>
      <c r="AT632" s="65" t="str">
        <f t="shared" si="192"/>
        <v>N</v>
      </c>
      <c r="AU632" s="65" t="str">
        <f t="shared" si="196"/>
        <v>N</v>
      </c>
      <c r="AV632" s="65" t="str">
        <f t="shared" si="195"/>
        <v>N</v>
      </c>
      <c r="AW632" s="99"/>
      <c r="AX632" s="99"/>
      <c r="AY632" s="19"/>
      <c r="AZ632" s="96" t="str">
        <f t="shared" si="197"/>
        <v>n</v>
      </c>
      <c r="BA632" s="96" t="str">
        <f>IF(AZ632="n","n",VLOOKUP(AZ632,'Conversion factors'!$C$4:$D$24,2,FALSE))</f>
        <v>n</v>
      </c>
      <c r="BB632" s="96" t="str">
        <f t="shared" si="198"/>
        <v>n</v>
      </c>
      <c r="BC632" s="97"/>
      <c r="BD632" s="96" t="str">
        <f t="shared" si="193"/>
        <v>n</v>
      </c>
      <c r="BE632" s="96" t="str">
        <f t="shared" si="199"/>
        <v>n</v>
      </c>
      <c r="BF632" s="98" t="str">
        <f t="shared" si="194"/>
        <v/>
      </c>
      <c r="BG632" s="96" t="str">
        <f>IF(BF632="","",IF(ISNUMBER(VLOOKUP(BF632,'Conversion factors'!$B$35:$C$52,2,FALSE)),"y","n"))</f>
        <v/>
      </c>
      <c r="BH632" s="99"/>
    </row>
    <row r="633" spans="1:60" s="103" customFormat="1" ht="15.75" customHeight="1" x14ac:dyDescent="0.2">
      <c r="A633" s="18"/>
      <c r="B633" s="19">
        <v>211</v>
      </c>
      <c r="C633" s="19"/>
      <c r="D633" s="19">
        <v>60097</v>
      </c>
      <c r="E633" s="19" t="s">
        <v>1224</v>
      </c>
      <c r="F633" s="93">
        <v>1998</v>
      </c>
      <c r="G633" s="19" t="s">
        <v>472</v>
      </c>
      <c r="H633" s="19"/>
      <c r="I633" s="19" t="s">
        <v>41</v>
      </c>
      <c r="J633" s="19" t="s">
        <v>473</v>
      </c>
      <c r="K633" s="19" t="s">
        <v>250</v>
      </c>
      <c r="L633" s="19" t="s">
        <v>1202</v>
      </c>
      <c r="M633" s="19" t="s">
        <v>1203</v>
      </c>
      <c r="N633" s="19" t="s">
        <v>109</v>
      </c>
      <c r="O633" s="19" t="s">
        <v>235</v>
      </c>
      <c r="P633" s="19" t="s">
        <v>162</v>
      </c>
      <c r="Q633" s="19"/>
      <c r="R633" s="19" t="s">
        <v>81</v>
      </c>
      <c r="S633" s="19" t="s">
        <v>474</v>
      </c>
      <c r="T633" s="19" t="s">
        <v>54</v>
      </c>
      <c r="U633" s="19" t="s">
        <v>54</v>
      </c>
      <c r="V633" s="19" t="s">
        <v>253</v>
      </c>
      <c r="W633" s="19" t="s">
        <v>231</v>
      </c>
      <c r="X633" s="19" t="s">
        <v>46</v>
      </c>
      <c r="Y633" s="29"/>
      <c r="Z633" s="19"/>
      <c r="AA633" s="19"/>
      <c r="AB633" s="19" t="s">
        <v>502</v>
      </c>
      <c r="AC633" s="19" t="s">
        <v>1322</v>
      </c>
      <c r="AD633" s="19"/>
      <c r="AE633" s="19"/>
      <c r="AF633" s="19"/>
      <c r="AG633" s="19" t="s">
        <v>235</v>
      </c>
      <c r="AH633" s="19"/>
      <c r="AI633" s="19"/>
      <c r="AJ633" s="19" t="s">
        <v>234</v>
      </c>
      <c r="AK633" s="19" t="s">
        <v>234</v>
      </c>
      <c r="AL633" s="19"/>
      <c r="AM633" s="19" t="s">
        <v>234</v>
      </c>
      <c r="AN633" s="19" t="s">
        <v>234</v>
      </c>
      <c r="AO633" s="19" t="s">
        <v>235</v>
      </c>
      <c r="AP633" s="94"/>
      <c r="AQ633" s="19" t="s">
        <v>476</v>
      </c>
      <c r="AR633" s="19" t="s">
        <v>241</v>
      </c>
      <c r="AS633" s="19"/>
      <c r="AT633" s="65" t="str">
        <f t="shared" si="192"/>
        <v>N</v>
      </c>
      <c r="AU633" s="65" t="str">
        <f t="shared" si="196"/>
        <v>N</v>
      </c>
      <c r="AV633" s="65" t="str">
        <f t="shared" si="195"/>
        <v>N</v>
      </c>
      <c r="AW633" s="99"/>
      <c r="AX633" s="99"/>
      <c r="AY633" s="19"/>
      <c r="AZ633" s="96" t="str">
        <f t="shared" si="197"/>
        <v>n</v>
      </c>
      <c r="BA633" s="96" t="str">
        <f>IF(AZ633="n","n",VLOOKUP(AZ633,'Conversion factors'!$C$4:$D$24,2,FALSE))</f>
        <v>n</v>
      </c>
      <c r="BB633" s="96" t="str">
        <f t="shared" si="198"/>
        <v>n</v>
      </c>
      <c r="BC633" s="97"/>
      <c r="BD633" s="96" t="str">
        <f t="shared" si="193"/>
        <v>n</v>
      </c>
      <c r="BE633" s="96" t="str">
        <f t="shared" si="199"/>
        <v>n</v>
      </c>
      <c r="BF633" s="98" t="str">
        <f t="shared" si="194"/>
        <v/>
      </c>
      <c r="BG633" s="96" t="str">
        <f>IF(BF633="","",IF(ISNUMBER(VLOOKUP(BF633,'Conversion factors'!$B$35:$C$52,2,FALSE)),"y","n"))</f>
        <v/>
      </c>
      <c r="BH633" s="99"/>
    </row>
    <row r="634" spans="1:60" s="103" customFormat="1" ht="15.75" customHeight="1" x14ac:dyDescent="0.2">
      <c r="A634" s="18"/>
      <c r="B634" s="19">
        <v>211</v>
      </c>
      <c r="C634" s="19"/>
      <c r="D634" s="19">
        <v>60097</v>
      </c>
      <c r="E634" s="19" t="s">
        <v>1224</v>
      </c>
      <c r="F634" s="93">
        <v>1998</v>
      </c>
      <c r="G634" s="19" t="s">
        <v>472</v>
      </c>
      <c r="H634" s="19"/>
      <c r="I634" s="19" t="s">
        <v>41</v>
      </c>
      <c r="J634" s="19" t="s">
        <v>473</v>
      </c>
      <c r="K634" s="19" t="s">
        <v>250</v>
      </c>
      <c r="L634" s="19" t="s">
        <v>1202</v>
      </c>
      <c r="M634" s="19" t="s">
        <v>1203</v>
      </c>
      <c r="N634" s="19" t="s">
        <v>109</v>
      </c>
      <c r="O634" s="19" t="s">
        <v>235</v>
      </c>
      <c r="P634" s="19" t="s">
        <v>162</v>
      </c>
      <c r="Q634" s="19"/>
      <c r="R634" s="19" t="s">
        <v>81</v>
      </c>
      <c r="S634" s="19" t="s">
        <v>402</v>
      </c>
      <c r="T634" s="19" t="s">
        <v>54</v>
      </c>
      <c r="U634" s="19" t="s">
        <v>54</v>
      </c>
      <c r="V634" s="19" t="s">
        <v>253</v>
      </c>
      <c r="W634" s="19" t="s">
        <v>231</v>
      </c>
      <c r="X634" s="19" t="s">
        <v>46</v>
      </c>
      <c r="Y634" s="29"/>
      <c r="Z634" s="19"/>
      <c r="AA634" s="19"/>
      <c r="AB634" s="19" t="s">
        <v>497</v>
      </c>
      <c r="AC634" s="19" t="s">
        <v>1322</v>
      </c>
      <c r="AD634" s="19"/>
      <c r="AE634" s="19"/>
      <c r="AF634" s="19"/>
      <c r="AG634" s="19" t="s">
        <v>235</v>
      </c>
      <c r="AH634" s="19"/>
      <c r="AI634" s="19"/>
      <c r="AJ634" s="19" t="s">
        <v>234</v>
      </c>
      <c r="AK634" s="19" t="s">
        <v>234</v>
      </c>
      <c r="AL634" s="19"/>
      <c r="AM634" s="19" t="s">
        <v>234</v>
      </c>
      <c r="AN634" s="19" t="s">
        <v>234</v>
      </c>
      <c r="AO634" s="19" t="s">
        <v>235</v>
      </c>
      <c r="AP634" s="94"/>
      <c r="AQ634" s="19" t="s">
        <v>476</v>
      </c>
      <c r="AR634" s="19" t="s">
        <v>241</v>
      </c>
      <c r="AS634" s="19"/>
      <c r="AT634" s="65" t="str">
        <f t="shared" si="192"/>
        <v>N</v>
      </c>
      <c r="AU634" s="65" t="str">
        <f t="shared" si="196"/>
        <v>N</v>
      </c>
      <c r="AV634" s="65" t="str">
        <f t="shared" si="195"/>
        <v>N</v>
      </c>
      <c r="AW634" s="99"/>
      <c r="AX634" s="99"/>
      <c r="AY634" s="19"/>
      <c r="AZ634" s="96" t="str">
        <f t="shared" si="197"/>
        <v>n</v>
      </c>
      <c r="BA634" s="96" t="str">
        <f>IF(AZ634="n","n",VLOOKUP(AZ634,'Conversion factors'!$C$4:$D$24,2,FALSE))</f>
        <v>n</v>
      </c>
      <c r="BB634" s="96" t="str">
        <f t="shared" si="198"/>
        <v>n</v>
      </c>
      <c r="BC634" s="97"/>
      <c r="BD634" s="96" t="str">
        <f t="shared" si="193"/>
        <v>n</v>
      </c>
      <c r="BE634" s="96" t="str">
        <f t="shared" si="199"/>
        <v>n</v>
      </c>
      <c r="BF634" s="98" t="str">
        <f t="shared" si="194"/>
        <v/>
      </c>
      <c r="BG634" s="96" t="str">
        <f>IF(BF634="","",IF(ISNUMBER(VLOOKUP(BF634,'Conversion factors'!$B$35:$C$52,2,FALSE)),"y","n"))</f>
        <v/>
      </c>
      <c r="BH634" s="99"/>
    </row>
    <row r="635" spans="1:60" s="103" customFormat="1" ht="15.75" customHeight="1" x14ac:dyDescent="0.2">
      <c r="A635" s="18"/>
      <c r="B635" s="19">
        <v>211</v>
      </c>
      <c r="C635" s="19"/>
      <c r="D635" s="19">
        <v>60097</v>
      </c>
      <c r="E635" s="19" t="s">
        <v>1224</v>
      </c>
      <c r="F635" s="93">
        <v>1998</v>
      </c>
      <c r="G635" s="19" t="s">
        <v>472</v>
      </c>
      <c r="H635" s="19"/>
      <c r="I635" s="19" t="s">
        <v>41</v>
      </c>
      <c r="J635" s="19" t="s">
        <v>473</v>
      </c>
      <c r="K635" s="19" t="s">
        <v>250</v>
      </c>
      <c r="L635" s="19" t="s">
        <v>1202</v>
      </c>
      <c r="M635" s="19" t="s">
        <v>1203</v>
      </c>
      <c r="N635" s="19" t="s">
        <v>109</v>
      </c>
      <c r="O635" s="19" t="s">
        <v>235</v>
      </c>
      <c r="P635" s="19" t="s">
        <v>162</v>
      </c>
      <c r="Q635" s="19"/>
      <c r="R635" s="19" t="s">
        <v>81</v>
      </c>
      <c r="S635" s="19" t="s">
        <v>481</v>
      </c>
      <c r="T635" s="19" t="s">
        <v>54</v>
      </c>
      <c r="U635" s="19" t="s">
        <v>54</v>
      </c>
      <c r="V635" s="19" t="s">
        <v>253</v>
      </c>
      <c r="W635" s="19" t="s">
        <v>231</v>
      </c>
      <c r="X635" s="19" t="s">
        <v>46</v>
      </c>
      <c r="Y635" s="29"/>
      <c r="Z635" s="19"/>
      <c r="AA635" s="19"/>
      <c r="AB635" s="19" t="s">
        <v>501</v>
      </c>
      <c r="AC635" s="19" t="s">
        <v>1322</v>
      </c>
      <c r="AD635" s="19"/>
      <c r="AE635" s="19"/>
      <c r="AF635" s="19"/>
      <c r="AG635" s="19" t="s">
        <v>235</v>
      </c>
      <c r="AH635" s="19"/>
      <c r="AI635" s="19"/>
      <c r="AJ635" s="19" t="s">
        <v>234</v>
      </c>
      <c r="AK635" s="19" t="s">
        <v>234</v>
      </c>
      <c r="AL635" s="19"/>
      <c r="AM635" s="19" t="s">
        <v>234</v>
      </c>
      <c r="AN635" s="19" t="s">
        <v>234</v>
      </c>
      <c r="AO635" s="19" t="s">
        <v>235</v>
      </c>
      <c r="AP635" s="94"/>
      <c r="AQ635" s="19" t="s">
        <v>476</v>
      </c>
      <c r="AR635" s="19" t="s">
        <v>241</v>
      </c>
      <c r="AS635" s="19"/>
      <c r="AT635" s="65" t="str">
        <f t="shared" si="192"/>
        <v>N</v>
      </c>
      <c r="AU635" s="65" t="str">
        <f t="shared" si="196"/>
        <v>N</v>
      </c>
      <c r="AV635" s="65" t="str">
        <f t="shared" si="195"/>
        <v>N</v>
      </c>
      <c r="AW635" s="99"/>
      <c r="AX635" s="99"/>
      <c r="AY635" s="19"/>
      <c r="AZ635" s="96" t="str">
        <f t="shared" si="197"/>
        <v>n</v>
      </c>
      <c r="BA635" s="96" t="str">
        <f>IF(AZ635="n","n",VLOOKUP(AZ635,'Conversion factors'!$C$4:$D$24,2,FALSE))</f>
        <v>n</v>
      </c>
      <c r="BB635" s="96" t="str">
        <f t="shared" si="198"/>
        <v>n</v>
      </c>
      <c r="BC635" s="97"/>
      <c r="BD635" s="96" t="str">
        <f t="shared" si="193"/>
        <v>n</v>
      </c>
      <c r="BE635" s="96" t="str">
        <f t="shared" si="199"/>
        <v>n</v>
      </c>
      <c r="BF635" s="98" t="str">
        <f t="shared" si="194"/>
        <v/>
      </c>
      <c r="BG635" s="96" t="str">
        <f>IF(BF635="","",IF(ISNUMBER(VLOOKUP(BF635,'Conversion factors'!$B$35:$C$52,2,FALSE)),"y","n"))</f>
        <v/>
      </c>
      <c r="BH635" s="99"/>
    </row>
    <row r="636" spans="1:60" s="103" customFormat="1" ht="15.75" customHeight="1" x14ac:dyDescent="0.2">
      <c r="A636" s="18"/>
      <c r="B636" s="19">
        <v>211</v>
      </c>
      <c r="C636" s="19"/>
      <c r="D636" s="19">
        <v>60097</v>
      </c>
      <c r="E636" s="19" t="s">
        <v>1224</v>
      </c>
      <c r="F636" s="93">
        <v>1998</v>
      </c>
      <c r="G636" s="19" t="s">
        <v>472</v>
      </c>
      <c r="H636" s="19"/>
      <c r="I636" s="19" t="s">
        <v>41</v>
      </c>
      <c r="J636" s="19" t="s">
        <v>473</v>
      </c>
      <c r="K636" s="19" t="s">
        <v>250</v>
      </c>
      <c r="L636" s="19" t="s">
        <v>1202</v>
      </c>
      <c r="M636" s="19" t="s">
        <v>1203</v>
      </c>
      <c r="N636" s="19" t="s">
        <v>109</v>
      </c>
      <c r="O636" s="19" t="s">
        <v>235</v>
      </c>
      <c r="P636" s="19" t="s">
        <v>162</v>
      </c>
      <c r="Q636" s="19"/>
      <c r="R636" s="19" t="s">
        <v>81</v>
      </c>
      <c r="S636" s="19" t="s">
        <v>483</v>
      </c>
      <c r="T636" s="19" t="s">
        <v>54</v>
      </c>
      <c r="U636" s="19" t="s">
        <v>54</v>
      </c>
      <c r="V636" s="19" t="s">
        <v>253</v>
      </c>
      <c r="W636" s="19" t="s">
        <v>231</v>
      </c>
      <c r="X636" s="19" t="s">
        <v>46</v>
      </c>
      <c r="Y636" s="29"/>
      <c r="Z636" s="19"/>
      <c r="AA636" s="19"/>
      <c r="AB636" s="19" t="s">
        <v>501</v>
      </c>
      <c r="AC636" s="19" t="s">
        <v>1322</v>
      </c>
      <c r="AD636" s="19"/>
      <c r="AE636" s="19"/>
      <c r="AF636" s="19"/>
      <c r="AG636" s="19" t="s">
        <v>235</v>
      </c>
      <c r="AH636" s="19"/>
      <c r="AI636" s="19"/>
      <c r="AJ636" s="19" t="s">
        <v>234</v>
      </c>
      <c r="AK636" s="19" t="s">
        <v>234</v>
      </c>
      <c r="AL636" s="19"/>
      <c r="AM636" s="19" t="s">
        <v>234</v>
      </c>
      <c r="AN636" s="19" t="s">
        <v>234</v>
      </c>
      <c r="AO636" s="19" t="s">
        <v>235</v>
      </c>
      <c r="AP636" s="94"/>
      <c r="AQ636" s="19" t="s">
        <v>476</v>
      </c>
      <c r="AR636" s="19" t="s">
        <v>241</v>
      </c>
      <c r="AS636" s="19"/>
      <c r="AT636" s="65" t="str">
        <f t="shared" si="192"/>
        <v>N</v>
      </c>
      <c r="AU636" s="65" t="str">
        <f t="shared" si="196"/>
        <v>N</v>
      </c>
      <c r="AV636" s="65" t="str">
        <f t="shared" si="195"/>
        <v>N</v>
      </c>
      <c r="AW636" s="99"/>
      <c r="AX636" s="99"/>
      <c r="AY636" s="19"/>
      <c r="AZ636" s="96" t="str">
        <f t="shared" si="197"/>
        <v>n</v>
      </c>
      <c r="BA636" s="96" t="str">
        <f>IF(AZ636="n","n",VLOOKUP(AZ636,'Conversion factors'!$C$4:$D$24,2,FALSE))</f>
        <v>n</v>
      </c>
      <c r="BB636" s="96" t="str">
        <f t="shared" si="198"/>
        <v>n</v>
      </c>
      <c r="BC636" s="97"/>
      <c r="BD636" s="96" t="str">
        <f t="shared" si="193"/>
        <v>n</v>
      </c>
      <c r="BE636" s="96" t="str">
        <f t="shared" si="199"/>
        <v>n</v>
      </c>
      <c r="BF636" s="98" t="str">
        <f t="shared" si="194"/>
        <v/>
      </c>
      <c r="BG636" s="96" t="str">
        <f>IF(BF636="","",IF(ISNUMBER(VLOOKUP(BF636,'Conversion factors'!$B$35:$C$52,2,FALSE)),"y","n"))</f>
        <v/>
      </c>
      <c r="BH636" s="99"/>
    </row>
    <row r="637" spans="1:60" s="103" customFormat="1" ht="15.75" customHeight="1" x14ac:dyDescent="0.2">
      <c r="A637" s="18"/>
      <c r="B637" s="19">
        <v>211</v>
      </c>
      <c r="C637" s="19"/>
      <c r="D637" s="19">
        <v>60097</v>
      </c>
      <c r="E637" s="19" t="s">
        <v>1224</v>
      </c>
      <c r="F637" s="93">
        <v>1998</v>
      </c>
      <c r="G637" s="19" t="s">
        <v>472</v>
      </c>
      <c r="H637" s="19"/>
      <c r="I637" s="19" t="s">
        <v>41</v>
      </c>
      <c r="J637" s="19" t="s">
        <v>473</v>
      </c>
      <c r="K637" s="19" t="s">
        <v>250</v>
      </c>
      <c r="L637" s="19" t="s">
        <v>1202</v>
      </c>
      <c r="M637" s="19" t="s">
        <v>1203</v>
      </c>
      <c r="N637" s="19" t="s">
        <v>109</v>
      </c>
      <c r="O637" s="19" t="s">
        <v>235</v>
      </c>
      <c r="P637" s="19" t="s">
        <v>162</v>
      </c>
      <c r="Q637" s="19"/>
      <c r="R637" s="19" t="s">
        <v>81</v>
      </c>
      <c r="S637" s="19" t="s">
        <v>474</v>
      </c>
      <c r="T637" s="19" t="s">
        <v>54</v>
      </c>
      <c r="U637" s="19" t="s">
        <v>54</v>
      </c>
      <c r="V637" s="19" t="s">
        <v>253</v>
      </c>
      <c r="W637" s="19" t="s">
        <v>231</v>
      </c>
      <c r="X637" s="19" t="s">
        <v>46</v>
      </c>
      <c r="Y637" s="29"/>
      <c r="Z637" s="19"/>
      <c r="AA637" s="19"/>
      <c r="AB637" s="19" t="s">
        <v>497</v>
      </c>
      <c r="AC637" s="19" t="s">
        <v>1322</v>
      </c>
      <c r="AD637" s="19"/>
      <c r="AE637" s="19"/>
      <c r="AF637" s="19"/>
      <c r="AG637" s="19" t="s">
        <v>235</v>
      </c>
      <c r="AH637" s="19"/>
      <c r="AI637" s="19"/>
      <c r="AJ637" s="19" t="s">
        <v>234</v>
      </c>
      <c r="AK637" s="19" t="s">
        <v>234</v>
      </c>
      <c r="AL637" s="19"/>
      <c r="AM637" s="19" t="s">
        <v>234</v>
      </c>
      <c r="AN637" s="19" t="s">
        <v>234</v>
      </c>
      <c r="AO637" s="19" t="s">
        <v>235</v>
      </c>
      <c r="AP637" s="94"/>
      <c r="AQ637" s="19" t="s">
        <v>476</v>
      </c>
      <c r="AR637" s="19" t="s">
        <v>241</v>
      </c>
      <c r="AS637" s="19"/>
      <c r="AT637" s="65" t="str">
        <f t="shared" si="192"/>
        <v>N</v>
      </c>
      <c r="AU637" s="65" t="str">
        <f t="shared" si="196"/>
        <v>N</v>
      </c>
      <c r="AV637" s="65" t="str">
        <f t="shared" si="195"/>
        <v>N</v>
      </c>
      <c r="AW637" s="99"/>
      <c r="AX637" s="99"/>
      <c r="AY637" s="19"/>
      <c r="AZ637" s="96" t="str">
        <f t="shared" si="197"/>
        <v>n</v>
      </c>
      <c r="BA637" s="96" t="str">
        <f>IF(AZ637="n","n",VLOOKUP(AZ637,'Conversion factors'!$C$4:$D$24,2,FALSE))</f>
        <v>n</v>
      </c>
      <c r="BB637" s="96" t="str">
        <f t="shared" si="198"/>
        <v>n</v>
      </c>
      <c r="BC637" s="97"/>
      <c r="BD637" s="96" t="str">
        <f t="shared" si="193"/>
        <v>n</v>
      </c>
      <c r="BE637" s="96" t="str">
        <f t="shared" si="199"/>
        <v>n</v>
      </c>
      <c r="BF637" s="98" t="str">
        <f t="shared" si="194"/>
        <v/>
      </c>
      <c r="BG637" s="96" t="str">
        <f>IF(BF637="","",IF(ISNUMBER(VLOOKUP(BF637,'Conversion factors'!$B$35:$C$52,2,FALSE)),"y","n"))</f>
        <v/>
      </c>
      <c r="BH637" s="99"/>
    </row>
    <row r="638" spans="1:60" s="103" customFormat="1" ht="15.75" customHeight="1" x14ac:dyDescent="0.2">
      <c r="A638" s="18"/>
      <c r="B638" s="19">
        <v>211</v>
      </c>
      <c r="C638" s="19"/>
      <c r="D638" s="19">
        <v>60097</v>
      </c>
      <c r="E638" s="19" t="s">
        <v>1224</v>
      </c>
      <c r="F638" s="93">
        <v>1998</v>
      </c>
      <c r="G638" s="19" t="s">
        <v>472</v>
      </c>
      <c r="H638" s="19"/>
      <c r="I638" s="19" t="s">
        <v>41</v>
      </c>
      <c r="J638" s="19" t="s">
        <v>473</v>
      </c>
      <c r="K638" s="19" t="s">
        <v>250</v>
      </c>
      <c r="L638" s="19" t="s">
        <v>1202</v>
      </c>
      <c r="M638" s="19" t="s">
        <v>1203</v>
      </c>
      <c r="N638" s="19" t="s">
        <v>109</v>
      </c>
      <c r="O638" s="19" t="s">
        <v>235</v>
      </c>
      <c r="P638" s="19" t="s">
        <v>162</v>
      </c>
      <c r="Q638" s="19"/>
      <c r="R638" s="19" t="s">
        <v>81</v>
      </c>
      <c r="S638" s="19" t="s">
        <v>478</v>
      </c>
      <c r="T638" s="19" t="s">
        <v>54</v>
      </c>
      <c r="U638" s="19" t="s">
        <v>54</v>
      </c>
      <c r="V638" s="19" t="s">
        <v>253</v>
      </c>
      <c r="W638" s="19" t="s">
        <v>231</v>
      </c>
      <c r="X638" s="19" t="s">
        <v>46</v>
      </c>
      <c r="Y638" s="29"/>
      <c r="Z638" s="19"/>
      <c r="AA638" s="19"/>
      <c r="AB638" s="19" t="s">
        <v>502</v>
      </c>
      <c r="AC638" s="19" t="s">
        <v>1322</v>
      </c>
      <c r="AD638" s="19"/>
      <c r="AE638" s="19"/>
      <c r="AF638" s="19"/>
      <c r="AG638" s="19" t="s">
        <v>235</v>
      </c>
      <c r="AH638" s="19"/>
      <c r="AI638" s="19"/>
      <c r="AJ638" s="19" t="s">
        <v>234</v>
      </c>
      <c r="AK638" s="19" t="s">
        <v>234</v>
      </c>
      <c r="AL638" s="19"/>
      <c r="AM638" s="19" t="s">
        <v>234</v>
      </c>
      <c r="AN638" s="19" t="s">
        <v>234</v>
      </c>
      <c r="AO638" s="19" t="s">
        <v>235</v>
      </c>
      <c r="AP638" s="94"/>
      <c r="AQ638" s="19" t="s">
        <v>476</v>
      </c>
      <c r="AR638" s="19" t="s">
        <v>241</v>
      </c>
      <c r="AS638" s="19"/>
      <c r="AT638" s="65" t="str">
        <f t="shared" si="192"/>
        <v>N</v>
      </c>
      <c r="AU638" s="65" t="str">
        <f t="shared" si="196"/>
        <v>N</v>
      </c>
      <c r="AV638" s="65" t="str">
        <f t="shared" si="195"/>
        <v>N</v>
      </c>
      <c r="AW638" s="99"/>
      <c r="AX638" s="99"/>
      <c r="AY638" s="19"/>
      <c r="AZ638" s="96" t="str">
        <f t="shared" si="197"/>
        <v>n</v>
      </c>
      <c r="BA638" s="96" t="str">
        <f>IF(AZ638="n","n",VLOOKUP(AZ638,'Conversion factors'!$C$4:$D$24,2,FALSE))</f>
        <v>n</v>
      </c>
      <c r="BB638" s="96" t="str">
        <f t="shared" si="198"/>
        <v>n</v>
      </c>
      <c r="BC638" s="97"/>
      <c r="BD638" s="96" t="str">
        <f t="shared" si="193"/>
        <v>n</v>
      </c>
      <c r="BE638" s="96" t="str">
        <f t="shared" si="199"/>
        <v>n</v>
      </c>
      <c r="BF638" s="98" t="str">
        <f t="shared" si="194"/>
        <v/>
      </c>
      <c r="BG638" s="96" t="str">
        <f>IF(BF638="","",IF(ISNUMBER(VLOOKUP(BF638,'Conversion factors'!$B$35:$C$52,2,FALSE)),"y","n"))</f>
        <v/>
      </c>
      <c r="BH638" s="99"/>
    </row>
    <row r="639" spans="1:60" s="103" customFormat="1" ht="15.75" customHeight="1" x14ac:dyDescent="0.2">
      <c r="A639" s="18"/>
      <c r="B639" s="19">
        <v>211</v>
      </c>
      <c r="C639" s="19"/>
      <c r="D639" s="19">
        <v>60097</v>
      </c>
      <c r="E639" s="19" t="s">
        <v>1224</v>
      </c>
      <c r="F639" s="93">
        <v>1998</v>
      </c>
      <c r="G639" s="19" t="s">
        <v>472</v>
      </c>
      <c r="H639" s="19"/>
      <c r="I639" s="19" t="s">
        <v>41</v>
      </c>
      <c r="J639" s="19" t="s">
        <v>473</v>
      </c>
      <c r="K639" s="19" t="s">
        <v>250</v>
      </c>
      <c r="L639" s="19" t="s">
        <v>1202</v>
      </c>
      <c r="M639" s="19" t="s">
        <v>1203</v>
      </c>
      <c r="N639" s="19" t="s">
        <v>109</v>
      </c>
      <c r="O639" s="19" t="s">
        <v>235</v>
      </c>
      <c r="P639" s="19" t="s">
        <v>162</v>
      </c>
      <c r="Q639" s="19"/>
      <c r="R639" s="19" t="s">
        <v>81</v>
      </c>
      <c r="S639" s="19" t="s">
        <v>478</v>
      </c>
      <c r="T639" s="19" t="s">
        <v>54</v>
      </c>
      <c r="U639" s="19" t="s">
        <v>54</v>
      </c>
      <c r="V639" s="19" t="s">
        <v>253</v>
      </c>
      <c r="W639" s="19" t="s">
        <v>231</v>
      </c>
      <c r="X639" s="19" t="s">
        <v>46</v>
      </c>
      <c r="Y639" s="29"/>
      <c r="Z639" s="19"/>
      <c r="AA639" s="19"/>
      <c r="AB639" s="19" t="s">
        <v>503</v>
      </c>
      <c r="AC639" s="19" t="s">
        <v>1322</v>
      </c>
      <c r="AD639" s="19"/>
      <c r="AE639" s="19"/>
      <c r="AF639" s="19"/>
      <c r="AG639" s="19" t="s">
        <v>235</v>
      </c>
      <c r="AH639" s="19"/>
      <c r="AI639" s="19"/>
      <c r="AJ639" s="19" t="s">
        <v>234</v>
      </c>
      <c r="AK639" s="19" t="s">
        <v>234</v>
      </c>
      <c r="AL639" s="19"/>
      <c r="AM639" s="19" t="s">
        <v>234</v>
      </c>
      <c r="AN639" s="19" t="s">
        <v>234</v>
      </c>
      <c r="AO639" s="19" t="s">
        <v>235</v>
      </c>
      <c r="AP639" s="94"/>
      <c r="AQ639" s="19" t="s">
        <v>476</v>
      </c>
      <c r="AR639" s="19" t="s">
        <v>241</v>
      </c>
      <c r="AS639" s="19"/>
      <c r="AT639" s="65" t="str">
        <f t="shared" si="192"/>
        <v>N</v>
      </c>
      <c r="AU639" s="65" t="str">
        <f t="shared" si="196"/>
        <v>N</v>
      </c>
      <c r="AV639" s="65" t="str">
        <f t="shared" si="195"/>
        <v>N</v>
      </c>
      <c r="AW639" s="99"/>
      <c r="AX639" s="99"/>
      <c r="AY639" s="19"/>
      <c r="AZ639" s="96" t="str">
        <f t="shared" si="197"/>
        <v>n</v>
      </c>
      <c r="BA639" s="96" t="str">
        <f>IF(AZ639="n","n",VLOOKUP(AZ639,'Conversion factors'!$C$4:$D$24,2,FALSE))</f>
        <v>n</v>
      </c>
      <c r="BB639" s="96" t="str">
        <f t="shared" si="198"/>
        <v>n</v>
      </c>
      <c r="BC639" s="97"/>
      <c r="BD639" s="96" t="str">
        <f t="shared" si="193"/>
        <v>n</v>
      </c>
      <c r="BE639" s="96" t="str">
        <f t="shared" si="199"/>
        <v>n</v>
      </c>
      <c r="BF639" s="98" t="str">
        <f t="shared" si="194"/>
        <v/>
      </c>
      <c r="BG639" s="96" t="str">
        <f>IF(BF639="","",IF(ISNUMBER(VLOOKUP(BF639,'Conversion factors'!$B$35:$C$52,2,FALSE)),"y","n"))</f>
        <v/>
      </c>
      <c r="BH639" s="99"/>
    </row>
    <row r="640" spans="1:60" s="103" customFormat="1" ht="15.75" customHeight="1" x14ac:dyDescent="0.2">
      <c r="A640" s="18"/>
      <c r="B640" s="19">
        <v>211</v>
      </c>
      <c r="C640" s="19"/>
      <c r="D640" s="19">
        <v>60097</v>
      </c>
      <c r="E640" s="19" t="s">
        <v>1224</v>
      </c>
      <c r="F640" s="93">
        <v>1998</v>
      </c>
      <c r="G640" s="19" t="s">
        <v>472</v>
      </c>
      <c r="H640" s="19"/>
      <c r="I640" s="19" t="s">
        <v>41</v>
      </c>
      <c r="J640" s="19" t="s">
        <v>473</v>
      </c>
      <c r="K640" s="19" t="s">
        <v>250</v>
      </c>
      <c r="L640" s="19" t="s">
        <v>1202</v>
      </c>
      <c r="M640" s="19" t="s">
        <v>1203</v>
      </c>
      <c r="N640" s="19" t="s">
        <v>109</v>
      </c>
      <c r="O640" s="19" t="s">
        <v>235</v>
      </c>
      <c r="P640" s="19" t="s">
        <v>162</v>
      </c>
      <c r="Q640" s="19"/>
      <c r="R640" s="19" t="s">
        <v>81</v>
      </c>
      <c r="S640" s="19" t="s">
        <v>483</v>
      </c>
      <c r="T640" s="19" t="s">
        <v>54</v>
      </c>
      <c r="U640" s="19" t="s">
        <v>54</v>
      </c>
      <c r="V640" s="19" t="s">
        <v>253</v>
      </c>
      <c r="W640" s="19" t="s">
        <v>231</v>
      </c>
      <c r="X640" s="19" t="s">
        <v>46</v>
      </c>
      <c r="Y640" s="29"/>
      <c r="Z640" s="19"/>
      <c r="AA640" s="19"/>
      <c r="AB640" s="19" t="s">
        <v>504</v>
      </c>
      <c r="AC640" s="19" t="s">
        <v>1322</v>
      </c>
      <c r="AD640" s="19"/>
      <c r="AE640" s="19"/>
      <c r="AF640" s="19"/>
      <c r="AG640" s="19" t="s">
        <v>235</v>
      </c>
      <c r="AH640" s="19"/>
      <c r="AI640" s="19"/>
      <c r="AJ640" s="19" t="s">
        <v>234</v>
      </c>
      <c r="AK640" s="19" t="s">
        <v>234</v>
      </c>
      <c r="AL640" s="19"/>
      <c r="AM640" s="19" t="s">
        <v>234</v>
      </c>
      <c r="AN640" s="19" t="s">
        <v>234</v>
      </c>
      <c r="AO640" s="19" t="s">
        <v>235</v>
      </c>
      <c r="AP640" s="94"/>
      <c r="AQ640" s="19" t="s">
        <v>476</v>
      </c>
      <c r="AR640" s="19" t="s">
        <v>241</v>
      </c>
      <c r="AS640" s="19"/>
      <c r="AT640" s="65" t="str">
        <f t="shared" si="192"/>
        <v>N</v>
      </c>
      <c r="AU640" s="65" t="str">
        <f t="shared" si="196"/>
        <v>N</v>
      </c>
      <c r="AV640" s="65" t="str">
        <f t="shared" si="195"/>
        <v>N</v>
      </c>
      <c r="AW640" s="99"/>
      <c r="AX640" s="99"/>
      <c r="AY640" s="19"/>
      <c r="AZ640" s="96" t="str">
        <f t="shared" si="197"/>
        <v>n</v>
      </c>
      <c r="BA640" s="96" t="str">
        <f>IF(AZ640="n","n",VLOOKUP(AZ640,'Conversion factors'!$C$4:$D$24,2,FALSE))</f>
        <v>n</v>
      </c>
      <c r="BB640" s="96" t="str">
        <f t="shared" si="198"/>
        <v>n</v>
      </c>
      <c r="BC640" s="97"/>
      <c r="BD640" s="96" t="str">
        <f t="shared" si="193"/>
        <v>n</v>
      </c>
      <c r="BE640" s="96" t="str">
        <f t="shared" si="199"/>
        <v>n</v>
      </c>
      <c r="BF640" s="98" t="str">
        <f t="shared" si="194"/>
        <v/>
      </c>
      <c r="BG640" s="96" t="str">
        <f>IF(BF640="","",IF(ISNUMBER(VLOOKUP(BF640,'Conversion factors'!$B$35:$C$52,2,FALSE)),"y","n"))</f>
        <v/>
      </c>
      <c r="BH640" s="99"/>
    </row>
    <row r="641" spans="1:60" s="103" customFormat="1" ht="15.75" customHeight="1" x14ac:dyDescent="0.2">
      <c r="A641" s="18"/>
      <c r="B641" s="19">
        <v>211</v>
      </c>
      <c r="C641" s="19"/>
      <c r="D641" s="19">
        <v>60097</v>
      </c>
      <c r="E641" s="19" t="s">
        <v>1224</v>
      </c>
      <c r="F641" s="93">
        <v>1998</v>
      </c>
      <c r="G641" s="19" t="s">
        <v>472</v>
      </c>
      <c r="H641" s="19"/>
      <c r="I641" s="19" t="s">
        <v>41</v>
      </c>
      <c r="J641" s="19" t="s">
        <v>473</v>
      </c>
      <c r="K641" s="19" t="s">
        <v>250</v>
      </c>
      <c r="L641" s="19" t="s">
        <v>1202</v>
      </c>
      <c r="M641" s="19" t="s">
        <v>1203</v>
      </c>
      <c r="N641" s="19" t="s">
        <v>109</v>
      </c>
      <c r="O641" s="19" t="s">
        <v>235</v>
      </c>
      <c r="P641" s="19" t="s">
        <v>162</v>
      </c>
      <c r="Q641" s="19"/>
      <c r="R641" s="19" t="s">
        <v>81</v>
      </c>
      <c r="S641" s="19" t="s">
        <v>478</v>
      </c>
      <c r="T641" s="19" t="s">
        <v>54</v>
      </c>
      <c r="U641" s="19" t="s">
        <v>54</v>
      </c>
      <c r="V641" s="19" t="s">
        <v>253</v>
      </c>
      <c r="W641" s="19" t="s">
        <v>231</v>
      </c>
      <c r="X641" s="19" t="s">
        <v>46</v>
      </c>
      <c r="Y641" s="29"/>
      <c r="Z641" s="19"/>
      <c r="AA641" s="19"/>
      <c r="AB641" s="19" t="s">
        <v>499</v>
      </c>
      <c r="AC641" s="19" t="s">
        <v>1322</v>
      </c>
      <c r="AD641" s="19"/>
      <c r="AE641" s="19"/>
      <c r="AF641" s="19"/>
      <c r="AG641" s="19" t="s">
        <v>235</v>
      </c>
      <c r="AH641" s="19"/>
      <c r="AI641" s="19"/>
      <c r="AJ641" s="19" t="s">
        <v>234</v>
      </c>
      <c r="AK641" s="19" t="s">
        <v>234</v>
      </c>
      <c r="AL641" s="19"/>
      <c r="AM641" s="19" t="s">
        <v>234</v>
      </c>
      <c r="AN641" s="19" t="s">
        <v>234</v>
      </c>
      <c r="AO641" s="19" t="s">
        <v>235</v>
      </c>
      <c r="AP641" s="94"/>
      <c r="AQ641" s="19" t="s">
        <v>476</v>
      </c>
      <c r="AR641" s="19" t="s">
        <v>241</v>
      </c>
      <c r="AS641" s="19"/>
      <c r="AT641" s="65" t="str">
        <f t="shared" si="192"/>
        <v>N</v>
      </c>
      <c r="AU641" s="65" t="str">
        <f t="shared" si="196"/>
        <v>N</v>
      </c>
      <c r="AV641" s="65" t="str">
        <f t="shared" si="195"/>
        <v>N</v>
      </c>
      <c r="AW641" s="99"/>
      <c r="AX641" s="99"/>
      <c r="AY641" s="19"/>
      <c r="AZ641" s="96" t="str">
        <f t="shared" si="197"/>
        <v>n</v>
      </c>
      <c r="BA641" s="96" t="str">
        <f>IF(AZ641="n","n",VLOOKUP(AZ641,'Conversion factors'!$C$4:$D$24,2,FALSE))</f>
        <v>n</v>
      </c>
      <c r="BB641" s="96" t="str">
        <f t="shared" si="198"/>
        <v>n</v>
      </c>
      <c r="BC641" s="97"/>
      <c r="BD641" s="96" t="str">
        <f t="shared" si="193"/>
        <v>n</v>
      </c>
      <c r="BE641" s="96" t="str">
        <f t="shared" si="199"/>
        <v>n</v>
      </c>
      <c r="BF641" s="98" t="str">
        <f t="shared" si="194"/>
        <v/>
      </c>
      <c r="BG641" s="96" t="str">
        <f>IF(BF641="","",IF(ISNUMBER(VLOOKUP(BF641,'Conversion factors'!$B$35:$C$52,2,FALSE)),"y","n"))</f>
        <v/>
      </c>
      <c r="BH641" s="99"/>
    </row>
    <row r="642" spans="1:60" s="103" customFormat="1" ht="15.75" customHeight="1" x14ac:dyDescent="0.2">
      <c r="A642" s="18"/>
      <c r="B642" s="19">
        <v>211</v>
      </c>
      <c r="C642" s="19"/>
      <c r="D642" s="19">
        <v>60097</v>
      </c>
      <c r="E642" s="19" t="s">
        <v>1224</v>
      </c>
      <c r="F642" s="93">
        <v>1998</v>
      </c>
      <c r="G642" s="19" t="s">
        <v>472</v>
      </c>
      <c r="H642" s="19"/>
      <c r="I642" s="19" t="s">
        <v>41</v>
      </c>
      <c r="J642" s="19" t="s">
        <v>473</v>
      </c>
      <c r="K642" s="19" t="s">
        <v>250</v>
      </c>
      <c r="L642" s="19" t="s">
        <v>1202</v>
      </c>
      <c r="M642" s="19" t="s">
        <v>1203</v>
      </c>
      <c r="N642" s="19" t="s">
        <v>109</v>
      </c>
      <c r="O642" s="19" t="s">
        <v>235</v>
      </c>
      <c r="P642" s="19" t="s">
        <v>162</v>
      </c>
      <c r="Q642" s="19"/>
      <c r="R642" s="19" t="s">
        <v>81</v>
      </c>
      <c r="S642" s="19" t="s">
        <v>483</v>
      </c>
      <c r="T642" s="19" t="s">
        <v>54</v>
      </c>
      <c r="U642" s="19" t="s">
        <v>54</v>
      </c>
      <c r="V642" s="19" t="s">
        <v>253</v>
      </c>
      <c r="W642" s="19" t="s">
        <v>231</v>
      </c>
      <c r="X642" s="19" t="s">
        <v>46</v>
      </c>
      <c r="Y642" s="29"/>
      <c r="Z642" s="19"/>
      <c r="AA642" s="19"/>
      <c r="AB642" s="19" t="s">
        <v>497</v>
      </c>
      <c r="AC642" s="19" t="s">
        <v>1322</v>
      </c>
      <c r="AD642" s="19"/>
      <c r="AE642" s="19"/>
      <c r="AF642" s="19"/>
      <c r="AG642" s="19" t="s">
        <v>235</v>
      </c>
      <c r="AH642" s="19"/>
      <c r="AI642" s="19"/>
      <c r="AJ642" s="19" t="s">
        <v>234</v>
      </c>
      <c r="AK642" s="19" t="s">
        <v>234</v>
      </c>
      <c r="AL642" s="19"/>
      <c r="AM642" s="19" t="s">
        <v>234</v>
      </c>
      <c r="AN642" s="19" t="s">
        <v>234</v>
      </c>
      <c r="AO642" s="19" t="s">
        <v>235</v>
      </c>
      <c r="AP642" s="94"/>
      <c r="AQ642" s="19" t="s">
        <v>476</v>
      </c>
      <c r="AR642" s="19" t="s">
        <v>241</v>
      </c>
      <c r="AS642" s="19"/>
      <c r="AT642" s="65" t="str">
        <f t="shared" si="192"/>
        <v>N</v>
      </c>
      <c r="AU642" s="65" t="str">
        <f t="shared" si="196"/>
        <v>N</v>
      </c>
      <c r="AV642" s="65" t="str">
        <f t="shared" si="195"/>
        <v>N</v>
      </c>
      <c r="AW642" s="99"/>
      <c r="AX642" s="99"/>
      <c r="AY642" s="19"/>
      <c r="AZ642" s="96" t="str">
        <f t="shared" si="197"/>
        <v>n</v>
      </c>
      <c r="BA642" s="96" t="str">
        <f>IF(AZ642="n","n",VLOOKUP(AZ642,'Conversion factors'!$C$4:$D$24,2,FALSE))</f>
        <v>n</v>
      </c>
      <c r="BB642" s="96" t="str">
        <f t="shared" si="198"/>
        <v>n</v>
      </c>
      <c r="BC642" s="97"/>
      <c r="BD642" s="96" t="str">
        <f t="shared" si="193"/>
        <v>n</v>
      </c>
      <c r="BE642" s="96" t="str">
        <f t="shared" si="199"/>
        <v>n</v>
      </c>
      <c r="BF642" s="98" t="str">
        <f t="shared" si="194"/>
        <v/>
      </c>
      <c r="BG642" s="96" t="str">
        <f>IF(BF642="","",IF(ISNUMBER(VLOOKUP(BF642,'Conversion factors'!$B$35:$C$52,2,FALSE)),"y","n"))</f>
        <v/>
      </c>
      <c r="BH642" s="99"/>
    </row>
    <row r="643" spans="1:60" s="103" customFormat="1" ht="15.75" customHeight="1" x14ac:dyDescent="0.2">
      <c r="A643" s="18"/>
      <c r="B643" s="19">
        <v>211</v>
      </c>
      <c r="C643" s="19"/>
      <c r="D643" s="19">
        <v>60097</v>
      </c>
      <c r="E643" s="19" t="s">
        <v>1224</v>
      </c>
      <c r="F643" s="93">
        <v>1998</v>
      </c>
      <c r="G643" s="19" t="s">
        <v>472</v>
      </c>
      <c r="H643" s="19"/>
      <c r="I643" s="19" t="s">
        <v>41</v>
      </c>
      <c r="J643" s="19" t="s">
        <v>473</v>
      </c>
      <c r="K643" s="19" t="s">
        <v>250</v>
      </c>
      <c r="L643" s="19" t="s">
        <v>1202</v>
      </c>
      <c r="M643" s="19" t="s">
        <v>1203</v>
      </c>
      <c r="N643" s="19" t="s">
        <v>109</v>
      </c>
      <c r="O643" s="19" t="s">
        <v>235</v>
      </c>
      <c r="P643" s="19" t="s">
        <v>162</v>
      </c>
      <c r="Q643" s="19"/>
      <c r="R643" s="19" t="s">
        <v>81</v>
      </c>
      <c r="S643" s="19" t="s">
        <v>402</v>
      </c>
      <c r="T643" s="19" t="s">
        <v>54</v>
      </c>
      <c r="U643" s="19" t="s">
        <v>54</v>
      </c>
      <c r="V643" s="19" t="s">
        <v>253</v>
      </c>
      <c r="W643" s="19" t="s">
        <v>231</v>
      </c>
      <c r="X643" s="19" t="s">
        <v>46</v>
      </c>
      <c r="Y643" s="29"/>
      <c r="Z643" s="19"/>
      <c r="AA643" s="19"/>
      <c r="AB643" s="19" t="s">
        <v>502</v>
      </c>
      <c r="AC643" s="19" t="s">
        <v>1322</v>
      </c>
      <c r="AD643" s="19"/>
      <c r="AE643" s="19"/>
      <c r="AF643" s="19"/>
      <c r="AG643" s="19" t="s">
        <v>235</v>
      </c>
      <c r="AH643" s="19"/>
      <c r="AI643" s="19"/>
      <c r="AJ643" s="19" t="s">
        <v>234</v>
      </c>
      <c r="AK643" s="19" t="s">
        <v>234</v>
      </c>
      <c r="AL643" s="19"/>
      <c r="AM643" s="19" t="s">
        <v>234</v>
      </c>
      <c r="AN643" s="19" t="s">
        <v>234</v>
      </c>
      <c r="AO643" s="19" t="s">
        <v>235</v>
      </c>
      <c r="AP643" s="94"/>
      <c r="AQ643" s="19" t="s">
        <v>476</v>
      </c>
      <c r="AR643" s="19" t="s">
        <v>241</v>
      </c>
      <c r="AS643" s="19"/>
      <c r="AT643" s="65" t="str">
        <f t="shared" si="192"/>
        <v>N</v>
      </c>
      <c r="AU643" s="65" t="str">
        <f t="shared" si="196"/>
        <v>N</v>
      </c>
      <c r="AV643" s="65" t="str">
        <f t="shared" si="195"/>
        <v>N</v>
      </c>
      <c r="AW643" s="99"/>
      <c r="AX643" s="99"/>
      <c r="AY643" s="19"/>
      <c r="AZ643" s="96" t="str">
        <f t="shared" si="197"/>
        <v>n</v>
      </c>
      <c r="BA643" s="96" t="str">
        <f>IF(AZ643="n","n",VLOOKUP(AZ643,'Conversion factors'!$C$4:$D$24,2,FALSE))</f>
        <v>n</v>
      </c>
      <c r="BB643" s="96" t="str">
        <f t="shared" si="198"/>
        <v>n</v>
      </c>
      <c r="BC643" s="97"/>
      <c r="BD643" s="96" t="str">
        <f t="shared" si="193"/>
        <v>n</v>
      </c>
      <c r="BE643" s="96" t="str">
        <f t="shared" si="199"/>
        <v>n</v>
      </c>
      <c r="BF643" s="98" t="str">
        <f t="shared" si="194"/>
        <v/>
      </c>
      <c r="BG643" s="96" t="str">
        <f>IF(BF643="","",IF(ISNUMBER(VLOOKUP(BF643,'Conversion factors'!$B$35:$C$52,2,FALSE)),"y","n"))</f>
        <v/>
      </c>
      <c r="BH643" s="99"/>
    </row>
    <row r="644" spans="1:60" s="103" customFormat="1" ht="15.75" customHeight="1" x14ac:dyDescent="0.2">
      <c r="A644" s="18"/>
      <c r="B644" s="19">
        <v>211</v>
      </c>
      <c r="C644" s="19"/>
      <c r="D644" s="19">
        <v>60097</v>
      </c>
      <c r="E644" s="19" t="s">
        <v>1224</v>
      </c>
      <c r="F644" s="93">
        <v>1998</v>
      </c>
      <c r="G644" s="19" t="s">
        <v>472</v>
      </c>
      <c r="H644" s="19"/>
      <c r="I644" s="19" t="s">
        <v>41</v>
      </c>
      <c r="J644" s="19" t="s">
        <v>473</v>
      </c>
      <c r="K644" s="19" t="s">
        <v>250</v>
      </c>
      <c r="L644" s="19" t="s">
        <v>1202</v>
      </c>
      <c r="M644" s="19" t="s">
        <v>1203</v>
      </c>
      <c r="N644" s="19" t="s">
        <v>109</v>
      </c>
      <c r="O644" s="19" t="s">
        <v>235</v>
      </c>
      <c r="P644" s="19" t="s">
        <v>162</v>
      </c>
      <c r="Q644" s="19"/>
      <c r="R644" s="19" t="s">
        <v>81</v>
      </c>
      <c r="S644" s="19" t="s">
        <v>402</v>
      </c>
      <c r="T644" s="19" t="s">
        <v>54</v>
      </c>
      <c r="U644" s="19" t="s">
        <v>54</v>
      </c>
      <c r="V644" s="19" t="s">
        <v>253</v>
      </c>
      <c r="W644" s="19" t="s">
        <v>231</v>
      </c>
      <c r="X644" s="19" t="s">
        <v>46</v>
      </c>
      <c r="Y644" s="29"/>
      <c r="Z644" s="19"/>
      <c r="AA644" s="19"/>
      <c r="AB644" s="19" t="s">
        <v>502</v>
      </c>
      <c r="AC644" s="19" t="s">
        <v>1322</v>
      </c>
      <c r="AD644" s="19"/>
      <c r="AE644" s="19"/>
      <c r="AF644" s="19"/>
      <c r="AG644" s="19" t="s">
        <v>235</v>
      </c>
      <c r="AH644" s="19"/>
      <c r="AI644" s="19"/>
      <c r="AJ644" s="19" t="s">
        <v>234</v>
      </c>
      <c r="AK644" s="19" t="s">
        <v>234</v>
      </c>
      <c r="AL644" s="19"/>
      <c r="AM644" s="19" t="s">
        <v>234</v>
      </c>
      <c r="AN644" s="19" t="s">
        <v>234</v>
      </c>
      <c r="AO644" s="19" t="s">
        <v>235</v>
      </c>
      <c r="AP644" s="94"/>
      <c r="AQ644" s="19" t="s">
        <v>476</v>
      </c>
      <c r="AR644" s="19" t="s">
        <v>241</v>
      </c>
      <c r="AS644" s="19"/>
      <c r="AT644" s="65" t="str">
        <f t="shared" si="192"/>
        <v>N</v>
      </c>
      <c r="AU644" s="65" t="str">
        <f t="shared" si="196"/>
        <v>N</v>
      </c>
      <c r="AV644" s="65" t="str">
        <f t="shared" si="195"/>
        <v>N</v>
      </c>
      <c r="AW644" s="99"/>
      <c r="AX644" s="99"/>
      <c r="AY644" s="19"/>
      <c r="AZ644" s="96" t="str">
        <f t="shared" si="197"/>
        <v>n</v>
      </c>
      <c r="BA644" s="96" t="str">
        <f>IF(AZ644="n","n",VLOOKUP(AZ644,'Conversion factors'!$C$4:$D$24,2,FALSE))</f>
        <v>n</v>
      </c>
      <c r="BB644" s="96" t="str">
        <f t="shared" si="198"/>
        <v>n</v>
      </c>
      <c r="BC644" s="97"/>
      <c r="BD644" s="96" t="str">
        <f t="shared" si="193"/>
        <v>n</v>
      </c>
      <c r="BE644" s="96" t="str">
        <f t="shared" si="199"/>
        <v>n</v>
      </c>
      <c r="BF644" s="98" t="str">
        <f t="shared" si="194"/>
        <v/>
      </c>
      <c r="BG644" s="96" t="str">
        <f>IF(BF644="","",IF(ISNUMBER(VLOOKUP(BF644,'Conversion factors'!$B$35:$C$52,2,FALSE)),"y","n"))</f>
        <v/>
      </c>
      <c r="BH644" s="99"/>
    </row>
    <row r="645" spans="1:60" s="103" customFormat="1" ht="15.75" customHeight="1" x14ac:dyDescent="0.2">
      <c r="A645" s="18"/>
      <c r="B645" s="19">
        <v>211</v>
      </c>
      <c r="C645" s="19"/>
      <c r="D645" s="19">
        <v>60097</v>
      </c>
      <c r="E645" s="19" t="s">
        <v>1224</v>
      </c>
      <c r="F645" s="93">
        <v>1998</v>
      </c>
      <c r="G645" s="19" t="s">
        <v>472</v>
      </c>
      <c r="H645" s="19"/>
      <c r="I645" s="19" t="s">
        <v>41</v>
      </c>
      <c r="J645" s="19" t="s">
        <v>473</v>
      </c>
      <c r="K645" s="19" t="s">
        <v>250</v>
      </c>
      <c r="L645" s="19" t="s">
        <v>1202</v>
      </c>
      <c r="M645" s="19" t="s">
        <v>1203</v>
      </c>
      <c r="N645" s="19" t="s">
        <v>109</v>
      </c>
      <c r="O645" s="19" t="s">
        <v>235</v>
      </c>
      <c r="P645" s="19" t="s">
        <v>162</v>
      </c>
      <c r="Q645" s="19"/>
      <c r="R645" s="19" t="s">
        <v>81</v>
      </c>
      <c r="S645" s="19" t="s">
        <v>402</v>
      </c>
      <c r="T645" s="19" t="s">
        <v>54</v>
      </c>
      <c r="U645" s="19" t="s">
        <v>54</v>
      </c>
      <c r="V645" s="19" t="s">
        <v>253</v>
      </c>
      <c r="W645" s="19" t="s">
        <v>231</v>
      </c>
      <c r="X645" s="19" t="s">
        <v>46</v>
      </c>
      <c r="Y645" s="29"/>
      <c r="Z645" s="19"/>
      <c r="AA645" s="19"/>
      <c r="AB645" s="19" t="s">
        <v>501</v>
      </c>
      <c r="AC645" s="19" t="s">
        <v>1322</v>
      </c>
      <c r="AD645" s="19"/>
      <c r="AE645" s="19"/>
      <c r="AF645" s="19"/>
      <c r="AG645" s="19" t="s">
        <v>235</v>
      </c>
      <c r="AH645" s="19"/>
      <c r="AI645" s="19"/>
      <c r="AJ645" s="19" t="s">
        <v>234</v>
      </c>
      <c r="AK645" s="19" t="s">
        <v>234</v>
      </c>
      <c r="AL645" s="19"/>
      <c r="AM645" s="19" t="s">
        <v>234</v>
      </c>
      <c r="AN645" s="19" t="s">
        <v>234</v>
      </c>
      <c r="AO645" s="19" t="s">
        <v>235</v>
      </c>
      <c r="AP645" s="94"/>
      <c r="AQ645" s="19" t="s">
        <v>476</v>
      </c>
      <c r="AR645" s="19" t="s">
        <v>241</v>
      </c>
      <c r="AS645" s="19"/>
      <c r="AT645" s="65" t="str">
        <f t="shared" si="192"/>
        <v>N</v>
      </c>
      <c r="AU645" s="65" t="str">
        <f t="shared" si="196"/>
        <v>N</v>
      </c>
      <c r="AV645" s="65" t="str">
        <f t="shared" si="195"/>
        <v>N</v>
      </c>
      <c r="AW645" s="99"/>
      <c r="AX645" s="99"/>
      <c r="AY645" s="19"/>
      <c r="AZ645" s="96" t="str">
        <f t="shared" si="197"/>
        <v>n</v>
      </c>
      <c r="BA645" s="96" t="str">
        <f>IF(AZ645="n","n",VLOOKUP(AZ645,'Conversion factors'!$C$4:$D$24,2,FALSE))</f>
        <v>n</v>
      </c>
      <c r="BB645" s="96" t="str">
        <f t="shared" si="198"/>
        <v>n</v>
      </c>
      <c r="BC645" s="97"/>
      <c r="BD645" s="96" t="str">
        <f t="shared" si="193"/>
        <v>n</v>
      </c>
      <c r="BE645" s="96" t="str">
        <f t="shared" si="199"/>
        <v>n</v>
      </c>
      <c r="BF645" s="98" t="str">
        <f t="shared" si="194"/>
        <v/>
      </c>
      <c r="BG645" s="96" t="str">
        <f>IF(BF645="","",IF(ISNUMBER(VLOOKUP(BF645,'Conversion factors'!$B$35:$C$52,2,FALSE)),"y","n"))</f>
        <v/>
      </c>
      <c r="BH645" s="99"/>
    </row>
    <row r="646" spans="1:60" s="103" customFormat="1" ht="15.75" customHeight="1" x14ac:dyDescent="0.2">
      <c r="A646" s="18"/>
      <c r="B646" s="19">
        <v>211</v>
      </c>
      <c r="C646" s="19"/>
      <c r="D646" s="19">
        <v>60097</v>
      </c>
      <c r="E646" s="19" t="s">
        <v>1224</v>
      </c>
      <c r="F646" s="93">
        <v>1998</v>
      </c>
      <c r="G646" s="19" t="s">
        <v>472</v>
      </c>
      <c r="H646" s="19"/>
      <c r="I646" s="19" t="s">
        <v>41</v>
      </c>
      <c r="J646" s="19" t="s">
        <v>473</v>
      </c>
      <c r="K646" s="19" t="s">
        <v>250</v>
      </c>
      <c r="L646" s="19" t="s">
        <v>1202</v>
      </c>
      <c r="M646" s="19" t="s">
        <v>1203</v>
      </c>
      <c r="N646" s="19" t="s">
        <v>109</v>
      </c>
      <c r="O646" s="19" t="s">
        <v>235</v>
      </c>
      <c r="P646" s="19" t="s">
        <v>162</v>
      </c>
      <c r="Q646" s="19"/>
      <c r="R646" s="19" t="s">
        <v>81</v>
      </c>
      <c r="S646" s="19" t="s">
        <v>402</v>
      </c>
      <c r="T646" s="19" t="s">
        <v>54</v>
      </c>
      <c r="U646" s="19" t="s">
        <v>54</v>
      </c>
      <c r="V646" s="19" t="s">
        <v>253</v>
      </c>
      <c r="W646" s="19" t="s">
        <v>231</v>
      </c>
      <c r="X646" s="19" t="s">
        <v>46</v>
      </c>
      <c r="Y646" s="29"/>
      <c r="Z646" s="19"/>
      <c r="AA646" s="19"/>
      <c r="AB646" s="19" t="s">
        <v>502</v>
      </c>
      <c r="AC646" s="19" t="s">
        <v>1322</v>
      </c>
      <c r="AD646" s="19"/>
      <c r="AE646" s="19"/>
      <c r="AF646" s="19"/>
      <c r="AG646" s="19" t="s">
        <v>235</v>
      </c>
      <c r="AH646" s="19"/>
      <c r="AI646" s="19"/>
      <c r="AJ646" s="19" t="s">
        <v>234</v>
      </c>
      <c r="AK646" s="19" t="s">
        <v>234</v>
      </c>
      <c r="AL646" s="19"/>
      <c r="AM646" s="19" t="s">
        <v>234</v>
      </c>
      <c r="AN646" s="19" t="s">
        <v>234</v>
      </c>
      <c r="AO646" s="19" t="s">
        <v>235</v>
      </c>
      <c r="AP646" s="94"/>
      <c r="AQ646" s="19" t="s">
        <v>476</v>
      </c>
      <c r="AR646" s="19" t="s">
        <v>241</v>
      </c>
      <c r="AS646" s="19"/>
      <c r="AT646" s="65" t="str">
        <f t="shared" si="192"/>
        <v>N</v>
      </c>
      <c r="AU646" s="65" t="str">
        <f t="shared" si="196"/>
        <v>N</v>
      </c>
      <c r="AV646" s="65" t="str">
        <f t="shared" si="195"/>
        <v>N</v>
      </c>
      <c r="AW646" s="99"/>
      <c r="AX646" s="99"/>
      <c r="AY646" s="19"/>
      <c r="AZ646" s="96" t="str">
        <f t="shared" si="197"/>
        <v>n</v>
      </c>
      <c r="BA646" s="96" t="str">
        <f>IF(AZ646="n","n",VLOOKUP(AZ646,'Conversion factors'!$C$4:$D$24,2,FALSE))</f>
        <v>n</v>
      </c>
      <c r="BB646" s="96" t="str">
        <f t="shared" si="198"/>
        <v>n</v>
      </c>
      <c r="BC646" s="97"/>
      <c r="BD646" s="96" t="str">
        <f t="shared" si="193"/>
        <v>n</v>
      </c>
      <c r="BE646" s="96" t="str">
        <f t="shared" si="199"/>
        <v>n</v>
      </c>
      <c r="BF646" s="98" t="str">
        <f t="shared" si="194"/>
        <v/>
      </c>
      <c r="BG646" s="96" t="str">
        <f>IF(BF646="","",IF(ISNUMBER(VLOOKUP(BF646,'Conversion factors'!$B$35:$C$52,2,FALSE)),"y","n"))</f>
        <v/>
      </c>
      <c r="BH646" s="99"/>
    </row>
    <row r="647" spans="1:60" s="103" customFormat="1" ht="15.75" customHeight="1" x14ac:dyDescent="0.2">
      <c r="A647" s="18"/>
      <c r="B647" s="19">
        <v>211</v>
      </c>
      <c r="C647" s="19"/>
      <c r="D647" s="19">
        <v>60097</v>
      </c>
      <c r="E647" s="19" t="s">
        <v>1224</v>
      </c>
      <c r="F647" s="93">
        <v>1998</v>
      </c>
      <c r="G647" s="19" t="s">
        <v>472</v>
      </c>
      <c r="H647" s="19"/>
      <c r="I647" s="19" t="s">
        <v>41</v>
      </c>
      <c r="J647" s="19" t="s">
        <v>473</v>
      </c>
      <c r="K647" s="19" t="s">
        <v>250</v>
      </c>
      <c r="L647" s="19" t="s">
        <v>1202</v>
      </c>
      <c r="M647" s="19" t="s">
        <v>1203</v>
      </c>
      <c r="N647" s="19" t="s">
        <v>109</v>
      </c>
      <c r="O647" s="19" t="s">
        <v>235</v>
      </c>
      <c r="P647" s="19" t="s">
        <v>162</v>
      </c>
      <c r="Q647" s="19"/>
      <c r="R647" s="19" t="s">
        <v>81</v>
      </c>
      <c r="S647" s="19" t="s">
        <v>474</v>
      </c>
      <c r="T647" s="19" t="s">
        <v>54</v>
      </c>
      <c r="U647" s="19" t="s">
        <v>54</v>
      </c>
      <c r="V647" s="19" t="s">
        <v>253</v>
      </c>
      <c r="W647" s="19" t="s">
        <v>231</v>
      </c>
      <c r="X647" s="19" t="s">
        <v>46</v>
      </c>
      <c r="Y647" s="29"/>
      <c r="Z647" s="19"/>
      <c r="AA647" s="19"/>
      <c r="AB647" s="19" t="s">
        <v>501</v>
      </c>
      <c r="AC647" s="19" t="s">
        <v>1322</v>
      </c>
      <c r="AD647" s="19"/>
      <c r="AE647" s="19"/>
      <c r="AF647" s="19"/>
      <c r="AG647" s="19" t="s">
        <v>235</v>
      </c>
      <c r="AH647" s="19"/>
      <c r="AI647" s="19"/>
      <c r="AJ647" s="19" t="s">
        <v>234</v>
      </c>
      <c r="AK647" s="19" t="s">
        <v>234</v>
      </c>
      <c r="AL647" s="19"/>
      <c r="AM647" s="19" t="s">
        <v>234</v>
      </c>
      <c r="AN647" s="19" t="s">
        <v>234</v>
      </c>
      <c r="AO647" s="19" t="s">
        <v>235</v>
      </c>
      <c r="AP647" s="94"/>
      <c r="AQ647" s="19" t="s">
        <v>476</v>
      </c>
      <c r="AR647" s="19" t="s">
        <v>241</v>
      </c>
      <c r="AS647" s="19"/>
      <c r="AT647" s="65" t="str">
        <f t="shared" ref="AT647:AT710" si="200">IF(F647&lt;1980,"N",IF(AC647="M","Y",IF(AC647="SM","Y","N")))</f>
        <v>N</v>
      </c>
      <c r="AU647" s="65" t="str">
        <f t="shared" si="196"/>
        <v>N</v>
      </c>
      <c r="AV647" s="65" t="str">
        <f t="shared" si="195"/>
        <v>N</v>
      </c>
      <c r="AW647" s="99"/>
      <c r="AX647" s="99"/>
      <c r="AY647" s="19"/>
      <c r="AZ647" s="96" t="str">
        <f t="shared" si="197"/>
        <v>n</v>
      </c>
      <c r="BA647" s="96" t="str">
        <f>IF(AZ647="n","n",VLOOKUP(AZ647,'Conversion factors'!$C$4:$D$24,2,FALSE))</f>
        <v>n</v>
      </c>
      <c r="BB647" s="96" t="str">
        <f t="shared" si="198"/>
        <v>n</v>
      </c>
      <c r="BC647" s="97"/>
      <c r="BD647" s="96" t="str">
        <f t="shared" ref="BD647:BD710" si="201">IF(AV647="N","n",X647)</f>
        <v>n</v>
      </c>
      <c r="BE647" s="96" t="str">
        <f t="shared" si="199"/>
        <v>n</v>
      </c>
      <c r="BF647" s="98" t="str">
        <f t="shared" si="194"/>
        <v/>
      </c>
      <c r="BG647" s="96" t="str">
        <f>IF(BF647="","",IF(ISNUMBER(VLOOKUP(BF647,'Conversion factors'!$B$35:$C$52,2,FALSE)),"y","n"))</f>
        <v/>
      </c>
      <c r="BH647" s="99"/>
    </row>
    <row r="648" spans="1:60" s="103" customFormat="1" ht="15.75" customHeight="1" x14ac:dyDescent="0.2">
      <c r="A648" s="18"/>
      <c r="B648" s="19">
        <v>211</v>
      </c>
      <c r="C648" s="19"/>
      <c r="D648" s="19">
        <v>60097</v>
      </c>
      <c r="E648" s="19" t="s">
        <v>1224</v>
      </c>
      <c r="F648" s="93">
        <v>1998</v>
      </c>
      <c r="G648" s="19" t="s">
        <v>472</v>
      </c>
      <c r="H648" s="19"/>
      <c r="I648" s="19" t="s">
        <v>41</v>
      </c>
      <c r="J648" s="19" t="s">
        <v>473</v>
      </c>
      <c r="K648" s="19" t="s">
        <v>250</v>
      </c>
      <c r="L648" s="19" t="s">
        <v>1202</v>
      </c>
      <c r="M648" s="19" t="s">
        <v>1203</v>
      </c>
      <c r="N648" s="19" t="s">
        <v>109</v>
      </c>
      <c r="O648" s="19" t="s">
        <v>235</v>
      </c>
      <c r="P648" s="19" t="s">
        <v>162</v>
      </c>
      <c r="Q648" s="19"/>
      <c r="R648" s="19" t="s">
        <v>81</v>
      </c>
      <c r="S648" s="19" t="s">
        <v>481</v>
      </c>
      <c r="T648" s="19" t="s">
        <v>54</v>
      </c>
      <c r="U648" s="19" t="s">
        <v>54</v>
      </c>
      <c r="V648" s="19" t="s">
        <v>253</v>
      </c>
      <c r="W648" s="19" t="s">
        <v>231</v>
      </c>
      <c r="X648" s="19" t="s">
        <v>46</v>
      </c>
      <c r="Y648" s="29"/>
      <c r="Z648" s="19"/>
      <c r="AA648" s="19"/>
      <c r="AB648" s="19" t="s">
        <v>499</v>
      </c>
      <c r="AC648" s="19" t="s">
        <v>1322</v>
      </c>
      <c r="AD648" s="19"/>
      <c r="AE648" s="19"/>
      <c r="AF648" s="19"/>
      <c r="AG648" s="19" t="s">
        <v>235</v>
      </c>
      <c r="AH648" s="19"/>
      <c r="AI648" s="19"/>
      <c r="AJ648" s="19" t="s">
        <v>234</v>
      </c>
      <c r="AK648" s="19" t="s">
        <v>234</v>
      </c>
      <c r="AL648" s="19"/>
      <c r="AM648" s="19" t="s">
        <v>234</v>
      </c>
      <c r="AN648" s="19" t="s">
        <v>234</v>
      </c>
      <c r="AO648" s="19" t="s">
        <v>235</v>
      </c>
      <c r="AP648" s="94"/>
      <c r="AQ648" s="19" t="s">
        <v>476</v>
      </c>
      <c r="AR648" s="19" t="s">
        <v>241</v>
      </c>
      <c r="AS648" s="19"/>
      <c r="AT648" s="65" t="str">
        <f t="shared" si="200"/>
        <v>N</v>
      </c>
      <c r="AU648" s="65" t="str">
        <f t="shared" si="196"/>
        <v>N</v>
      </c>
      <c r="AV648" s="65" t="str">
        <f t="shared" si="195"/>
        <v>N</v>
      </c>
      <c r="AW648" s="99"/>
      <c r="AX648" s="99"/>
      <c r="AY648" s="19"/>
      <c r="AZ648" s="96" t="str">
        <f t="shared" si="197"/>
        <v>n</v>
      </c>
      <c r="BA648" s="96" t="str">
        <f>IF(AZ648="n","n",VLOOKUP(AZ648,'Conversion factors'!$C$4:$D$24,2,FALSE))</f>
        <v>n</v>
      </c>
      <c r="BB648" s="96" t="str">
        <f t="shared" si="198"/>
        <v>n</v>
      </c>
      <c r="BC648" s="97"/>
      <c r="BD648" s="96" t="str">
        <f t="shared" si="201"/>
        <v>n</v>
      </c>
      <c r="BE648" s="96" t="str">
        <f t="shared" si="199"/>
        <v>n</v>
      </c>
      <c r="BF648" s="98" t="str">
        <f t="shared" ref="BF648:BF711" si="202">IF(BE648="n","",AZ648)</f>
        <v/>
      </c>
      <c r="BG648" s="96" t="str">
        <f>IF(BF648="","",IF(ISNUMBER(VLOOKUP(BF648,'Conversion factors'!$B$35:$C$52,2,FALSE)),"y","n"))</f>
        <v/>
      </c>
      <c r="BH648" s="99"/>
    </row>
    <row r="649" spans="1:60" s="103" customFormat="1" ht="15.75" customHeight="1" x14ac:dyDescent="0.2">
      <c r="A649" s="18"/>
      <c r="B649" s="19">
        <v>211</v>
      </c>
      <c r="C649" s="19"/>
      <c r="D649" s="19">
        <v>60097</v>
      </c>
      <c r="E649" s="19" t="s">
        <v>1224</v>
      </c>
      <c r="F649" s="93">
        <v>1998</v>
      </c>
      <c r="G649" s="19" t="s">
        <v>472</v>
      </c>
      <c r="H649" s="19"/>
      <c r="I649" s="19" t="s">
        <v>41</v>
      </c>
      <c r="J649" s="19" t="s">
        <v>473</v>
      </c>
      <c r="K649" s="19" t="s">
        <v>250</v>
      </c>
      <c r="L649" s="19" t="s">
        <v>1202</v>
      </c>
      <c r="M649" s="19" t="s">
        <v>1203</v>
      </c>
      <c r="N649" s="19" t="s">
        <v>109</v>
      </c>
      <c r="O649" s="19" t="s">
        <v>235</v>
      </c>
      <c r="P649" s="19" t="s">
        <v>162</v>
      </c>
      <c r="Q649" s="19"/>
      <c r="R649" s="19" t="s">
        <v>81</v>
      </c>
      <c r="S649" s="19" t="s">
        <v>481</v>
      </c>
      <c r="T649" s="19" t="s">
        <v>54</v>
      </c>
      <c r="U649" s="19" t="s">
        <v>54</v>
      </c>
      <c r="V649" s="19" t="s">
        <v>253</v>
      </c>
      <c r="W649" s="19" t="s">
        <v>231</v>
      </c>
      <c r="X649" s="19" t="s">
        <v>46</v>
      </c>
      <c r="Y649" s="29"/>
      <c r="Z649" s="19"/>
      <c r="AA649" s="19"/>
      <c r="AB649" s="19" t="s">
        <v>497</v>
      </c>
      <c r="AC649" s="19" t="s">
        <v>1322</v>
      </c>
      <c r="AD649" s="19"/>
      <c r="AE649" s="19"/>
      <c r="AF649" s="19"/>
      <c r="AG649" s="19" t="s">
        <v>235</v>
      </c>
      <c r="AH649" s="19"/>
      <c r="AI649" s="19"/>
      <c r="AJ649" s="19" t="s">
        <v>234</v>
      </c>
      <c r="AK649" s="19" t="s">
        <v>234</v>
      </c>
      <c r="AL649" s="19"/>
      <c r="AM649" s="19" t="s">
        <v>234</v>
      </c>
      <c r="AN649" s="19" t="s">
        <v>234</v>
      </c>
      <c r="AO649" s="19" t="s">
        <v>235</v>
      </c>
      <c r="AP649" s="94"/>
      <c r="AQ649" s="19" t="s">
        <v>476</v>
      </c>
      <c r="AR649" s="19" t="s">
        <v>241</v>
      </c>
      <c r="AS649" s="19"/>
      <c r="AT649" s="65" t="str">
        <f t="shared" si="200"/>
        <v>N</v>
      </c>
      <c r="AU649" s="65" t="str">
        <f t="shared" si="196"/>
        <v>N</v>
      </c>
      <c r="AV649" s="65" t="str">
        <f t="shared" si="195"/>
        <v>N</v>
      </c>
      <c r="AW649" s="99"/>
      <c r="AX649" s="99"/>
      <c r="AY649" s="19"/>
      <c r="AZ649" s="96" t="str">
        <f t="shared" si="197"/>
        <v>n</v>
      </c>
      <c r="BA649" s="96" t="str">
        <f>IF(AZ649="n","n",VLOOKUP(AZ649,'Conversion factors'!$C$4:$D$24,2,FALSE))</f>
        <v>n</v>
      </c>
      <c r="BB649" s="96" t="str">
        <f t="shared" si="198"/>
        <v>n</v>
      </c>
      <c r="BC649" s="97"/>
      <c r="BD649" s="96" t="str">
        <f t="shared" si="201"/>
        <v>n</v>
      </c>
      <c r="BE649" s="96" t="str">
        <f t="shared" si="199"/>
        <v>n</v>
      </c>
      <c r="BF649" s="98" t="str">
        <f t="shared" si="202"/>
        <v/>
      </c>
      <c r="BG649" s="96" t="str">
        <f>IF(BF649="","",IF(ISNUMBER(VLOOKUP(BF649,'Conversion factors'!$B$35:$C$52,2,FALSE)),"y","n"))</f>
        <v/>
      </c>
      <c r="BH649" s="99"/>
    </row>
    <row r="650" spans="1:60" s="103" customFormat="1" ht="15.75" customHeight="1" x14ac:dyDescent="0.2">
      <c r="A650" s="18"/>
      <c r="B650" s="19">
        <v>211</v>
      </c>
      <c r="C650" s="19"/>
      <c r="D650" s="19">
        <v>60097</v>
      </c>
      <c r="E650" s="19" t="s">
        <v>1224</v>
      </c>
      <c r="F650" s="93">
        <v>1998</v>
      </c>
      <c r="G650" s="19" t="s">
        <v>472</v>
      </c>
      <c r="H650" s="19"/>
      <c r="I650" s="19" t="s">
        <v>41</v>
      </c>
      <c r="J650" s="19" t="s">
        <v>473</v>
      </c>
      <c r="K650" s="19" t="s">
        <v>250</v>
      </c>
      <c r="L650" s="19" t="s">
        <v>1202</v>
      </c>
      <c r="M650" s="19" t="s">
        <v>1203</v>
      </c>
      <c r="N650" s="19" t="s">
        <v>109</v>
      </c>
      <c r="O650" s="19" t="s">
        <v>235</v>
      </c>
      <c r="P650" s="19" t="s">
        <v>162</v>
      </c>
      <c r="Q650" s="19"/>
      <c r="R650" s="19" t="s">
        <v>81</v>
      </c>
      <c r="S650" s="19" t="s">
        <v>402</v>
      </c>
      <c r="T650" s="19" t="s">
        <v>54</v>
      </c>
      <c r="U650" s="19" t="s">
        <v>54</v>
      </c>
      <c r="V650" s="19" t="s">
        <v>253</v>
      </c>
      <c r="W650" s="19" t="s">
        <v>231</v>
      </c>
      <c r="X650" s="19" t="s">
        <v>46</v>
      </c>
      <c r="Y650" s="29"/>
      <c r="Z650" s="19"/>
      <c r="AA650" s="19"/>
      <c r="AB650" s="19" t="s">
        <v>503</v>
      </c>
      <c r="AC650" s="19" t="s">
        <v>1322</v>
      </c>
      <c r="AD650" s="19"/>
      <c r="AE650" s="19"/>
      <c r="AF650" s="19"/>
      <c r="AG650" s="19" t="s">
        <v>235</v>
      </c>
      <c r="AH650" s="19"/>
      <c r="AI650" s="19"/>
      <c r="AJ650" s="19" t="s">
        <v>234</v>
      </c>
      <c r="AK650" s="19" t="s">
        <v>234</v>
      </c>
      <c r="AL650" s="19"/>
      <c r="AM650" s="19" t="s">
        <v>234</v>
      </c>
      <c r="AN650" s="19" t="s">
        <v>234</v>
      </c>
      <c r="AO650" s="19" t="s">
        <v>235</v>
      </c>
      <c r="AP650" s="94"/>
      <c r="AQ650" s="19" t="s">
        <v>476</v>
      </c>
      <c r="AR650" s="19" t="s">
        <v>241</v>
      </c>
      <c r="AS650" s="19"/>
      <c r="AT650" s="65" t="str">
        <f t="shared" si="200"/>
        <v>N</v>
      </c>
      <c r="AU650" s="65" t="str">
        <f t="shared" si="196"/>
        <v>N</v>
      </c>
      <c r="AV650" s="65" t="str">
        <f t="shared" si="195"/>
        <v>N</v>
      </c>
      <c r="AW650" s="99"/>
      <c r="AX650" s="99"/>
      <c r="AY650" s="19"/>
      <c r="AZ650" s="96" t="str">
        <f t="shared" si="197"/>
        <v>n</v>
      </c>
      <c r="BA650" s="96" t="str">
        <f>IF(AZ650="n","n",VLOOKUP(AZ650,'Conversion factors'!$C$4:$D$24,2,FALSE))</f>
        <v>n</v>
      </c>
      <c r="BB650" s="96" t="str">
        <f t="shared" si="198"/>
        <v>n</v>
      </c>
      <c r="BC650" s="97"/>
      <c r="BD650" s="96" t="str">
        <f t="shared" si="201"/>
        <v>n</v>
      </c>
      <c r="BE650" s="96" t="str">
        <f t="shared" si="199"/>
        <v>n</v>
      </c>
      <c r="BF650" s="98" t="str">
        <f t="shared" si="202"/>
        <v/>
      </c>
      <c r="BG650" s="96" t="str">
        <f>IF(BF650="","",IF(ISNUMBER(VLOOKUP(BF650,'Conversion factors'!$B$35:$C$52,2,FALSE)),"y","n"))</f>
        <v/>
      </c>
      <c r="BH650" s="99"/>
    </row>
    <row r="651" spans="1:60" s="103" customFormat="1" ht="15.75" customHeight="1" x14ac:dyDescent="0.2">
      <c r="A651" s="18"/>
      <c r="B651" s="19">
        <v>238</v>
      </c>
      <c r="C651" s="19"/>
      <c r="D651" s="19">
        <v>74985</v>
      </c>
      <c r="E651" s="19" t="s">
        <v>1224</v>
      </c>
      <c r="F651" s="93">
        <v>1997</v>
      </c>
      <c r="G651" s="19" t="s">
        <v>657</v>
      </c>
      <c r="H651" s="19"/>
      <c r="I651" s="19" t="s">
        <v>41</v>
      </c>
      <c r="J651" s="19" t="s">
        <v>473</v>
      </c>
      <c r="K651" s="19" t="s">
        <v>250</v>
      </c>
      <c r="L651" s="19" t="s">
        <v>1202</v>
      </c>
      <c r="M651" s="19" t="s">
        <v>1203</v>
      </c>
      <c r="N651" s="19" t="s">
        <v>109</v>
      </c>
      <c r="O651" s="19" t="s">
        <v>235</v>
      </c>
      <c r="P651" s="19" t="s">
        <v>162</v>
      </c>
      <c r="Q651" s="19"/>
      <c r="R651" s="19" t="s">
        <v>81</v>
      </c>
      <c r="S651" s="19" t="s">
        <v>402</v>
      </c>
      <c r="T651" s="19" t="s">
        <v>110</v>
      </c>
      <c r="U651" s="19" t="s">
        <v>44</v>
      </c>
      <c r="V651" s="19" t="s">
        <v>85</v>
      </c>
      <c r="W651" s="19" t="s">
        <v>231</v>
      </c>
      <c r="X651" s="19" t="s">
        <v>46</v>
      </c>
      <c r="Y651" s="29"/>
      <c r="Z651" s="19"/>
      <c r="AA651" s="19"/>
      <c r="AB651" s="19" t="s">
        <v>659</v>
      </c>
      <c r="AC651" s="19" t="s">
        <v>1322</v>
      </c>
      <c r="AD651" s="19"/>
      <c r="AE651" s="19"/>
      <c r="AF651" s="19"/>
      <c r="AG651" s="19" t="s">
        <v>235</v>
      </c>
      <c r="AH651" s="19"/>
      <c r="AI651" s="19"/>
      <c r="AJ651" s="19" t="s">
        <v>234</v>
      </c>
      <c r="AK651" s="19" t="s">
        <v>234</v>
      </c>
      <c r="AL651" s="19"/>
      <c r="AM651" s="19" t="s">
        <v>234</v>
      </c>
      <c r="AN651" s="19" t="s">
        <v>234</v>
      </c>
      <c r="AO651" s="19" t="s">
        <v>235</v>
      </c>
      <c r="AP651" s="94"/>
      <c r="AQ651" s="19" t="s">
        <v>476</v>
      </c>
      <c r="AR651" s="19" t="s">
        <v>241</v>
      </c>
      <c r="AS651" s="19"/>
      <c r="AT651" s="65" t="str">
        <f t="shared" si="200"/>
        <v>N</v>
      </c>
      <c r="AU651" s="65" t="str">
        <f t="shared" si="196"/>
        <v>N</v>
      </c>
      <c r="AV651" s="65" t="str">
        <f t="shared" si="195"/>
        <v>N</v>
      </c>
      <c r="AW651" s="99"/>
      <c r="AX651" s="99"/>
      <c r="AY651" s="19"/>
      <c r="AZ651" s="96" t="str">
        <f t="shared" si="197"/>
        <v>n</v>
      </c>
      <c r="BA651" s="96" t="str">
        <f>IF(AZ651="n","n",VLOOKUP(AZ651,'Conversion factors'!$C$4:$D$24,2,FALSE))</f>
        <v>n</v>
      </c>
      <c r="BB651" s="96" t="str">
        <f t="shared" si="198"/>
        <v>n</v>
      </c>
      <c r="BC651" s="97"/>
      <c r="BD651" s="96" t="str">
        <f t="shared" si="201"/>
        <v>n</v>
      </c>
      <c r="BE651" s="96" t="str">
        <f t="shared" si="199"/>
        <v>n</v>
      </c>
      <c r="BF651" s="98" t="str">
        <f t="shared" si="202"/>
        <v/>
      </c>
      <c r="BG651" s="96" t="str">
        <f>IF(BF651="","",IF(ISNUMBER(VLOOKUP(BF651,'Conversion factors'!$B$35:$C$52,2,FALSE)),"y","n"))</f>
        <v/>
      </c>
      <c r="BH651" s="99"/>
    </row>
    <row r="652" spans="1:60" s="103" customFormat="1" ht="15.75" customHeight="1" x14ac:dyDescent="0.2">
      <c r="A652" s="18"/>
      <c r="B652" s="19">
        <v>238</v>
      </c>
      <c r="C652" s="19"/>
      <c r="D652" s="19">
        <v>74985</v>
      </c>
      <c r="E652" s="19" t="s">
        <v>1224</v>
      </c>
      <c r="F652" s="93">
        <v>1997</v>
      </c>
      <c r="G652" s="19" t="s">
        <v>657</v>
      </c>
      <c r="H652" s="19"/>
      <c r="I652" s="19" t="s">
        <v>41</v>
      </c>
      <c r="J652" s="19" t="s">
        <v>473</v>
      </c>
      <c r="K652" s="19" t="s">
        <v>250</v>
      </c>
      <c r="L652" s="19" t="s">
        <v>1202</v>
      </c>
      <c r="M652" s="19" t="s">
        <v>1203</v>
      </c>
      <c r="N652" s="19" t="s">
        <v>109</v>
      </c>
      <c r="O652" s="19" t="s">
        <v>235</v>
      </c>
      <c r="P652" s="19" t="s">
        <v>162</v>
      </c>
      <c r="Q652" s="19"/>
      <c r="R652" s="19" t="s">
        <v>81</v>
      </c>
      <c r="S652" s="19" t="s">
        <v>478</v>
      </c>
      <c r="T652" s="19" t="s">
        <v>110</v>
      </c>
      <c r="U652" s="19" t="s">
        <v>44</v>
      </c>
      <c r="V652" s="19" t="s">
        <v>85</v>
      </c>
      <c r="W652" s="19" t="s">
        <v>231</v>
      </c>
      <c r="X652" s="19" t="s">
        <v>46</v>
      </c>
      <c r="Y652" s="29"/>
      <c r="Z652" s="19"/>
      <c r="AA652" s="19"/>
      <c r="AB652" s="19" t="s">
        <v>665</v>
      </c>
      <c r="AC652" s="19" t="s">
        <v>1322</v>
      </c>
      <c r="AD652" s="19"/>
      <c r="AE652" s="19"/>
      <c r="AF652" s="19"/>
      <c r="AG652" s="19" t="s">
        <v>235</v>
      </c>
      <c r="AH652" s="19"/>
      <c r="AI652" s="19"/>
      <c r="AJ652" s="19" t="s">
        <v>234</v>
      </c>
      <c r="AK652" s="19" t="s">
        <v>234</v>
      </c>
      <c r="AL652" s="19"/>
      <c r="AM652" s="19" t="s">
        <v>234</v>
      </c>
      <c r="AN652" s="19" t="s">
        <v>234</v>
      </c>
      <c r="AO652" s="19" t="s">
        <v>235</v>
      </c>
      <c r="AP652" s="94"/>
      <c r="AQ652" s="19" t="s">
        <v>476</v>
      </c>
      <c r="AR652" s="19" t="s">
        <v>241</v>
      </c>
      <c r="AS652" s="19"/>
      <c r="AT652" s="65" t="str">
        <f t="shared" si="200"/>
        <v>N</v>
      </c>
      <c r="AU652" s="65" t="str">
        <f t="shared" si="196"/>
        <v>N</v>
      </c>
      <c r="AV652" s="65" t="str">
        <f t="shared" si="195"/>
        <v>N</v>
      </c>
      <c r="AW652" s="99"/>
      <c r="AX652" s="99"/>
      <c r="AY652" s="19"/>
      <c r="AZ652" s="96" t="str">
        <f t="shared" si="197"/>
        <v>n</v>
      </c>
      <c r="BA652" s="96" t="str">
        <f>IF(AZ652="n","n",VLOOKUP(AZ652,'Conversion factors'!$C$4:$D$24,2,FALSE))</f>
        <v>n</v>
      </c>
      <c r="BB652" s="96" t="str">
        <f t="shared" si="198"/>
        <v>n</v>
      </c>
      <c r="BC652" s="97"/>
      <c r="BD652" s="96" t="str">
        <f t="shared" si="201"/>
        <v>n</v>
      </c>
      <c r="BE652" s="96" t="str">
        <f t="shared" si="199"/>
        <v>n</v>
      </c>
      <c r="BF652" s="98" t="str">
        <f t="shared" si="202"/>
        <v/>
      </c>
      <c r="BG652" s="96" t="str">
        <f>IF(BF652="","",IF(ISNUMBER(VLOOKUP(BF652,'Conversion factors'!$B$35:$C$52,2,FALSE)),"y","n"))</f>
        <v/>
      </c>
      <c r="BH652" s="99"/>
    </row>
    <row r="653" spans="1:60" s="103" customFormat="1" ht="15.75" customHeight="1" x14ac:dyDescent="0.2">
      <c r="A653" s="18"/>
      <c r="B653" s="19">
        <v>238</v>
      </c>
      <c r="C653" s="19"/>
      <c r="D653" s="19">
        <v>74985</v>
      </c>
      <c r="E653" s="19" t="s">
        <v>1224</v>
      </c>
      <c r="F653" s="93">
        <v>1997</v>
      </c>
      <c r="G653" s="19" t="s">
        <v>657</v>
      </c>
      <c r="H653" s="19"/>
      <c r="I653" s="19" t="s">
        <v>41</v>
      </c>
      <c r="J653" s="19" t="s">
        <v>473</v>
      </c>
      <c r="K653" s="19" t="s">
        <v>250</v>
      </c>
      <c r="L653" s="19" t="s">
        <v>1202</v>
      </c>
      <c r="M653" s="19" t="s">
        <v>1203</v>
      </c>
      <c r="N653" s="19" t="s">
        <v>109</v>
      </c>
      <c r="O653" s="19" t="s">
        <v>235</v>
      </c>
      <c r="P653" s="19" t="s">
        <v>162</v>
      </c>
      <c r="Q653" s="19"/>
      <c r="R653" s="19" t="s">
        <v>81</v>
      </c>
      <c r="S653" s="19" t="s">
        <v>481</v>
      </c>
      <c r="T653" s="19" t="s">
        <v>110</v>
      </c>
      <c r="U653" s="19" t="s">
        <v>44</v>
      </c>
      <c r="V653" s="19" t="s">
        <v>85</v>
      </c>
      <c r="W653" s="19" t="s">
        <v>231</v>
      </c>
      <c r="X653" s="19" t="s">
        <v>46</v>
      </c>
      <c r="Y653" s="29"/>
      <c r="Z653" s="19"/>
      <c r="AA653" s="19"/>
      <c r="AB653" s="19" t="s">
        <v>666</v>
      </c>
      <c r="AC653" s="19" t="s">
        <v>1322</v>
      </c>
      <c r="AD653" s="19"/>
      <c r="AE653" s="19"/>
      <c r="AF653" s="19"/>
      <c r="AG653" s="19" t="s">
        <v>235</v>
      </c>
      <c r="AH653" s="19"/>
      <c r="AI653" s="19"/>
      <c r="AJ653" s="19" t="s">
        <v>234</v>
      </c>
      <c r="AK653" s="19" t="s">
        <v>234</v>
      </c>
      <c r="AL653" s="19"/>
      <c r="AM653" s="19" t="s">
        <v>234</v>
      </c>
      <c r="AN653" s="19" t="s">
        <v>234</v>
      </c>
      <c r="AO653" s="19" t="s">
        <v>235</v>
      </c>
      <c r="AP653" s="94"/>
      <c r="AQ653" s="19" t="s">
        <v>476</v>
      </c>
      <c r="AR653" s="19" t="s">
        <v>241</v>
      </c>
      <c r="AS653" s="19"/>
      <c r="AT653" s="65" t="str">
        <f t="shared" si="200"/>
        <v>N</v>
      </c>
      <c r="AU653" s="65" t="str">
        <f t="shared" si="196"/>
        <v>N</v>
      </c>
      <c r="AV653" s="65" t="str">
        <f t="shared" si="195"/>
        <v>N</v>
      </c>
      <c r="AW653" s="99"/>
      <c r="AX653" s="99"/>
      <c r="AY653" s="19"/>
      <c r="AZ653" s="96" t="str">
        <f t="shared" si="197"/>
        <v>n</v>
      </c>
      <c r="BA653" s="96" t="str">
        <f>IF(AZ653="n","n",VLOOKUP(AZ653,'Conversion factors'!$C$4:$D$24,2,FALSE))</f>
        <v>n</v>
      </c>
      <c r="BB653" s="96" t="str">
        <f t="shared" si="198"/>
        <v>n</v>
      </c>
      <c r="BC653" s="97"/>
      <c r="BD653" s="96" t="str">
        <f t="shared" si="201"/>
        <v>n</v>
      </c>
      <c r="BE653" s="96" t="str">
        <f t="shared" si="199"/>
        <v>n</v>
      </c>
      <c r="BF653" s="98" t="str">
        <f t="shared" si="202"/>
        <v/>
      </c>
      <c r="BG653" s="96" t="str">
        <f>IF(BF653="","",IF(ISNUMBER(VLOOKUP(BF653,'Conversion factors'!$B$35:$C$52,2,FALSE)),"y","n"))</f>
        <v/>
      </c>
      <c r="BH653" s="99"/>
    </row>
    <row r="654" spans="1:60" s="103" customFormat="1" ht="15.75" customHeight="1" x14ac:dyDescent="0.2">
      <c r="A654" s="18"/>
      <c r="B654" s="19">
        <v>238</v>
      </c>
      <c r="C654" s="19"/>
      <c r="D654" s="19">
        <v>74985</v>
      </c>
      <c r="E654" s="19" t="s">
        <v>1224</v>
      </c>
      <c r="F654" s="93">
        <v>1997</v>
      </c>
      <c r="G654" s="19" t="s">
        <v>657</v>
      </c>
      <c r="H654" s="19"/>
      <c r="I654" s="19" t="s">
        <v>41</v>
      </c>
      <c r="J654" s="19" t="s">
        <v>473</v>
      </c>
      <c r="K654" s="19" t="s">
        <v>250</v>
      </c>
      <c r="L654" s="19" t="s">
        <v>1202</v>
      </c>
      <c r="M654" s="19" t="s">
        <v>1203</v>
      </c>
      <c r="N654" s="19" t="s">
        <v>109</v>
      </c>
      <c r="O654" s="19" t="s">
        <v>235</v>
      </c>
      <c r="P654" s="19" t="s">
        <v>162</v>
      </c>
      <c r="Q654" s="19"/>
      <c r="R654" s="19" t="s">
        <v>81</v>
      </c>
      <c r="S654" s="19" t="s">
        <v>474</v>
      </c>
      <c r="T654" s="19" t="s">
        <v>110</v>
      </c>
      <c r="U654" s="19" t="s">
        <v>44</v>
      </c>
      <c r="V654" s="19" t="s">
        <v>85</v>
      </c>
      <c r="W654" s="19" t="s">
        <v>231</v>
      </c>
      <c r="X654" s="19" t="s">
        <v>46</v>
      </c>
      <c r="Y654" s="29"/>
      <c r="Z654" s="19"/>
      <c r="AA654" s="19"/>
      <c r="AB654" s="19" t="s">
        <v>668</v>
      </c>
      <c r="AC654" s="19" t="s">
        <v>1322</v>
      </c>
      <c r="AD654" s="19"/>
      <c r="AE654" s="19"/>
      <c r="AF654" s="19"/>
      <c r="AG654" s="19" t="s">
        <v>235</v>
      </c>
      <c r="AH654" s="19"/>
      <c r="AI654" s="19"/>
      <c r="AJ654" s="19" t="s">
        <v>234</v>
      </c>
      <c r="AK654" s="19" t="s">
        <v>234</v>
      </c>
      <c r="AL654" s="19"/>
      <c r="AM654" s="19" t="s">
        <v>234</v>
      </c>
      <c r="AN654" s="19" t="s">
        <v>234</v>
      </c>
      <c r="AO654" s="19" t="s">
        <v>235</v>
      </c>
      <c r="AP654" s="94"/>
      <c r="AQ654" s="19" t="s">
        <v>476</v>
      </c>
      <c r="AR654" s="19" t="s">
        <v>241</v>
      </c>
      <c r="AS654" s="19"/>
      <c r="AT654" s="65" t="str">
        <f t="shared" si="200"/>
        <v>N</v>
      </c>
      <c r="AU654" s="65" t="str">
        <f t="shared" si="196"/>
        <v>N</v>
      </c>
      <c r="AV654" s="65" t="str">
        <f t="shared" si="195"/>
        <v>N</v>
      </c>
      <c r="AW654" s="99"/>
      <c r="AX654" s="99"/>
      <c r="AY654" s="19"/>
      <c r="AZ654" s="96" t="str">
        <f t="shared" si="197"/>
        <v>n</v>
      </c>
      <c r="BA654" s="96" t="str">
        <f>IF(AZ654="n","n",VLOOKUP(AZ654,'Conversion factors'!$C$4:$D$24,2,FALSE))</f>
        <v>n</v>
      </c>
      <c r="BB654" s="96" t="str">
        <f t="shared" si="198"/>
        <v>n</v>
      </c>
      <c r="BC654" s="97"/>
      <c r="BD654" s="96" t="str">
        <f t="shared" si="201"/>
        <v>n</v>
      </c>
      <c r="BE654" s="96" t="str">
        <f t="shared" si="199"/>
        <v>n</v>
      </c>
      <c r="BF654" s="98" t="str">
        <f t="shared" si="202"/>
        <v/>
      </c>
      <c r="BG654" s="96" t="str">
        <f>IF(BF654="","",IF(ISNUMBER(VLOOKUP(BF654,'Conversion factors'!$B$35:$C$52,2,FALSE)),"y","n"))</f>
        <v/>
      </c>
      <c r="BH654" s="99"/>
    </row>
    <row r="655" spans="1:60" s="103" customFormat="1" ht="15.75" customHeight="1" x14ac:dyDescent="0.2">
      <c r="A655" s="18"/>
      <c r="B655" s="19">
        <v>238</v>
      </c>
      <c r="C655" s="19"/>
      <c r="D655" s="19">
        <v>74985</v>
      </c>
      <c r="E655" s="19" t="s">
        <v>1224</v>
      </c>
      <c r="F655" s="93">
        <v>1997</v>
      </c>
      <c r="G655" s="19" t="s">
        <v>657</v>
      </c>
      <c r="H655" s="19"/>
      <c r="I655" s="19" t="s">
        <v>41</v>
      </c>
      <c r="J655" s="19" t="s">
        <v>473</v>
      </c>
      <c r="K655" s="19" t="s">
        <v>250</v>
      </c>
      <c r="L655" s="19" t="s">
        <v>1202</v>
      </c>
      <c r="M655" s="19" t="s">
        <v>1203</v>
      </c>
      <c r="N655" s="19" t="s">
        <v>109</v>
      </c>
      <c r="O655" s="19" t="s">
        <v>235</v>
      </c>
      <c r="P655" s="19" t="s">
        <v>162</v>
      </c>
      <c r="Q655" s="19"/>
      <c r="R655" s="19" t="s">
        <v>81</v>
      </c>
      <c r="S655" s="19" t="s">
        <v>474</v>
      </c>
      <c r="T655" s="19" t="s">
        <v>55</v>
      </c>
      <c r="U655" s="19" t="s">
        <v>55</v>
      </c>
      <c r="V655" s="19" t="s">
        <v>85</v>
      </c>
      <c r="W655" s="19" t="s">
        <v>231</v>
      </c>
      <c r="X655" s="19" t="s">
        <v>46</v>
      </c>
      <c r="Y655" s="29"/>
      <c r="Z655" s="19"/>
      <c r="AA655" s="19"/>
      <c r="AB655" s="19" t="s">
        <v>669</v>
      </c>
      <c r="AC655" s="19" t="s">
        <v>1322</v>
      </c>
      <c r="AD655" s="19"/>
      <c r="AE655" s="19"/>
      <c r="AF655" s="19"/>
      <c r="AG655" s="19" t="s">
        <v>235</v>
      </c>
      <c r="AH655" s="19"/>
      <c r="AI655" s="19"/>
      <c r="AJ655" s="19" t="s">
        <v>234</v>
      </c>
      <c r="AK655" s="19" t="s">
        <v>234</v>
      </c>
      <c r="AL655" s="19"/>
      <c r="AM655" s="19" t="s">
        <v>234</v>
      </c>
      <c r="AN655" s="19" t="s">
        <v>234</v>
      </c>
      <c r="AO655" s="19" t="s">
        <v>235</v>
      </c>
      <c r="AP655" s="94"/>
      <c r="AQ655" s="19" t="s">
        <v>476</v>
      </c>
      <c r="AR655" s="19" t="s">
        <v>241</v>
      </c>
      <c r="AS655" s="19"/>
      <c r="AT655" s="65" t="str">
        <f t="shared" si="200"/>
        <v>N</v>
      </c>
      <c r="AU655" s="65" t="str">
        <f t="shared" si="196"/>
        <v>N</v>
      </c>
      <c r="AV655" s="65" t="str">
        <f t="shared" si="195"/>
        <v>N</v>
      </c>
      <c r="AW655" s="99"/>
      <c r="AX655" s="99"/>
      <c r="AY655" s="19"/>
      <c r="AZ655" s="96" t="str">
        <f t="shared" si="197"/>
        <v>n</v>
      </c>
      <c r="BA655" s="96" t="str">
        <f>IF(AZ655="n","n",VLOOKUP(AZ655,'Conversion factors'!$C$4:$D$24,2,FALSE))</f>
        <v>n</v>
      </c>
      <c r="BB655" s="96" t="str">
        <f t="shared" si="198"/>
        <v>n</v>
      </c>
      <c r="BC655" s="97"/>
      <c r="BD655" s="96" t="str">
        <f t="shared" si="201"/>
        <v>n</v>
      </c>
      <c r="BE655" s="96" t="str">
        <f t="shared" si="199"/>
        <v>n</v>
      </c>
      <c r="BF655" s="98" t="str">
        <f t="shared" si="202"/>
        <v/>
      </c>
      <c r="BG655" s="96" t="str">
        <f>IF(BF655="","",IF(ISNUMBER(VLOOKUP(BF655,'Conversion factors'!$B$35:$C$52,2,FALSE)),"y","n"))</f>
        <v/>
      </c>
      <c r="BH655" s="99"/>
    </row>
    <row r="656" spans="1:60" s="103" customFormat="1" ht="15.75" customHeight="1" x14ac:dyDescent="0.2">
      <c r="A656" s="18"/>
      <c r="B656" s="19">
        <v>238</v>
      </c>
      <c r="C656" s="19"/>
      <c r="D656" s="19">
        <v>74985</v>
      </c>
      <c r="E656" s="19" t="s">
        <v>1224</v>
      </c>
      <c r="F656" s="93">
        <v>1997</v>
      </c>
      <c r="G656" s="19" t="s">
        <v>657</v>
      </c>
      <c r="H656" s="19"/>
      <c r="I656" s="19" t="s">
        <v>41</v>
      </c>
      <c r="J656" s="19" t="s">
        <v>473</v>
      </c>
      <c r="K656" s="19" t="s">
        <v>250</v>
      </c>
      <c r="L656" s="19" t="s">
        <v>1202</v>
      </c>
      <c r="M656" s="19" t="s">
        <v>1203</v>
      </c>
      <c r="N656" s="19" t="s">
        <v>109</v>
      </c>
      <c r="O656" s="19" t="s">
        <v>235</v>
      </c>
      <c r="P656" s="19" t="s">
        <v>162</v>
      </c>
      <c r="Q656" s="19"/>
      <c r="R656" s="19" t="s">
        <v>81</v>
      </c>
      <c r="S656" s="19" t="s">
        <v>402</v>
      </c>
      <c r="T656" s="19" t="s">
        <v>55</v>
      </c>
      <c r="U656" s="19" t="s">
        <v>55</v>
      </c>
      <c r="V656" s="19" t="s">
        <v>85</v>
      </c>
      <c r="W656" s="19" t="s">
        <v>231</v>
      </c>
      <c r="X656" s="19" t="s">
        <v>46</v>
      </c>
      <c r="Y656" s="29"/>
      <c r="Z656" s="19"/>
      <c r="AA656" s="19"/>
      <c r="AB656" s="19" t="s">
        <v>500</v>
      </c>
      <c r="AC656" s="19" t="s">
        <v>1322</v>
      </c>
      <c r="AD656" s="19"/>
      <c r="AE656" s="19"/>
      <c r="AF656" s="19"/>
      <c r="AG656" s="19" t="s">
        <v>235</v>
      </c>
      <c r="AH656" s="19"/>
      <c r="AI656" s="19"/>
      <c r="AJ656" s="19" t="s">
        <v>234</v>
      </c>
      <c r="AK656" s="19" t="s">
        <v>234</v>
      </c>
      <c r="AL656" s="19"/>
      <c r="AM656" s="19" t="s">
        <v>234</v>
      </c>
      <c r="AN656" s="19" t="s">
        <v>234</v>
      </c>
      <c r="AO656" s="19" t="s">
        <v>235</v>
      </c>
      <c r="AP656" s="94"/>
      <c r="AQ656" s="19" t="s">
        <v>476</v>
      </c>
      <c r="AR656" s="19" t="s">
        <v>241</v>
      </c>
      <c r="AS656" s="19"/>
      <c r="AT656" s="65" t="str">
        <f t="shared" si="200"/>
        <v>N</v>
      </c>
      <c r="AU656" s="65" t="str">
        <f t="shared" si="196"/>
        <v>N</v>
      </c>
      <c r="AV656" s="65" t="str">
        <f t="shared" si="195"/>
        <v>N</v>
      </c>
      <c r="AW656" s="99"/>
      <c r="AX656" s="99"/>
      <c r="AY656" s="19"/>
      <c r="AZ656" s="96" t="str">
        <f t="shared" si="197"/>
        <v>n</v>
      </c>
      <c r="BA656" s="96" t="str">
        <f>IF(AZ656="n","n",VLOOKUP(AZ656,'Conversion factors'!$C$4:$D$24,2,FALSE))</f>
        <v>n</v>
      </c>
      <c r="BB656" s="96" t="str">
        <f t="shared" si="198"/>
        <v>n</v>
      </c>
      <c r="BC656" s="97"/>
      <c r="BD656" s="96" t="str">
        <f t="shared" si="201"/>
        <v>n</v>
      </c>
      <c r="BE656" s="96" t="str">
        <f t="shared" si="199"/>
        <v>n</v>
      </c>
      <c r="BF656" s="98" t="str">
        <f t="shared" si="202"/>
        <v/>
      </c>
      <c r="BG656" s="96" t="str">
        <f>IF(BF656="","",IF(ISNUMBER(VLOOKUP(BF656,'Conversion factors'!$B$35:$C$52,2,FALSE)),"y","n"))</f>
        <v/>
      </c>
      <c r="BH656" s="99"/>
    </row>
    <row r="657" spans="1:60" s="103" customFormat="1" ht="15.75" customHeight="1" x14ac:dyDescent="0.2">
      <c r="A657" s="18"/>
      <c r="B657" s="19">
        <v>238</v>
      </c>
      <c r="C657" s="19"/>
      <c r="D657" s="19">
        <v>74985</v>
      </c>
      <c r="E657" s="19" t="s">
        <v>1224</v>
      </c>
      <c r="F657" s="93">
        <v>1997</v>
      </c>
      <c r="G657" s="19" t="s">
        <v>657</v>
      </c>
      <c r="H657" s="19"/>
      <c r="I657" s="19" t="s">
        <v>41</v>
      </c>
      <c r="J657" s="19" t="s">
        <v>473</v>
      </c>
      <c r="K657" s="19" t="s">
        <v>250</v>
      </c>
      <c r="L657" s="19" t="s">
        <v>1202</v>
      </c>
      <c r="M657" s="19" t="s">
        <v>1203</v>
      </c>
      <c r="N657" s="19" t="s">
        <v>109</v>
      </c>
      <c r="O657" s="19" t="s">
        <v>235</v>
      </c>
      <c r="P657" s="19" t="s">
        <v>162</v>
      </c>
      <c r="Q657" s="19"/>
      <c r="R657" s="19" t="s">
        <v>81</v>
      </c>
      <c r="S657" s="19" t="s">
        <v>481</v>
      </c>
      <c r="T657" s="19" t="s">
        <v>55</v>
      </c>
      <c r="U657" s="19" t="s">
        <v>55</v>
      </c>
      <c r="V657" s="19" t="s">
        <v>85</v>
      </c>
      <c r="W657" s="19" t="s">
        <v>231</v>
      </c>
      <c r="X657" s="19" t="s">
        <v>46</v>
      </c>
      <c r="Y657" s="29"/>
      <c r="Z657" s="19"/>
      <c r="AA657" s="19"/>
      <c r="AB657" s="19" t="s">
        <v>500</v>
      </c>
      <c r="AC657" s="19" t="s">
        <v>1322</v>
      </c>
      <c r="AD657" s="19"/>
      <c r="AE657" s="19"/>
      <c r="AF657" s="19"/>
      <c r="AG657" s="19" t="s">
        <v>235</v>
      </c>
      <c r="AH657" s="19"/>
      <c r="AI657" s="19"/>
      <c r="AJ657" s="19" t="s">
        <v>234</v>
      </c>
      <c r="AK657" s="19" t="s">
        <v>234</v>
      </c>
      <c r="AL657" s="19"/>
      <c r="AM657" s="19" t="s">
        <v>234</v>
      </c>
      <c r="AN657" s="19" t="s">
        <v>234</v>
      </c>
      <c r="AO657" s="19" t="s">
        <v>235</v>
      </c>
      <c r="AP657" s="94"/>
      <c r="AQ657" s="19" t="s">
        <v>476</v>
      </c>
      <c r="AR657" s="19" t="s">
        <v>241</v>
      </c>
      <c r="AS657" s="19"/>
      <c r="AT657" s="65" t="str">
        <f t="shared" si="200"/>
        <v>N</v>
      </c>
      <c r="AU657" s="65" t="str">
        <f t="shared" si="196"/>
        <v>N</v>
      </c>
      <c r="AV657" s="65" t="str">
        <f t="shared" si="195"/>
        <v>N</v>
      </c>
      <c r="AW657" s="99"/>
      <c r="AX657" s="99"/>
      <c r="AY657" s="19"/>
      <c r="AZ657" s="96" t="str">
        <f t="shared" si="197"/>
        <v>n</v>
      </c>
      <c r="BA657" s="96" t="str">
        <f>IF(AZ657="n","n",VLOOKUP(AZ657,'Conversion factors'!$C$4:$D$24,2,FALSE))</f>
        <v>n</v>
      </c>
      <c r="BB657" s="96" t="str">
        <f t="shared" si="198"/>
        <v>n</v>
      </c>
      <c r="BC657" s="97"/>
      <c r="BD657" s="96" t="str">
        <f t="shared" si="201"/>
        <v>n</v>
      </c>
      <c r="BE657" s="96" t="str">
        <f t="shared" si="199"/>
        <v>n</v>
      </c>
      <c r="BF657" s="98" t="str">
        <f t="shared" si="202"/>
        <v/>
      </c>
      <c r="BG657" s="96" t="str">
        <f>IF(BF657="","",IF(ISNUMBER(VLOOKUP(BF657,'Conversion factors'!$B$35:$C$52,2,FALSE)),"y","n"))</f>
        <v/>
      </c>
      <c r="BH657" s="99"/>
    </row>
    <row r="658" spans="1:60" s="103" customFormat="1" ht="15.75" customHeight="1" x14ac:dyDescent="0.2">
      <c r="A658" s="18"/>
      <c r="B658" s="19">
        <v>238</v>
      </c>
      <c r="C658" s="19"/>
      <c r="D658" s="19">
        <v>74985</v>
      </c>
      <c r="E658" s="19" t="s">
        <v>1224</v>
      </c>
      <c r="F658" s="93">
        <v>1997</v>
      </c>
      <c r="G658" s="19" t="s">
        <v>657</v>
      </c>
      <c r="H658" s="19"/>
      <c r="I658" s="19" t="s">
        <v>41</v>
      </c>
      <c r="J658" s="19" t="s">
        <v>473</v>
      </c>
      <c r="K658" s="19" t="s">
        <v>250</v>
      </c>
      <c r="L658" s="19" t="s">
        <v>1202</v>
      </c>
      <c r="M658" s="19" t="s">
        <v>1203</v>
      </c>
      <c r="N658" s="19" t="s">
        <v>109</v>
      </c>
      <c r="O658" s="19" t="s">
        <v>235</v>
      </c>
      <c r="P658" s="19" t="s">
        <v>162</v>
      </c>
      <c r="Q658" s="19"/>
      <c r="R658" s="19" t="s">
        <v>81</v>
      </c>
      <c r="S658" s="19" t="s">
        <v>478</v>
      </c>
      <c r="T658" s="19" t="s">
        <v>55</v>
      </c>
      <c r="U658" s="19" t="s">
        <v>55</v>
      </c>
      <c r="V658" s="19" t="s">
        <v>85</v>
      </c>
      <c r="W658" s="19" t="s">
        <v>231</v>
      </c>
      <c r="X658" s="19" t="s">
        <v>46</v>
      </c>
      <c r="Y658" s="29"/>
      <c r="Z658" s="19"/>
      <c r="AA658" s="19"/>
      <c r="AB658" s="19" t="s">
        <v>669</v>
      </c>
      <c r="AC658" s="19" t="s">
        <v>1322</v>
      </c>
      <c r="AD658" s="19"/>
      <c r="AE658" s="19"/>
      <c r="AF658" s="19"/>
      <c r="AG658" s="19" t="s">
        <v>235</v>
      </c>
      <c r="AH658" s="19"/>
      <c r="AI658" s="19"/>
      <c r="AJ658" s="19" t="s">
        <v>234</v>
      </c>
      <c r="AK658" s="19" t="s">
        <v>234</v>
      </c>
      <c r="AL658" s="19"/>
      <c r="AM658" s="19" t="s">
        <v>234</v>
      </c>
      <c r="AN658" s="19" t="s">
        <v>234</v>
      </c>
      <c r="AO658" s="19" t="s">
        <v>235</v>
      </c>
      <c r="AP658" s="94"/>
      <c r="AQ658" s="19" t="s">
        <v>476</v>
      </c>
      <c r="AR658" s="19" t="s">
        <v>241</v>
      </c>
      <c r="AS658" s="19"/>
      <c r="AT658" s="65" t="str">
        <f t="shared" si="200"/>
        <v>N</v>
      </c>
      <c r="AU658" s="65" t="str">
        <f t="shared" si="196"/>
        <v>N</v>
      </c>
      <c r="AV658" s="65" t="str">
        <f t="shared" si="195"/>
        <v>N</v>
      </c>
      <c r="AW658" s="99"/>
      <c r="AX658" s="99"/>
      <c r="AY658" s="19"/>
      <c r="AZ658" s="96" t="str">
        <f t="shared" si="197"/>
        <v>n</v>
      </c>
      <c r="BA658" s="96" t="str">
        <f>IF(AZ658="n","n",VLOOKUP(AZ658,'Conversion factors'!$C$4:$D$24,2,FALSE))</f>
        <v>n</v>
      </c>
      <c r="BB658" s="96" t="str">
        <f t="shared" si="198"/>
        <v>n</v>
      </c>
      <c r="BC658" s="97"/>
      <c r="BD658" s="96" t="str">
        <f t="shared" si="201"/>
        <v>n</v>
      </c>
      <c r="BE658" s="96" t="str">
        <f t="shared" si="199"/>
        <v>n</v>
      </c>
      <c r="BF658" s="98" t="str">
        <f t="shared" si="202"/>
        <v/>
      </c>
      <c r="BG658" s="96" t="str">
        <f>IF(BF658="","",IF(ISNUMBER(VLOOKUP(BF658,'Conversion factors'!$B$35:$C$52,2,FALSE)),"y","n"))</f>
        <v/>
      </c>
      <c r="BH658" s="99"/>
    </row>
    <row r="659" spans="1:60" s="103" customFormat="1" ht="15.75" customHeight="1" x14ac:dyDescent="0.2">
      <c r="A659" s="18"/>
      <c r="B659" s="19">
        <v>238</v>
      </c>
      <c r="C659" s="19"/>
      <c r="D659" s="19">
        <v>74985</v>
      </c>
      <c r="E659" s="19" t="s">
        <v>1224</v>
      </c>
      <c r="F659" s="93">
        <v>1997</v>
      </c>
      <c r="G659" s="19" t="s">
        <v>657</v>
      </c>
      <c r="H659" s="19"/>
      <c r="I659" s="19" t="s">
        <v>41</v>
      </c>
      <c r="J659" s="19" t="s">
        <v>473</v>
      </c>
      <c r="K659" s="19" t="s">
        <v>250</v>
      </c>
      <c r="L659" s="19" t="s">
        <v>1202</v>
      </c>
      <c r="M659" s="19" t="s">
        <v>1203</v>
      </c>
      <c r="N659" s="19" t="s">
        <v>109</v>
      </c>
      <c r="O659" s="19" t="s">
        <v>235</v>
      </c>
      <c r="P659" s="19" t="s">
        <v>162</v>
      </c>
      <c r="Q659" s="19"/>
      <c r="R659" s="19" t="s">
        <v>81</v>
      </c>
      <c r="S659" s="19" t="s">
        <v>402</v>
      </c>
      <c r="T659" s="19" t="s">
        <v>54</v>
      </c>
      <c r="U659" s="19" t="s">
        <v>54</v>
      </c>
      <c r="V659" s="19" t="s">
        <v>85</v>
      </c>
      <c r="W659" s="19" t="s">
        <v>231</v>
      </c>
      <c r="X659" s="19" t="s">
        <v>46</v>
      </c>
      <c r="Y659" s="29"/>
      <c r="Z659" s="19"/>
      <c r="AA659" s="19"/>
      <c r="AB659" s="19" t="s">
        <v>499</v>
      </c>
      <c r="AC659" s="19" t="s">
        <v>1322</v>
      </c>
      <c r="AD659" s="19"/>
      <c r="AE659" s="19"/>
      <c r="AF659" s="19"/>
      <c r="AG659" s="19" t="s">
        <v>235</v>
      </c>
      <c r="AH659" s="19"/>
      <c r="AI659" s="19"/>
      <c r="AJ659" s="19" t="s">
        <v>234</v>
      </c>
      <c r="AK659" s="19" t="s">
        <v>234</v>
      </c>
      <c r="AL659" s="19"/>
      <c r="AM659" s="19" t="s">
        <v>234</v>
      </c>
      <c r="AN659" s="19" t="s">
        <v>234</v>
      </c>
      <c r="AO659" s="19" t="s">
        <v>235</v>
      </c>
      <c r="AP659" s="94"/>
      <c r="AQ659" s="19" t="s">
        <v>476</v>
      </c>
      <c r="AR659" s="19" t="s">
        <v>241</v>
      </c>
      <c r="AS659" s="19"/>
      <c r="AT659" s="65" t="str">
        <f t="shared" si="200"/>
        <v>N</v>
      </c>
      <c r="AU659" s="65" t="str">
        <f t="shared" si="196"/>
        <v>N</v>
      </c>
      <c r="AV659" s="65" t="str">
        <f t="shared" si="195"/>
        <v>N</v>
      </c>
      <c r="AW659" s="99"/>
      <c r="AX659" s="99"/>
      <c r="AY659" s="19"/>
      <c r="AZ659" s="96" t="str">
        <f t="shared" si="197"/>
        <v>n</v>
      </c>
      <c r="BA659" s="96" t="str">
        <f>IF(AZ659="n","n",VLOOKUP(AZ659,'Conversion factors'!$C$4:$D$24,2,FALSE))</f>
        <v>n</v>
      </c>
      <c r="BB659" s="96" t="str">
        <f t="shared" si="198"/>
        <v>n</v>
      </c>
      <c r="BC659" s="97"/>
      <c r="BD659" s="96" t="str">
        <f t="shared" si="201"/>
        <v>n</v>
      </c>
      <c r="BE659" s="96" t="str">
        <f t="shared" si="199"/>
        <v>n</v>
      </c>
      <c r="BF659" s="98" t="str">
        <f t="shared" si="202"/>
        <v/>
      </c>
      <c r="BG659" s="96" t="str">
        <f>IF(BF659="","",IF(ISNUMBER(VLOOKUP(BF659,'Conversion factors'!$B$35:$C$52,2,FALSE)),"y","n"))</f>
        <v/>
      </c>
      <c r="BH659" s="99"/>
    </row>
    <row r="660" spans="1:60" s="103" customFormat="1" ht="15.75" customHeight="1" x14ac:dyDescent="0.2">
      <c r="A660" s="18"/>
      <c r="B660" s="19">
        <v>238</v>
      </c>
      <c r="C660" s="19"/>
      <c r="D660" s="19">
        <v>74985</v>
      </c>
      <c r="E660" s="19" t="s">
        <v>1224</v>
      </c>
      <c r="F660" s="93">
        <v>1997</v>
      </c>
      <c r="G660" s="19" t="s">
        <v>657</v>
      </c>
      <c r="H660" s="19"/>
      <c r="I660" s="19" t="s">
        <v>41</v>
      </c>
      <c r="J660" s="19" t="s">
        <v>473</v>
      </c>
      <c r="K660" s="19" t="s">
        <v>250</v>
      </c>
      <c r="L660" s="19" t="s">
        <v>1202</v>
      </c>
      <c r="M660" s="19" t="s">
        <v>1203</v>
      </c>
      <c r="N660" s="19" t="s">
        <v>109</v>
      </c>
      <c r="O660" s="19" t="s">
        <v>235</v>
      </c>
      <c r="P660" s="19" t="s">
        <v>162</v>
      </c>
      <c r="Q660" s="19"/>
      <c r="R660" s="19" t="s">
        <v>81</v>
      </c>
      <c r="S660" s="19" t="s">
        <v>481</v>
      </c>
      <c r="T660" s="19" t="s">
        <v>54</v>
      </c>
      <c r="U660" s="19" t="s">
        <v>54</v>
      </c>
      <c r="V660" s="19" t="s">
        <v>85</v>
      </c>
      <c r="W660" s="19" t="s">
        <v>231</v>
      </c>
      <c r="X660" s="19" t="s">
        <v>46</v>
      </c>
      <c r="Y660" s="29"/>
      <c r="Z660" s="19"/>
      <c r="AA660" s="19"/>
      <c r="AB660" s="19" t="s">
        <v>499</v>
      </c>
      <c r="AC660" s="19" t="s">
        <v>1322</v>
      </c>
      <c r="AD660" s="19"/>
      <c r="AE660" s="19"/>
      <c r="AF660" s="19"/>
      <c r="AG660" s="19" t="s">
        <v>235</v>
      </c>
      <c r="AH660" s="19"/>
      <c r="AI660" s="19"/>
      <c r="AJ660" s="19" t="s">
        <v>234</v>
      </c>
      <c r="AK660" s="19" t="s">
        <v>234</v>
      </c>
      <c r="AL660" s="19"/>
      <c r="AM660" s="19" t="s">
        <v>234</v>
      </c>
      <c r="AN660" s="19" t="s">
        <v>234</v>
      </c>
      <c r="AO660" s="19" t="s">
        <v>235</v>
      </c>
      <c r="AP660" s="94"/>
      <c r="AQ660" s="19" t="s">
        <v>476</v>
      </c>
      <c r="AR660" s="19" t="s">
        <v>241</v>
      </c>
      <c r="AS660" s="19"/>
      <c r="AT660" s="65" t="str">
        <f t="shared" si="200"/>
        <v>N</v>
      </c>
      <c r="AU660" s="65" t="str">
        <f t="shared" si="196"/>
        <v>N</v>
      </c>
      <c r="AV660" s="65" t="str">
        <f t="shared" si="195"/>
        <v>N</v>
      </c>
      <c r="AW660" s="99"/>
      <c r="AX660" s="99"/>
      <c r="AY660" s="19"/>
      <c r="AZ660" s="96" t="str">
        <f t="shared" si="197"/>
        <v>n</v>
      </c>
      <c r="BA660" s="96" t="str">
        <f>IF(AZ660="n","n",VLOOKUP(AZ660,'Conversion factors'!$C$4:$D$24,2,FALSE))</f>
        <v>n</v>
      </c>
      <c r="BB660" s="96" t="str">
        <f t="shared" si="198"/>
        <v>n</v>
      </c>
      <c r="BC660" s="97"/>
      <c r="BD660" s="96" t="str">
        <f t="shared" si="201"/>
        <v>n</v>
      </c>
      <c r="BE660" s="96" t="str">
        <f t="shared" si="199"/>
        <v>n</v>
      </c>
      <c r="BF660" s="98" t="str">
        <f t="shared" si="202"/>
        <v/>
      </c>
      <c r="BG660" s="96" t="str">
        <f>IF(BF660="","",IF(ISNUMBER(VLOOKUP(BF660,'Conversion factors'!$B$35:$C$52,2,FALSE)),"y","n"))</f>
        <v/>
      </c>
      <c r="BH660" s="99"/>
    </row>
    <row r="661" spans="1:60" s="103" customFormat="1" ht="15.75" customHeight="1" x14ac:dyDescent="0.2">
      <c r="A661" s="18"/>
      <c r="B661" s="19">
        <v>238</v>
      </c>
      <c r="C661" s="19"/>
      <c r="D661" s="19">
        <v>74985</v>
      </c>
      <c r="E661" s="19" t="s">
        <v>1224</v>
      </c>
      <c r="F661" s="93">
        <v>1997</v>
      </c>
      <c r="G661" s="19" t="s">
        <v>657</v>
      </c>
      <c r="H661" s="19"/>
      <c r="I661" s="19" t="s">
        <v>41</v>
      </c>
      <c r="J661" s="19" t="s">
        <v>473</v>
      </c>
      <c r="K661" s="19" t="s">
        <v>250</v>
      </c>
      <c r="L661" s="19" t="s">
        <v>1202</v>
      </c>
      <c r="M661" s="19" t="s">
        <v>1203</v>
      </c>
      <c r="N661" s="19" t="s">
        <v>109</v>
      </c>
      <c r="O661" s="19" t="s">
        <v>235</v>
      </c>
      <c r="P661" s="19" t="s">
        <v>162</v>
      </c>
      <c r="Q661" s="19"/>
      <c r="R661" s="19" t="s">
        <v>81</v>
      </c>
      <c r="S661" s="19" t="s">
        <v>478</v>
      </c>
      <c r="T661" s="19" t="s">
        <v>54</v>
      </c>
      <c r="U661" s="19" t="s">
        <v>54</v>
      </c>
      <c r="V661" s="19" t="s">
        <v>85</v>
      </c>
      <c r="W661" s="19" t="s">
        <v>231</v>
      </c>
      <c r="X661" s="19" t="s">
        <v>46</v>
      </c>
      <c r="Y661" s="29"/>
      <c r="Z661" s="19"/>
      <c r="AA661" s="19"/>
      <c r="AB661" s="19" t="s">
        <v>500</v>
      </c>
      <c r="AC661" s="19" t="s">
        <v>1322</v>
      </c>
      <c r="AD661" s="19"/>
      <c r="AE661" s="19"/>
      <c r="AF661" s="19"/>
      <c r="AG661" s="19" t="s">
        <v>235</v>
      </c>
      <c r="AH661" s="19"/>
      <c r="AI661" s="19"/>
      <c r="AJ661" s="19" t="s">
        <v>234</v>
      </c>
      <c r="AK661" s="19" t="s">
        <v>234</v>
      </c>
      <c r="AL661" s="19"/>
      <c r="AM661" s="19" t="s">
        <v>234</v>
      </c>
      <c r="AN661" s="19" t="s">
        <v>234</v>
      </c>
      <c r="AO661" s="19" t="s">
        <v>235</v>
      </c>
      <c r="AP661" s="94"/>
      <c r="AQ661" s="19" t="s">
        <v>476</v>
      </c>
      <c r="AR661" s="19" t="s">
        <v>241</v>
      </c>
      <c r="AS661" s="19"/>
      <c r="AT661" s="65" t="str">
        <f t="shared" si="200"/>
        <v>N</v>
      </c>
      <c r="AU661" s="65" t="str">
        <f t="shared" si="196"/>
        <v>N</v>
      </c>
      <c r="AV661" s="65" t="str">
        <f t="shared" ref="AV661:AV686" si="203">AU661</f>
        <v>N</v>
      </c>
      <c r="AW661" s="99"/>
      <c r="AX661" s="99"/>
      <c r="AY661" s="19"/>
      <c r="AZ661" s="96" t="str">
        <f t="shared" si="197"/>
        <v>n</v>
      </c>
      <c r="BA661" s="96" t="str">
        <f>IF(AZ661="n","n",VLOOKUP(AZ661,'Conversion factors'!$C$4:$D$24,2,FALSE))</f>
        <v>n</v>
      </c>
      <c r="BB661" s="96" t="str">
        <f t="shared" si="198"/>
        <v>n</v>
      </c>
      <c r="BC661" s="97"/>
      <c r="BD661" s="96" t="str">
        <f t="shared" si="201"/>
        <v>n</v>
      </c>
      <c r="BE661" s="96" t="str">
        <f t="shared" si="199"/>
        <v>n</v>
      </c>
      <c r="BF661" s="98" t="str">
        <f t="shared" si="202"/>
        <v/>
      </c>
      <c r="BG661" s="96" t="str">
        <f>IF(BF661="","",IF(ISNUMBER(VLOOKUP(BF661,'Conversion factors'!$B$35:$C$52,2,FALSE)),"y","n"))</f>
        <v/>
      </c>
      <c r="BH661" s="99"/>
    </row>
    <row r="662" spans="1:60" s="103" customFormat="1" ht="15.75" customHeight="1" x14ac:dyDescent="0.2">
      <c r="A662" s="18"/>
      <c r="B662" s="19">
        <v>238</v>
      </c>
      <c r="C662" s="19"/>
      <c r="D662" s="19">
        <v>74985</v>
      </c>
      <c r="E662" s="19" t="s">
        <v>1224</v>
      </c>
      <c r="F662" s="93">
        <v>1997</v>
      </c>
      <c r="G662" s="19" t="s">
        <v>657</v>
      </c>
      <c r="H662" s="19"/>
      <c r="I662" s="19" t="s">
        <v>41</v>
      </c>
      <c r="J662" s="19" t="s">
        <v>473</v>
      </c>
      <c r="K662" s="19" t="s">
        <v>250</v>
      </c>
      <c r="L662" s="19" t="s">
        <v>1202</v>
      </c>
      <c r="M662" s="19" t="s">
        <v>1203</v>
      </c>
      <c r="N662" s="19" t="s">
        <v>109</v>
      </c>
      <c r="O662" s="19" t="s">
        <v>235</v>
      </c>
      <c r="P662" s="19" t="s">
        <v>162</v>
      </c>
      <c r="Q662" s="19"/>
      <c r="R662" s="19" t="s">
        <v>81</v>
      </c>
      <c r="S662" s="19" t="s">
        <v>474</v>
      </c>
      <c r="T662" s="19" t="s">
        <v>54</v>
      </c>
      <c r="U662" s="19" t="s">
        <v>54</v>
      </c>
      <c r="V662" s="19" t="s">
        <v>85</v>
      </c>
      <c r="W662" s="19" t="s">
        <v>231</v>
      </c>
      <c r="X662" s="19" t="s">
        <v>46</v>
      </c>
      <c r="Y662" s="29"/>
      <c r="Z662" s="19"/>
      <c r="AA662" s="19"/>
      <c r="AB662" s="19" t="s">
        <v>500</v>
      </c>
      <c r="AC662" s="19" t="s">
        <v>1322</v>
      </c>
      <c r="AD662" s="19"/>
      <c r="AE662" s="19"/>
      <c r="AF662" s="19"/>
      <c r="AG662" s="19" t="s">
        <v>235</v>
      </c>
      <c r="AH662" s="19"/>
      <c r="AI662" s="19"/>
      <c r="AJ662" s="19" t="s">
        <v>234</v>
      </c>
      <c r="AK662" s="19" t="s">
        <v>234</v>
      </c>
      <c r="AL662" s="19"/>
      <c r="AM662" s="19" t="s">
        <v>234</v>
      </c>
      <c r="AN662" s="19" t="s">
        <v>234</v>
      </c>
      <c r="AO662" s="19" t="s">
        <v>235</v>
      </c>
      <c r="AP662" s="94"/>
      <c r="AQ662" s="19" t="s">
        <v>476</v>
      </c>
      <c r="AR662" s="19" t="s">
        <v>241</v>
      </c>
      <c r="AS662" s="19"/>
      <c r="AT662" s="65" t="str">
        <f t="shared" si="200"/>
        <v>N</v>
      </c>
      <c r="AU662" s="65" t="str">
        <f t="shared" si="196"/>
        <v>N</v>
      </c>
      <c r="AV662" s="65" t="str">
        <f t="shared" si="203"/>
        <v>N</v>
      </c>
      <c r="AW662" s="99"/>
      <c r="AX662" s="99"/>
      <c r="AY662" s="19"/>
      <c r="AZ662" s="96" t="str">
        <f t="shared" si="197"/>
        <v>n</v>
      </c>
      <c r="BA662" s="96" t="str">
        <f>IF(AZ662="n","n",VLOOKUP(AZ662,'Conversion factors'!$C$4:$D$24,2,FALSE))</f>
        <v>n</v>
      </c>
      <c r="BB662" s="96" t="str">
        <f t="shared" si="198"/>
        <v>n</v>
      </c>
      <c r="BC662" s="97"/>
      <c r="BD662" s="96" t="str">
        <f t="shared" si="201"/>
        <v>n</v>
      </c>
      <c r="BE662" s="96" t="str">
        <f t="shared" si="199"/>
        <v>n</v>
      </c>
      <c r="BF662" s="98" t="str">
        <f t="shared" si="202"/>
        <v/>
      </c>
      <c r="BG662" s="96" t="str">
        <f>IF(BF662="","",IF(ISNUMBER(VLOOKUP(BF662,'Conversion factors'!$B$35:$C$52,2,FALSE)),"y","n"))</f>
        <v/>
      </c>
      <c r="BH662" s="99"/>
    </row>
    <row r="663" spans="1:60" s="103" customFormat="1" ht="15.75" customHeight="1" x14ac:dyDescent="0.2">
      <c r="A663" s="18"/>
      <c r="B663" s="19">
        <v>238</v>
      </c>
      <c r="C663" s="19"/>
      <c r="D663" s="19">
        <v>74985</v>
      </c>
      <c r="E663" s="19" t="s">
        <v>1224</v>
      </c>
      <c r="F663" s="93">
        <v>1997</v>
      </c>
      <c r="G663" s="19" t="s">
        <v>657</v>
      </c>
      <c r="H663" s="19"/>
      <c r="I663" s="19" t="s">
        <v>41</v>
      </c>
      <c r="J663" s="19" t="s">
        <v>473</v>
      </c>
      <c r="K663" s="19" t="s">
        <v>250</v>
      </c>
      <c r="L663" s="19" t="s">
        <v>1202</v>
      </c>
      <c r="M663" s="19" t="s">
        <v>1203</v>
      </c>
      <c r="N663" s="19" t="s">
        <v>109</v>
      </c>
      <c r="O663" s="19" t="s">
        <v>235</v>
      </c>
      <c r="P663" s="19" t="s">
        <v>162</v>
      </c>
      <c r="Q663" s="19"/>
      <c r="R663" s="19" t="s">
        <v>81</v>
      </c>
      <c r="S663" s="19" t="s">
        <v>474</v>
      </c>
      <c r="T663" s="19" t="s">
        <v>110</v>
      </c>
      <c r="U663" s="19" t="s">
        <v>44</v>
      </c>
      <c r="V663" s="19" t="s">
        <v>253</v>
      </c>
      <c r="W663" s="19" t="s">
        <v>231</v>
      </c>
      <c r="X663" s="19" t="s">
        <v>46</v>
      </c>
      <c r="Y663" s="29"/>
      <c r="Z663" s="19"/>
      <c r="AA663" s="19"/>
      <c r="AB663" s="19" t="s">
        <v>658</v>
      </c>
      <c r="AC663" s="19" t="s">
        <v>1322</v>
      </c>
      <c r="AD663" s="19"/>
      <c r="AE663" s="19"/>
      <c r="AF663" s="19"/>
      <c r="AG663" s="19" t="s">
        <v>235</v>
      </c>
      <c r="AH663" s="19"/>
      <c r="AI663" s="19"/>
      <c r="AJ663" s="19" t="s">
        <v>234</v>
      </c>
      <c r="AK663" s="19" t="s">
        <v>234</v>
      </c>
      <c r="AL663" s="19"/>
      <c r="AM663" s="19" t="s">
        <v>234</v>
      </c>
      <c r="AN663" s="19" t="s">
        <v>234</v>
      </c>
      <c r="AO663" s="19" t="s">
        <v>235</v>
      </c>
      <c r="AP663" s="94"/>
      <c r="AQ663" s="19" t="s">
        <v>476</v>
      </c>
      <c r="AR663" s="19" t="s">
        <v>241</v>
      </c>
      <c r="AS663" s="19"/>
      <c r="AT663" s="65" t="str">
        <f t="shared" si="200"/>
        <v>N</v>
      </c>
      <c r="AU663" s="65" t="str">
        <f t="shared" si="196"/>
        <v>N</v>
      </c>
      <c r="AV663" s="65" t="str">
        <f t="shared" si="203"/>
        <v>N</v>
      </c>
      <c r="AW663" s="99"/>
      <c r="AX663" s="99"/>
      <c r="AY663" s="19"/>
      <c r="AZ663" s="96" t="str">
        <f t="shared" si="197"/>
        <v>n</v>
      </c>
      <c r="BA663" s="96" t="str">
        <f>IF(AZ663="n","n",VLOOKUP(AZ663,'Conversion factors'!$C$4:$D$24,2,FALSE))</f>
        <v>n</v>
      </c>
      <c r="BB663" s="96" t="str">
        <f t="shared" si="198"/>
        <v>n</v>
      </c>
      <c r="BC663" s="97"/>
      <c r="BD663" s="96" t="str">
        <f t="shared" si="201"/>
        <v>n</v>
      </c>
      <c r="BE663" s="96" t="str">
        <f t="shared" si="199"/>
        <v>n</v>
      </c>
      <c r="BF663" s="98" t="str">
        <f t="shared" si="202"/>
        <v/>
      </c>
      <c r="BG663" s="96" t="str">
        <f>IF(BF663="","",IF(ISNUMBER(VLOOKUP(BF663,'Conversion factors'!$B$35:$C$52,2,FALSE)),"y","n"))</f>
        <v/>
      </c>
      <c r="BH663" s="99"/>
    </row>
    <row r="664" spans="1:60" s="103" customFormat="1" ht="15.75" customHeight="1" x14ac:dyDescent="0.2">
      <c r="A664" s="18"/>
      <c r="B664" s="19">
        <v>238</v>
      </c>
      <c r="C664" s="19"/>
      <c r="D664" s="19">
        <v>74985</v>
      </c>
      <c r="E664" s="19" t="s">
        <v>1224</v>
      </c>
      <c r="F664" s="93">
        <v>1997</v>
      </c>
      <c r="G664" s="19" t="s">
        <v>657</v>
      </c>
      <c r="H664" s="19"/>
      <c r="I664" s="19" t="s">
        <v>41</v>
      </c>
      <c r="J664" s="19" t="s">
        <v>473</v>
      </c>
      <c r="K664" s="19" t="s">
        <v>250</v>
      </c>
      <c r="L664" s="19" t="s">
        <v>1202</v>
      </c>
      <c r="M664" s="19" t="s">
        <v>1203</v>
      </c>
      <c r="N664" s="19" t="s">
        <v>109</v>
      </c>
      <c r="O664" s="19" t="s">
        <v>235</v>
      </c>
      <c r="P664" s="19" t="s">
        <v>162</v>
      </c>
      <c r="Q664" s="19"/>
      <c r="R664" s="19" t="s">
        <v>81</v>
      </c>
      <c r="S664" s="19" t="s">
        <v>478</v>
      </c>
      <c r="T664" s="19" t="s">
        <v>110</v>
      </c>
      <c r="U664" s="19" t="s">
        <v>44</v>
      </c>
      <c r="V664" s="19" t="s">
        <v>253</v>
      </c>
      <c r="W664" s="19" t="s">
        <v>231</v>
      </c>
      <c r="X664" s="19" t="s">
        <v>46</v>
      </c>
      <c r="Y664" s="29"/>
      <c r="Z664" s="19"/>
      <c r="AA664" s="19"/>
      <c r="AB664" s="19" t="s">
        <v>660</v>
      </c>
      <c r="AC664" s="19" t="s">
        <v>1322</v>
      </c>
      <c r="AD664" s="19"/>
      <c r="AE664" s="19"/>
      <c r="AF664" s="19"/>
      <c r="AG664" s="19" t="s">
        <v>235</v>
      </c>
      <c r="AH664" s="19"/>
      <c r="AI664" s="19"/>
      <c r="AJ664" s="19" t="s">
        <v>234</v>
      </c>
      <c r="AK664" s="19" t="s">
        <v>234</v>
      </c>
      <c r="AL664" s="19"/>
      <c r="AM664" s="19" t="s">
        <v>234</v>
      </c>
      <c r="AN664" s="19" t="s">
        <v>234</v>
      </c>
      <c r="AO664" s="19" t="s">
        <v>235</v>
      </c>
      <c r="AP664" s="94"/>
      <c r="AQ664" s="19" t="s">
        <v>476</v>
      </c>
      <c r="AR664" s="19" t="s">
        <v>241</v>
      </c>
      <c r="AS664" s="19"/>
      <c r="AT664" s="65" t="str">
        <f t="shared" si="200"/>
        <v>N</v>
      </c>
      <c r="AU664" s="65" t="str">
        <f t="shared" si="196"/>
        <v>N</v>
      </c>
      <c r="AV664" s="65" t="str">
        <f t="shared" si="203"/>
        <v>N</v>
      </c>
      <c r="AW664" s="99"/>
      <c r="AX664" s="99"/>
      <c r="AY664" s="19"/>
      <c r="AZ664" s="96" t="str">
        <f t="shared" si="197"/>
        <v>n</v>
      </c>
      <c r="BA664" s="96" t="str">
        <f>IF(AZ664="n","n",VLOOKUP(AZ664,'Conversion factors'!$C$4:$D$24,2,FALSE))</f>
        <v>n</v>
      </c>
      <c r="BB664" s="96" t="str">
        <f t="shared" si="198"/>
        <v>n</v>
      </c>
      <c r="BC664" s="97"/>
      <c r="BD664" s="96" t="str">
        <f t="shared" si="201"/>
        <v>n</v>
      </c>
      <c r="BE664" s="96" t="str">
        <f t="shared" si="199"/>
        <v>n</v>
      </c>
      <c r="BF664" s="98" t="str">
        <f t="shared" si="202"/>
        <v/>
      </c>
      <c r="BG664" s="96" t="str">
        <f>IF(BF664="","",IF(ISNUMBER(VLOOKUP(BF664,'Conversion factors'!$B$35:$C$52,2,FALSE)),"y","n"))</f>
        <v/>
      </c>
      <c r="BH664" s="99"/>
    </row>
    <row r="665" spans="1:60" s="103" customFormat="1" ht="15.75" customHeight="1" x14ac:dyDescent="0.2">
      <c r="A665" s="18"/>
      <c r="B665" s="19">
        <v>238</v>
      </c>
      <c r="C665" s="19"/>
      <c r="D665" s="19">
        <v>74985</v>
      </c>
      <c r="E665" s="19" t="s">
        <v>1224</v>
      </c>
      <c r="F665" s="93">
        <v>1997</v>
      </c>
      <c r="G665" s="19" t="s">
        <v>657</v>
      </c>
      <c r="H665" s="19"/>
      <c r="I665" s="19" t="s">
        <v>41</v>
      </c>
      <c r="J665" s="19" t="s">
        <v>473</v>
      </c>
      <c r="K665" s="19" t="s">
        <v>250</v>
      </c>
      <c r="L665" s="19" t="s">
        <v>1202</v>
      </c>
      <c r="M665" s="19" t="s">
        <v>1203</v>
      </c>
      <c r="N665" s="19" t="s">
        <v>109</v>
      </c>
      <c r="O665" s="19" t="s">
        <v>235</v>
      </c>
      <c r="P665" s="19" t="s">
        <v>162</v>
      </c>
      <c r="Q665" s="19"/>
      <c r="R665" s="19" t="s">
        <v>81</v>
      </c>
      <c r="S665" s="19" t="s">
        <v>481</v>
      </c>
      <c r="T665" s="19" t="s">
        <v>110</v>
      </c>
      <c r="U665" s="19" t="s">
        <v>44</v>
      </c>
      <c r="V665" s="19" t="s">
        <v>253</v>
      </c>
      <c r="W665" s="19" t="s">
        <v>231</v>
      </c>
      <c r="X665" s="19" t="s">
        <v>46</v>
      </c>
      <c r="Y665" s="29"/>
      <c r="Z665" s="19"/>
      <c r="AA665" s="19"/>
      <c r="AB665" s="19" t="s">
        <v>661</v>
      </c>
      <c r="AC665" s="19" t="s">
        <v>1322</v>
      </c>
      <c r="AD665" s="19"/>
      <c r="AE665" s="19"/>
      <c r="AF665" s="19"/>
      <c r="AG665" s="19" t="s">
        <v>235</v>
      </c>
      <c r="AH665" s="19"/>
      <c r="AI665" s="19"/>
      <c r="AJ665" s="19" t="s">
        <v>234</v>
      </c>
      <c r="AK665" s="19" t="s">
        <v>234</v>
      </c>
      <c r="AL665" s="19"/>
      <c r="AM665" s="19" t="s">
        <v>234</v>
      </c>
      <c r="AN665" s="19" t="s">
        <v>234</v>
      </c>
      <c r="AO665" s="19" t="s">
        <v>235</v>
      </c>
      <c r="AP665" s="94"/>
      <c r="AQ665" s="19" t="s">
        <v>476</v>
      </c>
      <c r="AR665" s="19" t="s">
        <v>241</v>
      </c>
      <c r="AS665" s="19"/>
      <c r="AT665" s="65" t="str">
        <f t="shared" si="200"/>
        <v>N</v>
      </c>
      <c r="AU665" s="65" t="str">
        <f t="shared" si="196"/>
        <v>N</v>
      </c>
      <c r="AV665" s="65" t="str">
        <f t="shared" si="203"/>
        <v>N</v>
      </c>
      <c r="AW665" s="99"/>
      <c r="AX665" s="99"/>
      <c r="AY665" s="19"/>
      <c r="AZ665" s="96" t="str">
        <f t="shared" si="197"/>
        <v>n</v>
      </c>
      <c r="BA665" s="96" t="str">
        <f>IF(AZ665="n","n",VLOOKUP(AZ665,'Conversion factors'!$C$4:$D$24,2,FALSE))</f>
        <v>n</v>
      </c>
      <c r="BB665" s="96" t="str">
        <f t="shared" si="198"/>
        <v>n</v>
      </c>
      <c r="BC665" s="97"/>
      <c r="BD665" s="96" t="str">
        <f t="shared" si="201"/>
        <v>n</v>
      </c>
      <c r="BE665" s="96" t="str">
        <f t="shared" si="199"/>
        <v>n</v>
      </c>
      <c r="BF665" s="98" t="str">
        <f t="shared" si="202"/>
        <v/>
      </c>
      <c r="BG665" s="96" t="str">
        <f>IF(BF665="","",IF(ISNUMBER(VLOOKUP(BF665,'Conversion factors'!$B$35:$C$52,2,FALSE)),"y","n"))</f>
        <v/>
      </c>
      <c r="BH665" s="99"/>
    </row>
    <row r="666" spans="1:60" s="103" customFormat="1" ht="15.75" customHeight="1" x14ac:dyDescent="0.2">
      <c r="A666" s="18"/>
      <c r="B666" s="19">
        <v>238</v>
      </c>
      <c r="C666" s="19"/>
      <c r="D666" s="19">
        <v>74985</v>
      </c>
      <c r="E666" s="19" t="s">
        <v>1224</v>
      </c>
      <c r="F666" s="93">
        <v>1997</v>
      </c>
      <c r="G666" s="19" t="s">
        <v>657</v>
      </c>
      <c r="H666" s="19"/>
      <c r="I666" s="19" t="s">
        <v>41</v>
      </c>
      <c r="J666" s="19" t="s">
        <v>473</v>
      </c>
      <c r="K666" s="19" t="s">
        <v>250</v>
      </c>
      <c r="L666" s="19" t="s">
        <v>1202</v>
      </c>
      <c r="M666" s="19" t="s">
        <v>1203</v>
      </c>
      <c r="N666" s="19" t="s">
        <v>109</v>
      </c>
      <c r="O666" s="19" t="s">
        <v>235</v>
      </c>
      <c r="P666" s="19" t="s">
        <v>162</v>
      </c>
      <c r="Q666" s="19"/>
      <c r="R666" s="19" t="s">
        <v>81</v>
      </c>
      <c r="S666" s="19" t="s">
        <v>402</v>
      </c>
      <c r="T666" s="19" t="s">
        <v>110</v>
      </c>
      <c r="U666" s="19" t="s">
        <v>44</v>
      </c>
      <c r="V666" s="19" t="s">
        <v>253</v>
      </c>
      <c r="W666" s="19" t="s">
        <v>231</v>
      </c>
      <c r="X666" s="19" t="s">
        <v>46</v>
      </c>
      <c r="Y666" s="29"/>
      <c r="Z666" s="19"/>
      <c r="AA666" s="19"/>
      <c r="AB666" s="19" t="s">
        <v>488</v>
      </c>
      <c r="AC666" s="19" t="s">
        <v>1322</v>
      </c>
      <c r="AD666" s="19"/>
      <c r="AE666" s="19"/>
      <c r="AF666" s="19"/>
      <c r="AG666" s="19" t="s">
        <v>235</v>
      </c>
      <c r="AH666" s="19"/>
      <c r="AI666" s="19"/>
      <c r="AJ666" s="19" t="s">
        <v>234</v>
      </c>
      <c r="AK666" s="19" t="s">
        <v>234</v>
      </c>
      <c r="AL666" s="19"/>
      <c r="AM666" s="19" t="s">
        <v>234</v>
      </c>
      <c r="AN666" s="19" t="s">
        <v>234</v>
      </c>
      <c r="AO666" s="19" t="s">
        <v>235</v>
      </c>
      <c r="AP666" s="94"/>
      <c r="AQ666" s="19" t="s">
        <v>476</v>
      </c>
      <c r="AR666" s="19" t="s">
        <v>241</v>
      </c>
      <c r="AS666" s="19"/>
      <c r="AT666" s="65" t="str">
        <f t="shared" si="200"/>
        <v>N</v>
      </c>
      <c r="AU666" s="65" t="str">
        <f t="shared" si="196"/>
        <v>N</v>
      </c>
      <c r="AV666" s="65" t="str">
        <f t="shared" si="203"/>
        <v>N</v>
      </c>
      <c r="AW666" s="99"/>
      <c r="AX666" s="99"/>
      <c r="AY666" s="19"/>
      <c r="AZ666" s="96" t="str">
        <f t="shared" si="197"/>
        <v>n</v>
      </c>
      <c r="BA666" s="96" t="str">
        <f>IF(AZ666="n","n",VLOOKUP(AZ666,'Conversion factors'!$C$4:$D$24,2,FALSE))</f>
        <v>n</v>
      </c>
      <c r="BB666" s="96" t="str">
        <f t="shared" si="198"/>
        <v>n</v>
      </c>
      <c r="BC666" s="97"/>
      <c r="BD666" s="96" t="str">
        <f t="shared" si="201"/>
        <v>n</v>
      </c>
      <c r="BE666" s="96" t="str">
        <f t="shared" si="199"/>
        <v>n</v>
      </c>
      <c r="BF666" s="98" t="str">
        <f t="shared" si="202"/>
        <v/>
      </c>
      <c r="BG666" s="96" t="str">
        <f>IF(BF666="","",IF(ISNUMBER(VLOOKUP(BF666,'Conversion factors'!$B$35:$C$52,2,FALSE)),"y","n"))</f>
        <v/>
      </c>
      <c r="BH666" s="99"/>
    </row>
    <row r="667" spans="1:60" s="103" customFormat="1" ht="15.75" customHeight="1" x14ac:dyDescent="0.2">
      <c r="A667" s="18"/>
      <c r="B667" s="19">
        <v>238</v>
      </c>
      <c r="C667" s="19"/>
      <c r="D667" s="19">
        <v>74985</v>
      </c>
      <c r="E667" s="19" t="s">
        <v>1224</v>
      </c>
      <c r="F667" s="93">
        <v>1997</v>
      </c>
      <c r="G667" s="19" t="s">
        <v>657</v>
      </c>
      <c r="H667" s="19"/>
      <c r="I667" s="19" t="s">
        <v>41</v>
      </c>
      <c r="J667" s="19" t="s">
        <v>473</v>
      </c>
      <c r="K667" s="19" t="s">
        <v>250</v>
      </c>
      <c r="L667" s="19" t="s">
        <v>1202</v>
      </c>
      <c r="M667" s="19" t="s">
        <v>1203</v>
      </c>
      <c r="N667" s="19" t="s">
        <v>109</v>
      </c>
      <c r="O667" s="19" t="s">
        <v>235</v>
      </c>
      <c r="P667" s="19" t="s">
        <v>162</v>
      </c>
      <c r="Q667" s="19"/>
      <c r="R667" s="19" t="s">
        <v>81</v>
      </c>
      <c r="S667" s="19" t="s">
        <v>481</v>
      </c>
      <c r="T667" s="19" t="s">
        <v>55</v>
      </c>
      <c r="U667" s="19" t="s">
        <v>55</v>
      </c>
      <c r="V667" s="19" t="s">
        <v>253</v>
      </c>
      <c r="W667" s="19" t="s">
        <v>231</v>
      </c>
      <c r="X667" s="19" t="s">
        <v>46</v>
      </c>
      <c r="Y667" s="29"/>
      <c r="Z667" s="19"/>
      <c r="AA667" s="19"/>
      <c r="AB667" s="19" t="s">
        <v>500</v>
      </c>
      <c r="AC667" s="19" t="s">
        <v>1322</v>
      </c>
      <c r="AD667" s="19"/>
      <c r="AE667" s="19"/>
      <c r="AF667" s="19"/>
      <c r="AG667" s="19" t="s">
        <v>235</v>
      </c>
      <c r="AH667" s="19"/>
      <c r="AI667" s="19"/>
      <c r="AJ667" s="19" t="s">
        <v>234</v>
      </c>
      <c r="AK667" s="19" t="s">
        <v>234</v>
      </c>
      <c r="AL667" s="19"/>
      <c r="AM667" s="19" t="s">
        <v>234</v>
      </c>
      <c r="AN667" s="19" t="s">
        <v>234</v>
      </c>
      <c r="AO667" s="19" t="s">
        <v>235</v>
      </c>
      <c r="AP667" s="94"/>
      <c r="AQ667" s="19" t="s">
        <v>476</v>
      </c>
      <c r="AR667" s="19" t="s">
        <v>241</v>
      </c>
      <c r="AS667" s="19"/>
      <c r="AT667" s="65" t="str">
        <f t="shared" si="200"/>
        <v>N</v>
      </c>
      <c r="AU667" s="65" t="str">
        <f t="shared" si="196"/>
        <v>N</v>
      </c>
      <c r="AV667" s="65" t="str">
        <f t="shared" si="203"/>
        <v>N</v>
      </c>
      <c r="AW667" s="99"/>
      <c r="AX667" s="99"/>
      <c r="AY667" s="19"/>
      <c r="AZ667" s="96" t="str">
        <f t="shared" si="197"/>
        <v>n</v>
      </c>
      <c r="BA667" s="96" t="str">
        <f>IF(AZ667="n","n",VLOOKUP(AZ667,'Conversion factors'!$C$4:$D$24,2,FALSE))</f>
        <v>n</v>
      </c>
      <c r="BB667" s="96" t="str">
        <f t="shared" si="198"/>
        <v>n</v>
      </c>
      <c r="BC667" s="97"/>
      <c r="BD667" s="96" t="str">
        <f t="shared" si="201"/>
        <v>n</v>
      </c>
      <c r="BE667" s="96" t="str">
        <f t="shared" si="199"/>
        <v>n</v>
      </c>
      <c r="BF667" s="98" t="str">
        <f t="shared" si="202"/>
        <v/>
      </c>
      <c r="BG667" s="96" t="str">
        <f>IF(BF667="","",IF(ISNUMBER(VLOOKUP(BF667,'Conversion factors'!$B$35:$C$52,2,FALSE)),"y","n"))</f>
        <v/>
      </c>
      <c r="BH667" s="99"/>
    </row>
    <row r="668" spans="1:60" s="103" customFormat="1" ht="15.75" customHeight="1" x14ac:dyDescent="0.2">
      <c r="A668" s="18"/>
      <c r="B668" s="19">
        <v>238</v>
      </c>
      <c r="C668" s="19"/>
      <c r="D668" s="19">
        <v>74985</v>
      </c>
      <c r="E668" s="19" t="s">
        <v>1224</v>
      </c>
      <c r="F668" s="93">
        <v>1997</v>
      </c>
      <c r="G668" s="19" t="s">
        <v>657</v>
      </c>
      <c r="H668" s="19"/>
      <c r="I668" s="19" t="s">
        <v>41</v>
      </c>
      <c r="J668" s="19" t="s">
        <v>473</v>
      </c>
      <c r="K668" s="19" t="s">
        <v>250</v>
      </c>
      <c r="L668" s="19" t="s">
        <v>1202</v>
      </c>
      <c r="M668" s="19" t="s">
        <v>1203</v>
      </c>
      <c r="N668" s="19" t="s">
        <v>109</v>
      </c>
      <c r="O668" s="19" t="s">
        <v>235</v>
      </c>
      <c r="P668" s="19" t="s">
        <v>162</v>
      </c>
      <c r="Q668" s="19"/>
      <c r="R668" s="19" t="s">
        <v>81</v>
      </c>
      <c r="S668" s="19" t="s">
        <v>478</v>
      </c>
      <c r="T668" s="19" t="s">
        <v>55</v>
      </c>
      <c r="U668" s="19" t="s">
        <v>55</v>
      </c>
      <c r="V668" s="19" t="s">
        <v>253</v>
      </c>
      <c r="W668" s="19" t="s">
        <v>231</v>
      </c>
      <c r="X668" s="19" t="s">
        <v>46</v>
      </c>
      <c r="Y668" s="29"/>
      <c r="Z668" s="19"/>
      <c r="AA668" s="19"/>
      <c r="AB668" s="19" t="s">
        <v>497</v>
      </c>
      <c r="AC668" s="19" t="s">
        <v>1322</v>
      </c>
      <c r="AD668" s="19"/>
      <c r="AE668" s="19"/>
      <c r="AF668" s="19"/>
      <c r="AG668" s="19" t="s">
        <v>235</v>
      </c>
      <c r="AH668" s="19"/>
      <c r="AI668" s="19"/>
      <c r="AJ668" s="19" t="s">
        <v>234</v>
      </c>
      <c r="AK668" s="19" t="s">
        <v>234</v>
      </c>
      <c r="AL668" s="19"/>
      <c r="AM668" s="19" t="s">
        <v>234</v>
      </c>
      <c r="AN668" s="19" t="s">
        <v>234</v>
      </c>
      <c r="AO668" s="19" t="s">
        <v>235</v>
      </c>
      <c r="AP668" s="94"/>
      <c r="AQ668" s="19" t="s">
        <v>476</v>
      </c>
      <c r="AR668" s="19" t="s">
        <v>241</v>
      </c>
      <c r="AS668" s="19"/>
      <c r="AT668" s="65" t="str">
        <f t="shared" si="200"/>
        <v>N</v>
      </c>
      <c r="AU668" s="65" t="str">
        <f t="shared" si="196"/>
        <v>N</v>
      </c>
      <c r="AV668" s="65" t="str">
        <f t="shared" si="203"/>
        <v>N</v>
      </c>
      <c r="AW668" s="99"/>
      <c r="AX668" s="99"/>
      <c r="AY668" s="19"/>
      <c r="AZ668" s="96" t="str">
        <f t="shared" si="197"/>
        <v>n</v>
      </c>
      <c r="BA668" s="96" t="str">
        <f>IF(AZ668="n","n",VLOOKUP(AZ668,'Conversion factors'!$C$4:$D$24,2,FALSE))</f>
        <v>n</v>
      </c>
      <c r="BB668" s="96" t="str">
        <f t="shared" si="198"/>
        <v>n</v>
      </c>
      <c r="BC668" s="97"/>
      <c r="BD668" s="96" t="str">
        <f t="shared" si="201"/>
        <v>n</v>
      </c>
      <c r="BE668" s="96" t="str">
        <f t="shared" si="199"/>
        <v>n</v>
      </c>
      <c r="BF668" s="98" t="str">
        <f t="shared" si="202"/>
        <v/>
      </c>
      <c r="BG668" s="96" t="str">
        <f>IF(BF668="","",IF(ISNUMBER(VLOOKUP(BF668,'Conversion factors'!$B$35:$C$52,2,FALSE)),"y","n"))</f>
        <v/>
      </c>
      <c r="BH668" s="99"/>
    </row>
    <row r="669" spans="1:60" s="103" customFormat="1" ht="15.75" customHeight="1" x14ac:dyDescent="0.2">
      <c r="A669" s="18"/>
      <c r="B669" s="19">
        <v>238</v>
      </c>
      <c r="C669" s="19"/>
      <c r="D669" s="19">
        <v>74985</v>
      </c>
      <c r="E669" s="19" t="s">
        <v>1224</v>
      </c>
      <c r="F669" s="93">
        <v>1997</v>
      </c>
      <c r="G669" s="19" t="s">
        <v>657</v>
      </c>
      <c r="H669" s="19"/>
      <c r="I669" s="19" t="s">
        <v>41</v>
      </c>
      <c r="J669" s="19" t="s">
        <v>473</v>
      </c>
      <c r="K669" s="19" t="s">
        <v>250</v>
      </c>
      <c r="L669" s="19" t="s">
        <v>1202</v>
      </c>
      <c r="M669" s="19" t="s">
        <v>1203</v>
      </c>
      <c r="N669" s="19" t="s">
        <v>109</v>
      </c>
      <c r="O669" s="19" t="s">
        <v>235</v>
      </c>
      <c r="P669" s="19" t="s">
        <v>162</v>
      </c>
      <c r="Q669" s="19"/>
      <c r="R669" s="19" t="s">
        <v>81</v>
      </c>
      <c r="S669" s="19" t="s">
        <v>474</v>
      </c>
      <c r="T669" s="19" t="s">
        <v>55</v>
      </c>
      <c r="U669" s="19" t="s">
        <v>55</v>
      </c>
      <c r="V669" s="19" t="s">
        <v>253</v>
      </c>
      <c r="W669" s="19" t="s">
        <v>231</v>
      </c>
      <c r="X669" s="19" t="s">
        <v>46</v>
      </c>
      <c r="Y669" s="29"/>
      <c r="Z669" s="19"/>
      <c r="AA669" s="19"/>
      <c r="AB669" s="19" t="s">
        <v>500</v>
      </c>
      <c r="AC669" s="19" t="s">
        <v>1322</v>
      </c>
      <c r="AD669" s="19"/>
      <c r="AE669" s="19"/>
      <c r="AF669" s="19"/>
      <c r="AG669" s="19" t="s">
        <v>235</v>
      </c>
      <c r="AH669" s="19"/>
      <c r="AI669" s="19"/>
      <c r="AJ669" s="19" t="s">
        <v>234</v>
      </c>
      <c r="AK669" s="19" t="s">
        <v>234</v>
      </c>
      <c r="AL669" s="19"/>
      <c r="AM669" s="19" t="s">
        <v>234</v>
      </c>
      <c r="AN669" s="19" t="s">
        <v>234</v>
      </c>
      <c r="AO669" s="19" t="s">
        <v>235</v>
      </c>
      <c r="AP669" s="94"/>
      <c r="AQ669" s="19" t="s">
        <v>476</v>
      </c>
      <c r="AR669" s="19" t="s">
        <v>241</v>
      </c>
      <c r="AS669" s="19"/>
      <c r="AT669" s="65" t="str">
        <f t="shared" si="200"/>
        <v>N</v>
      </c>
      <c r="AU669" s="65" t="str">
        <f t="shared" si="196"/>
        <v>N</v>
      </c>
      <c r="AV669" s="65" t="str">
        <f t="shared" si="203"/>
        <v>N</v>
      </c>
      <c r="AW669" s="99"/>
      <c r="AX669" s="99"/>
      <c r="AY669" s="19"/>
      <c r="AZ669" s="96" t="str">
        <f t="shared" si="197"/>
        <v>n</v>
      </c>
      <c r="BA669" s="96" t="str">
        <f>IF(AZ669="n","n",VLOOKUP(AZ669,'Conversion factors'!$C$4:$D$24,2,FALSE))</f>
        <v>n</v>
      </c>
      <c r="BB669" s="96" t="str">
        <f t="shared" si="198"/>
        <v>n</v>
      </c>
      <c r="BC669" s="97"/>
      <c r="BD669" s="96" t="str">
        <f t="shared" si="201"/>
        <v>n</v>
      </c>
      <c r="BE669" s="96" t="str">
        <f t="shared" si="199"/>
        <v>n</v>
      </c>
      <c r="BF669" s="98" t="str">
        <f t="shared" si="202"/>
        <v/>
      </c>
      <c r="BG669" s="96" t="str">
        <f>IF(BF669="","",IF(ISNUMBER(VLOOKUP(BF669,'Conversion factors'!$B$35:$C$52,2,FALSE)),"y","n"))</f>
        <v/>
      </c>
      <c r="BH669" s="99"/>
    </row>
    <row r="670" spans="1:60" s="103" customFormat="1" ht="15.75" customHeight="1" x14ac:dyDescent="0.2">
      <c r="A670" s="18"/>
      <c r="B670" s="19">
        <v>238</v>
      </c>
      <c r="C670" s="19"/>
      <c r="D670" s="19">
        <v>74985</v>
      </c>
      <c r="E670" s="19" t="s">
        <v>1224</v>
      </c>
      <c r="F670" s="93">
        <v>1997</v>
      </c>
      <c r="G670" s="19" t="s">
        <v>657</v>
      </c>
      <c r="H670" s="19"/>
      <c r="I670" s="19" t="s">
        <v>41</v>
      </c>
      <c r="J670" s="19" t="s">
        <v>473</v>
      </c>
      <c r="K670" s="19" t="s">
        <v>250</v>
      </c>
      <c r="L670" s="19" t="s">
        <v>1202</v>
      </c>
      <c r="M670" s="19" t="s">
        <v>1203</v>
      </c>
      <c r="N670" s="19" t="s">
        <v>109</v>
      </c>
      <c r="O670" s="19" t="s">
        <v>235</v>
      </c>
      <c r="P670" s="19" t="s">
        <v>162</v>
      </c>
      <c r="Q670" s="19"/>
      <c r="R670" s="19" t="s">
        <v>81</v>
      </c>
      <c r="S670" s="19" t="s">
        <v>402</v>
      </c>
      <c r="T670" s="19" t="s">
        <v>55</v>
      </c>
      <c r="U670" s="19" t="s">
        <v>55</v>
      </c>
      <c r="V670" s="19" t="s">
        <v>253</v>
      </c>
      <c r="W670" s="19" t="s">
        <v>231</v>
      </c>
      <c r="X670" s="19" t="s">
        <v>46</v>
      </c>
      <c r="Y670" s="29"/>
      <c r="Z670" s="19"/>
      <c r="AA670" s="19"/>
      <c r="AB670" s="19" t="s">
        <v>497</v>
      </c>
      <c r="AC670" s="19" t="s">
        <v>1322</v>
      </c>
      <c r="AD670" s="19"/>
      <c r="AE670" s="19"/>
      <c r="AF670" s="19"/>
      <c r="AG670" s="19" t="s">
        <v>235</v>
      </c>
      <c r="AH670" s="19"/>
      <c r="AI670" s="19"/>
      <c r="AJ670" s="19" t="s">
        <v>234</v>
      </c>
      <c r="AK670" s="19" t="s">
        <v>234</v>
      </c>
      <c r="AL670" s="19"/>
      <c r="AM670" s="19" t="s">
        <v>234</v>
      </c>
      <c r="AN670" s="19" t="s">
        <v>234</v>
      </c>
      <c r="AO670" s="19" t="s">
        <v>235</v>
      </c>
      <c r="AP670" s="94"/>
      <c r="AQ670" s="19" t="s">
        <v>476</v>
      </c>
      <c r="AR670" s="19" t="s">
        <v>241</v>
      </c>
      <c r="AS670" s="19"/>
      <c r="AT670" s="65" t="str">
        <f t="shared" si="200"/>
        <v>N</v>
      </c>
      <c r="AU670" s="65" t="str">
        <f t="shared" si="196"/>
        <v>N</v>
      </c>
      <c r="AV670" s="65" t="str">
        <f t="shared" si="203"/>
        <v>N</v>
      </c>
      <c r="AW670" s="99"/>
      <c r="AX670" s="99"/>
      <c r="AY670" s="19"/>
      <c r="AZ670" s="96" t="str">
        <f t="shared" si="197"/>
        <v>n</v>
      </c>
      <c r="BA670" s="96" t="str">
        <f>IF(AZ670="n","n",VLOOKUP(AZ670,'Conversion factors'!$C$4:$D$24,2,FALSE))</f>
        <v>n</v>
      </c>
      <c r="BB670" s="96" t="str">
        <f t="shared" si="198"/>
        <v>n</v>
      </c>
      <c r="BC670" s="97"/>
      <c r="BD670" s="96" t="str">
        <f t="shared" si="201"/>
        <v>n</v>
      </c>
      <c r="BE670" s="96" t="str">
        <f t="shared" si="199"/>
        <v>n</v>
      </c>
      <c r="BF670" s="98" t="str">
        <f t="shared" si="202"/>
        <v/>
      </c>
      <c r="BG670" s="96" t="str">
        <f>IF(BF670="","",IF(ISNUMBER(VLOOKUP(BF670,'Conversion factors'!$B$35:$C$52,2,FALSE)),"y","n"))</f>
        <v/>
      </c>
      <c r="BH670" s="99"/>
    </row>
    <row r="671" spans="1:60" s="103" customFormat="1" ht="15.75" customHeight="1" x14ac:dyDescent="0.2">
      <c r="A671" s="18"/>
      <c r="B671" s="19">
        <v>238</v>
      </c>
      <c r="C671" s="19"/>
      <c r="D671" s="19">
        <v>74985</v>
      </c>
      <c r="E671" s="19" t="s">
        <v>1224</v>
      </c>
      <c r="F671" s="93">
        <v>1997</v>
      </c>
      <c r="G671" s="19" t="s">
        <v>657</v>
      </c>
      <c r="H671" s="19"/>
      <c r="I671" s="19" t="s">
        <v>41</v>
      </c>
      <c r="J671" s="19" t="s">
        <v>473</v>
      </c>
      <c r="K671" s="19" t="s">
        <v>250</v>
      </c>
      <c r="L671" s="19" t="s">
        <v>1202</v>
      </c>
      <c r="M671" s="19" t="s">
        <v>1203</v>
      </c>
      <c r="N671" s="19" t="s">
        <v>109</v>
      </c>
      <c r="O671" s="19" t="s">
        <v>235</v>
      </c>
      <c r="P671" s="19" t="s">
        <v>162</v>
      </c>
      <c r="Q671" s="19"/>
      <c r="R671" s="19" t="s">
        <v>81</v>
      </c>
      <c r="S671" s="19" t="s">
        <v>478</v>
      </c>
      <c r="T671" s="19" t="s">
        <v>54</v>
      </c>
      <c r="U671" s="19" t="s">
        <v>54</v>
      </c>
      <c r="V671" s="19" t="s">
        <v>253</v>
      </c>
      <c r="W671" s="19" t="s">
        <v>231</v>
      </c>
      <c r="X671" s="19" t="s">
        <v>46</v>
      </c>
      <c r="Y671" s="29"/>
      <c r="Z671" s="19"/>
      <c r="AA671" s="19"/>
      <c r="AB671" s="19" t="s">
        <v>502</v>
      </c>
      <c r="AC671" s="19" t="s">
        <v>1322</v>
      </c>
      <c r="AD671" s="19"/>
      <c r="AE671" s="19"/>
      <c r="AF671" s="19"/>
      <c r="AG671" s="19" t="s">
        <v>235</v>
      </c>
      <c r="AH671" s="19"/>
      <c r="AI671" s="19"/>
      <c r="AJ671" s="19" t="s">
        <v>234</v>
      </c>
      <c r="AK671" s="19" t="s">
        <v>234</v>
      </c>
      <c r="AL671" s="19"/>
      <c r="AM671" s="19" t="s">
        <v>234</v>
      </c>
      <c r="AN671" s="19" t="s">
        <v>234</v>
      </c>
      <c r="AO671" s="19" t="s">
        <v>235</v>
      </c>
      <c r="AP671" s="94"/>
      <c r="AQ671" s="19" t="s">
        <v>476</v>
      </c>
      <c r="AR671" s="19" t="s">
        <v>241</v>
      </c>
      <c r="AS671" s="19"/>
      <c r="AT671" s="65" t="str">
        <f t="shared" si="200"/>
        <v>N</v>
      </c>
      <c r="AU671" s="65" t="str">
        <f t="shared" si="196"/>
        <v>N</v>
      </c>
      <c r="AV671" s="65" t="str">
        <f t="shared" si="203"/>
        <v>N</v>
      </c>
      <c r="AW671" s="99"/>
      <c r="AX671" s="99"/>
      <c r="AY671" s="19"/>
      <c r="AZ671" s="96" t="str">
        <f t="shared" si="197"/>
        <v>n</v>
      </c>
      <c r="BA671" s="96" t="str">
        <f>IF(AZ671="n","n",VLOOKUP(AZ671,'Conversion factors'!$C$4:$D$24,2,FALSE))</f>
        <v>n</v>
      </c>
      <c r="BB671" s="96" t="str">
        <f t="shared" si="198"/>
        <v>n</v>
      </c>
      <c r="BC671" s="97"/>
      <c r="BD671" s="96" t="str">
        <f t="shared" si="201"/>
        <v>n</v>
      </c>
      <c r="BE671" s="96" t="str">
        <f t="shared" si="199"/>
        <v>n</v>
      </c>
      <c r="BF671" s="98" t="str">
        <f t="shared" si="202"/>
        <v/>
      </c>
      <c r="BG671" s="96" t="str">
        <f>IF(BF671="","",IF(ISNUMBER(VLOOKUP(BF671,'Conversion factors'!$B$35:$C$52,2,FALSE)),"y","n"))</f>
        <v/>
      </c>
      <c r="BH671" s="99"/>
    </row>
    <row r="672" spans="1:60" s="103" customFormat="1" ht="15.75" customHeight="1" x14ac:dyDescent="0.2">
      <c r="A672" s="18"/>
      <c r="B672" s="19">
        <v>238</v>
      </c>
      <c r="C672" s="19"/>
      <c r="D672" s="19">
        <v>74985</v>
      </c>
      <c r="E672" s="19" t="s">
        <v>1224</v>
      </c>
      <c r="F672" s="93">
        <v>1997</v>
      </c>
      <c r="G672" s="19" t="s">
        <v>657</v>
      </c>
      <c r="H672" s="19"/>
      <c r="I672" s="19" t="s">
        <v>41</v>
      </c>
      <c r="J672" s="19" t="s">
        <v>473</v>
      </c>
      <c r="K672" s="19" t="s">
        <v>250</v>
      </c>
      <c r="L672" s="19" t="s">
        <v>1202</v>
      </c>
      <c r="M672" s="19" t="s">
        <v>1203</v>
      </c>
      <c r="N672" s="19" t="s">
        <v>109</v>
      </c>
      <c r="O672" s="19" t="s">
        <v>235</v>
      </c>
      <c r="P672" s="19" t="s">
        <v>162</v>
      </c>
      <c r="Q672" s="19"/>
      <c r="R672" s="19" t="s">
        <v>81</v>
      </c>
      <c r="S672" s="19" t="s">
        <v>474</v>
      </c>
      <c r="T672" s="19" t="s">
        <v>54</v>
      </c>
      <c r="U672" s="19" t="s">
        <v>54</v>
      </c>
      <c r="V672" s="19" t="s">
        <v>253</v>
      </c>
      <c r="W672" s="19" t="s">
        <v>231</v>
      </c>
      <c r="X672" s="19" t="s">
        <v>46</v>
      </c>
      <c r="Y672" s="29"/>
      <c r="Z672" s="19"/>
      <c r="AA672" s="19"/>
      <c r="AB672" s="19" t="s">
        <v>499</v>
      </c>
      <c r="AC672" s="19" t="s">
        <v>1322</v>
      </c>
      <c r="AD672" s="19"/>
      <c r="AE672" s="19"/>
      <c r="AF672" s="19"/>
      <c r="AG672" s="19" t="s">
        <v>235</v>
      </c>
      <c r="AH672" s="19"/>
      <c r="AI672" s="19"/>
      <c r="AJ672" s="19" t="s">
        <v>234</v>
      </c>
      <c r="AK672" s="19" t="s">
        <v>234</v>
      </c>
      <c r="AL672" s="19"/>
      <c r="AM672" s="19" t="s">
        <v>234</v>
      </c>
      <c r="AN672" s="19" t="s">
        <v>234</v>
      </c>
      <c r="AO672" s="19" t="s">
        <v>235</v>
      </c>
      <c r="AP672" s="94"/>
      <c r="AQ672" s="19" t="s">
        <v>476</v>
      </c>
      <c r="AR672" s="19" t="s">
        <v>241</v>
      </c>
      <c r="AS672" s="19"/>
      <c r="AT672" s="65" t="str">
        <f t="shared" si="200"/>
        <v>N</v>
      </c>
      <c r="AU672" s="65" t="str">
        <f t="shared" ref="AU672:AU735" si="204">IF(AT672="N","N",IF(AJ672&lt;6,"N",IF(AJ672&gt;8.5,"N","Y")))</f>
        <v>N</v>
      </c>
      <c r="AV672" s="65" t="str">
        <f t="shared" si="203"/>
        <v>N</v>
      </c>
      <c r="AW672" s="99"/>
      <c r="AX672" s="99"/>
      <c r="AY672" s="19"/>
      <c r="AZ672" s="96" t="str">
        <f t="shared" si="197"/>
        <v>n</v>
      </c>
      <c r="BA672" s="96" t="str">
        <f>IF(AZ672="n","n",VLOOKUP(AZ672,'Conversion factors'!$C$4:$D$24,2,FALSE))</f>
        <v>n</v>
      </c>
      <c r="BB672" s="96" t="str">
        <f t="shared" si="198"/>
        <v>n</v>
      </c>
      <c r="BC672" s="97"/>
      <c r="BD672" s="96" t="str">
        <f t="shared" si="201"/>
        <v>n</v>
      </c>
      <c r="BE672" s="96" t="str">
        <f t="shared" si="199"/>
        <v>n</v>
      </c>
      <c r="BF672" s="98" t="str">
        <f t="shared" si="202"/>
        <v/>
      </c>
      <c r="BG672" s="96" t="str">
        <f>IF(BF672="","",IF(ISNUMBER(VLOOKUP(BF672,'Conversion factors'!$B$35:$C$52,2,FALSE)),"y","n"))</f>
        <v/>
      </c>
      <c r="BH672" s="99"/>
    </row>
    <row r="673" spans="1:60" s="103" customFormat="1" ht="15.75" customHeight="1" x14ac:dyDescent="0.2">
      <c r="A673" s="18"/>
      <c r="B673" s="19">
        <v>238</v>
      </c>
      <c r="C673" s="19"/>
      <c r="D673" s="19">
        <v>74985</v>
      </c>
      <c r="E673" s="19" t="s">
        <v>1224</v>
      </c>
      <c r="F673" s="93">
        <v>1997</v>
      </c>
      <c r="G673" s="19" t="s">
        <v>657</v>
      </c>
      <c r="H673" s="19"/>
      <c r="I673" s="19" t="s">
        <v>41</v>
      </c>
      <c r="J673" s="19" t="s">
        <v>473</v>
      </c>
      <c r="K673" s="19" t="s">
        <v>250</v>
      </c>
      <c r="L673" s="19" t="s">
        <v>1202</v>
      </c>
      <c r="M673" s="19" t="s">
        <v>1203</v>
      </c>
      <c r="N673" s="19" t="s">
        <v>109</v>
      </c>
      <c r="O673" s="19" t="s">
        <v>235</v>
      </c>
      <c r="P673" s="19" t="s">
        <v>162</v>
      </c>
      <c r="Q673" s="19"/>
      <c r="R673" s="19" t="s">
        <v>81</v>
      </c>
      <c r="S673" s="19" t="s">
        <v>402</v>
      </c>
      <c r="T673" s="19" t="s">
        <v>54</v>
      </c>
      <c r="U673" s="19" t="s">
        <v>54</v>
      </c>
      <c r="V673" s="19" t="s">
        <v>253</v>
      </c>
      <c r="W673" s="19" t="s">
        <v>231</v>
      </c>
      <c r="X673" s="19" t="s">
        <v>46</v>
      </c>
      <c r="Y673" s="29"/>
      <c r="Z673" s="19"/>
      <c r="AA673" s="19"/>
      <c r="AB673" s="19" t="s">
        <v>502</v>
      </c>
      <c r="AC673" s="19" t="s">
        <v>1322</v>
      </c>
      <c r="AD673" s="19"/>
      <c r="AE673" s="19"/>
      <c r="AF673" s="19"/>
      <c r="AG673" s="19" t="s">
        <v>235</v>
      </c>
      <c r="AH673" s="19"/>
      <c r="AI673" s="19"/>
      <c r="AJ673" s="19" t="s">
        <v>234</v>
      </c>
      <c r="AK673" s="19" t="s">
        <v>234</v>
      </c>
      <c r="AL673" s="19"/>
      <c r="AM673" s="19" t="s">
        <v>234</v>
      </c>
      <c r="AN673" s="19" t="s">
        <v>234</v>
      </c>
      <c r="AO673" s="19" t="s">
        <v>235</v>
      </c>
      <c r="AP673" s="94"/>
      <c r="AQ673" s="19" t="s">
        <v>476</v>
      </c>
      <c r="AR673" s="19" t="s">
        <v>241</v>
      </c>
      <c r="AS673" s="19"/>
      <c r="AT673" s="65" t="str">
        <f t="shared" si="200"/>
        <v>N</v>
      </c>
      <c r="AU673" s="65" t="str">
        <f t="shared" si="204"/>
        <v>N</v>
      </c>
      <c r="AV673" s="65" t="str">
        <f t="shared" si="203"/>
        <v>N</v>
      </c>
      <c r="AW673" s="99"/>
      <c r="AX673" s="99"/>
      <c r="AY673" s="19"/>
      <c r="AZ673" s="96" t="str">
        <f t="shared" ref="AZ673:AZ736" si="205">IF(AV673="N","n",T673)</f>
        <v>n</v>
      </c>
      <c r="BA673" s="96" t="str">
        <f>IF(AZ673="n","n",VLOOKUP(AZ673,'Conversion factors'!$C$4:$D$24,2,FALSE))</f>
        <v>n</v>
      </c>
      <c r="BB673" s="96" t="str">
        <f t="shared" ref="BB673:BB736" si="206">IF(BA673="n","n",AB673/BA673)</f>
        <v>n</v>
      </c>
      <c r="BC673" s="97"/>
      <c r="BD673" s="96" t="str">
        <f t="shared" si="201"/>
        <v>n</v>
      </c>
      <c r="BE673" s="96" t="str">
        <f t="shared" ref="BE673:BE736" si="207">IF(BD673="chronic","y","n")</f>
        <v>n</v>
      </c>
      <c r="BF673" s="98" t="str">
        <f t="shared" si="202"/>
        <v/>
      </c>
      <c r="BG673" s="96" t="str">
        <f>IF(BF673="","",IF(ISNUMBER(VLOOKUP(BF673,'Conversion factors'!$B$35:$C$52,2,FALSE)),"y","n"))</f>
        <v/>
      </c>
      <c r="BH673" s="99"/>
    </row>
    <row r="674" spans="1:60" s="103" customFormat="1" ht="15.75" customHeight="1" x14ac:dyDescent="0.2">
      <c r="A674" s="18"/>
      <c r="B674" s="19">
        <v>238</v>
      </c>
      <c r="C674" s="19"/>
      <c r="D674" s="19">
        <v>74985</v>
      </c>
      <c r="E674" s="19" t="s">
        <v>1224</v>
      </c>
      <c r="F674" s="93">
        <v>1997</v>
      </c>
      <c r="G674" s="19" t="s">
        <v>657</v>
      </c>
      <c r="H674" s="19"/>
      <c r="I674" s="19" t="s">
        <v>41</v>
      </c>
      <c r="J674" s="19" t="s">
        <v>473</v>
      </c>
      <c r="K674" s="19" t="s">
        <v>250</v>
      </c>
      <c r="L674" s="19" t="s">
        <v>1202</v>
      </c>
      <c r="M674" s="19" t="s">
        <v>1203</v>
      </c>
      <c r="N674" s="19" t="s">
        <v>109</v>
      </c>
      <c r="O674" s="19" t="s">
        <v>235</v>
      </c>
      <c r="P674" s="19" t="s">
        <v>162</v>
      </c>
      <c r="Q674" s="19"/>
      <c r="R674" s="19" t="s">
        <v>81</v>
      </c>
      <c r="S674" s="19" t="s">
        <v>481</v>
      </c>
      <c r="T674" s="19" t="s">
        <v>54</v>
      </c>
      <c r="U674" s="19" t="s">
        <v>54</v>
      </c>
      <c r="V674" s="19" t="s">
        <v>253</v>
      </c>
      <c r="W674" s="19" t="s">
        <v>231</v>
      </c>
      <c r="X674" s="19" t="s">
        <v>46</v>
      </c>
      <c r="Y674" s="29"/>
      <c r="Z674" s="19"/>
      <c r="AA674" s="19"/>
      <c r="AB674" s="19" t="s">
        <v>499</v>
      </c>
      <c r="AC674" s="19" t="s">
        <v>1322</v>
      </c>
      <c r="AD674" s="19"/>
      <c r="AE674" s="19"/>
      <c r="AF674" s="19"/>
      <c r="AG674" s="19" t="s">
        <v>235</v>
      </c>
      <c r="AH674" s="19"/>
      <c r="AI674" s="19"/>
      <c r="AJ674" s="19" t="s">
        <v>234</v>
      </c>
      <c r="AK674" s="19" t="s">
        <v>234</v>
      </c>
      <c r="AL674" s="19"/>
      <c r="AM674" s="19" t="s">
        <v>234</v>
      </c>
      <c r="AN674" s="19" t="s">
        <v>234</v>
      </c>
      <c r="AO674" s="19" t="s">
        <v>235</v>
      </c>
      <c r="AP674" s="94"/>
      <c r="AQ674" s="19" t="s">
        <v>476</v>
      </c>
      <c r="AR674" s="19" t="s">
        <v>241</v>
      </c>
      <c r="AS674" s="19"/>
      <c r="AT674" s="65" t="str">
        <f t="shared" si="200"/>
        <v>N</v>
      </c>
      <c r="AU674" s="65" t="str">
        <f t="shared" si="204"/>
        <v>N</v>
      </c>
      <c r="AV674" s="65" t="str">
        <f t="shared" si="203"/>
        <v>N</v>
      </c>
      <c r="AW674" s="99"/>
      <c r="AX674" s="99"/>
      <c r="AY674" s="19"/>
      <c r="AZ674" s="96" t="str">
        <f t="shared" si="205"/>
        <v>n</v>
      </c>
      <c r="BA674" s="96" t="str">
        <f>IF(AZ674="n","n",VLOOKUP(AZ674,'Conversion factors'!$C$4:$D$24,2,FALSE))</f>
        <v>n</v>
      </c>
      <c r="BB674" s="96" t="str">
        <f t="shared" si="206"/>
        <v>n</v>
      </c>
      <c r="BC674" s="97"/>
      <c r="BD674" s="96" t="str">
        <f t="shared" si="201"/>
        <v>n</v>
      </c>
      <c r="BE674" s="96" t="str">
        <f t="shared" si="207"/>
        <v>n</v>
      </c>
      <c r="BF674" s="98" t="str">
        <f t="shared" si="202"/>
        <v/>
      </c>
      <c r="BG674" s="96" t="str">
        <f>IF(BF674="","",IF(ISNUMBER(VLOOKUP(BF674,'Conversion factors'!$B$35:$C$52,2,FALSE)),"y","n"))</f>
        <v/>
      </c>
      <c r="BH674" s="99"/>
    </row>
    <row r="675" spans="1:60" s="103" customFormat="1" ht="15.75" customHeight="1" x14ac:dyDescent="0.2">
      <c r="A675" s="18"/>
      <c r="B675" s="19">
        <v>238</v>
      </c>
      <c r="C675" s="19"/>
      <c r="D675" s="19">
        <v>74985</v>
      </c>
      <c r="E675" s="19" t="s">
        <v>1224</v>
      </c>
      <c r="F675" s="93">
        <v>1997</v>
      </c>
      <c r="G675" s="19" t="s">
        <v>657</v>
      </c>
      <c r="H675" s="19"/>
      <c r="I675" s="19" t="s">
        <v>41</v>
      </c>
      <c r="J675" s="19" t="s">
        <v>473</v>
      </c>
      <c r="K675" s="19" t="s">
        <v>250</v>
      </c>
      <c r="L675" s="19" t="s">
        <v>1202</v>
      </c>
      <c r="M675" s="19" t="s">
        <v>1203</v>
      </c>
      <c r="N675" s="19" t="s">
        <v>109</v>
      </c>
      <c r="O675" s="19" t="s">
        <v>235</v>
      </c>
      <c r="P675" s="19" t="s">
        <v>162</v>
      </c>
      <c r="Q675" s="19"/>
      <c r="R675" s="19" t="s">
        <v>537</v>
      </c>
      <c r="S675" s="19" t="s">
        <v>402</v>
      </c>
      <c r="T675" s="19" t="s">
        <v>110</v>
      </c>
      <c r="U675" s="19" t="s">
        <v>44</v>
      </c>
      <c r="V675" s="19" t="s">
        <v>85</v>
      </c>
      <c r="W675" s="19" t="s">
        <v>231</v>
      </c>
      <c r="X675" s="19" t="s">
        <v>46</v>
      </c>
      <c r="Y675" s="29"/>
      <c r="Z675" s="19"/>
      <c r="AA675" s="19"/>
      <c r="AB675" s="19" t="s">
        <v>663</v>
      </c>
      <c r="AC675" s="19" t="s">
        <v>1322</v>
      </c>
      <c r="AD675" s="19"/>
      <c r="AE675" s="19"/>
      <c r="AF675" s="19"/>
      <c r="AG675" s="19" t="s">
        <v>235</v>
      </c>
      <c r="AH675" s="19"/>
      <c r="AI675" s="19"/>
      <c r="AJ675" s="19" t="s">
        <v>234</v>
      </c>
      <c r="AK675" s="19" t="s">
        <v>234</v>
      </c>
      <c r="AL675" s="19"/>
      <c r="AM675" s="19" t="s">
        <v>234</v>
      </c>
      <c r="AN675" s="19" t="s">
        <v>234</v>
      </c>
      <c r="AO675" s="19" t="s">
        <v>235</v>
      </c>
      <c r="AP675" s="94"/>
      <c r="AQ675" s="19" t="s">
        <v>476</v>
      </c>
      <c r="AR675" s="19" t="s">
        <v>241</v>
      </c>
      <c r="AS675" s="19"/>
      <c r="AT675" s="65" t="str">
        <f t="shared" si="200"/>
        <v>N</v>
      </c>
      <c r="AU675" s="65" t="str">
        <f t="shared" si="204"/>
        <v>N</v>
      </c>
      <c r="AV675" s="65" t="str">
        <f t="shared" si="203"/>
        <v>N</v>
      </c>
      <c r="AW675" s="99"/>
      <c r="AX675" s="99"/>
      <c r="AY675" s="19"/>
      <c r="AZ675" s="96" t="str">
        <f t="shared" si="205"/>
        <v>n</v>
      </c>
      <c r="BA675" s="96" t="str">
        <f>IF(AZ675="n","n",VLOOKUP(AZ675,'Conversion factors'!$C$4:$D$24,2,FALSE))</f>
        <v>n</v>
      </c>
      <c r="BB675" s="96" t="str">
        <f t="shared" si="206"/>
        <v>n</v>
      </c>
      <c r="BC675" s="97"/>
      <c r="BD675" s="96" t="str">
        <f t="shared" si="201"/>
        <v>n</v>
      </c>
      <c r="BE675" s="96" t="str">
        <f t="shared" si="207"/>
        <v>n</v>
      </c>
      <c r="BF675" s="98" t="str">
        <f t="shared" si="202"/>
        <v/>
      </c>
      <c r="BG675" s="96" t="str">
        <f>IF(BF675="","",IF(ISNUMBER(VLOOKUP(BF675,'Conversion factors'!$B$35:$C$52,2,FALSE)),"y","n"))</f>
        <v/>
      </c>
      <c r="BH675" s="99"/>
    </row>
    <row r="676" spans="1:60" s="103" customFormat="1" ht="15.75" customHeight="1" x14ac:dyDescent="0.2">
      <c r="A676" s="18"/>
      <c r="B676" s="19">
        <v>238</v>
      </c>
      <c r="C676" s="19"/>
      <c r="D676" s="19">
        <v>74985</v>
      </c>
      <c r="E676" s="19" t="s">
        <v>1224</v>
      </c>
      <c r="F676" s="93">
        <v>1997</v>
      </c>
      <c r="G676" s="19" t="s">
        <v>657</v>
      </c>
      <c r="H676" s="19"/>
      <c r="I676" s="19" t="s">
        <v>41</v>
      </c>
      <c r="J676" s="19" t="s">
        <v>473</v>
      </c>
      <c r="K676" s="19" t="s">
        <v>250</v>
      </c>
      <c r="L676" s="19" t="s">
        <v>1202</v>
      </c>
      <c r="M676" s="19" t="s">
        <v>1203</v>
      </c>
      <c r="N676" s="19" t="s">
        <v>109</v>
      </c>
      <c r="O676" s="19" t="s">
        <v>235</v>
      </c>
      <c r="P676" s="19" t="s">
        <v>162</v>
      </c>
      <c r="Q676" s="19"/>
      <c r="R676" s="19" t="s">
        <v>537</v>
      </c>
      <c r="S676" s="19" t="s">
        <v>402</v>
      </c>
      <c r="T676" s="19" t="s">
        <v>55</v>
      </c>
      <c r="U676" s="19" t="s">
        <v>55</v>
      </c>
      <c r="V676" s="19" t="s">
        <v>85</v>
      </c>
      <c r="W676" s="19" t="s">
        <v>231</v>
      </c>
      <c r="X676" s="19" t="s">
        <v>46</v>
      </c>
      <c r="Y676" s="29"/>
      <c r="Z676" s="19"/>
      <c r="AA676" s="19"/>
      <c r="AB676" s="19" t="s">
        <v>500</v>
      </c>
      <c r="AC676" s="19" t="s">
        <v>1322</v>
      </c>
      <c r="AD676" s="19"/>
      <c r="AE676" s="19"/>
      <c r="AF676" s="19"/>
      <c r="AG676" s="19" t="s">
        <v>235</v>
      </c>
      <c r="AH676" s="19"/>
      <c r="AI676" s="19"/>
      <c r="AJ676" s="19" t="s">
        <v>234</v>
      </c>
      <c r="AK676" s="19" t="s">
        <v>234</v>
      </c>
      <c r="AL676" s="19"/>
      <c r="AM676" s="19" t="s">
        <v>234</v>
      </c>
      <c r="AN676" s="19" t="s">
        <v>234</v>
      </c>
      <c r="AO676" s="19" t="s">
        <v>235</v>
      </c>
      <c r="AP676" s="94"/>
      <c r="AQ676" s="19" t="s">
        <v>476</v>
      </c>
      <c r="AR676" s="19" t="s">
        <v>241</v>
      </c>
      <c r="AS676" s="19"/>
      <c r="AT676" s="65" t="str">
        <f t="shared" si="200"/>
        <v>N</v>
      </c>
      <c r="AU676" s="65" t="str">
        <f t="shared" si="204"/>
        <v>N</v>
      </c>
      <c r="AV676" s="65" t="str">
        <f t="shared" si="203"/>
        <v>N</v>
      </c>
      <c r="AW676" s="99"/>
      <c r="AX676" s="99"/>
      <c r="AY676" s="19"/>
      <c r="AZ676" s="96" t="str">
        <f t="shared" si="205"/>
        <v>n</v>
      </c>
      <c r="BA676" s="96" t="str">
        <f>IF(AZ676="n","n",VLOOKUP(AZ676,'Conversion factors'!$C$4:$D$24,2,FALSE))</f>
        <v>n</v>
      </c>
      <c r="BB676" s="96" t="str">
        <f t="shared" si="206"/>
        <v>n</v>
      </c>
      <c r="BC676" s="97"/>
      <c r="BD676" s="96" t="str">
        <f t="shared" si="201"/>
        <v>n</v>
      </c>
      <c r="BE676" s="96" t="str">
        <f t="shared" si="207"/>
        <v>n</v>
      </c>
      <c r="BF676" s="98" t="str">
        <f t="shared" si="202"/>
        <v/>
      </c>
      <c r="BG676" s="96" t="str">
        <f>IF(BF676="","",IF(ISNUMBER(VLOOKUP(BF676,'Conversion factors'!$B$35:$C$52,2,FALSE)),"y","n"))</f>
        <v/>
      </c>
      <c r="BH676" s="99"/>
    </row>
    <row r="677" spans="1:60" s="103" customFormat="1" ht="15.75" customHeight="1" x14ac:dyDescent="0.2">
      <c r="A677" s="18"/>
      <c r="B677" s="19">
        <v>238</v>
      </c>
      <c r="C677" s="19"/>
      <c r="D677" s="19">
        <v>74985</v>
      </c>
      <c r="E677" s="19" t="s">
        <v>1224</v>
      </c>
      <c r="F677" s="93">
        <v>1997</v>
      </c>
      <c r="G677" s="19" t="s">
        <v>657</v>
      </c>
      <c r="H677" s="19"/>
      <c r="I677" s="19" t="s">
        <v>41</v>
      </c>
      <c r="J677" s="19" t="s">
        <v>473</v>
      </c>
      <c r="K677" s="19" t="s">
        <v>250</v>
      </c>
      <c r="L677" s="19" t="s">
        <v>1202</v>
      </c>
      <c r="M677" s="19" t="s">
        <v>1203</v>
      </c>
      <c r="N677" s="19" t="s">
        <v>109</v>
      </c>
      <c r="O677" s="19" t="s">
        <v>235</v>
      </c>
      <c r="P677" s="19" t="s">
        <v>162</v>
      </c>
      <c r="Q677" s="19"/>
      <c r="R677" s="19" t="s">
        <v>537</v>
      </c>
      <c r="S677" s="19" t="s">
        <v>402</v>
      </c>
      <c r="T677" s="19" t="s">
        <v>54</v>
      </c>
      <c r="U677" s="19" t="s">
        <v>54</v>
      </c>
      <c r="V677" s="19" t="s">
        <v>85</v>
      </c>
      <c r="W677" s="19" t="s">
        <v>231</v>
      </c>
      <c r="X677" s="19" t="s">
        <v>46</v>
      </c>
      <c r="Y677" s="29"/>
      <c r="Z677" s="19"/>
      <c r="AA677" s="19"/>
      <c r="AB677" s="19" t="s">
        <v>502</v>
      </c>
      <c r="AC677" s="19" t="s">
        <v>1322</v>
      </c>
      <c r="AD677" s="19"/>
      <c r="AE677" s="19"/>
      <c r="AF677" s="19"/>
      <c r="AG677" s="19" t="s">
        <v>235</v>
      </c>
      <c r="AH677" s="19"/>
      <c r="AI677" s="19"/>
      <c r="AJ677" s="19" t="s">
        <v>234</v>
      </c>
      <c r="AK677" s="19" t="s">
        <v>234</v>
      </c>
      <c r="AL677" s="19"/>
      <c r="AM677" s="19" t="s">
        <v>234</v>
      </c>
      <c r="AN677" s="19" t="s">
        <v>234</v>
      </c>
      <c r="AO677" s="19" t="s">
        <v>235</v>
      </c>
      <c r="AP677" s="94"/>
      <c r="AQ677" s="19" t="s">
        <v>476</v>
      </c>
      <c r="AR677" s="19" t="s">
        <v>241</v>
      </c>
      <c r="AS677" s="19"/>
      <c r="AT677" s="65" t="str">
        <f t="shared" si="200"/>
        <v>N</v>
      </c>
      <c r="AU677" s="65" t="str">
        <f t="shared" si="204"/>
        <v>N</v>
      </c>
      <c r="AV677" s="65" t="str">
        <f t="shared" si="203"/>
        <v>N</v>
      </c>
      <c r="AW677" s="99"/>
      <c r="AX677" s="99"/>
      <c r="AY677" s="19"/>
      <c r="AZ677" s="96" t="str">
        <f t="shared" si="205"/>
        <v>n</v>
      </c>
      <c r="BA677" s="96" t="str">
        <f>IF(AZ677="n","n",VLOOKUP(AZ677,'Conversion factors'!$C$4:$D$24,2,FALSE))</f>
        <v>n</v>
      </c>
      <c r="BB677" s="96" t="str">
        <f t="shared" si="206"/>
        <v>n</v>
      </c>
      <c r="BC677" s="97"/>
      <c r="BD677" s="96" t="str">
        <f t="shared" si="201"/>
        <v>n</v>
      </c>
      <c r="BE677" s="96" t="str">
        <f t="shared" si="207"/>
        <v>n</v>
      </c>
      <c r="BF677" s="98" t="str">
        <f t="shared" si="202"/>
        <v/>
      </c>
      <c r="BG677" s="96" t="str">
        <f>IF(BF677="","",IF(ISNUMBER(VLOOKUP(BF677,'Conversion factors'!$B$35:$C$52,2,FALSE)),"y","n"))</f>
        <v/>
      </c>
      <c r="BH677" s="99"/>
    </row>
    <row r="678" spans="1:60" s="103" customFormat="1" ht="15.75" customHeight="1" x14ac:dyDescent="0.2">
      <c r="A678" s="18"/>
      <c r="B678" s="19">
        <v>238</v>
      </c>
      <c r="C678" s="19"/>
      <c r="D678" s="19">
        <v>74985</v>
      </c>
      <c r="E678" s="19" t="s">
        <v>1224</v>
      </c>
      <c r="F678" s="93">
        <v>1997</v>
      </c>
      <c r="G678" s="19" t="s">
        <v>657</v>
      </c>
      <c r="H678" s="19"/>
      <c r="I678" s="19" t="s">
        <v>41</v>
      </c>
      <c r="J678" s="19" t="s">
        <v>473</v>
      </c>
      <c r="K678" s="19" t="s">
        <v>250</v>
      </c>
      <c r="L678" s="19" t="s">
        <v>1202</v>
      </c>
      <c r="M678" s="19" t="s">
        <v>1203</v>
      </c>
      <c r="N678" s="19" t="s">
        <v>109</v>
      </c>
      <c r="O678" s="19" t="s">
        <v>235</v>
      </c>
      <c r="P678" s="19" t="s">
        <v>162</v>
      </c>
      <c r="Q678" s="19"/>
      <c r="R678" s="19" t="s">
        <v>537</v>
      </c>
      <c r="S678" s="19" t="s">
        <v>402</v>
      </c>
      <c r="T678" s="19" t="s">
        <v>110</v>
      </c>
      <c r="U678" s="19" t="s">
        <v>44</v>
      </c>
      <c r="V678" s="19" t="s">
        <v>253</v>
      </c>
      <c r="W678" s="19" t="s">
        <v>231</v>
      </c>
      <c r="X678" s="19" t="s">
        <v>46</v>
      </c>
      <c r="Y678" s="29"/>
      <c r="Z678" s="19"/>
      <c r="AA678" s="19"/>
      <c r="AB678" s="19" t="s">
        <v>664</v>
      </c>
      <c r="AC678" s="19" t="s">
        <v>1322</v>
      </c>
      <c r="AD678" s="19"/>
      <c r="AE678" s="19"/>
      <c r="AF678" s="19"/>
      <c r="AG678" s="19" t="s">
        <v>235</v>
      </c>
      <c r="AH678" s="19"/>
      <c r="AI678" s="19"/>
      <c r="AJ678" s="19" t="s">
        <v>234</v>
      </c>
      <c r="AK678" s="19" t="s">
        <v>234</v>
      </c>
      <c r="AL678" s="19"/>
      <c r="AM678" s="19" t="s">
        <v>234</v>
      </c>
      <c r="AN678" s="19" t="s">
        <v>234</v>
      </c>
      <c r="AO678" s="19" t="s">
        <v>235</v>
      </c>
      <c r="AP678" s="94"/>
      <c r="AQ678" s="19" t="s">
        <v>476</v>
      </c>
      <c r="AR678" s="19" t="s">
        <v>241</v>
      </c>
      <c r="AS678" s="19"/>
      <c r="AT678" s="65" t="str">
        <f t="shared" si="200"/>
        <v>N</v>
      </c>
      <c r="AU678" s="65" t="str">
        <f t="shared" si="204"/>
        <v>N</v>
      </c>
      <c r="AV678" s="65" t="str">
        <f t="shared" si="203"/>
        <v>N</v>
      </c>
      <c r="AW678" s="99"/>
      <c r="AX678" s="99"/>
      <c r="AY678" s="19"/>
      <c r="AZ678" s="96" t="str">
        <f t="shared" si="205"/>
        <v>n</v>
      </c>
      <c r="BA678" s="96" t="str">
        <f>IF(AZ678="n","n",VLOOKUP(AZ678,'Conversion factors'!$C$4:$D$24,2,FALSE))</f>
        <v>n</v>
      </c>
      <c r="BB678" s="96" t="str">
        <f t="shared" si="206"/>
        <v>n</v>
      </c>
      <c r="BC678" s="97"/>
      <c r="BD678" s="96" t="str">
        <f t="shared" si="201"/>
        <v>n</v>
      </c>
      <c r="BE678" s="96" t="str">
        <f t="shared" si="207"/>
        <v>n</v>
      </c>
      <c r="BF678" s="98" t="str">
        <f t="shared" si="202"/>
        <v/>
      </c>
      <c r="BG678" s="96" t="str">
        <f>IF(BF678="","",IF(ISNUMBER(VLOOKUP(BF678,'Conversion factors'!$B$35:$C$52,2,FALSE)),"y","n"))</f>
        <v/>
      </c>
      <c r="BH678" s="99"/>
    </row>
    <row r="679" spans="1:60" s="103" customFormat="1" ht="15.75" customHeight="1" x14ac:dyDescent="0.2">
      <c r="A679" s="18"/>
      <c r="B679" s="19">
        <v>238</v>
      </c>
      <c r="C679" s="19"/>
      <c r="D679" s="19">
        <v>74985</v>
      </c>
      <c r="E679" s="19" t="s">
        <v>1224</v>
      </c>
      <c r="F679" s="93">
        <v>1997</v>
      </c>
      <c r="G679" s="19" t="s">
        <v>657</v>
      </c>
      <c r="H679" s="19"/>
      <c r="I679" s="19" t="s">
        <v>41</v>
      </c>
      <c r="J679" s="19" t="s">
        <v>473</v>
      </c>
      <c r="K679" s="19" t="s">
        <v>250</v>
      </c>
      <c r="L679" s="19" t="s">
        <v>1202</v>
      </c>
      <c r="M679" s="19" t="s">
        <v>1203</v>
      </c>
      <c r="N679" s="19" t="s">
        <v>109</v>
      </c>
      <c r="O679" s="19" t="s">
        <v>235</v>
      </c>
      <c r="P679" s="19" t="s">
        <v>162</v>
      </c>
      <c r="Q679" s="19"/>
      <c r="R679" s="19" t="s">
        <v>537</v>
      </c>
      <c r="S679" s="19" t="s">
        <v>402</v>
      </c>
      <c r="T679" s="19" t="s">
        <v>55</v>
      </c>
      <c r="U679" s="19" t="s">
        <v>55</v>
      </c>
      <c r="V679" s="19" t="s">
        <v>253</v>
      </c>
      <c r="W679" s="19" t="s">
        <v>231</v>
      </c>
      <c r="X679" s="19" t="s">
        <v>46</v>
      </c>
      <c r="Y679" s="29"/>
      <c r="Z679" s="19"/>
      <c r="AA679" s="19"/>
      <c r="AB679" s="19" t="s">
        <v>497</v>
      </c>
      <c r="AC679" s="19" t="s">
        <v>1322</v>
      </c>
      <c r="AD679" s="19"/>
      <c r="AE679" s="19"/>
      <c r="AF679" s="19"/>
      <c r="AG679" s="19" t="s">
        <v>235</v>
      </c>
      <c r="AH679" s="19"/>
      <c r="AI679" s="19"/>
      <c r="AJ679" s="19" t="s">
        <v>234</v>
      </c>
      <c r="AK679" s="19" t="s">
        <v>234</v>
      </c>
      <c r="AL679" s="19"/>
      <c r="AM679" s="19" t="s">
        <v>234</v>
      </c>
      <c r="AN679" s="19" t="s">
        <v>234</v>
      </c>
      <c r="AO679" s="19" t="s">
        <v>235</v>
      </c>
      <c r="AP679" s="94"/>
      <c r="AQ679" s="19" t="s">
        <v>476</v>
      </c>
      <c r="AR679" s="19" t="s">
        <v>241</v>
      </c>
      <c r="AS679" s="19"/>
      <c r="AT679" s="65" t="str">
        <f t="shared" si="200"/>
        <v>N</v>
      </c>
      <c r="AU679" s="65" t="str">
        <f t="shared" si="204"/>
        <v>N</v>
      </c>
      <c r="AV679" s="65" t="str">
        <f t="shared" si="203"/>
        <v>N</v>
      </c>
      <c r="AW679" s="99"/>
      <c r="AX679" s="99"/>
      <c r="AY679" s="19"/>
      <c r="AZ679" s="96" t="str">
        <f t="shared" si="205"/>
        <v>n</v>
      </c>
      <c r="BA679" s="96" t="str">
        <f>IF(AZ679="n","n",VLOOKUP(AZ679,'Conversion factors'!$C$4:$D$24,2,FALSE))</f>
        <v>n</v>
      </c>
      <c r="BB679" s="96" t="str">
        <f t="shared" si="206"/>
        <v>n</v>
      </c>
      <c r="BC679" s="97"/>
      <c r="BD679" s="96" t="str">
        <f t="shared" si="201"/>
        <v>n</v>
      </c>
      <c r="BE679" s="96" t="str">
        <f t="shared" si="207"/>
        <v>n</v>
      </c>
      <c r="BF679" s="98" t="str">
        <f t="shared" si="202"/>
        <v/>
      </c>
      <c r="BG679" s="96" t="str">
        <f>IF(BF679="","",IF(ISNUMBER(VLOOKUP(BF679,'Conversion factors'!$B$35:$C$52,2,FALSE)),"y","n"))</f>
        <v/>
      </c>
      <c r="BH679" s="99"/>
    </row>
    <row r="680" spans="1:60" s="103" customFormat="1" ht="15.75" customHeight="1" x14ac:dyDescent="0.2">
      <c r="A680" s="18"/>
      <c r="B680" s="19">
        <v>238</v>
      </c>
      <c r="C680" s="19"/>
      <c r="D680" s="19">
        <v>74985</v>
      </c>
      <c r="E680" s="19" t="s">
        <v>1224</v>
      </c>
      <c r="F680" s="93">
        <v>1997</v>
      </c>
      <c r="G680" s="19" t="s">
        <v>657</v>
      </c>
      <c r="H680" s="19"/>
      <c r="I680" s="19" t="s">
        <v>41</v>
      </c>
      <c r="J680" s="19" t="s">
        <v>473</v>
      </c>
      <c r="K680" s="19" t="s">
        <v>250</v>
      </c>
      <c r="L680" s="19" t="s">
        <v>1202</v>
      </c>
      <c r="M680" s="19" t="s">
        <v>1203</v>
      </c>
      <c r="N680" s="19" t="s">
        <v>109</v>
      </c>
      <c r="O680" s="19" t="s">
        <v>235</v>
      </c>
      <c r="P680" s="19" t="s">
        <v>162</v>
      </c>
      <c r="Q680" s="19"/>
      <c r="R680" s="19" t="s">
        <v>537</v>
      </c>
      <c r="S680" s="19" t="s">
        <v>402</v>
      </c>
      <c r="T680" s="19" t="s">
        <v>54</v>
      </c>
      <c r="U680" s="19" t="s">
        <v>54</v>
      </c>
      <c r="V680" s="19" t="s">
        <v>253</v>
      </c>
      <c r="W680" s="19" t="s">
        <v>231</v>
      </c>
      <c r="X680" s="19" t="s">
        <v>46</v>
      </c>
      <c r="Y680" s="29"/>
      <c r="Z680" s="19"/>
      <c r="AA680" s="19"/>
      <c r="AB680" s="19" t="s">
        <v>502</v>
      </c>
      <c r="AC680" s="19" t="s">
        <v>1322</v>
      </c>
      <c r="AD680" s="19"/>
      <c r="AE680" s="19"/>
      <c r="AF680" s="19"/>
      <c r="AG680" s="19" t="s">
        <v>235</v>
      </c>
      <c r="AH680" s="19"/>
      <c r="AI680" s="19"/>
      <c r="AJ680" s="19" t="s">
        <v>234</v>
      </c>
      <c r="AK680" s="19" t="s">
        <v>234</v>
      </c>
      <c r="AL680" s="19"/>
      <c r="AM680" s="19" t="s">
        <v>234</v>
      </c>
      <c r="AN680" s="19" t="s">
        <v>234</v>
      </c>
      <c r="AO680" s="19" t="s">
        <v>235</v>
      </c>
      <c r="AP680" s="94"/>
      <c r="AQ680" s="19" t="s">
        <v>476</v>
      </c>
      <c r="AR680" s="19" t="s">
        <v>241</v>
      </c>
      <c r="AS680" s="19"/>
      <c r="AT680" s="65" t="str">
        <f t="shared" si="200"/>
        <v>N</v>
      </c>
      <c r="AU680" s="65" t="str">
        <f t="shared" si="204"/>
        <v>N</v>
      </c>
      <c r="AV680" s="65" t="str">
        <f t="shared" si="203"/>
        <v>N</v>
      </c>
      <c r="AW680" s="99"/>
      <c r="AX680" s="99"/>
      <c r="AY680" s="19"/>
      <c r="AZ680" s="96" t="str">
        <f t="shared" si="205"/>
        <v>n</v>
      </c>
      <c r="BA680" s="96" t="str">
        <f>IF(AZ680="n","n",VLOOKUP(AZ680,'Conversion factors'!$C$4:$D$24,2,FALSE))</f>
        <v>n</v>
      </c>
      <c r="BB680" s="96" t="str">
        <f t="shared" si="206"/>
        <v>n</v>
      </c>
      <c r="BC680" s="97"/>
      <c r="BD680" s="96" t="str">
        <f t="shared" si="201"/>
        <v>n</v>
      </c>
      <c r="BE680" s="96" t="str">
        <f t="shared" si="207"/>
        <v>n</v>
      </c>
      <c r="BF680" s="98" t="str">
        <f t="shared" si="202"/>
        <v/>
      </c>
      <c r="BG680" s="96" t="str">
        <f>IF(BF680="","",IF(ISNUMBER(VLOOKUP(BF680,'Conversion factors'!$B$35:$C$52,2,FALSE)),"y","n"))</f>
        <v/>
      </c>
      <c r="BH680" s="99"/>
    </row>
    <row r="681" spans="1:60" s="103" customFormat="1" ht="15.75" customHeight="1" x14ac:dyDescent="0.2">
      <c r="A681" s="18"/>
      <c r="B681" s="19">
        <v>238</v>
      </c>
      <c r="C681" s="19"/>
      <c r="D681" s="19">
        <v>74985</v>
      </c>
      <c r="E681" s="19" t="s">
        <v>1224</v>
      </c>
      <c r="F681" s="93">
        <v>1997</v>
      </c>
      <c r="G681" s="19" t="s">
        <v>657</v>
      </c>
      <c r="H681" s="19"/>
      <c r="I681" s="19" t="s">
        <v>41</v>
      </c>
      <c r="J681" s="19" t="s">
        <v>473</v>
      </c>
      <c r="K681" s="19" t="s">
        <v>250</v>
      </c>
      <c r="L681" s="19" t="s">
        <v>1202</v>
      </c>
      <c r="M681" s="19" t="s">
        <v>1203</v>
      </c>
      <c r="N681" s="19" t="s">
        <v>109</v>
      </c>
      <c r="O681" s="19" t="s">
        <v>235</v>
      </c>
      <c r="P681" s="19" t="s">
        <v>162</v>
      </c>
      <c r="Q681" s="19"/>
      <c r="R681" s="19" t="s">
        <v>256</v>
      </c>
      <c r="S681" s="19" t="s">
        <v>302</v>
      </c>
      <c r="T681" s="19" t="s">
        <v>110</v>
      </c>
      <c r="U681" s="19" t="s">
        <v>44</v>
      </c>
      <c r="V681" s="19" t="s">
        <v>85</v>
      </c>
      <c r="W681" s="19" t="s">
        <v>231</v>
      </c>
      <c r="X681" s="19" t="s">
        <v>46</v>
      </c>
      <c r="Y681" s="29"/>
      <c r="Z681" s="19"/>
      <c r="AA681" s="19"/>
      <c r="AB681" s="19" t="s">
        <v>667</v>
      </c>
      <c r="AC681" s="19" t="s">
        <v>1322</v>
      </c>
      <c r="AD681" s="19"/>
      <c r="AE681" s="19"/>
      <c r="AF681" s="19"/>
      <c r="AG681" s="19" t="s">
        <v>235</v>
      </c>
      <c r="AH681" s="19"/>
      <c r="AI681" s="19"/>
      <c r="AJ681" s="19" t="s">
        <v>234</v>
      </c>
      <c r="AK681" s="19" t="s">
        <v>234</v>
      </c>
      <c r="AL681" s="19"/>
      <c r="AM681" s="19" t="s">
        <v>234</v>
      </c>
      <c r="AN681" s="19" t="s">
        <v>234</v>
      </c>
      <c r="AO681" s="19" t="s">
        <v>235</v>
      </c>
      <c r="AP681" s="94"/>
      <c r="AQ681" s="19" t="s">
        <v>476</v>
      </c>
      <c r="AR681" s="19" t="s">
        <v>241</v>
      </c>
      <c r="AS681" s="19"/>
      <c r="AT681" s="65" t="str">
        <f t="shared" si="200"/>
        <v>N</v>
      </c>
      <c r="AU681" s="65" t="str">
        <f t="shared" si="204"/>
        <v>N</v>
      </c>
      <c r="AV681" s="65" t="str">
        <f t="shared" si="203"/>
        <v>N</v>
      </c>
      <c r="AW681" s="99"/>
      <c r="AX681" s="99"/>
      <c r="AY681" s="19"/>
      <c r="AZ681" s="96" t="str">
        <f t="shared" si="205"/>
        <v>n</v>
      </c>
      <c r="BA681" s="96" t="str">
        <f>IF(AZ681="n","n",VLOOKUP(AZ681,'Conversion factors'!$C$4:$D$24,2,FALSE))</f>
        <v>n</v>
      </c>
      <c r="BB681" s="96" t="str">
        <f t="shared" si="206"/>
        <v>n</v>
      </c>
      <c r="BC681" s="97"/>
      <c r="BD681" s="96" t="str">
        <f t="shared" si="201"/>
        <v>n</v>
      </c>
      <c r="BE681" s="96" t="str">
        <f t="shared" si="207"/>
        <v>n</v>
      </c>
      <c r="BF681" s="98" t="str">
        <f t="shared" si="202"/>
        <v/>
      </c>
      <c r="BG681" s="96" t="str">
        <f>IF(BF681="","",IF(ISNUMBER(VLOOKUP(BF681,'Conversion factors'!$B$35:$C$52,2,FALSE)),"y","n"))</f>
        <v/>
      </c>
      <c r="BH681" s="99"/>
    </row>
    <row r="682" spans="1:60" s="103" customFormat="1" ht="15.75" customHeight="1" x14ac:dyDescent="0.2">
      <c r="A682" s="18"/>
      <c r="B682" s="19">
        <v>238</v>
      </c>
      <c r="C682" s="19"/>
      <c r="D682" s="19">
        <v>74985</v>
      </c>
      <c r="E682" s="19" t="s">
        <v>1224</v>
      </c>
      <c r="F682" s="93">
        <v>1997</v>
      </c>
      <c r="G682" s="19" t="s">
        <v>657</v>
      </c>
      <c r="H682" s="19"/>
      <c r="I682" s="19" t="s">
        <v>41</v>
      </c>
      <c r="J682" s="19" t="s">
        <v>473</v>
      </c>
      <c r="K682" s="19" t="s">
        <v>250</v>
      </c>
      <c r="L682" s="19" t="s">
        <v>1202</v>
      </c>
      <c r="M682" s="19" t="s">
        <v>1203</v>
      </c>
      <c r="N682" s="19" t="s">
        <v>109</v>
      </c>
      <c r="O682" s="19" t="s">
        <v>235</v>
      </c>
      <c r="P682" s="19" t="s">
        <v>162</v>
      </c>
      <c r="Q682" s="19"/>
      <c r="R682" s="19" t="s">
        <v>256</v>
      </c>
      <c r="S682" s="19" t="s">
        <v>302</v>
      </c>
      <c r="T682" s="19" t="s">
        <v>55</v>
      </c>
      <c r="U682" s="19" t="s">
        <v>55</v>
      </c>
      <c r="V682" s="19" t="s">
        <v>85</v>
      </c>
      <c r="W682" s="19" t="s">
        <v>231</v>
      </c>
      <c r="X682" s="19" t="s">
        <v>46</v>
      </c>
      <c r="Y682" s="29"/>
      <c r="Z682" s="19"/>
      <c r="AA682" s="19"/>
      <c r="AB682" s="19" t="s">
        <v>500</v>
      </c>
      <c r="AC682" s="19" t="s">
        <v>1322</v>
      </c>
      <c r="AD682" s="19"/>
      <c r="AE682" s="19"/>
      <c r="AF682" s="19"/>
      <c r="AG682" s="19" t="s">
        <v>235</v>
      </c>
      <c r="AH682" s="19"/>
      <c r="AI682" s="19"/>
      <c r="AJ682" s="19" t="s">
        <v>234</v>
      </c>
      <c r="AK682" s="19" t="s">
        <v>234</v>
      </c>
      <c r="AL682" s="19"/>
      <c r="AM682" s="19" t="s">
        <v>234</v>
      </c>
      <c r="AN682" s="19" t="s">
        <v>234</v>
      </c>
      <c r="AO682" s="19" t="s">
        <v>235</v>
      </c>
      <c r="AP682" s="94"/>
      <c r="AQ682" s="19" t="s">
        <v>476</v>
      </c>
      <c r="AR682" s="19" t="s">
        <v>241</v>
      </c>
      <c r="AS682" s="19"/>
      <c r="AT682" s="65" t="str">
        <f t="shared" si="200"/>
        <v>N</v>
      </c>
      <c r="AU682" s="65" t="str">
        <f t="shared" si="204"/>
        <v>N</v>
      </c>
      <c r="AV682" s="65" t="str">
        <f t="shared" si="203"/>
        <v>N</v>
      </c>
      <c r="AW682" s="99"/>
      <c r="AX682" s="99"/>
      <c r="AY682" s="19"/>
      <c r="AZ682" s="96" t="str">
        <f t="shared" si="205"/>
        <v>n</v>
      </c>
      <c r="BA682" s="96" t="str">
        <f>IF(AZ682="n","n",VLOOKUP(AZ682,'Conversion factors'!$C$4:$D$24,2,FALSE))</f>
        <v>n</v>
      </c>
      <c r="BB682" s="96" t="str">
        <f t="shared" si="206"/>
        <v>n</v>
      </c>
      <c r="BC682" s="97"/>
      <c r="BD682" s="96" t="str">
        <f t="shared" si="201"/>
        <v>n</v>
      </c>
      <c r="BE682" s="96" t="str">
        <f t="shared" si="207"/>
        <v>n</v>
      </c>
      <c r="BF682" s="98" t="str">
        <f t="shared" si="202"/>
        <v/>
      </c>
      <c r="BG682" s="96" t="str">
        <f>IF(BF682="","",IF(ISNUMBER(VLOOKUP(BF682,'Conversion factors'!$B$35:$C$52,2,FALSE)),"y","n"))</f>
        <v/>
      </c>
      <c r="BH682" s="99"/>
    </row>
    <row r="683" spans="1:60" s="103" customFormat="1" ht="15.75" customHeight="1" x14ac:dyDescent="0.2">
      <c r="A683" s="18"/>
      <c r="B683" s="19">
        <v>238</v>
      </c>
      <c r="C683" s="19"/>
      <c r="D683" s="19">
        <v>74985</v>
      </c>
      <c r="E683" s="19" t="s">
        <v>1224</v>
      </c>
      <c r="F683" s="93">
        <v>1997</v>
      </c>
      <c r="G683" s="19" t="s">
        <v>657</v>
      </c>
      <c r="H683" s="19"/>
      <c r="I683" s="19" t="s">
        <v>41</v>
      </c>
      <c r="J683" s="19" t="s">
        <v>473</v>
      </c>
      <c r="K683" s="19" t="s">
        <v>250</v>
      </c>
      <c r="L683" s="19" t="s">
        <v>1202</v>
      </c>
      <c r="M683" s="19" t="s">
        <v>1203</v>
      </c>
      <c r="N683" s="19" t="s">
        <v>109</v>
      </c>
      <c r="O683" s="19" t="s">
        <v>235</v>
      </c>
      <c r="P683" s="19" t="s">
        <v>162</v>
      </c>
      <c r="Q683" s="19"/>
      <c r="R683" s="19" t="s">
        <v>256</v>
      </c>
      <c r="S683" s="19" t="s">
        <v>302</v>
      </c>
      <c r="T683" s="19" t="s">
        <v>54</v>
      </c>
      <c r="U683" s="19" t="s">
        <v>54</v>
      </c>
      <c r="V683" s="19" t="s">
        <v>85</v>
      </c>
      <c r="W683" s="19" t="s">
        <v>231</v>
      </c>
      <c r="X683" s="19" t="s">
        <v>46</v>
      </c>
      <c r="Y683" s="29"/>
      <c r="Z683" s="19"/>
      <c r="AA683" s="19"/>
      <c r="AB683" s="19" t="s">
        <v>499</v>
      </c>
      <c r="AC683" s="19" t="s">
        <v>1322</v>
      </c>
      <c r="AD683" s="19"/>
      <c r="AE683" s="19"/>
      <c r="AF683" s="19"/>
      <c r="AG683" s="19" t="s">
        <v>235</v>
      </c>
      <c r="AH683" s="19"/>
      <c r="AI683" s="19"/>
      <c r="AJ683" s="19" t="s">
        <v>234</v>
      </c>
      <c r="AK683" s="19" t="s">
        <v>234</v>
      </c>
      <c r="AL683" s="19"/>
      <c r="AM683" s="19" t="s">
        <v>234</v>
      </c>
      <c r="AN683" s="19" t="s">
        <v>234</v>
      </c>
      <c r="AO683" s="19" t="s">
        <v>235</v>
      </c>
      <c r="AP683" s="94"/>
      <c r="AQ683" s="19" t="s">
        <v>476</v>
      </c>
      <c r="AR683" s="19" t="s">
        <v>241</v>
      </c>
      <c r="AS683" s="19"/>
      <c r="AT683" s="65" t="str">
        <f t="shared" si="200"/>
        <v>N</v>
      </c>
      <c r="AU683" s="65" t="str">
        <f t="shared" si="204"/>
        <v>N</v>
      </c>
      <c r="AV683" s="65" t="str">
        <f t="shared" si="203"/>
        <v>N</v>
      </c>
      <c r="AW683" s="99"/>
      <c r="AX683" s="99"/>
      <c r="AY683" s="19"/>
      <c r="AZ683" s="96" t="str">
        <f t="shared" si="205"/>
        <v>n</v>
      </c>
      <c r="BA683" s="96" t="str">
        <f>IF(AZ683="n","n",VLOOKUP(AZ683,'Conversion factors'!$C$4:$D$24,2,FALSE))</f>
        <v>n</v>
      </c>
      <c r="BB683" s="96" t="str">
        <f t="shared" si="206"/>
        <v>n</v>
      </c>
      <c r="BC683" s="97"/>
      <c r="BD683" s="96" t="str">
        <f t="shared" si="201"/>
        <v>n</v>
      </c>
      <c r="BE683" s="96" t="str">
        <f t="shared" si="207"/>
        <v>n</v>
      </c>
      <c r="BF683" s="98" t="str">
        <f t="shared" si="202"/>
        <v/>
      </c>
      <c r="BG683" s="96" t="str">
        <f>IF(BF683="","",IF(ISNUMBER(VLOOKUP(BF683,'Conversion factors'!$B$35:$C$52,2,FALSE)),"y","n"))</f>
        <v/>
      </c>
      <c r="BH683" s="99"/>
    </row>
    <row r="684" spans="1:60" s="103" customFormat="1" ht="15.75" customHeight="1" x14ac:dyDescent="0.2">
      <c r="A684" s="18"/>
      <c r="B684" s="19">
        <v>238</v>
      </c>
      <c r="C684" s="19"/>
      <c r="D684" s="19">
        <v>74985</v>
      </c>
      <c r="E684" s="19" t="s">
        <v>1224</v>
      </c>
      <c r="F684" s="93">
        <v>1997</v>
      </c>
      <c r="G684" s="19" t="s">
        <v>657</v>
      </c>
      <c r="H684" s="19"/>
      <c r="I684" s="19" t="s">
        <v>41</v>
      </c>
      <c r="J684" s="19" t="s">
        <v>473</v>
      </c>
      <c r="K684" s="19" t="s">
        <v>250</v>
      </c>
      <c r="L684" s="19" t="s">
        <v>1202</v>
      </c>
      <c r="M684" s="19" t="s">
        <v>1203</v>
      </c>
      <c r="N684" s="19" t="s">
        <v>109</v>
      </c>
      <c r="O684" s="19" t="s">
        <v>235</v>
      </c>
      <c r="P684" s="19" t="s">
        <v>162</v>
      </c>
      <c r="Q684" s="19"/>
      <c r="R684" s="19" t="s">
        <v>256</v>
      </c>
      <c r="S684" s="19" t="s">
        <v>302</v>
      </c>
      <c r="T684" s="19" t="s">
        <v>110</v>
      </c>
      <c r="U684" s="19" t="s">
        <v>44</v>
      </c>
      <c r="V684" s="19" t="s">
        <v>253</v>
      </c>
      <c r="W684" s="19" t="s">
        <v>231</v>
      </c>
      <c r="X684" s="19" t="s">
        <v>46</v>
      </c>
      <c r="Y684" s="29"/>
      <c r="Z684" s="19"/>
      <c r="AA684" s="19"/>
      <c r="AB684" s="19" t="s">
        <v>662</v>
      </c>
      <c r="AC684" s="19" t="s">
        <v>1322</v>
      </c>
      <c r="AD684" s="19"/>
      <c r="AE684" s="19"/>
      <c r="AF684" s="19"/>
      <c r="AG684" s="19" t="s">
        <v>235</v>
      </c>
      <c r="AH684" s="19"/>
      <c r="AI684" s="19"/>
      <c r="AJ684" s="19" t="s">
        <v>234</v>
      </c>
      <c r="AK684" s="19" t="s">
        <v>234</v>
      </c>
      <c r="AL684" s="19"/>
      <c r="AM684" s="19" t="s">
        <v>234</v>
      </c>
      <c r="AN684" s="19" t="s">
        <v>234</v>
      </c>
      <c r="AO684" s="19" t="s">
        <v>235</v>
      </c>
      <c r="AP684" s="94"/>
      <c r="AQ684" s="19" t="s">
        <v>476</v>
      </c>
      <c r="AR684" s="19" t="s">
        <v>241</v>
      </c>
      <c r="AS684" s="19"/>
      <c r="AT684" s="65" t="str">
        <f t="shared" si="200"/>
        <v>N</v>
      </c>
      <c r="AU684" s="65" t="str">
        <f t="shared" si="204"/>
        <v>N</v>
      </c>
      <c r="AV684" s="65" t="str">
        <f t="shared" si="203"/>
        <v>N</v>
      </c>
      <c r="AW684" s="99"/>
      <c r="AX684" s="99"/>
      <c r="AY684" s="19"/>
      <c r="AZ684" s="96" t="str">
        <f t="shared" si="205"/>
        <v>n</v>
      </c>
      <c r="BA684" s="96" t="str">
        <f>IF(AZ684="n","n",VLOOKUP(AZ684,'Conversion factors'!$C$4:$D$24,2,FALSE))</f>
        <v>n</v>
      </c>
      <c r="BB684" s="96" t="str">
        <f t="shared" si="206"/>
        <v>n</v>
      </c>
      <c r="BC684" s="97"/>
      <c r="BD684" s="96" t="str">
        <f t="shared" si="201"/>
        <v>n</v>
      </c>
      <c r="BE684" s="96" t="str">
        <f t="shared" si="207"/>
        <v>n</v>
      </c>
      <c r="BF684" s="98" t="str">
        <f t="shared" si="202"/>
        <v/>
      </c>
      <c r="BG684" s="96" t="str">
        <f>IF(BF684="","",IF(ISNUMBER(VLOOKUP(BF684,'Conversion factors'!$B$35:$C$52,2,FALSE)),"y","n"))</f>
        <v/>
      </c>
      <c r="BH684" s="99"/>
    </row>
    <row r="685" spans="1:60" s="103" customFormat="1" ht="15.75" customHeight="1" x14ac:dyDescent="0.2">
      <c r="A685" s="18"/>
      <c r="B685" s="19">
        <v>238</v>
      </c>
      <c r="C685" s="19"/>
      <c r="D685" s="19">
        <v>74985</v>
      </c>
      <c r="E685" s="19" t="s">
        <v>1224</v>
      </c>
      <c r="F685" s="93">
        <v>1997</v>
      </c>
      <c r="G685" s="19" t="s">
        <v>657</v>
      </c>
      <c r="H685" s="19"/>
      <c r="I685" s="19" t="s">
        <v>41</v>
      </c>
      <c r="J685" s="19" t="s">
        <v>473</v>
      </c>
      <c r="K685" s="19" t="s">
        <v>250</v>
      </c>
      <c r="L685" s="19" t="s">
        <v>1202</v>
      </c>
      <c r="M685" s="19" t="s">
        <v>1203</v>
      </c>
      <c r="N685" s="19" t="s">
        <v>109</v>
      </c>
      <c r="O685" s="19" t="s">
        <v>235</v>
      </c>
      <c r="P685" s="19" t="s">
        <v>162</v>
      </c>
      <c r="Q685" s="19"/>
      <c r="R685" s="19" t="s">
        <v>256</v>
      </c>
      <c r="S685" s="19" t="s">
        <v>302</v>
      </c>
      <c r="T685" s="19" t="s">
        <v>55</v>
      </c>
      <c r="U685" s="19" t="s">
        <v>55</v>
      </c>
      <c r="V685" s="19" t="s">
        <v>253</v>
      </c>
      <c r="W685" s="19" t="s">
        <v>231</v>
      </c>
      <c r="X685" s="19" t="s">
        <v>46</v>
      </c>
      <c r="Y685" s="29"/>
      <c r="Z685" s="19"/>
      <c r="AA685" s="19"/>
      <c r="AB685" s="19" t="s">
        <v>500</v>
      </c>
      <c r="AC685" s="19" t="s">
        <v>1322</v>
      </c>
      <c r="AD685" s="19"/>
      <c r="AE685" s="19"/>
      <c r="AF685" s="19"/>
      <c r="AG685" s="19" t="s">
        <v>235</v>
      </c>
      <c r="AH685" s="19"/>
      <c r="AI685" s="19"/>
      <c r="AJ685" s="19" t="s">
        <v>234</v>
      </c>
      <c r="AK685" s="19" t="s">
        <v>234</v>
      </c>
      <c r="AL685" s="19"/>
      <c r="AM685" s="19" t="s">
        <v>234</v>
      </c>
      <c r="AN685" s="19" t="s">
        <v>234</v>
      </c>
      <c r="AO685" s="19" t="s">
        <v>235</v>
      </c>
      <c r="AP685" s="94"/>
      <c r="AQ685" s="19" t="s">
        <v>476</v>
      </c>
      <c r="AR685" s="19" t="s">
        <v>241</v>
      </c>
      <c r="AS685" s="19"/>
      <c r="AT685" s="65" t="str">
        <f t="shared" si="200"/>
        <v>N</v>
      </c>
      <c r="AU685" s="65" t="str">
        <f t="shared" si="204"/>
        <v>N</v>
      </c>
      <c r="AV685" s="65" t="str">
        <f t="shared" si="203"/>
        <v>N</v>
      </c>
      <c r="AW685" s="99"/>
      <c r="AX685" s="99"/>
      <c r="AY685" s="19"/>
      <c r="AZ685" s="96" t="str">
        <f t="shared" si="205"/>
        <v>n</v>
      </c>
      <c r="BA685" s="96" t="str">
        <f>IF(AZ685="n","n",VLOOKUP(AZ685,'Conversion factors'!$C$4:$D$24,2,FALSE))</f>
        <v>n</v>
      </c>
      <c r="BB685" s="96" t="str">
        <f t="shared" si="206"/>
        <v>n</v>
      </c>
      <c r="BC685" s="97"/>
      <c r="BD685" s="96" t="str">
        <f t="shared" si="201"/>
        <v>n</v>
      </c>
      <c r="BE685" s="96" t="str">
        <f t="shared" si="207"/>
        <v>n</v>
      </c>
      <c r="BF685" s="98" t="str">
        <f t="shared" si="202"/>
        <v/>
      </c>
      <c r="BG685" s="96" t="str">
        <f>IF(BF685="","",IF(ISNUMBER(VLOOKUP(BF685,'Conversion factors'!$B$35:$C$52,2,FALSE)),"y","n"))</f>
        <v/>
      </c>
      <c r="BH685" s="99"/>
    </row>
    <row r="686" spans="1:60" s="103" customFormat="1" ht="15.75" customHeight="1" x14ac:dyDescent="0.2">
      <c r="A686" s="18"/>
      <c r="B686" s="19">
        <v>238</v>
      </c>
      <c r="C686" s="19"/>
      <c r="D686" s="19">
        <v>74985</v>
      </c>
      <c r="E686" s="19" t="s">
        <v>1224</v>
      </c>
      <c r="F686" s="93">
        <v>1997</v>
      </c>
      <c r="G686" s="19" t="s">
        <v>657</v>
      </c>
      <c r="H686" s="19"/>
      <c r="I686" s="19" t="s">
        <v>41</v>
      </c>
      <c r="J686" s="19" t="s">
        <v>473</v>
      </c>
      <c r="K686" s="19" t="s">
        <v>250</v>
      </c>
      <c r="L686" s="19" t="s">
        <v>1202</v>
      </c>
      <c r="M686" s="19" t="s">
        <v>1203</v>
      </c>
      <c r="N686" s="19" t="s">
        <v>109</v>
      </c>
      <c r="O686" s="19" t="s">
        <v>235</v>
      </c>
      <c r="P686" s="19" t="s">
        <v>162</v>
      </c>
      <c r="Q686" s="19"/>
      <c r="R686" s="19" t="s">
        <v>256</v>
      </c>
      <c r="S686" s="19" t="s">
        <v>302</v>
      </c>
      <c r="T686" s="19" t="s">
        <v>54</v>
      </c>
      <c r="U686" s="19" t="s">
        <v>54</v>
      </c>
      <c r="V686" s="19" t="s">
        <v>253</v>
      </c>
      <c r="W686" s="19" t="s">
        <v>231</v>
      </c>
      <c r="X686" s="19" t="s">
        <v>46</v>
      </c>
      <c r="Y686" s="29"/>
      <c r="Z686" s="19"/>
      <c r="AA686" s="19"/>
      <c r="AB686" s="19" t="s">
        <v>499</v>
      </c>
      <c r="AC686" s="19" t="s">
        <v>1322</v>
      </c>
      <c r="AD686" s="19"/>
      <c r="AE686" s="19"/>
      <c r="AF686" s="19"/>
      <c r="AG686" s="19" t="s">
        <v>235</v>
      </c>
      <c r="AH686" s="19"/>
      <c r="AI686" s="19"/>
      <c r="AJ686" s="19" t="s">
        <v>234</v>
      </c>
      <c r="AK686" s="19" t="s">
        <v>234</v>
      </c>
      <c r="AL686" s="19"/>
      <c r="AM686" s="19" t="s">
        <v>234</v>
      </c>
      <c r="AN686" s="19" t="s">
        <v>234</v>
      </c>
      <c r="AO686" s="19" t="s">
        <v>235</v>
      </c>
      <c r="AP686" s="94"/>
      <c r="AQ686" s="19" t="s">
        <v>476</v>
      </c>
      <c r="AR686" s="19" t="s">
        <v>241</v>
      </c>
      <c r="AS686" s="19"/>
      <c r="AT686" s="65" t="str">
        <f t="shared" si="200"/>
        <v>N</v>
      </c>
      <c r="AU686" s="65" t="str">
        <f t="shared" si="204"/>
        <v>N</v>
      </c>
      <c r="AV686" s="65" t="str">
        <f t="shared" si="203"/>
        <v>N</v>
      </c>
      <c r="AW686" s="99"/>
      <c r="AX686" s="99"/>
      <c r="AY686" s="19"/>
      <c r="AZ686" s="96" t="str">
        <f t="shared" si="205"/>
        <v>n</v>
      </c>
      <c r="BA686" s="96" t="str">
        <f>IF(AZ686="n","n",VLOOKUP(AZ686,'Conversion factors'!$C$4:$D$24,2,FALSE))</f>
        <v>n</v>
      </c>
      <c r="BB686" s="96" t="str">
        <f t="shared" si="206"/>
        <v>n</v>
      </c>
      <c r="BC686" s="97"/>
      <c r="BD686" s="96" t="str">
        <f t="shared" si="201"/>
        <v>n</v>
      </c>
      <c r="BE686" s="96" t="str">
        <f t="shared" si="207"/>
        <v>n</v>
      </c>
      <c r="BF686" s="98" t="str">
        <f t="shared" si="202"/>
        <v/>
      </c>
      <c r="BG686" s="96" t="str">
        <f>IF(BF686="","",IF(ISNUMBER(VLOOKUP(BF686,'Conversion factors'!$B$35:$C$52,2,FALSE)),"y","n"))</f>
        <v/>
      </c>
      <c r="BH686" s="99"/>
    </row>
    <row r="687" spans="1:60" s="103" customFormat="1" ht="15.75" customHeight="1" x14ac:dyDescent="0.2">
      <c r="A687" s="18"/>
      <c r="B687" s="19">
        <v>301</v>
      </c>
      <c r="C687" s="19"/>
      <c r="D687" s="19">
        <v>111296</v>
      </c>
      <c r="E687" s="19" t="s">
        <v>1224</v>
      </c>
      <c r="F687" s="93">
        <v>2004</v>
      </c>
      <c r="G687" s="19" t="s">
        <v>1043</v>
      </c>
      <c r="H687" s="19"/>
      <c r="I687" s="19" t="s">
        <v>41</v>
      </c>
      <c r="J687" s="19" t="s">
        <v>1044</v>
      </c>
      <c r="K687" s="19" t="s">
        <v>1398</v>
      </c>
      <c r="L687" s="19" t="s">
        <v>1202</v>
      </c>
      <c r="M687" s="19" t="s">
        <v>1203</v>
      </c>
      <c r="N687" s="19" t="s">
        <v>109</v>
      </c>
      <c r="O687" s="19" t="s">
        <v>235</v>
      </c>
      <c r="P687" s="19" t="s">
        <v>162</v>
      </c>
      <c r="Q687" s="19"/>
      <c r="R687" s="19" t="s">
        <v>256</v>
      </c>
      <c r="S687" s="19" t="s">
        <v>441</v>
      </c>
      <c r="T687" s="19" t="s">
        <v>44</v>
      </c>
      <c r="U687" s="19" t="s">
        <v>44</v>
      </c>
      <c r="V687" s="19" t="s">
        <v>253</v>
      </c>
      <c r="W687" s="19" t="s">
        <v>231</v>
      </c>
      <c r="X687" s="19" t="s">
        <v>46</v>
      </c>
      <c r="Y687" s="29"/>
      <c r="Z687" s="19"/>
      <c r="AA687" s="19"/>
      <c r="AB687" s="19" t="s">
        <v>1045</v>
      </c>
      <c r="AC687" s="19" t="s">
        <v>1322</v>
      </c>
      <c r="AD687" s="19"/>
      <c r="AE687" s="19"/>
      <c r="AF687" s="19"/>
      <c r="AG687" s="19" t="s">
        <v>235</v>
      </c>
      <c r="AH687" s="19"/>
      <c r="AI687" s="19"/>
      <c r="AJ687" s="19" t="s">
        <v>1503</v>
      </c>
      <c r="AK687" s="19" t="s">
        <v>234</v>
      </c>
      <c r="AL687" s="19"/>
      <c r="AM687" s="19" t="s">
        <v>234</v>
      </c>
      <c r="AN687" s="19" t="s">
        <v>234</v>
      </c>
      <c r="AO687" s="19" t="s">
        <v>235</v>
      </c>
      <c r="AP687" s="94"/>
      <c r="AQ687" s="19" t="s">
        <v>252</v>
      </c>
      <c r="AR687" s="19" t="s">
        <v>241</v>
      </c>
      <c r="AS687" s="19"/>
      <c r="AT687" s="65" t="str">
        <f t="shared" si="200"/>
        <v>N</v>
      </c>
      <c r="AU687" s="65" t="str">
        <f t="shared" si="204"/>
        <v>N</v>
      </c>
      <c r="AV687" s="65" t="str">
        <f>AU687</f>
        <v>N</v>
      </c>
      <c r="AW687" s="99"/>
      <c r="AX687" s="99"/>
      <c r="AY687" s="19"/>
      <c r="AZ687" s="96" t="str">
        <f t="shared" si="205"/>
        <v>n</v>
      </c>
      <c r="BA687" s="96" t="str">
        <f>IF(AZ687="n","n",VLOOKUP(AZ687,'Conversion factors'!$C$4:$D$24,2,FALSE))</f>
        <v>n</v>
      </c>
      <c r="BB687" s="96" t="str">
        <f t="shared" si="206"/>
        <v>n</v>
      </c>
      <c r="BC687" s="97"/>
      <c r="BD687" s="96" t="str">
        <f t="shared" si="201"/>
        <v>n</v>
      </c>
      <c r="BE687" s="96" t="str">
        <f t="shared" si="207"/>
        <v>n</v>
      </c>
      <c r="BF687" s="98" t="str">
        <f t="shared" si="202"/>
        <v/>
      </c>
      <c r="BG687" s="96" t="str">
        <f>IF(BF687="","",IF(ISNUMBER(VLOOKUP(BF687,'Conversion factors'!$B$35:$C$52,2,FALSE)),"y","n"))</f>
        <v/>
      </c>
      <c r="BH687" s="99"/>
    </row>
    <row r="688" spans="1:60" s="103" customFormat="1" ht="15.75" customHeight="1" x14ac:dyDescent="0.2">
      <c r="A688" s="18"/>
      <c r="B688" s="19">
        <v>205</v>
      </c>
      <c r="C688" s="19"/>
      <c r="D688" s="19">
        <v>55838</v>
      </c>
      <c r="E688" s="19" t="s">
        <v>1224</v>
      </c>
      <c r="F688" s="93">
        <v>1998</v>
      </c>
      <c r="G688" s="19" t="s">
        <v>446</v>
      </c>
      <c r="H688" s="19"/>
      <c r="I688" s="19" t="s">
        <v>41</v>
      </c>
      <c r="J688" s="19" t="s">
        <v>447</v>
      </c>
      <c r="K688" s="19" t="s">
        <v>1398</v>
      </c>
      <c r="L688" s="19" t="s">
        <v>1202</v>
      </c>
      <c r="M688" s="19" t="s">
        <v>1203</v>
      </c>
      <c r="N688" s="19" t="s">
        <v>109</v>
      </c>
      <c r="O688" s="19" t="s">
        <v>448</v>
      </c>
      <c r="P688" s="19" t="s">
        <v>162</v>
      </c>
      <c r="Q688" s="19"/>
      <c r="R688" s="19" t="s">
        <v>81</v>
      </c>
      <c r="S688" s="19" t="s">
        <v>402</v>
      </c>
      <c r="T688" s="19" t="s">
        <v>55</v>
      </c>
      <c r="U688" s="19" t="s">
        <v>55</v>
      </c>
      <c r="V688" s="19" t="s">
        <v>1208</v>
      </c>
      <c r="W688" s="19" t="s">
        <v>231</v>
      </c>
      <c r="X688" s="19" t="s">
        <v>46</v>
      </c>
      <c r="Y688" s="29"/>
      <c r="Z688" s="19"/>
      <c r="AA688" s="19"/>
      <c r="AB688" s="19" t="s">
        <v>242</v>
      </c>
      <c r="AC688" s="19" t="s">
        <v>1322</v>
      </c>
      <c r="AD688" s="19"/>
      <c r="AE688" s="19"/>
      <c r="AF688" s="19"/>
      <c r="AG688" s="19" t="s">
        <v>235</v>
      </c>
      <c r="AH688" s="19"/>
      <c r="AI688" s="19"/>
      <c r="AJ688" s="19">
        <v>5.5</v>
      </c>
      <c r="AK688" s="19" t="s">
        <v>449</v>
      </c>
      <c r="AL688" s="19"/>
      <c r="AM688" s="19" t="s">
        <v>234</v>
      </c>
      <c r="AN688" s="19" t="s">
        <v>234</v>
      </c>
      <c r="AO688" s="19" t="s">
        <v>235</v>
      </c>
      <c r="AP688" s="94"/>
      <c r="AQ688" s="19" t="s">
        <v>450</v>
      </c>
      <c r="AR688" s="19" t="s">
        <v>241</v>
      </c>
      <c r="AS688" s="19"/>
      <c r="AT688" s="65" t="str">
        <f t="shared" si="200"/>
        <v>N</v>
      </c>
      <c r="AU688" s="65" t="str">
        <f t="shared" si="204"/>
        <v>N</v>
      </c>
      <c r="AV688" s="65" t="s">
        <v>162</v>
      </c>
      <c r="AW688" s="99" t="s">
        <v>1405</v>
      </c>
      <c r="AX688" s="99"/>
      <c r="AY688" s="19"/>
      <c r="AZ688" s="96" t="str">
        <f t="shared" si="205"/>
        <v>n</v>
      </c>
      <c r="BA688" s="96" t="str">
        <f>IF(AZ688="n","n",VLOOKUP(AZ688,'Conversion factors'!$C$4:$D$24,2,FALSE))</f>
        <v>n</v>
      </c>
      <c r="BB688" s="96" t="str">
        <f t="shared" si="206"/>
        <v>n</v>
      </c>
      <c r="BC688" s="97"/>
      <c r="BD688" s="96" t="str">
        <f t="shared" si="201"/>
        <v>n</v>
      </c>
      <c r="BE688" s="96" t="str">
        <f t="shared" si="207"/>
        <v>n</v>
      </c>
      <c r="BF688" s="98" t="str">
        <f t="shared" si="202"/>
        <v/>
      </c>
      <c r="BG688" s="96" t="str">
        <f>IF(BF688="","",IF(ISNUMBER(VLOOKUP(BF688,'Conversion factors'!$B$35:$C$52,2,FALSE)),"y","n"))</f>
        <v/>
      </c>
      <c r="BH688" s="99"/>
    </row>
    <row r="689" spans="1:62" s="103" customFormat="1" ht="15.75" customHeight="1" x14ac:dyDescent="0.2">
      <c r="A689" s="18"/>
      <c r="B689" s="19">
        <v>205</v>
      </c>
      <c r="C689" s="19"/>
      <c r="D689" s="19">
        <v>55838</v>
      </c>
      <c r="E689" s="19" t="s">
        <v>1224</v>
      </c>
      <c r="F689" s="93">
        <v>1998</v>
      </c>
      <c r="G689" s="19" t="s">
        <v>446</v>
      </c>
      <c r="H689" s="19"/>
      <c r="I689" s="19" t="s">
        <v>41</v>
      </c>
      <c r="J689" s="19" t="s">
        <v>447</v>
      </c>
      <c r="K689" s="19" t="s">
        <v>1398</v>
      </c>
      <c r="L689" s="19" t="s">
        <v>1202</v>
      </c>
      <c r="M689" s="19" t="s">
        <v>1203</v>
      </c>
      <c r="N689" s="19" t="s">
        <v>109</v>
      </c>
      <c r="O689" s="19" t="s">
        <v>448</v>
      </c>
      <c r="P689" s="19" t="s">
        <v>162</v>
      </c>
      <c r="Q689" s="19"/>
      <c r="R689" s="19" t="s">
        <v>81</v>
      </c>
      <c r="S689" s="19" t="s">
        <v>451</v>
      </c>
      <c r="T689" s="19" t="s">
        <v>55</v>
      </c>
      <c r="U689" s="19" t="s">
        <v>55</v>
      </c>
      <c r="V689" s="19" t="s">
        <v>1208</v>
      </c>
      <c r="W689" s="19" t="s">
        <v>231</v>
      </c>
      <c r="X689" s="19" t="s">
        <v>46</v>
      </c>
      <c r="Y689" s="29"/>
      <c r="Z689" s="19"/>
      <c r="AA689" s="19"/>
      <c r="AB689" s="19" t="s">
        <v>242</v>
      </c>
      <c r="AC689" s="19" t="s">
        <v>1322</v>
      </c>
      <c r="AD689" s="19"/>
      <c r="AE689" s="19"/>
      <c r="AF689" s="19"/>
      <c r="AG689" s="19" t="s">
        <v>235</v>
      </c>
      <c r="AH689" s="19"/>
      <c r="AI689" s="19"/>
      <c r="AJ689" s="19">
        <v>5.5</v>
      </c>
      <c r="AK689" s="19" t="s">
        <v>449</v>
      </c>
      <c r="AL689" s="19"/>
      <c r="AM689" s="19" t="s">
        <v>234</v>
      </c>
      <c r="AN689" s="19" t="s">
        <v>234</v>
      </c>
      <c r="AO689" s="19" t="s">
        <v>235</v>
      </c>
      <c r="AP689" s="94"/>
      <c r="AQ689" s="19" t="s">
        <v>450</v>
      </c>
      <c r="AR689" s="19" t="s">
        <v>241</v>
      </c>
      <c r="AS689" s="19"/>
      <c r="AT689" s="65" t="str">
        <f t="shared" si="200"/>
        <v>N</v>
      </c>
      <c r="AU689" s="65" t="str">
        <f t="shared" si="204"/>
        <v>N</v>
      </c>
      <c r="AV689" s="65" t="s">
        <v>162</v>
      </c>
      <c r="AW689" s="99" t="s">
        <v>1405</v>
      </c>
      <c r="AX689" s="99"/>
      <c r="AY689" s="19"/>
      <c r="AZ689" s="96" t="str">
        <f t="shared" si="205"/>
        <v>n</v>
      </c>
      <c r="BA689" s="96" t="str">
        <f>IF(AZ689="n","n",VLOOKUP(AZ689,'Conversion factors'!$C$4:$D$24,2,FALSE))</f>
        <v>n</v>
      </c>
      <c r="BB689" s="96" t="str">
        <f t="shared" si="206"/>
        <v>n</v>
      </c>
      <c r="BC689" s="97"/>
      <c r="BD689" s="96" t="str">
        <f t="shared" si="201"/>
        <v>n</v>
      </c>
      <c r="BE689" s="96" t="str">
        <f t="shared" si="207"/>
        <v>n</v>
      </c>
      <c r="BF689" s="98" t="str">
        <f t="shared" si="202"/>
        <v/>
      </c>
      <c r="BG689" s="96" t="str">
        <f>IF(BF689="","",IF(ISNUMBER(VLOOKUP(BF689,'Conversion factors'!$B$35:$C$52,2,FALSE)),"y","n"))</f>
        <v/>
      </c>
      <c r="BH689" s="99"/>
    </row>
    <row r="690" spans="1:62" s="103" customFormat="1" ht="15.75" customHeight="1" x14ac:dyDescent="0.2">
      <c r="A690" s="18"/>
      <c r="B690" s="19">
        <v>205</v>
      </c>
      <c r="C690" s="19"/>
      <c r="D690" s="19">
        <v>55838</v>
      </c>
      <c r="E690" s="19" t="s">
        <v>1224</v>
      </c>
      <c r="F690" s="93">
        <v>1998</v>
      </c>
      <c r="G690" s="19" t="s">
        <v>446</v>
      </c>
      <c r="H690" s="19"/>
      <c r="I690" s="19" t="s">
        <v>41</v>
      </c>
      <c r="J690" s="19" t="s">
        <v>447</v>
      </c>
      <c r="K690" s="19" t="s">
        <v>1398</v>
      </c>
      <c r="L690" s="19" t="s">
        <v>1202</v>
      </c>
      <c r="M690" s="19" t="s">
        <v>1203</v>
      </c>
      <c r="N690" s="19" t="s">
        <v>109</v>
      </c>
      <c r="O690" s="19" t="s">
        <v>448</v>
      </c>
      <c r="P690" s="19" t="s">
        <v>162</v>
      </c>
      <c r="Q690" s="19"/>
      <c r="R690" s="19" t="s">
        <v>81</v>
      </c>
      <c r="S690" s="19" t="s">
        <v>451</v>
      </c>
      <c r="T690" s="19" t="s">
        <v>55</v>
      </c>
      <c r="U690" s="19" t="s">
        <v>55</v>
      </c>
      <c r="V690" s="19" t="s">
        <v>1208</v>
      </c>
      <c r="W690" s="19" t="s">
        <v>231</v>
      </c>
      <c r="X690" s="19" t="s">
        <v>46</v>
      </c>
      <c r="Y690" s="29"/>
      <c r="Z690" s="19"/>
      <c r="AA690" s="19"/>
      <c r="AB690" s="19" t="s">
        <v>242</v>
      </c>
      <c r="AC690" s="19" t="s">
        <v>1322</v>
      </c>
      <c r="AD690" s="19"/>
      <c r="AE690" s="19"/>
      <c r="AF690" s="19"/>
      <c r="AG690" s="19" t="s">
        <v>235</v>
      </c>
      <c r="AH690" s="19"/>
      <c r="AI690" s="19"/>
      <c r="AJ690" s="19">
        <v>5.5</v>
      </c>
      <c r="AK690" s="19" t="s">
        <v>449</v>
      </c>
      <c r="AL690" s="19"/>
      <c r="AM690" s="19" t="s">
        <v>234</v>
      </c>
      <c r="AN690" s="19" t="s">
        <v>234</v>
      </c>
      <c r="AO690" s="19" t="s">
        <v>235</v>
      </c>
      <c r="AP690" s="94"/>
      <c r="AQ690" s="19" t="s">
        <v>450</v>
      </c>
      <c r="AR690" s="19" t="s">
        <v>241</v>
      </c>
      <c r="AS690" s="19"/>
      <c r="AT690" s="65" t="str">
        <f t="shared" si="200"/>
        <v>N</v>
      </c>
      <c r="AU690" s="65" t="str">
        <f t="shared" si="204"/>
        <v>N</v>
      </c>
      <c r="AV690" s="65" t="s">
        <v>162</v>
      </c>
      <c r="AW690" s="99" t="s">
        <v>1405</v>
      </c>
      <c r="AX690" s="99"/>
      <c r="AY690" s="19"/>
      <c r="AZ690" s="96" t="str">
        <f t="shared" si="205"/>
        <v>n</v>
      </c>
      <c r="BA690" s="96" t="str">
        <f>IF(AZ690="n","n",VLOOKUP(AZ690,'Conversion factors'!$C$4:$D$24,2,FALSE))</f>
        <v>n</v>
      </c>
      <c r="BB690" s="96" t="str">
        <f t="shared" si="206"/>
        <v>n</v>
      </c>
      <c r="BC690" s="97"/>
      <c r="BD690" s="96" t="str">
        <f t="shared" si="201"/>
        <v>n</v>
      </c>
      <c r="BE690" s="96" t="str">
        <f t="shared" si="207"/>
        <v>n</v>
      </c>
      <c r="BF690" s="98" t="str">
        <f t="shared" si="202"/>
        <v/>
      </c>
      <c r="BG690" s="96" t="str">
        <f>IF(BF690="","",IF(ISNUMBER(VLOOKUP(BF690,'Conversion factors'!$B$35:$C$52,2,FALSE)),"y","n"))</f>
        <v/>
      </c>
      <c r="BH690" s="99"/>
    </row>
    <row r="691" spans="1:62" s="103" customFormat="1" ht="15.75" customHeight="1" x14ac:dyDescent="0.2">
      <c r="A691" s="18"/>
      <c r="B691" s="19">
        <v>205</v>
      </c>
      <c r="C691" s="19"/>
      <c r="D691" s="19">
        <v>55838</v>
      </c>
      <c r="E691" s="19" t="s">
        <v>1224</v>
      </c>
      <c r="F691" s="93">
        <v>1998</v>
      </c>
      <c r="G691" s="19" t="s">
        <v>446</v>
      </c>
      <c r="H691" s="19"/>
      <c r="I691" s="19" t="s">
        <v>41</v>
      </c>
      <c r="J691" s="19" t="s">
        <v>447</v>
      </c>
      <c r="K691" s="19" t="s">
        <v>1398</v>
      </c>
      <c r="L691" s="19" t="s">
        <v>1202</v>
      </c>
      <c r="M691" s="19" t="s">
        <v>1203</v>
      </c>
      <c r="N691" s="19" t="s">
        <v>109</v>
      </c>
      <c r="O691" s="19" t="s">
        <v>448</v>
      </c>
      <c r="P691" s="19" t="s">
        <v>162</v>
      </c>
      <c r="Q691" s="19"/>
      <c r="R691" s="19" t="s">
        <v>81</v>
      </c>
      <c r="S691" s="19" t="s">
        <v>402</v>
      </c>
      <c r="T691" s="19" t="s">
        <v>55</v>
      </c>
      <c r="U691" s="19" t="s">
        <v>55</v>
      </c>
      <c r="V691" s="19" t="s">
        <v>1208</v>
      </c>
      <c r="W691" s="19" t="s">
        <v>231</v>
      </c>
      <c r="X691" s="19" t="s">
        <v>46</v>
      </c>
      <c r="Y691" s="29"/>
      <c r="Z691" s="19"/>
      <c r="AA691" s="19"/>
      <c r="AB691" s="19" t="s">
        <v>242</v>
      </c>
      <c r="AC691" s="19" t="s">
        <v>1322</v>
      </c>
      <c r="AD691" s="19"/>
      <c r="AE691" s="19"/>
      <c r="AF691" s="19"/>
      <c r="AG691" s="19" t="s">
        <v>235</v>
      </c>
      <c r="AH691" s="19"/>
      <c r="AI691" s="19"/>
      <c r="AJ691" s="19">
        <v>5.5</v>
      </c>
      <c r="AK691" s="19" t="s">
        <v>449</v>
      </c>
      <c r="AL691" s="19"/>
      <c r="AM691" s="19" t="s">
        <v>234</v>
      </c>
      <c r="AN691" s="19" t="s">
        <v>234</v>
      </c>
      <c r="AO691" s="19" t="s">
        <v>235</v>
      </c>
      <c r="AP691" s="94"/>
      <c r="AQ691" s="19" t="s">
        <v>450</v>
      </c>
      <c r="AR691" s="19" t="s">
        <v>241</v>
      </c>
      <c r="AS691" s="19"/>
      <c r="AT691" s="65" t="str">
        <f t="shared" si="200"/>
        <v>N</v>
      </c>
      <c r="AU691" s="65" t="str">
        <f t="shared" si="204"/>
        <v>N</v>
      </c>
      <c r="AV691" s="65" t="s">
        <v>162</v>
      </c>
      <c r="AW691" s="99" t="s">
        <v>1405</v>
      </c>
      <c r="AX691" s="99"/>
      <c r="AY691" s="19"/>
      <c r="AZ691" s="96" t="str">
        <f t="shared" si="205"/>
        <v>n</v>
      </c>
      <c r="BA691" s="96" t="str">
        <f>IF(AZ691="n","n",VLOOKUP(AZ691,'Conversion factors'!$C$4:$D$24,2,FALSE))</f>
        <v>n</v>
      </c>
      <c r="BB691" s="96" t="str">
        <f t="shared" si="206"/>
        <v>n</v>
      </c>
      <c r="BC691" s="97"/>
      <c r="BD691" s="96" t="str">
        <f t="shared" si="201"/>
        <v>n</v>
      </c>
      <c r="BE691" s="96" t="str">
        <f t="shared" si="207"/>
        <v>n</v>
      </c>
      <c r="BF691" s="98" t="str">
        <f t="shared" si="202"/>
        <v/>
      </c>
      <c r="BG691" s="96" t="str">
        <f>IF(BF691="","",IF(ISNUMBER(VLOOKUP(BF691,'Conversion factors'!$B$35:$C$52,2,FALSE)),"y","n"))</f>
        <v/>
      </c>
      <c r="BH691" s="99"/>
    </row>
    <row r="692" spans="1:62" s="103" customFormat="1" ht="15.75" customHeight="1" x14ac:dyDescent="0.2">
      <c r="A692" s="18"/>
      <c r="B692" s="19">
        <v>226</v>
      </c>
      <c r="C692" s="19"/>
      <c r="D692" s="19">
        <v>67484</v>
      </c>
      <c r="E692" s="19" t="s">
        <v>1224</v>
      </c>
      <c r="F692" s="93">
        <v>1997</v>
      </c>
      <c r="G692" s="19" t="s">
        <v>560</v>
      </c>
      <c r="H692" s="19"/>
      <c r="I692" s="19" t="s">
        <v>41</v>
      </c>
      <c r="J692" s="19" t="s">
        <v>447</v>
      </c>
      <c r="K692" s="19" t="s">
        <v>1398</v>
      </c>
      <c r="L692" s="19" t="s">
        <v>1202</v>
      </c>
      <c r="M692" s="19" t="s">
        <v>1203</v>
      </c>
      <c r="N692" s="19" t="s">
        <v>109</v>
      </c>
      <c r="O692" s="19" t="s">
        <v>448</v>
      </c>
      <c r="P692" s="19" t="s">
        <v>162</v>
      </c>
      <c r="Q692" s="19"/>
      <c r="R692" s="19" t="s">
        <v>81</v>
      </c>
      <c r="S692" s="19" t="s">
        <v>402</v>
      </c>
      <c r="T692" s="19" t="s">
        <v>561</v>
      </c>
      <c r="U692" s="19" t="s">
        <v>561</v>
      </c>
      <c r="V692" s="19" t="s">
        <v>94</v>
      </c>
      <c r="W692" s="19" t="s">
        <v>231</v>
      </c>
      <c r="X692" s="19" t="s">
        <v>46</v>
      </c>
      <c r="Y692" s="29"/>
      <c r="Z692" s="19"/>
      <c r="AA692" s="19"/>
      <c r="AB692" s="19" t="s">
        <v>562</v>
      </c>
      <c r="AC692" s="19" t="s">
        <v>1322</v>
      </c>
      <c r="AD692" s="19"/>
      <c r="AE692" s="19"/>
      <c r="AF692" s="19"/>
      <c r="AG692" s="19" t="s">
        <v>235</v>
      </c>
      <c r="AH692" s="19"/>
      <c r="AI692" s="19"/>
      <c r="AJ692" s="19">
        <v>5.5</v>
      </c>
      <c r="AK692" s="19" t="s">
        <v>449</v>
      </c>
      <c r="AL692" s="19"/>
      <c r="AM692" s="19" t="s">
        <v>234</v>
      </c>
      <c r="AN692" s="19" t="s">
        <v>234</v>
      </c>
      <c r="AO692" s="19" t="s">
        <v>235</v>
      </c>
      <c r="AP692" s="94"/>
      <c r="AQ692" s="19" t="s">
        <v>450</v>
      </c>
      <c r="AR692" s="19" t="s">
        <v>241</v>
      </c>
      <c r="AS692" s="19"/>
      <c r="AT692" s="65" t="str">
        <f t="shared" si="200"/>
        <v>N</v>
      </c>
      <c r="AU692" s="65" t="str">
        <f t="shared" si="204"/>
        <v>N</v>
      </c>
      <c r="AV692" s="65" t="s">
        <v>162</v>
      </c>
      <c r="AW692" s="99" t="s">
        <v>1405</v>
      </c>
      <c r="AX692" s="99"/>
      <c r="AY692" s="19"/>
      <c r="AZ692" s="96" t="str">
        <f t="shared" si="205"/>
        <v>n</v>
      </c>
      <c r="BA692" s="96" t="str">
        <f>IF(AZ692="n","n",VLOOKUP(AZ692,'Conversion factors'!$C$4:$D$24,2,FALSE))</f>
        <v>n</v>
      </c>
      <c r="BB692" s="96" t="str">
        <f t="shared" si="206"/>
        <v>n</v>
      </c>
      <c r="BC692" s="97"/>
      <c r="BD692" s="96" t="str">
        <f t="shared" si="201"/>
        <v>n</v>
      </c>
      <c r="BE692" s="96" t="str">
        <f t="shared" si="207"/>
        <v>n</v>
      </c>
      <c r="BF692" s="98" t="str">
        <f t="shared" si="202"/>
        <v/>
      </c>
      <c r="BG692" s="96" t="str">
        <f>IF(BF692="","",IF(ISNUMBER(VLOOKUP(BF692,'Conversion factors'!$B$35:$C$52,2,FALSE)),"y","n"))</f>
        <v/>
      </c>
      <c r="BH692" s="99"/>
    </row>
    <row r="693" spans="1:62" s="103" customFormat="1" ht="15.75" customHeight="1" x14ac:dyDescent="0.2">
      <c r="A693" s="18"/>
      <c r="B693" s="19">
        <v>226</v>
      </c>
      <c r="C693" s="19"/>
      <c r="D693" s="19">
        <v>67484</v>
      </c>
      <c r="E693" s="19" t="s">
        <v>1224</v>
      </c>
      <c r="F693" s="93">
        <v>1997</v>
      </c>
      <c r="G693" s="19" t="s">
        <v>560</v>
      </c>
      <c r="H693" s="19"/>
      <c r="I693" s="19" t="s">
        <v>41</v>
      </c>
      <c r="J693" s="19" t="s">
        <v>447</v>
      </c>
      <c r="K693" s="19" t="s">
        <v>1398</v>
      </c>
      <c r="L693" s="19" t="s">
        <v>1202</v>
      </c>
      <c r="M693" s="19" t="s">
        <v>1203</v>
      </c>
      <c r="N693" s="19" t="s">
        <v>109</v>
      </c>
      <c r="O693" s="19" t="s">
        <v>448</v>
      </c>
      <c r="P693" s="19" t="s">
        <v>162</v>
      </c>
      <c r="Q693" s="19"/>
      <c r="R693" s="19" t="s">
        <v>81</v>
      </c>
      <c r="S693" s="19" t="s">
        <v>402</v>
      </c>
      <c r="T693" s="19" t="s">
        <v>561</v>
      </c>
      <c r="U693" s="19" t="s">
        <v>561</v>
      </c>
      <c r="V693" s="19" t="s">
        <v>94</v>
      </c>
      <c r="W693" s="19" t="s">
        <v>231</v>
      </c>
      <c r="X693" s="19" t="s">
        <v>46</v>
      </c>
      <c r="Y693" s="29"/>
      <c r="Z693" s="19"/>
      <c r="AA693" s="19"/>
      <c r="AB693" s="19" t="s">
        <v>563</v>
      </c>
      <c r="AC693" s="19" t="s">
        <v>1322</v>
      </c>
      <c r="AD693" s="19"/>
      <c r="AE693" s="19"/>
      <c r="AF693" s="19"/>
      <c r="AG693" s="19" t="s">
        <v>235</v>
      </c>
      <c r="AH693" s="19"/>
      <c r="AI693" s="19"/>
      <c r="AJ693" s="19">
        <v>5.5</v>
      </c>
      <c r="AK693" s="19" t="s">
        <v>449</v>
      </c>
      <c r="AL693" s="19"/>
      <c r="AM693" s="19" t="s">
        <v>234</v>
      </c>
      <c r="AN693" s="19" t="s">
        <v>234</v>
      </c>
      <c r="AO693" s="19" t="s">
        <v>235</v>
      </c>
      <c r="AP693" s="94"/>
      <c r="AQ693" s="19" t="s">
        <v>450</v>
      </c>
      <c r="AR693" s="19" t="s">
        <v>241</v>
      </c>
      <c r="AS693" s="19"/>
      <c r="AT693" s="65" t="str">
        <f t="shared" si="200"/>
        <v>N</v>
      </c>
      <c r="AU693" s="65" t="str">
        <f t="shared" si="204"/>
        <v>N</v>
      </c>
      <c r="AV693" s="65" t="s">
        <v>162</v>
      </c>
      <c r="AW693" s="99" t="s">
        <v>1405</v>
      </c>
      <c r="AX693" s="99"/>
      <c r="AY693" s="19"/>
      <c r="AZ693" s="96" t="str">
        <f t="shared" si="205"/>
        <v>n</v>
      </c>
      <c r="BA693" s="96" t="str">
        <f>IF(AZ693="n","n",VLOOKUP(AZ693,'Conversion factors'!$C$4:$D$24,2,FALSE))</f>
        <v>n</v>
      </c>
      <c r="BB693" s="96" t="str">
        <f t="shared" si="206"/>
        <v>n</v>
      </c>
      <c r="BC693" s="97"/>
      <c r="BD693" s="96" t="str">
        <f t="shared" si="201"/>
        <v>n</v>
      </c>
      <c r="BE693" s="96" t="str">
        <f t="shared" si="207"/>
        <v>n</v>
      </c>
      <c r="BF693" s="98" t="str">
        <f t="shared" si="202"/>
        <v/>
      </c>
      <c r="BG693" s="96" t="str">
        <f>IF(BF693="","",IF(ISNUMBER(VLOOKUP(BF693,'Conversion factors'!$B$35:$C$52,2,FALSE)),"y","n"))</f>
        <v/>
      </c>
      <c r="BH693" s="99"/>
    </row>
    <row r="694" spans="1:62" s="103" customFormat="1" ht="15.75" customHeight="1" x14ac:dyDescent="0.2">
      <c r="A694" s="18"/>
      <c r="B694" s="19">
        <v>226</v>
      </c>
      <c r="C694" s="19"/>
      <c r="D694" s="19">
        <v>67484</v>
      </c>
      <c r="E694" s="19" t="s">
        <v>1224</v>
      </c>
      <c r="F694" s="93">
        <v>1997</v>
      </c>
      <c r="G694" s="19" t="s">
        <v>560</v>
      </c>
      <c r="H694" s="19"/>
      <c r="I694" s="19" t="s">
        <v>41</v>
      </c>
      <c r="J694" s="19" t="s">
        <v>447</v>
      </c>
      <c r="K694" s="19" t="s">
        <v>1398</v>
      </c>
      <c r="L694" s="19" t="s">
        <v>1202</v>
      </c>
      <c r="M694" s="19" t="s">
        <v>1203</v>
      </c>
      <c r="N694" s="19" t="s">
        <v>109</v>
      </c>
      <c r="O694" s="19" t="s">
        <v>448</v>
      </c>
      <c r="P694" s="19" t="s">
        <v>162</v>
      </c>
      <c r="Q694" s="19"/>
      <c r="R694" s="19" t="s">
        <v>81</v>
      </c>
      <c r="S694" s="19" t="s">
        <v>402</v>
      </c>
      <c r="T694" s="19" t="s">
        <v>561</v>
      </c>
      <c r="U694" s="19" t="s">
        <v>561</v>
      </c>
      <c r="V694" s="19" t="s">
        <v>94</v>
      </c>
      <c r="W694" s="19" t="s">
        <v>231</v>
      </c>
      <c r="X694" s="19" t="s">
        <v>46</v>
      </c>
      <c r="Y694" s="29"/>
      <c r="Z694" s="19"/>
      <c r="AA694" s="19"/>
      <c r="AB694" s="19" t="s">
        <v>564</v>
      </c>
      <c r="AC694" s="19" t="s">
        <v>1322</v>
      </c>
      <c r="AD694" s="19"/>
      <c r="AE694" s="19"/>
      <c r="AF694" s="19"/>
      <c r="AG694" s="19" t="s">
        <v>235</v>
      </c>
      <c r="AH694" s="19"/>
      <c r="AI694" s="19"/>
      <c r="AJ694" s="19">
        <v>5.5</v>
      </c>
      <c r="AK694" s="19" t="s">
        <v>449</v>
      </c>
      <c r="AL694" s="19"/>
      <c r="AM694" s="19" t="s">
        <v>234</v>
      </c>
      <c r="AN694" s="19" t="s">
        <v>234</v>
      </c>
      <c r="AO694" s="19" t="s">
        <v>235</v>
      </c>
      <c r="AP694" s="94"/>
      <c r="AQ694" s="19" t="s">
        <v>450</v>
      </c>
      <c r="AR694" s="19" t="s">
        <v>241</v>
      </c>
      <c r="AS694" s="19"/>
      <c r="AT694" s="65" t="str">
        <f t="shared" si="200"/>
        <v>N</v>
      </c>
      <c r="AU694" s="65" t="str">
        <f t="shared" si="204"/>
        <v>N</v>
      </c>
      <c r="AV694" s="65" t="s">
        <v>162</v>
      </c>
      <c r="AW694" s="99" t="s">
        <v>1405</v>
      </c>
      <c r="AX694" s="99"/>
      <c r="AY694" s="19"/>
      <c r="AZ694" s="96" t="str">
        <f t="shared" si="205"/>
        <v>n</v>
      </c>
      <c r="BA694" s="96" t="str">
        <f>IF(AZ694="n","n",VLOOKUP(AZ694,'Conversion factors'!$C$4:$D$24,2,FALSE))</f>
        <v>n</v>
      </c>
      <c r="BB694" s="96" t="str">
        <f t="shared" si="206"/>
        <v>n</v>
      </c>
      <c r="BC694" s="97"/>
      <c r="BD694" s="96" t="str">
        <f t="shared" si="201"/>
        <v>n</v>
      </c>
      <c r="BE694" s="96" t="str">
        <f t="shared" si="207"/>
        <v>n</v>
      </c>
      <c r="BF694" s="98" t="str">
        <f t="shared" si="202"/>
        <v/>
      </c>
      <c r="BG694" s="96" t="str">
        <f>IF(BF694="","",IF(ISNUMBER(VLOOKUP(BF694,'Conversion factors'!$B$35:$C$52,2,FALSE)),"y","n"))</f>
        <v/>
      </c>
      <c r="BH694" s="99"/>
    </row>
    <row r="695" spans="1:62" s="103" customFormat="1" ht="15.75" customHeight="1" x14ac:dyDescent="0.2">
      <c r="A695" s="18"/>
      <c r="B695" s="19">
        <v>226</v>
      </c>
      <c r="C695" s="19"/>
      <c r="D695" s="19">
        <v>67484</v>
      </c>
      <c r="E695" s="19" t="s">
        <v>1224</v>
      </c>
      <c r="F695" s="93">
        <v>1997</v>
      </c>
      <c r="G695" s="19" t="s">
        <v>560</v>
      </c>
      <c r="H695" s="19"/>
      <c r="I695" s="19" t="s">
        <v>41</v>
      </c>
      <c r="J695" s="19" t="s">
        <v>447</v>
      </c>
      <c r="K695" s="19" t="s">
        <v>1398</v>
      </c>
      <c r="L695" s="19" t="s">
        <v>1202</v>
      </c>
      <c r="M695" s="19" t="s">
        <v>1203</v>
      </c>
      <c r="N695" s="19" t="s">
        <v>109</v>
      </c>
      <c r="O695" s="19" t="s">
        <v>448</v>
      </c>
      <c r="P695" s="19" t="s">
        <v>162</v>
      </c>
      <c r="Q695" s="19"/>
      <c r="R695" s="19" t="s">
        <v>81</v>
      </c>
      <c r="S695" s="19" t="s">
        <v>402</v>
      </c>
      <c r="T695" s="19" t="s">
        <v>454</v>
      </c>
      <c r="U695" s="19" t="s">
        <v>454</v>
      </c>
      <c r="V695" s="19" t="s">
        <v>94</v>
      </c>
      <c r="W695" s="19" t="s">
        <v>231</v>
      </c>
      <c r="X695" s="19" t="s">
        <v>46</v>
      </c>
      <c r="Y695" s="29"/>
      <c r="Z695" s="19"/>
      <c r="AA695" s="19"/>
      <c r="AB695" s="19" t="s">
        <v>242</v>
      </c>
      <c r="AC695" s="19" t="s">
        <v>1322</v>
      </c>
      <c r="AD695" s="19"/>
      <c r="AE695" s="19"/>
      <c r="AF695" s="19"/>
      <c r="AG695" s="19" t="s">
        <v>235</v>
      </c>
      <c r="AH695" s="19"/>
      <c r="AI695" s="19"/>
      <c r="AJ695" s="19">
        <v>5.5</v>
      </c>
      <c r="AK695" s="19" t="s">
        <v>449</v>
      </c>
      <c r="AL695" s="19"/>
      <c r="AM695" s="19" t="s">
        <v>234</v>
      </c>
      <c r="AN695" s="19" t="s">
        <v>234</v>
      </c>
      <c r="AO695" s="19" t="s">
        <v>235</v>
      </c>
      <c r="AP695" s="94"/>
      <c r="AQ695" s="19" t="s">
        <v>450</v>
      </c>
      <c r="AR695" s="19" t="s">
        <v>241</v>
      </c>
      <c r="AS695" s="19"/>
      <c r="AT695" s="65" t="str">
        <f t="shared" si="200"/>
        <v>N</v>
      </c>
      <c r="AU695" s="65" t="str">
        <f t="shared" si="204"/>
        <v>N</v>
      </c>
      <c r="AV695" s="65" t="s">
        <v>162</v>
      </c>
      <c r="AW695" s="99" t="s">
        <v>1405</v>
      </c>
      <c r="AX695" s="99"/>
      <c r="AY695" s="19"/>
      <c r="AZ695" s="96" t="str">
        <f t="shared" si="205"/>
        <v>n</v>
      </c>
      <c r="BA695" s="96" t="str">
        <f>IF(AZ695="n","n",VLOOKUP(AZ695,'Conversion factors'!$C$4:$D$24,2,FALSE))</f>
        <v>n</v>
      </c>
      <c r="BB695" s="96" t="str">
        <f t="shared" si="206"/>
        <v>n</v>
      </c>
      <c r="BC695" s="97"/>
      <c r="BD695" s="96" t="str">
        <f t="shared" si="201"/>
        <v>n</v>
      </c>
      <c r="BE695" s="96" t="str">
        <f t="shared" si="207"/>
        <v>n</v>
      </c>
      <c r="BF695" s="98" t="str">
        <f t="shared" si="202"/>
        <v/>
      </c>
      <c r="BG695" s="96" t="str">
        <f>IF(BF695="","",IF(ISNUMBER(VLOOKUP(BF695,'Conversion factors'!$B$35:$C$52,2,FALSE)),"y","n"))</f>
        <v/>
      </c>
      <c r="BH695" s="99"/>
    </row>
    <row r="696" spans="1:62" s="103" customFormat="1" ht="15.75" customHeight="1" x14ac:dyDescent="0.2">
      <c r="A696" s="18"/>
      <c r="B696" s="19">
        <v>226</v>
      </c>
      <c r="C696" s="19"/>
      <c r="D696" s="19">
        <v>67484</v>
      </c>
      <c r="E696" s="19" t="s">
        <v>1224</v>
      </c>
      <c r="F696" s="93">
        <v>1997</v>
      </c>
      <c r="G696" s="19" t="s">
        <v>560</v>
      </c>
      <c r="H696" s="19"/>
      <c r="I696" s="19" t="s">
        <v>41</v>
      </c>
      <c r="J696" s="19" t="s">
        <v>447</v>
      </c>
      <c r="K696" s="19" t="s">
        <v>1398</v>
      </c>
      <c r="L696" s="19" t="s">
        <v>1202</v>
      </c>
      <c r="M696" s="19" t="s">
        <v>1203</v>
      </c>
      <c r="N696" s="19" t="s">
        <v>109</v>
      </c>
      <c r="O696" s="19" t="s">
        <v>448</v>
      </c>
      <c r="P696" s="19" t="s">
        <v>162</v>
      </c>
      <c r="Q696" s="19"/>
      <c r="R696" s="19" t="s">
        <v>81</v>
      </c>
      <c r="S696" s="19" t="s">
        <v>402</v>
      </c>
      <c r="T696" s="19" t="s">
        <v>454</v>
      </c>
      <c r="U696" s="19" t="s">
        <v>454</v>
      </c>
      <c r="V696" s="19" t="s">
        <v>94</v>
      </c>
      <c r="W696" s="19" t="s">
        <v>231</v>
      </c>
      <c r="X696" s="19" t="s">
        <v>46</v>
      </c>
      <c r="Y696" s="29"/>
      <c r="Z696" s="19"/>
      <c r="AA696" s="19"/>
      <c r="AB696" s="19" t="s">
        <v>265</v>
      </c>
      <c r="AC696" s="19" t="s">
        <v>1322</v>
      </c>
      <c r="AD696" s="19"/>
      <c r="AE696" s="19"/>
      <c r="AF696" s="19"/>
      <c r="AG696" s="19" t="s">
        <v>235</v>
      </c>
      <c r="AH696" s="19"/>
      <c r="AI696" s="19"/>
      <c r="AJ696" s="19">
        <v>5.5</v>
      </c>
      <c r="AK696" s="19" t="s">
        <v>449</v>
      </c>
      <c r="AL696" s="19"/>
      <c r="AM696" s="19" t="s">
        <v>234</v>
      </c>
      <c r="AN696" s="19" t="s">
        <v>234</v>
      </c>
      <c r="AO696" s="19" t="s">
        <v>235</v>
      </c>
      <c r="AP696" s="94"/>
      <c r="AQ696" s="19" t="s">
        <v>450</v>
      </c>
      <c r="AR696" s="19" t="s">
        <v>241</v>
      </c>
      <c r="AS696" s="19"/>
      <c r="AT696" s="65" t="str">
        <f t="shared" si="200"/>
        <v>N</v>
      </c>
      <c r="AU696" s="65" t="str">
        <f t="shared" si="204"/>
        <v>N</v>
      </c>
      <c r="AV696" s="65" t="s">
        <v>162</v>
      </c>
      <c r="AW696" s="99" t="s">
        <v>1405</v>
      </c>
      <c r="AX696" s="99"/>
      <c r="AY696" s="19"/>
      <c r="AZ696" s="96" t="str">
        <f t="shared" si="205"/>
        <v>n</v>
      </c>
      <c r="BA696" s="96" t="str">
        <f>IF(AZ696="n","n",VLOOKUP(AZ696,'Conversion factors'!$C$4:$D$24,2,FALSE))</f>
        <v>n</v>
      </c>
      <c r="BB696" s="96" t="str">
        <f t="shared" si="206"/>
        <v>n</v>
      </c>
      <c r="BC696" s="97"/>
      <c r="BD696" s="96" t="str">
        <f t="shared" si="201"/>
        <v>n</v>
      </c>
      <c r="BE696" s="96" t="str">
        <f t="shared" si="207"/>
        <v>n</v>
      </c>
      <c r="BF696" s="98" t="str">
        <f t="shared" si="202"/>
        <v/>
      </c>
      <c r="BG696" s="96" t="str">
        <f>IF(BF696="","",IF(ISNUMBER(VLOOKUP(BF696,'Conversion factors'!$B$35:$C$52,2,FALSE)),"y","n"))</f>
        <v/>
      </c>
      <c r="BH696" s="99"/>
    </row>
    <row r="697" spans="1:62" s="103" customFormat="1" ht="15.75" customHeight="1" x14ac:dyDescent="0.2">
      <c r="A697" s="18"/>
      <c r="B697" s="19">
        <v>226</v>
      </c>
      <c r="C697" s="19"/>
      <c r="D697" s="19">
        <v>67484</v>
      </c>
      <c r="E697" s="19" t="s">
        <v>1224</v>
      </c>
      <c r="F697" s="93">
        <v>1997</v>
      </c>
      <c r="G697" s="19" t="s">
        <v>560</v>
      </c>
      <c r="H697" s="19"/>
      <c r="I697" s="19" t="s">
        <v>41</v>
      </c>
      <c r="J697" s="19" t="s">
        <v>447</v>
      </c>
      <c r="K697" s="19" t="s">
        <v>1398</v>
      </c>
      <c r="L697" s="19" t="s">
        <v>1202</v>
      </c>
      <c r="M697" s="19" t="s">
        <v>1203</v>
      </c>
      <c r="N697" s="19" t="s">
        <v>109</v>
      </c>
      <c r="O697" s="19" t="s">
        <v>448</v>
      </c>
      <c r="P697" s="19" t="s">
        <v>162</v>
      </c>
      <c r="Q697" s="19"/>
      <c r="R697" s="19" t="s">
        <v>81</v>
      </c>
      <c r="S697" s="19" t="s">
        <v>402</v>
      </c>
      <c r="T697" s="19" t="s">
        <v>454</v>
      </c>
      <c r="U697" s="19" t="s">
        <v>454</v>
      </c>
      <c r="V697" s="19" t="s">
        <v>94</v>
      </c>
      <c r="W697" s="19" t="s">
        <v>231</v>
      </c>
      <c r="X697" s="19" t="s">
        <v>46</v>
      </c>
      <c r="Y697" s="29"/>
      <c r="Z697" s="19"/>
      <c r="AA697" s="19"/>
      <c r="AB697" s="19" t="s">
        <v>242</v>
      </c>
      <c r="AC697" s="19" t="s">
        <v>1322</v>
      </c>
      <c r="AD697" s="19"/>
      <c r="AE697" s="19"/>
      <c r="AF697" s="19"/>
      <c r="AG697" s="19" t="s">
        <v>235</v>
      </c>
      <c r="AH697" s="19"/>
      <c r="AI697" s="19"/>
      <c r="AJ697" s="19">
        <v>5.5</v>
      </c>
      <c r="AK697" s="19" t="s">
        <v>449</v>
      </c>
      <c r="AL697" s="19"/>
      <c r="AM697" s="19" t="s">
        <v>234</v>
      </c>
      <c r="AN697" s="19" t="s">
        <v>234</v>
      </c>
      <c r="AO697" s="19" t="s">
        <v>235</v>
      </c>
      <c r="AP697" s="94"/>
      <c r="AQ697" s="19" t="s">
        <v>450</v>
      </c>
      <c r="AR697" s="19" t="s">
        <v>241</v>
      </c>
      <c r="AS697" s="19"/>
      <c r="AT697" s="65" t="str">
        <f t="shared" si="200"/>
        <v>N</v>
      </c>
      <c r="AU697" s="65" t="str">
        <f t="shared" si="204"/>
        <v>N</v>
      </c>
      <c r="AV697" s="65" t="s">
        <v>162</v>
      </c>
      <c r="AW697" s="99" t="s">
        <v>1405</v>
      </c>
      <c r="AX697" s="99"/>
      <c r="AY697" s="19"/>
      <c r="AZ697" s="96" t="str">
        <f t="shared" si="205"/>
        <v>n</v>
      </c>
      <c r="BA697" s="96" t="str">
        <f>IF(AZ697="n","n",VLOOKUP(AZ697,'Conversion factors'!$C$4:$D$24,2,FALSE))</f>
        <v>n</v>
      </c>
      <c r="BB697" s="96" t="str">
        <f t="shared" si="206"/>
        <v>n</v>
      </c>
      <c r="BC697" s="97"/>
      <c r="BD697" s="96" t="str">
        <f t="shared" si="201"/>
        <v>n</v>
      </c>
      <c r="BE697" s="96" t="str">
        <f t="shared" si="207"/>
        <v>n</v>
      </c>
      <c r="BF697" s="98" t="str">
        <f t="shared" si="202"/>
        <v/>
      </c>
      <c r="BG697" s="96" t="str">
        <f>IF(BF697="","",IF(ISNUMBER(VLOOKUP(BF697,'Conversion factors'!$B$35:$C$52,2,FALSE)),"y","n"))</f>
        <v/>
      </c>
      <c r="BH697" s="99"/>
    </row>
    <row r="698" spans="1:62" s="103" customFormat="1" ht="15.75" customHeight="1" x14ac:dyDescent="0.2">
      <c r="A698" s="18"/>
      <c r="B698" s="19">
        <v>226</v>
      </c>
      <c r="C698" s="19"/>
      <c r="D698" s="19">
        <v>67484</v>
      </c>
      <c r="E698" s="19" t="s">
        <v>1224</v>
      </c>
      <c r="F698" s="93">
        <v>1997</v>
      </c>
      <c r="G698" s="19" t="s">
        <v>560</v>
      </c>
      <c r="H698" s="19"/>
      <c r="I698" s="19" t="s">
        <v>41</v>
      </c>
      <c r="J698" s="19" t="s">
        <v>447</v>
      </c>
      <c r="K698" s="19" t="s">
        <v>1398</v>
      </c>
      <c r="L698" s="19" t="s">
        <v>1202</v>
      </c>
      <c r="M698" s="19" t="s">
        <v>1203</v>
      </c>
      <c r="N698" s="19" t="s">
        <v>109</v>
      </c>
      <c r="O698" s="19" t="s">
        <v>448</v>
      </c>
      <c r="P698" s="19" t="s">
        <v>162</v>
      </c>
      <c r="Q698" s="19"/>
      <c r="R698" s="19" t="s">
        <v>81</v>
      </c>
      <c r="S698" s="19" t="s">
        <v>402</v>
      </c>
      <c r="T698" s="19" t="s">
        <v>465</v>
      </c>
      <c r="U698" s="19" t="s">
        <v>54</v>
      </c>
      <c r="V698" s="19" t="s">
        <v>94</v>
      </c>
      <c r="W698" s="19" t="s">
        <v>231</v>
      </c>
      <c r="X698" s="19" t="s">
        <v>46</v>
      </c>
      <c r="Y698" s="29"/>
      <c r="Z698" s="19"/>
      <c r="AA698" s="19"/>
      <c r="AB698" s="19" t="s">
        <v>242</v>
      </c>
      <c r="AC698" s="19" t="s">
        <v>1322</v>
      </c>
      <c r="AD698" s="19"/>
      <c r="AE698" s="19"/>
      <c r="AF698" s="19"/>
      <c r="AG698" s="19" t="s">
        <v>235</v>
      </c>
      <c r="AH698" s="19"/>
      <c r="AI698" s="19"/>
      <c r="AJ698" s="19">
        <v>5.5</v>
      </c>
      <c r="AK698" s="19" t="s">
        <v>449</v>
      </c>
      <c r="AL698" s="19"/>
      <c r="AM698" s="19" t="s">
        <v>234</v>
      </c>
      <c r="AN698" s="19" t="s">
        <v>234</v>
      </c>
      <c r="AO698" s="19" t="s">
        <v>235</v>
      </c>
      <c r="AP698" s="94"/>
      <c r="AQ698" s="19" t="s">
        <v>450</v>
      </c>
      <c r="AR698" s="19" t="s">
        <v>241</v>
      </c>
      <c r="AS698" s="19"/>
      <c r="AT698" s="65" t="str">
        <f t="shared" si="200"/>
        <v>N</v>
      </c>
      <c r="AU698" s="65" t="str">
        <f t="shared" si="204"/>
        <v>N</v>
      </c>
      <c r="AV698" s="65" t="s">
        <v>162</v>
      </c>
      <c r="AW698" s="99" t="s">
        <v>1405</v>
      </c>
      <c r="AX698" s="99"/>
      <c r="AY698" s="19"/>
      <c r="AZ698" s="96" t="str">
        <f t="shared" si="205"/>
        <v>n</v>
      </c>
      <c r="BA698" s="96" t="str">
        <f>IF(AZ698="n","n",VLOOKUP(AZ698,'Conversion factors'!$C$4:$D$24,2,FALSE))</f>
        <v>n</v>
      </c>
      <c r="BB698" s="96" t="str">
        <f t="shared" si="206"/>
        <v>n</v>
      </c>
      <c r="BC698" s="97"/>
      <c r="BD698" s="96" t="str">
        <f t="shared" si="201"/>
        <v>n</v>
      </c>
      <c r="BE698" s="96" t="str">
        <f t="shared" si="207"/>
        <v>n</v>
      </c>
      <c r="BF698" s="98" t="str">
        <f t="shared" si="202"/>
        <v/>
      </c>
      <c r="BG698" s="96" t="str">
        <f>IF(BF698="","",IF(ISNUMBER(VLOOKUP(BF698,'Conversion factors'!$B$35:$C$52,2,FALSE)),"y","n"))</f>
        <v/>
      </c>
      <c r="BH698" s="99"/>
    </row>
    <row r="699" spans="1:62" s="103" customFormat="1" ht="15.75" customHeight="1" x14ac:dyDescent="0.2">
      <c r="A699" s="18"/>
      <c r="B699" s="20">
        <v>344</v>
      </c>
      <c r="C699" s="20"/>
      <c r="D699" s="20"/>
      <c r="E699" s="20" t="s">
        <v>1359</v>
      </c>
      <c r="F699" s="93">
        <v>2011</v>
      </c>
      <c r="G699" s="19" t="s">
        <v>1370</v>
      </c>
      <c r="H699" s="20"/>
      <c r="I699" s="19" t="s">
        <v>1371</v>
      </c>
      <c r="J699" s="19" t="s">
        <v>1375</v>
      </c>
      <c r="K699" s="19" t="s">
        <v>1398</v>
      </c>
      <c r="L699" s="19" t="s">
        <v>1202</v>
      </c>
      <c r="M699" s="19" t="s">
        <v>1203</v>
      </c>
      <c r="N699" s="19" t="s">
        <v>109</v>
      </c>
      <c r="O699" s="19" t="s">
        <v>187</v>
      </c>
      <c r="P699" s="19" t="s">
        <v>162</v>
      </c>
      <c r="Q699" s="20"/>
      <c r="R699" s="19" t="s">
        <v>81</v>
      </c>
      <c r="S699" s="19" t="s">
        <v>1310</v>
      </c>
      <c r="T699" s="19" t="s">
        <v>44</v>
      </c>
      <c r="U699" s="19" t="s">
        <v>44</v>
      </c>
      <c r="V699" s="19">
        <v>7</v>
      </c>
      <c r="W699" s="19" t="s">
        <v>45</v>
      </c>
      <c r="X699" s="19" t="s">
        <v>46</v>
      </c>
      <c r="Y699" s="20"/>
      <c r="Z699" s="20"/>
      <c r="AA699" s="20"/>
      <c r="AB699" s="19">
        <v>18900</v>
      </c>
      <c r="AC699" s="19" t="s">
        <v>162</v>
      </c>
      <c r="AD699" s="20"/>
      <c r="AE699" s="20"/>
      <c r="AF699" s="20"/>
      <c r="AG699" s="19"/>
      <c r="AH699" s="19"/>
      <c r="AI699" s="19"/>
      <c r="AJ699" s="19">
        <f>MEDIAN(4.6,4.8)</f>
        <v>4.6999999999999993</v>
      </c>
      <c r="AK699" s="19" t="s">
        <v>1372</v>
      </c>
      <c r="AL699" s="19"/>
      <c r="AM699" s="20"/>
      <c r="AN699" s="19"/>
      <c r="AO699" s="20"/>
      <c r="AP699" s="94"/>
      <c r="AQ699" s="19">
        <v>22</v>
      </c>
      <c r="AR699" s="19"/>
      <c r="AS699" s="20"/>
      <c r="AT699" s="65" t="str">
        <f t="shared" si="200"/>
        <v>N</v>
      </c>
      <c r="AU699" s="65" t="str">
        <f t="shared" si="204"/>
        <v>N</v>
      </c>
      <c r="AV699" s="65" t="s">
        <v>162</v>
      </c>
      <c r="AW699" s="99" t="s">
        <v>1405</v>
      </c>
      <c r="AX699" s="99"/>
      <c r="AY699" s="20"/>
      <c r="AZ699" s="96" t="str">
        <f t="shared" si="205"/>
        <v>n</v>
      </c>
      <c r="BA699" s="96" t="str">
        <f>IF(AZ699="n","n",VLOOKUP(AZ699,'Conversion factors'!$C$4:$D$24,2,FALSE))</f>
        <v>n</v>
      </c>
      <c r="BB699" s="96" t="str">
        <f t="shared" si="206"/>
        <v>n</v>
      </c>
      <c r="BC699" s="20"/>
      <c r="BD699" s="96" t="str">
        <f t="shared" si="201"/>
        <v>n</v>
      </c>
      <c r="BE699" s="96" t="str">
        <f t="shared" si="207"/>
        <v>n</v>
      </c>
      <c r="BF699" s="98" t="str">
        <f t="shared" si="202"/>
        <v/>
      </c>
      <c r="BG699" s="96" t="str">
        <f>IF(BF699="","",IF(ISNUMBER(VLOOKUP(BF699,'Conversion factors'!$B$35:$C$52,2,FALSE)),"y","n"))</f>
        <v/>
      </c>
      <c r="BH699" s="99"/>
      <c r="BI699" s="20"/>
      <c r="BJ699" s="20"/>
    </row>
    <row r="700" spans="1:62" s="103" customFormat="1" ht="15.75" customHeight="1" x14ac:dyDescent="0.2">
      <c r="A700" s="18"/>
      <c r="B700" s="20">
        <v>344</v>
      </c>
      <c r="C700" s="20"/>
      <c r="D700" s="20"/>
      <c r="E700" s="20" t="s">
        <v>1359</v>
      </c>
      <c r="F700" s="93">
        <v>2011</v>
      </c>
      <c r="G700" s="19" t="s">
        <v>1370</v>
      </c>
      <c r="H700" s="20"/>
      <c r="I700" s="19" t="s">
        <v>1371</v>
      </c>
      <c r="J700" s="19" t="s">
        <v>1375</v>
      </c>
      <c r="K700" s="19" t="s">
        <v>1398</v>
      </c>
      <c r="L700" s="19" t="s">
        <v>1202</v>
      </c>
      <c r="M700" s="19" t="s">
        <v>1203</v>
      </c>
      <c r="N700" s="19" t="s">
        <v>109</v>
      </c>
      <c r="O700" s="19" t="s">
        <v>187</v>
      </c>
      <c r="P700" s="19" t="s">
        <v>162</v>
      </c>
      <c r="Q700" s="20"/>
      <c r="R700" s="19" t="s">
        <v>81</v>
      </c>
      <c r="S700" s="19" t="s">
        <v>1314</v>
      </c>
      <c r="T700" s="19" t="s">
        <v>44</v>
      </c>
      <c r="U700" s="19" t="s">
        <v>44</v>
      </c>
      <c r="V700" s="19">
        <v>7</v>
      </c>
      <c r="W700" s="19" t="s">
        <v>45</v>
      </c>
      <c r="X700" s="19" t="s">
        <v>46</v>
      </c>
      <c r="Y700" s="20"/>
      <c r="Z700" s="20"/>
      <c r="AA700" s="20"/>
      <c r="AB700" s="19">
        <v>3000</v>
      </c>
      <c r="AC700" s="19" t="s">
        <v>162</v>
      </c>
      <c r="AD700" s="20"/>
      <c r="AE700" s="20"/>
      <c r="AF700" s="20"/>
      <c r="AG700" s="19"/>
      <c r="AH700" s="19"/>
      <c r="AI700" s="19"/>
      <c r="AJ700" s="19">
        <f>MEDIAN(4.6,4.8)</f>
        <v>4.6999999999999993</v>
      </c>
      <c r="AK700" s="19" t="s">
        <v>1372</v>
      </c>
      <c r="AL700" s="19"/>
      <c r="AM700" s="20"/>
      <c r="AN700" s="19"/>
      <c r="AO700" s="20"/>
      <c r="AP700" s="94"/>
      <c r="AQ700" s="19">
        <v>22</v>
      </c>
      <c r="AR700" s="19"/>
      <c r="AS700" s="20"/>
      <c r="AT700" s="65" t="str">
        <f t="shared" si="200"/>
        <v>N</v>
      </c>
      <c r="AU700" s="65" t="str">
        <f t="shared" si="204"/>
        <v>N</v>
      </c>
      <c r="AV700" s="65" t="s">
        <v>162</v>
      </c>
      <c r="AW700" s="99" t="s">
        <v>1405</v>
      </c>
      <c r="AX700" s="99"/>
      <c r="AY700" s="20"/>
      <c r="AZ700" s="96" t="str">
        <f t="shared" si="205"/>
        <v>n</v>
      </c>
      <c r="BA700" s="96" t="str">
        <f>IF(AZ700="n","n",VLOOKUP(AZ700,'Conversion factors'!$C$4:$D$24,2,FALSE))</f>
        <v>n</v>
      </c>
      <c r="BB700" s="96" t="str">
        <f t="shared" si="206"/>
        <v>n</v>
      </c>
      <c r="BC700" s="20"/>
      <c r="BD700" s="96" t="str">
        <f t="shared" si="201"/>
        <v>n</v>
      </c>
      <c r="BE700" s="96" t="str">
        <f t="shared" si="207"/>
        <v>n</v>
      </c>
      <c r="BF700" s="98" t="str">
        <f t="shared" si="202"/>
        <v/>
      </c>
      <c r="BG700" s="96" t="str">
        <f>IF(BF700="","",IF(ISNUMBER(VLOOKUP(BF700,'Conversion factors'!$B$35:$C$52,2,FALSE)),"y","n"))</f>
        <v/>
      </c>
      <c r="BH700" s="99"/>
      <c r="BI700" s="20"/>
      <c r="BJ700" s="20"/>
    </row>
    <row r="701" spans="1:62" s="103" customFormat="1" ht="15.75" customHeight="1" x14ac:dyDescent="0.2">
      <c r="A701" s="18"/>
      <c r="B701" s="19">
        <v>235</v>
      </c>
      <c r="C701" s="19"/>
      <c r="D701" s="19">
        <v>72600</v>
      </c>
      <c r="E701" s="19" t="s">
        <v>1224</v>
      </c>
      <c r="F701" s="93">
        <v>2003</v>
      </c>
      <c r="G701" s="19" t="s">
        <v>647</v>
      </c>
      <c r="H701" s="19"/>
      <c r="I701" s="19" t="s">
        <v>41</v>
      </c>
      <c r="J701" s="19" t="s">
        <v>648</v>
      </c>
      <c r="K701" s="19" t="s">
        <v>1400</v>
      </c>
      <c r="L701" s="19" t="s">
        <v>43</v>
      </c>
      <c r="M701" s="19" t="s">
        <v>1401</v>
      </c>
      <c r="N701" s="19" t="s">
        <v>109</v>
      </c>
      <c r="O701" s="19" t="s">
        <v>235</v>
      </c>
      <c r="P701" s="19" t="s">
        <v>162</v>
      </c>
      <c r="Q701" s="19"/>
      <c r="R701" s="19" t="s">
        <v>256</v>
      </c>
      <c r="S701" s="19" t="s">
        <v>309</v>
      </c>
      <c r="T701" s="19" t="s">
        <v>454</v>
      </c>
      <c r="U701" s="19" t="s">
        <v>454</v>
      </c>
      <c r="V701" s="19" t="s">
        <v>101</v>
      </c>
      <c r="W701" s="19" t="s">
        <v>231</v>
      </c>
      <c r="X701" s="19" t="s">
        <v>46</v>
      </c>
      <c r="Y701" s="29"/>
      <c r="Z701" s="19" t="s">
        <v>649</v>
      </c>
      <c r="AA701" s="19"/>
      <c r="AB701" s="19"/>
      <c r="AC701" s="19" t="s">
        <v>1322</v>
      </c>
      <c r="AD701" s="19"/>
      <c r="AE701" s="19"/>
      <c r="AF701" s="19"/>
      <c r="AG701" s="19" t="s">
        <v>235</v>
      </c>
      <c r="AH701" s="19"/>
      <c r="AI701" s="19"/>
      <c r="AJ701" s="19">
        <v>7</v>
      </c>
      <c r="AK701" s="19" t="s">
        <v>85</v>
      </c>
      <c r="AL701" s="19"/>
      <c r="AM701" s="19" t="s">
        <v>234</v>
      </c>
      <c r="AN701" s="19" t="s">
        <v>234</v>
      </c>
      <c r="AO701" s="19" t="s">
        <v>235</v>
      </c>
      <c r="AP701" s="94"/>
      <c r="AQ701" s="19" t="s">
        <v>507</v>
      </c>
      <c r="AR701" s="19" t="s">
        <v>241</v>
      </c>
      <c r="AS701" s="19"/>
      <c r="AT701" s="65" t="str">
        <f t="shared" si="200"/>
        <v>N</v>
      </c>
      <c r="AU701" s="65" t="str">
        <f t="shared" si="204"/>
        <v>N</v>
      </c>
      <c r="AV701" s="65" t="str">
        <f>AU701</f>
        <v>N</v>
      </c>
      <c r="AW701" s="99"/>
      <c r="AX701" s="99"/>
      <c r="AY701" s="19"/>
      <c r="AZ701" s="96" t="str">
        <f t="shared" si="205"/>
        <v>n</v>
      </c>
      <c r="BA701" s="96" t="str">
        <f>IF(AZ701="n","n",VLOOKUP(AZ701,'Conversion factors'!$C$4:$D$24,2,FALSE))</f>
        <v>n</v>
      </c>
      <c r="BB701" s="96" t="str">
        <f t="shared" si="206"/>
        <v>n</v>
      </c>
      <c r="BC701" s="97"/>
      <c r="BD701" s="96" t="str">
        <f t="shared" si="201"/>
        <v>n</v>
      </c>
      <c r="BE701" s="96" t="str">
        <f t="shared" si="207"/>
        <v>n</v>
      </c>
      <c r="BF701" s="98" t="str">
        <f t="shared" si="202"/>
        <v/>
      </c>
      <c r="BG701" s="96" t="str">
        <f>IF(BF701="","",IF(ISNUMBER(VLOOKUP(BF701,'Conversion factors'!$B$35:$C$52,2,FALSE)),"y","n"))</f>
        <v/>
      </c>
      <c r="BH701" s="99"/>
    </row>
    <row r="702" spans="1:62" s="103" customFormat="1" ht="15.75" customHeight="1" x14ac:dyDescent="0.2">
      <c r="A702" s="18"/>
      <c r="B702" s="19">
        <v>235</v>
      </c>
      <c r="C702" s="19"/>
      <c r="D702" s="19">
        <v>72600</v>
      </c>
      <c r="E702" s="19" t="s">
        <v>1224</v>
      </c>
      <c r="F702" s="93">
        <v>2003</v>
      </c>
      <c r="G702" s="19" t="s">
        <v>647</v>
      </c>
      <c r="H702" s="19"/>
      <c r="I702" s="19" t="s">
        <v>41</v>
      </c>
      <c r="J702" s="19" t="s">
        <v>648</v>
      </c>
      <c r="K702" s="19" t="s">
        <v>1400</v>
      </c>
      <c r="L702" s="19" t="s">
        <v>43</v>
      </c>
      <c r="M702" s="19" t="s">
        <v>1401</v>
      </c>
      <c r="N702" s="19" t="s">
        <v>109</v>
      </c>
      <c r="O702" s="19" t="s">
        <v>235</v>
      </c>
      <c r="P702" s="19" t="s">
        <v>162</v>
      </c>
      <c r="Q702" s="19"/>
      <c r="R702" s="19" t="s">
        <v>256</v>
      </c>
      <c r="S702" s="19" t="s">
        <v>309</v>
      </c>
      <c r="T702" s="19" t="s">
        <v>454</v>
      </c>
      <c r="U702" s="19" t="s">
        <v>454</v>
      </c>
      <c r="V702" s="19" t="s">
        <v>101</v>
      </c>
      <c r="W702" s="19" t="s">
        <v>231</v>
      </c>
      <c r="X702" s="19" t="s">
        <v>46</v>
      </c>
      <c r="Y702" s="29"/>
      <c r="Z702" s="19" t="s">
        <v>649</v>
      </c>
      <c r="AA702" s="19"/>
      <c r="AB702" s="19"/>
      <c r="AC702" s="19" t="s">
        <v>1322</v>
      </c>
      <c r="AD702" s="19"/>
      <c r="AE702" s="19"/>
      <c r="AF702" s="19"/>
      <c r="AG702" s="19" t="s">
        <v>235</v>
      </c>
      <c r="AH702" s="19"/>
      <c r="AI702" s="19"/>
      <c r="AJ702" s="19">
        <v>7</v>
      </c>
      <c r="AK702" s="19" t="s">
        <v>85</v>
      </c>
      <c r="AL702" s="19"/>
      <c r="AM702" s="19" t="s">
        <v>234</v>
      </c>
      <c r="AN702" s="19" t="s">
        <v>234</v>
      </c>
      <c r="AO702" s="19" t="s">
        <v>235</v>
      </c>
      <c r="AP702" s="94"/>
      <c r="AQ702" s="19" t="s">
        <v>507</v>
      </c>
      <c r="AR702" s="19" t="s">
        <v>241</v>
      </c>
      <c r="AS702" s="19"/>
      <c r="AT702" s="65" t="str">
        <f t="shared" si="200"/>
        <v>N</v>
      </c>
      <c r="AU702" s="65" t="str">
        <f t="shared" si="204"/>
        <v>N</v>
      </c>
      <c r="AV702" s="65" t="str">
        <f>AU702</f>
        <v>N</v>
      </c>
      <c r="AW702" s="99"/>
      <c r="AX702" s="99"/>
      <c r="AY702" s="19"/>
      <c r="AZ702" s="96" t="str">
        <f t="shared" si="205"/>
        <v>n</v>
      </c>
      <c r="BA702" s="96" t="str">
        <f>IF(AZ702="n","n",VLOOKUP(AZ702,'Conversion factors'!$C$4:$D$24,2,FALSE))</f>
        <v>n</v>
      </c>
      <c r="BB702" s="96" t="str">
        <f t="shared" si="206"/>
        <v>n</v>
      </c>
      <c r="BC702" s="97"/>
      <c r="BD702" s="96" t="str">
        <f t="shared" si="201"/>
        <v>n</v>
      </c>
      <c r="BE702" s="96" t="str">
        <f t="shared" si="207"/>
        <v>n</v>
      </c>
      <c r="BF702" s="98" t="str">
        <f t="shared" si="202"/>
        <v/>
      </c>
      <c r="BG702" s="96" t="str">
        <f>IF(BF702="","",IF(ISNUMBER(VLOOKUP(BF702,'Conversion factors'!$B$35:$C$52,2,FALSE)),"y","n"))</f>
        <v/>
      </c>
      <c r="BH702" s="99"/>
    </row>
    <row r="703" spans="1:62" s="103" customFormat="1" ht="15.75" customHeight="1" x14ac:dyDescent="0.2">
      <c r="A703" s="18"/>
      <c r="B703" s="19">
        <v>240</v>
      </c>
      <c r="C703" s="19"/>
      <c r="D703" s="19">
        <v>75850</v>
      </c>
      <c r="E703" s="19" t="s">
        <v>1224</v>
      </c>
      <c r="F703" s="93">
        <v>2002</v>
      </c>
      <c r="G703" s="19" t="s">
        <v>675</v>
      </c>
      <c r="H703" s="19"/>
      <c r="I703" s="19" t="s">
        <v>41</v>
      </c>
      <c r="J703" s="19" t="s">
        <v>648</v>
      </c>
      <c r="K703" s="19" t="s">
        <v>1400</v>
      </c>
      <c r="L703" s="19" t="s">
        <v>43</v>
      </c>
      <c r="M703" s="19" t="s">
        <v>1401</v>
      </c>
      <c r="N703" s="19" t="s">
        <v>109</v>
      </c>
      <c r="O703" s="19" t="s">
        <v>264</v>
      </c>
      <c r="P703" s="19" t="s">
        <v>162</v>
      </c>
      <c r="Q703" s="19"/>
      <c r="R703" s="19" t="s">
        <v>237</v>
      </c>
      <c r="S703" s="19" t="s">
        <v>79</v>
      </c>
      <c r="T703" s="19" t="s">
        <v>676</v>
      </c>
      <c r="U703" s="19" t="s">
        <v>676</v>
      </c>
      <c r="V703" s="19" t="s">
        <v>1209</v>
      </c>
      <c r="W703" s="19" t="s">
        <v>231</v>
      </c>
      <c r="X703" s="19" t="s">
        <v>46</v>
      </c>
      <c r="Y703" s="29"/>
      <c r="Z703" s="19"/>
      <c r="AA703" s="19"/>
      <c r="AB703" s="19" t="s">
        <v>511</v>
      </c>
      <c r="AC703" s="19" t="s">
        <v>1322</v>
      </c>
      <c r="AD703" s="19"/>
      <c r="AE703" s="19"/>
      <c r="AF703" s="19"/>
      <c r="AG703" s="19" t="s">
        <v>235</v>
      </c>
      <c r="AH703" s="19"/>
      <c r="AI703" s="19"/>
      <c r="AJ703" s="19">
        <v>7.5</v>
      </c>
      <c r="AK703" s="19" t="s">
        <v>544</v>
      </c>
      <c r="AL703" s="19"/>
      <c r="AM703" s="19" t="s">
        <v>234</v>
      </c>
      <c r="AN703" s="19" t="s">
        <v>234</v>
      </c>
      <c r="AO703" s="19" t="s">
        <v>235</v>
      </c>
      <c r="AP703" s="94"/>
      <c r="AQ703" s="19" t="s">
        <v>102</v>
      </c>
      <c r="AR703" s="19" t="s">
        <v>241</v>
      </c>
      <c r="AS703" s="19"/>
      <c r="AT703" s="65" t="str">
        <f t="shared" si="200"/>
        <v>N</v>
      </c>
      <c r="AU703" s="65" t="str">
        <f t="shared" si="204"/>
        <v>N</v>
      </c>
      <c r="AV703" s="65" t="str">
        <f>AU703</f>
        <v>N</v>
      </c>
      <c r="AW703" s="99"/>
      <c r="AX703" s="99"/>
      <c r="AY703" s="19"/>
      <c r="AZ703" s="96" t="str">
        <f t="shared" si="205"/>
        <v>n</v>
      </c>
      <c r="BA703" s="96" t="str">
        <f>IF(AZ703="n","n",VLOOKUP(AZ703,'Conversion factors'!$C$4:$D$24,2,FALSE))</f>
        <v>n</v>
      </c>
      <c r="BB703" s="96" t="str">
        <f t="shared" si="206"/>
        <v>n</v>
      </c>
      <c r="BC703" s="97"/>
      <c r="BD703" s="96" t="str">
        <f t="shared" si="201"/>
        <v>n</v>
      </c>
      <c r="BE703" s="96" t="str">
        <f t="shared" si="207"/>
        <v>n</v>
      </c>
      <c r="BF703" s="98" t="str">
        <f t="shared" si="202"/>
        <v/>
      </c>
      <c r="BG703" s="96" t="str">
        <f>IF(BF703="","",IF(ISNUMBER(VLOOKUP(BF703,'Conversion factors'!$B$35:$C$52,2,FALSE)),"y","n"))</f>
        <v/>
      </c>
      <c r="BH703" s="99"/>
    </row>
    <row r="704" spans="1:62" s="103" customFormat="1" ht="15.75" customHeight="1" x14ac:dyDescent="0.2">
      <c r="A704" s="18"/>
      <c r="B704" s="19">
        <v>243</v>
      </c>
      <c r="C704" s="19"/>
      <c r="D704" s="19">
        <v>77563</v>
      </c>
      <c r="E704" s="19" t="s">
        <v>1224</v>
      </c>
      <c r="F704" s="93">
        <v>2001</v>
      </c>
      <c r="G704" s="19" t="s">
        <v>680</v>
      </c>
      <c r="H704" s="19"/>
      <c r="I704" s="19" t="s">
        <v>41</v>
      </c>
      <c r="J704" s="19" t="s">
        <v>681</v>
      </c>
      <c r="K704" s="19" t="s">
        <v>42</v>
      </c>
      <c r="L704" s="19" t="s">
        <v>43</v>
      </c>
      <c r="M704" s="19" t="s">
        <v>1303</v>
      </c>
      <c r="N704" s="19" t="s">
        <v>109</v>
      </c>
      <c r="O704" s="19" t="s">
        <v>264</v>
      </c>
      <c r="P704" s="19" t="s">
        <v>162</v>
      </c>
      <c r="Q704" s="19"/>
      <c r="R704" s="19" t="s">
        <v>256</v>
      </c>
      <c r="S704" s="19" t="s">
        <v>309</v>
      </c>
      <c r="T704" s="19" t="s">
        <v>44</v>
      </c>
      <c r="U704" s="19" t="s">
        <v>44</v>
      </c>
      <c r="V704" s="19" t="s">
        <v>103</v>
      </c>
      <c r="W704" s="19" t="s">
        <v>231</v>
      </c>
      <c r="X704" s="19" t="s">
        <v>46</v>
      </c>
      <c r="Y704" s="29"/>
      <c r="Z704" s="19">
        <v>1160</v>
      </c>
      <c r="AA704" s="19"/>
      <c r="AB704" s="19"/>
      <c r="AC704" s="19" t="s">
        <v>1322</v>
      </c>
      <c r="AD704" s="19"/>
      <c r="AE704" s="19"/>
      <c r="AF704" s="19"/>
      <c r="AG704" s="19" t="s">
        <v>235</v>
      </c>
      <c r="AH704" s="19"/>
      <c r="AI704" s="19"/>
      <c r="AJ704" s="19">
        <v>4</v>
      </c>
      <c r="AK704" s="19" t="s">
        <v>444</v>
      </c>
      <c r="AL704" s="19"/>
      <c r="AM704" s="19" t="s">
        <v>234</v>
      </c>
      <c r="AN704" s="19" t="s">
        <v>234</v>
      </c>
      <c r="AO704" s="19" t="s">
        <v>235</v>
      </c>
      <c r="AP704" s="94"/>
      <c r="AQ704" s="19" t="s">
        <v>352</v>
      </c>
      <c r="AR704" s="19" t="s">
        <v>241</v>
      </c>
      <c r="AS704" s="19"/>
      <c r="AT704" s="65" t="str">
        <f t="shared" si="200"/>
        <v>N</v>
      </c>
      <c r="AU704" s="65" t="str">
        <f t="shared" si="204"/>
        <v>N</v>
      </c>
      <c r="AV704" s="65" t="s">
        <v>162</v>
      </c>
      <c r="AW704" s="99" t="s">
        <v>1405</v>
      </c>
      <c r="AX704" s="99"/>
      <c r="AY704" s="19"/>
      <c r="AZ704" s="96" t="str">
        <f t="shared" si="205"/>
        <v>n</v>
      </c>
      <c r="BA704" s="96" t="str">
        <f>IF(AZ704="n","n",VLOOKUP(AZ704,'Conversion factors'!$C$4:$D$24,2,FALSE))</f>
        <v>n</v>
      </c>
      <c r="BB704" s="96" t="str">
        <f t="shared" si="206"/>
        <v>n</v>
      </c>
      <c r="BC704" s="97"/>
      <c r="BD704" s="96" t="str">
        <f t="shared" si="201"/>
        <v>n</v>
      </c>
      <c r="BE704" s="96" t="str">
        <f t="shared" si="207"/>
        <v>n</v>
      </c>
      <c r="BF704" s="98" t="str">
        <f t="shared" si="202"/>
        <v/>
      </c>
      <c r="BG704" s="96" t="str">
        <f>IF(BF704="","",IF(ISNUMBER(VLOOKUP(BF704,'Conversion factors'!$B$35:$C$52,2,FALSE)),"y","n"))</f>
        <v/>
      </c>
      <c r="BH704" s="99"/>
    </row>
    <row r="705" spans="1:60" s="103" customFormat="1" ht="15.75" customHeight="1" x14ac:dyDescent="0.2">
      <c r="A705" s="18"/>
      <c r="B705" s="19">
        <v>192</v>
      </c>
      <c r="C705" s="19"/>
      <c r="D705" s="19">
        <v>19852</v>
      </c>
      <c r="E705" s="19" t="s">
        <v>1224</v>
      </c>
      <c r="F705" s="93">
        <v>1999</v>
      </c>
      <c r="G705" s="19" t="s">
        <v>362</v>
      </c>
      <c r="H705" s="19"/>
      <c r="I705" s="19" t="s">
        <v>41</v>
      </c>
      <c r="J705" s="19" t="s">
        <v>375</v>
      </c>
      <c r="K705" s="19" t="s">
        <v>42</v>
      </c>
      <c r="L705" s="19" t="s">
        <v>43</v>
      </c>
      <c r="M705" s="19" t="s">
        <v>1303</v>
      </c>
      <c r="N705" s="19" t="s">
        <v>109</v>
      </c>
      <c r="O705" s="19" t="s">
        <v>235</v>
      </c>
      <c r="P705" s="19" t="s">
        <v>51</v>
      </c>
      <c r="Q705" s="19"/>
      <c r="R705" s="19" t="s">
        <v>256</v>
      </c>
      <c r="S705" s="19" t="s">
        <v>309</v>
      </c>
      <c r="T705" s="19" t="s">
        <v>44</v>
      </c>
      <c r="U705" s="19" t="s">
        <v>44</v>
      </c>
      <c r="V705" s="19" t="s">
        <v>103</v>
      </c>
      <c r="W705" s="19" t="s">
        <v>231</v>
      </c>
      <c r="X705" s="19" t="s">
        <v>46</v>
      </c>
      <c r="Y705" s="29"/>
      <c r="Z705" s="19"/>
      <c r="AA705" s="19"/>
      <c r="AB705" s="19" t="s">
        <v>376</v>
      </c>
      <c r="AC705" s="19" t="s">
        <v>1322</v>
      </c>
      <c r="AD705" s="19"/>
      <c r="AE705" s="19"/>
      <c r="AF705" s="19"/>
      <c r="AG705" s="19" t="s">
        <v>235</v>
      </c>
      <c r="AH705" s="19"/>
      <c r="AI705" s="19"/>
      <c r="AJ705" s="19" t="s">
        <v>234</v>
      </c>
      <c r="AK705" s="19" t="s">
        <v>234</v>
      </c>
      <c r="AL705" s="19"/>
      <c r="AM705" s="19" t="s">
        <v>234</v>
      </c>
      <c r="AN705" s="19" t="s">
        <v>234</v>
      </c>
      <c r="AO705" s="19" t="s">
        <v>235</v>
      </c>
      <c r="AP705" s="94"/>
      <c r="AQ705" s="19" t="s">
        <v>365</v>
      </c>
      <c r="AR705" s="19" t="s">
        <v>241</v>
      </c>
      <c r="AS705" s="19"/>
      <c r="AT705" s="65" t="str">
        <f t="shared" si="200"/>
        <v>N</v>
      </c>
      <c r="AU705" s="65" t="str">
        <f t="shared" si="204"/>
        <v>N</v>
      </c>
      <c r="AV705" s="65" t="str">
        <f t="shared" ref="AV705:AV733" si="208">AU705</f>
        <v>N</v>
      </c>
      <c r="AW705" s="99"/>
      <c r="AX705" s="99"/>
      <c r="AY705" s="19"/>
      <c r="AZ705" s="96" t="str">
        <f t="shared" si="205"/>
        <v>n</v>
      </c>
      <c r="BA705" s="96" t="str">
        <f>IF(AZ705="n","n",VLOOKUP(AZ705,'Conversion factors'!$C$4:$D$24,2,FALSE))</f>
        <v>n</v>
      </c>
      <c r="BB705" s="96" t="str">
        <f t="shared" si="206"/>
        <v>n</v>
      </c>
      <c r="BC705" s="97"/>
      <c r="BD705" s="96" t="str">
        <f t="shared" si="201"/>
        <v>n</v>
      </c>
      <c r="BE705" s="96" t="str">
        <f t="shared" si="207"/>
        <v>n</v>
      </c>
      <c r="BF705" s="98" t="str">
        <f t="shared" si="202"/>
        <v/>
      </c>
      <c r="BG705" s="96" t="str">
        <f>IF(BF705="","",IF(ISNUMBER(VLOOKUP(BF705,'Conversion factors'!$B$35:$C$52,2,FALSE)),"y","n"))</f>
        <v/>
      </c>
      <c r="BH705" s="99" t="s">
        <v>1510</v>
      </c>
    </row>
    <row r="706" spans="1:60" s="103" customFormat="1" ht="15.75" customHeight="1" x14ac:dyDescent="0.2">
      <c r="A706" s="18"/>
      <c r="B706" s="19">
        <v>324</v>
      </c>
      <c r="C706" s="19"/>
      <c r="D706" s="19">
        <v>165080</v>
      </c>
      <c r="E706" s="19" t="s">
        <v>1224</v>
      </c>
      <c r="F706" s="93">
        <v>2013</v>
      </c>
      <c r="G706" s="19" t="s">
        <v>1152</v>
      </c>
      <c r="H706" s="19"/>
      <c r="I706" s="19" t="s">
        <v>41</v>
      </c>
      <c r="J706" s="19" t="s">
        <v>375</v>
      </c>
      <c r="K706" s="19" t="s">
        <v>42</v>
      </c>
      <c r="L706" s="19" t="s">
        <v>43</v>
      </c>
      <c r="M706" s="19" t="s">
        <v>1303</v>
      </c>
      <c r="N706" s="19" t="s">
        <v>109</v>
      </c>
      <c r="O706" s="19" t="s">
        <v>264</v>
      </c>
      <c r="P706" s="19" t="s">
        <v>51</v>
      </c>
      <c r="Q706" s="19"/>
      <c r="R706" s="19" t="s">
        <v>256</v>
      </c>
      <c r="S706" s="19" t="s">
        <v>435</v>
      </c>
      <c r="T706" s="19" t="s">
        <v>44</v>
      </c>
      <c r="U706" s="19" t="s">
        <v>44</v>
      </c>
      <c r="V706" s="19" t="s">
        <v>619</v>
      </c>
      <c r="W706" s="19" t="s">
        <v>45</v>
      </c>
      <c r="X706" s="19" t="s">
        <v>46</v>
      </c>
      <c r="Y706" s="29"/>
      <c r="Z706" s="19"/>
      <c r="AA706" s="19"/>
      <c r="AB706" s="19" t="s">
        <v>1160</v>
      </c>
      <c r="AC706" s="19" t="s">
        <v>1322</v>
      </c>
      <c r="AD706" s="19"/>
      <c r="AE706" s="19"/>
      <c r="AF706" s="19"/>
      <c r="AG706" s="19" t="s">
        <v>235</v>
      </c>
      <c r="AH706" s="19"/>
      <c r="AI706" s="19"/>
      <c r="AJ706" s="19" t="s">
        <v>234</v>
      </c>
      <c r="AK706" s="19" t="s">
        <v>234</v>
      </c>
      <c r="AL706" s="19"/>
      <c r="AM706" s="19" t="s">
        <v>234</v>
      </c>
      <c r="AN706" s="19" t="s">
        <v>234</v>
      </c>
      <c r="AO706" s="19" t="s">
        <v>235</v>
      </c>
      <c r="AP706" s="94"/>
      <c r="AQ706" s="19" t="s">
        <v>471</v>
      </c>
      <c r="AR706" s="19" t="s">
        <v>241</v>
      </c>
      <c r="AS706" s="19"/>
      <c r="AT706" s="65" t="str">
        <f t="shared" si="200"/>
        <v>N</v>
      </c>
      <c r="AU706" s="65" t="str">
        <f t="shared" si="204"/>
        <v>N</v>
      </c>
      <c r="AV706" s="65" t="str">
        <f t="shared" si="208"/>
        <v>N</v>
      </c>
      <c r="AW706" s="99"/>
      <c r="AX706" s="99"/>
      <c r="AY706" s="19"/>
      <c r="AZ706" s="96" t="str">
        <f t="shared" si="205"/>
        <v>n</v>
      </c>
      <c r="BA706" s="96" t="str">
        <f>IF(AZ706="n","n",VLOOKUP(AZ706,'Conversion factors'!$C$4:$D$24,2,FALSE))</f>
        <v>n</v>
      </c>
      <c r="BB706" s="96" t="str">
        <f t="shared" si="206"/>
        <v>n</v>
      </c>
      <c r="BC706" s="97"/>
      <c r="BD706" s="96" t="str">
        <f t="shared" si="201"/>
        <v>n</v>
      </c>
      <c r="BE706" s="96" t="str">
        <f t="shared" si="207"/>
        <v>n</v>
      </c>
      <c r="BF706" s="98" t="str">
        <f t="shared" si="202"/>
        <v/>
      </c>
      <c r="BG706" s="96" t="str">
        <f>IF(BF706="","",IF(ISNUMBER(VLOOKUP(BF706,'Conversion factors'!$B$35:$C$52,2,FALSE)),"y","n"))</f>
        <v/>
      </c>
      <c r="BH706" s="99" t="s">
        <v>1510</v>
      </c>
    </row>
    <row r="707" spans="1:60" s="103" customFormat="1" ht="15.75" customHeight="1" x14ac:dyDescent="0.2">
      <c r="A707" s="18"/>
      <c r="B707" s="19">
        <v>324</v>
      </c>
      <c r="C707" s="19"/>
      <c r="D707" s="19">
        <v>165080</v>
      </c>
      <c r="E707" s="19" t="s">
        <v>1224</v>
      </c>
      <c r="F707" s="93">
        <v>2013</v>
      </c>
      <c r="G707" s="19" t="s">
        <v>1152</v>
      </c>
      <c r="H707" s="19"/>
      <c r="I707" s="19" t="s">
        <v>41</v>
      </c>
      <c r="J707" s="19" t="s">
        <v>375</v>
      </c>
      <c r="K707" s="19" t="s">
        <v>42</v>
      </c>
      <c r="L707" s="19" t="s">
        <v>43</v>
      </c>
      <c r="M707" s="19" t="s">
        <v>1303</v>
      </c>
      <c r="N707" s="19" t="s">
        <v>109</v>
      </c>
      <c r="O707" s="19" t="s">
        <v>264</v>
      </c>
      <c r="P707" s="19" t="s">
        <v>51</v>
      </c>
      <c r="Q707" s="19"/>
      <c r="R707" s="19" t="s">
        <v>256</v>
      </c>
      <c r="S707" s="19" t="s">
        <v>1153</v>
      </c>
      <c r="T707" s="19" t="s">
        <v>44</v>
      </c>
      <c r="U707" s="19" t="s">
        <v>44</v>
      </c>
      <c r="V707" s="19" t="s">
        <v>619</v>
      </c>
      <c r="W707" s="19" t="s">
        <v>45</v>
      </c>
      <c r="X707" s="19" t="s">
        <v>46</v>
      </c>
      <c r="Y707" s="29"/>
      <c r="Z707" s="19"/>
      <c r="AA707" s="19"/>
      <c r="AB707" s="19" t="s">
        <v>1165</v>
      </c>
      <c r="AC707" s="19" t="s">
        <v>1322</v>
      </c>
      <c r="AD707" s="19"/>
      <c r="AE707" s="19"/>
      <c r="AF707" s="19"/>
      <c r="AG707" s="19" t="s">
        <v>235</v>
      </c>
      <c r="AH707" s="19"/>
      <c r="AI707" s="19"/>
      <c r="AJ707" s="19" t="s">
        <v>234</v>
      </c>
      <c r="AK707" s="19" t="s">
        <v>234</v>
      </c>
      <c r="AL707" s="19"/>
      <c r="AM707" s="19" t="s">
        <v>234</v>
      </c>
      <c r="AN707" s="19" t="s">
        <v>234</v>
      </c>
      <c r="AO707" s="19" t="s">
        <v>235</v>
      </c>
      <c r="AP707" s="94"/>
      <c r="AQ707" s="19" t="s">
        <v>471</v>
      </c>
      <c r="AR707" s="19" t="s">
        <v>241</v>
      </c>
      <c r="AS707" s="19"/>
      <c r="AT707" s="65" t="str">
        <f t="shared" si="200"/>
        <v>N</v>
      </c>
      <c r="AU707" s="65" t="str">
        <f t="shared" si="204"/>
        <v>N</v>
      </c>
      <c r="AV707" s="65" t="str">
        <f t="shared" si="208"/>
        <v>N</v>
      </c>
      <c r="AW707" s="99"/>
      <c r="AX707" s="99"/>
      <c r="AY707" s="19"/>
      <c r="AZ707" s="96" t="str">
        <f t="shared" si="205"/>
        <v>n</v>
      </c>
      <c r="BA707" s="96" t="str">
        <f>IF(AZ707="n","n",VLOOKUP(AZ707,'Conversion factors'!$C$4:$D$24,2,FALSE))</f>
        <v>n</v>
      </c>
      <c r="BB707" s="96" t="str">
        <f t="shared" si="206"/>
        <v>n</v>
      </c>
      <c r="BC707" s="97"/>
      <c r="BD707" s="96" t="str">
        <f t="shared" si="201"/>
        <v>n</v>
      </c>
      <c r="BE707" s="96" t="str">
        <f t="shared" si="207"/>
        <v>n</v>
      </c>
      <c r="BF707" s="98" t="str">
        <f t="shared" si="202"/>
        <v/>
      </c>
      <c r="BG707" s="96" t="str">
        <f>IF(BF707="","",IF(ISNUMBER(VLOOKUP(BF707,'Conversion factors'!$B$35:$C$52,2,FALSE)),"y","n"))</f>
        <v/>
      </c>
      <c r="BH707" s="99" t="s">
        <v>1510</v>
      </c>
    </row>
    <row r="708" spans="1:60" s="103" customFormat="1" ht="15.75" customHeight="1" x14ac:dyDescent="0.2">
      <c r="A708" s="18"/>
      <c r="B708" s="19">
        <v>324</v>
      </c>
      <c r="C708" s="19"/>
      <c r="D708" s="19">
        <v>165080</v>
      </c>
      <c r="E708" s="19" t="s">
        <v>1224</v>
      </c>
      <c r="F708" s="93">
        <v>2013</v>
      </c>
      <c r="G708" s="19" t="s">
        <v>1152</v>
      </c>
      <c r="H708" s="19"/>
      <c r="I708" s="19" t="s">
        <v>41</v>
      </c>
      <c r="J708" s="19" t="s">
        <v>375</v>
      </c>
      <c r="K708" s="19" t="s">
        <v>42</v>
      </c>
      <c r="L708" s="19" t="s">
        <v>43</v>
      </c>
      <c r="M708" s="19" t="s">
        <v>1303</v>
      </c>
      <c r="N708" s="19" t="s">
        <v>109</v>
      </c>
      <c r="O708" s="19" t="s">
        <v>264</v>
      </c>
      <c r="P708" s="19" t="s">
        <v>51</v>
      </c>
      <c r="Q708" s="19"/>
      <c r="R708" s="19" t="s">
        <v>256</v>
      </c>
      <c r="S708" s="19" t="s">
        <v>304</v>
      </c>
      <c r="T708" s="19" t="s">
        <v>44</v>
      </c>
      <c r="U708" s="19" t="s">
        <v>44</v>
      </c>
      <c r="V708" s="19" t="s">
        <v>619</v>
      </c>
      <c r="W708" s="19" t="s">
        <v>45</v>
      </c>
      <c r="X708" s="19" t="s">
        <v>46</v>
      </c>
      <c r="Y708" s="29"/>
      <c r="Z708" s="19"/>
      <c r="AA708" s="19"/>
      <c r="AB708" s="19" t="s">
        <v>1171</v>
      </c>
      <c r="AC708" s="19" t="s">
        <v>1322</v>
      </c>
      <c r="AD708" s="19"/>
      <c r="AE708" s="19"/>
      <c r="AF708" s="19"/>
      <c r="AG708" s="19" t="s">
        <v>235</v>
      </c>
      <c r="AH708" s="19"/>
      <c r="AI708" s="19"/>
      <c r="AJ708" s="19" t="s">
        <v>234</v>
      </c>
      <c r="AK708" s="19" t="s">
        <v>234</v>
      </c>
      <c r="AL708" s="19"/>
      <c r="AM708" s="19" t="s">
        <v>234</v>
      </c>
      <c r="AN708" s="19" t="s">
        <v>234</v>
      </c>
      <c r="AO708" s="19" t="s">
        <v>235</v>
      </c>
      <c r="AP708" s="94"/>
      <c r="AQ708" s="19" t="s">
        <v>471</v>
      </c>
      <c r="AR708" s="19" t="s">
        <v>241</v>
      </c>
      <c r="AS708" s="19"/>
      <c r="AT708" s="65" t="str">
        <f t="shared" si="200"/>
        <v>N</v>
      </c>
      <c r="AU708" s="65" t="str">
        <f t="shared" si="204"/>
        <v>N</v>
      </c>
      <c r="AV708" s="65" t="str">
        <f t="shared" si="208"/>
        <v>N</v>
      </c>
      <c r="AW708" s="99"/>
      <c r="AX708" s="99"/>
      <c r="AY708" s="19"/>
      <c r="AZ708" s="96" t="str">
        <f t="shared" si="205"/>
        <v>n</v>
      </c>
      <c r="BA708" s="96" t="str">
        <f>IF(AZ708="n","n",VLOOKUP(AZ708,'Conversion factors'!$C$4:$D$24,2,FALSE))</f>
        <v>n</v>
      </c>
      <c r="BB708" s="96" t="str">
        <f t="shared" si="206"/>
        <v>n</v>
      </c>
      <c r="BC708" s="97"/>
      <c r="BD708" s="96" t="str">
        <f t="shared" si="201"/>
        <v>n</v>
      </c>
      <c r="BE708" s="96" t="str">
        <f t="shared" si="207"/>
        <v>n</v>
      </c>
      <c r="BF708" s="98" t="str">
        <f t="shared" si="202"/>
        <v/>
      </c>
      <c r="BG708" s="96" t="str">
        <f>IF(BF708="","",IF(ISNUMBER(VLOOKUP(BF708,'Conversion factors'!$B$35:$C$52,2,FALSE)),"y","n"))</f>
        <v/>
      </c>
      <c r="BH708" s="99" t="s">
        <v>1510</v>
      </c>
    </row>
    <row r="709" spans="1:60" s="103" customFormat="1" ht="15.75" customHeight="1" x14ac:dyDescent="0.2">
      <c r="A709" s="18"/>
      <c r="B709" s="19">
        <v>324</v>
      </c>
      <c r="C709" s="19"/>
      <c r="D709" s="19">
        <v>165080</v>
      </c>
      <c r="E709" s="19" t="s">
        <v>1224</v>
      </c>
      <c r="F709" s="93">
        <v>2013</v>
      </c>
      <c r="G709" s="19" t="s">
        <v>1152</v>
      </c>
      <c r="H709" s="19"/>
      <c r="I709" s="19" t="s">
        <v>41</v>
      </c>
      <c r="J709" s="19" t="s">
        <v>375</v>
      </c>
      <c r="K709" s="19" t="s">
        <v>42</v>
      </c>
      <c r="L709" s="19" t="s">
        <v>43</v>
      </c>
      <c r="M709" s="19" t="s">
        <v>1303</v>
      </c>
      <c r="N709" s="19" t="s">
        <v>109</v>
      </c>
      <c r="O709" s="19" t="s">
        <v>264</v>
      </c>
      <c r="P709" s="19" t="s">
        <v>51</v>
      </c>
      <c r="Q709" s="19"/>
      <c r="R709" s="19" t="s">
        <v>256</v>
      </c>
      <c r="S709" s="19" t="s">
        <v>435</v>
      </c>
      <c r="T709" s="19" t="s">
        <v>44</v>
      </c>
      <c r="U709" s="19" t="s">
        <v>44</v>
      </c>
      <c r="V709" s="19" t="s">
        <v>103</v>
      </c>
      <c r="W709" s="19" t="s">
        <v>45</v>
      </c>
      <c r="X709" s="19" t="s">
        <v>46</v>
      </c>
      <c r="Y709" s="29"/>
      <c r="Z709" s="19"/>
      <c r="AA709" s="19"/>
      <c r="AB709" s="19" t="s">
        <v>1155</v>
      </c>
      <c r="AC709" s="19" t="s">
        <v>1322</v>
      </c>
      <c r="AD709" s="19"/>
      <c r="AE709" s="19"/>
      <c r="AF709" s="19"/>
      <c r="AG709" s="19" t="s">
        <v>235</v>
      </c>
      <c r="AH709" s="19"/>
      <c r="AI709" s="19"/>
      <c r="AJ709" s="19" t="s">
        <v>234</v>
      </c>
      <c r="AK709" s="19" t="s">
        <v>234</v>
      </c>
      <c r="AL709" s="19"/>
      <c r="AM709" s="19" t="s">
        <v>234</v>
      </c>
      <c r="AN709" s="19" t="s">
        <v>234</v>
      </c>
      <c r="AO709" s="19" t="s">
        <v>235</v>
      </c>
      <c r="AP709" s="94"/>
      <c r="AQ709" s="19" t="s">
        <v>471</v>
      </c>
      <c r="AR709" s="19" t="s">
        <v>241</v>
      </c>
      <c r="AS709" s="19"/>
      <c r="AT709" s="65" t="str">
        <f t="shared" si="200"/>
        <v>N</v>
      </c>
      <c r="AU709" s="65" t="str">
        <f t="shared" si="204"/>
        <v>N</v>
      </c>
      <c r="AV709" s="65" t="str">
        <f t="shared" si="208"/>
        <v>N</v>
      </c>
      <c r="AW709" s="99"/>
      <c r="AX709" s="99"/>
      <c r="AY709" s="19"/>
      <c r="AZ709" s="96" t="str">
        <f t="shared" si="205"/>
        <v>n</v>
      </c>
      <c r="BA709" s="96" t="str">
        <f>IF(AZ709="n","n",VLOOKUP(AZ709,'Conversion factors'!$C$4:$D$24,2,FALSE))</f>
        <v>n</v>
      </c>
      <c r="BB709" s="96" t="str">
        <f t="shared" si="206"/>
        <v>n</v>
      </c>
      <c r="BC709" s="97"/>
      <c r="BD709" s="96" t="str">
        <f t="shared" si="201"/>
        <v>n</v>
      </c>
      <c r="BE709" s="96" t="str">
        <f t="shared" si="207"/>
        <v>n</v>
      </c>
      <c r="BF709" s="98" t="str">
        <f t="shared" si="202"/>
        <v/>
      </c>
      <c r="BG709" s="96" t="str">
        <f>IF(BF709="","",IF(ISNUMBER(VLOOKUP(BF709,'Conversion factors'!$B$35:$C$52,2,FALSE)),"y","n"))</f>
        <v/>
      </c>
      <c r="BH709" s="99" t="s">
        <v>1510</v>
      </c>
    </row>
    <row r="710" spans="1:60" s="103" customFormat="1" ht="15.75" customHeight="1" x14ac:dyDescent="0.2">
      <c r="A710" s="18"/>
      <c r="B710" s="19">
        <v>324</v>
      </c>
      <c r="C710" s="19"/>
      <c r="D710" s="19">
        <v>165080</v>
      </c>
      <c r="E710" s="19" t="s">
        <v>1224</v>
      </c>
      <c r="F710" s="93">
        <v>2013</v>
      </c>
      <c r="G710" s="19" t="s">
        <v>1152</v>
      </c>
      <c r="H710" s="19"/>
      <c r="I710" s="19" t="s">
        <v>41</v>
      </c>
      <c r="J710" s="19" t="s">
        <v>375</v>
      </c>
      <c r="K710" s="19" t="s">
        <v>42</v>
      </c>
      <c r="L710" s="19" t="s">
        <v>43</v>
      </c>
      <c r="M710" s="19" t="s">
        <v>1303</v>
      </c>
      <c r="N710" s="19" t="s">
        <v>109</v>
      </c>
      <c r="O710" s="19" t="s">
        <v>264</v>
      </c>
      <c r="P710" s="19" t="s">
        <v>51</v>
      </c>
      <c r="Q710" s="19"/>
      <c r="R710" s="19" t="s">
        <v>256</v>
      </c>
      <c r="S710" s="19" t="s">
        <v>1153</v>
      </c>
      <c r="T710" s="19" t="s">
        <v>44</v>
      </c>
      <c r="U710" s="19" t="s">
        <v>44</v>
      </c>
      <c r="V710" s="19" t="s">
        <v>103</v>
      </c>
      <c r="W710" s="19" t="s">
        <v>45</v>
      </c>
      <c r="X710" s="19" t="s">
        <v>46</v>
      </c>
      <c r="Y710" s="29"/>
      <c r="Z710" s="19"/>
      <c r="AA710" s="19"/>
      <c r="AB710" s="19" t="s">
        <v>1163</v>
      </c>
      <c r="AC710" s="19" t="s">
        <v>1322</v>
      </c>
      <c r="AD710" s="19"/>
      <c r="AE710" s="19"/>
      <c r="AF710" s="19"/>
      <c r="AG710" s="19" t="s">
        <v>235</v>
      </c>
      <c r="AH710" s="19"/>
      <c r="AI710" s="19"/>
      <c r="AJ710" s="19" t="s">
        <v>234</v>
      </c>
      <c r="AK710" s="19" t="s">
        <v>234</v>
      </c>
      <c r="AL710" s="19"/>
      <c r="AM710" s="19" t="s">
        <v>234</v>
      </c>
      <c r="AN710" s="19" t="s">
        <v>234</v>
      </c>
      <c r="AO710" s="19" t="s">
        <v>235</v>
      </c>
      <c r="AP710" s="94"/>
      <c r="AQ710" s="19" t="s">
        <v>471</v>
      </c>
      <c r="AR710" s="19" t="s">
        <v>241</v>
      </c>
      <c r="AS710" s="19"/>
      <c r="AT710" s="65" t="str">
        <f t="shared" si="200"/>
        <v>N</v>
      </c>
      <c r="AU710" s="65" t="str">
        <f t="shared" si="204"/>
        <v>N</v>
      </c>
      <c r="AV710" s="65" t="str">
        <f t="shared" si="208"/>
        <v>N</v>
      </c>
      <c r="AW710" s="99"/>
      <c r="AX710" s="99"/>
      <c r="AY710" s="19"/>
      <c r="AZ710" s="96" t="str">
        <f t="shared" si="205"/>
        <v>n</v>
      </c>
      <c r="BA710" s="96" t="str">
        <f>IF(AZ710="n","n",VLOOKUP(AZ710,'Conversion factors'!$C$4:$D$24,2,FALSE))</f>
        <v>n</v>
      </c>
      <c r="BB710" s="96" t="str">
        <f t="shared" si="206"/>
        <v>n</v>
      </c>
      <c r="BC710" s="97"/>
      <c r="BD710" s="96" t="str">
        <f t="shared" si="201"/>
        <v>n</v>
      </c>
      <c r="BE710" s="96" t="str">
        <f t="shared" si="207"/>
        <v>n</v>
      </c>
      <c r="BF710" s="98" t="str">
        <f t="shared" si="202"/>
        <v/>
      </c>
      <c r="BG710" s="96" t="str">
        <f>IF(BF710="","",IF(ISNUMBER(VLOOKUP(BF710,'Conversion factors'!$B$35:$C$52,2,FALSE)),"y","n"))</f>
        <v/>
      </c>
      <c r="BH710" s="99" t="s">
        <v>1510</v>
      </c>
    </row>
    <row r="711" spans="1:60" s="103" customFormat="1" ht="15.75" customHeight="1" x14ac:dyDescent="0.2">
      <c r="A711" s="18"/>
      <c r="B711" s="19">
        <v>324</v>
      </c>
      <c r="C711" s="19"/>
      <c r="D711" s="19">
        <v>165080</v>
      </c>
      <c r="E711" s="19" t="s">
        <v>1224</v>
      </c>
      <c r="F711" s="93">
        <v>2013</v>
      </c>
      <c r="G711" s="19" t="s">
        <v>1152</v>
      </c>
      <c r="H711" s="19"/>
      <c r="I711" s="19" t="s">
        <v>41</v>
      </c>
      <c r="J711" s="19" t="s">
        <v>375</v>
      </c>
      <c r="K711" s="19" t="s">
        <v>42</v>
      </c>
      <c r="L711" s="19" t="s">
        <v>43</v>
      </c>
      <c r="M711" s="19" t="s">
        <v>1303</v>
      </c>
      <c r="N711" s="19" t="s">
        <v>109</v>
      </c>
      <c r="O711" s="19" t="s">
        <v>264</v>
      </c>
      <c r="P711" s="19" t="s">
        <v>51</v>
      </c>
      <c r="Q711" s="19"/>
      <c r="R711" s="19" t="s">
        <v>256</v>
      </c>
      <c r="S711" s="19" t="s">
        <v>304</v>
      </c>
      <c r="T711" s="19" t="s">
        <v>44</v>
      </c>
      <c r="U711" s="19" t="s">
        <v>44</v>
      </c>
      <c r="V711" s="19" t="s">
        <v>103</v>
      </c>
      <c r="W711" s="19" t="s">
        <v>45</v>
      </c>
      <c r="X711" s="19" t="s">
        <v>46</v>
      </c>
      <c r="Y711" s="29"/>
      <c r="Z711" s="19"/>
      <c r="AA711" s="19"/>
      <c r="AB711" s="19" t="s">
        <v>1168</v>
      </c>
      <c r="AC711" s="19" t="s">
        <v>1322</v>
      </c>
      <c r="AD711" s="19"/>
      <c r="AE711" s="19"/>
      <c r="AF711" s="19"/>
      <c r="AG711" s="19" t="s">
        <v>235</v>
      </c>
      <c r="AH711" s="19"/>
      <c r="AI711" s="19"/>
      <c r="AJ711" s="19" t="s">
        <v>234</v>
      </c>
      <c r="AK711" s="19" t="s">
        <v>234</v>
      </c>
      <c r="AL711" s="19"/>
      <c r="AM711" s="19" t="s">
        <v>234</v>
      </c>
      <c r="AN711" s="19" t="s">
        <v>234</v>
      </c>
      <c r="AO711" s="19" t="s">
        <v>235</v>
      </c>
      <c r="AP711" s="94"/>
      <c r="AQ711" s="19" t="s">
        <v>471</v>
      </c>
      <c r="AR711" s="19" t="s">
        <v>241</v>
      </c>
      <c r="AS711" s="19"/>
      <c r="AT711" s="65" t="str">
        <f t="shared" ref="AT711:AT774" si="209">IF(F711&lt;1980,"N",IF(AC711="M","Y",IF(AC711="SM","Y","N")))</f>
        <v>N</v>
      </c>
      <c r="AU711" s="65" t="str">
        <f t="shared" si="204"/>
        <v>N</v>
      </c>
      <c r="AV711" s="65" t="str">
        <f t="shared" si="208"/>
        <v>N</v>
      </c>
      <c r="AW711" s="99"/>
      <c r="AX711" s="99"/>
      <c r="AY711" s="19"/>
      <c r="AZ711" s="96" t="str">
        <f t="shared" si="205"/>
        <v>n</v>
      </c>
      <c r="BA711" s="96" t="str">
        <f>IF(AZ711="n","n",VLOOKUP(AZ711,'Conversion factors'!$C$4:$D$24,2,FALSE))</f>
        <v>n</v>
      </c>
      <c r="BB711" s="96" t="str">
        <f t="shared" si="206"/>
        <v>n</v>
      </c>
      <c r="BC711" s="97"/>
      <c r="BD711" s="96" t="str">
        <f t="shared" ref="BD711:BD774" si="210">IF(AV711="N","n",X711)</f>
        <v>n</v>
      </c>
      <c r="BE711" s="96" t="str">
        <f t="shared" si="207"/>
        <v>n</v>
      </c>
      <c r="BF711" s="98" t="str">
        <f t="shared" si="202"/>
        <v/>
      </c>
      <c r="BG711" s="96" t="str">
        <f>IF(BF711="","",IF(ISNUMBER(VLOOKUP(BF711,'Conversion factors'!$B$35:$C$52,2,FALSE)),"y","n"))</f>
        <v/>
      </c>
      <c r="BH711" s="99" t="s">
        <v>1510</v>
      </c>
    </row>
    <row r="712" spans="1:60" s="103" customFormat="1" ht="15.75" customHeight="1" x14ac:dyDescent="0.2">
      <c r="A712" s="18"/>
      <c r="B712" s="19">
        <v>324</v>
      </c>
      <c r="C712" s="19"/>
      <c r="D712" s="19">
        <v>165080</v>
      </c>
      <c r="E712" s="19" t="s">
        <v>1224</v>
      </c>
      <c r="F712" s="93">
        <v>2013</v>
      </c>
      <c r="G712" s="19" t="s">
        <v>1152</v>
      </c>
      <c r="H712" s="19"/>
      <c r="I712" s="19" t="s">
        <v>41</v>
      </c>
      <c r="J712" s="19" t="s">
        <v>375</v>
      </c>
      <c r="K712" s="19" t="s">
        <v>42</v>
      </c>
      <c r="L712" s="19" t="s">
        <v>43</v>
      </c>
      <c r="M712" s="19" t="s">
        <v>1303</v>
      </c>
      <c r="N712" s="19" t="s">
        <v>109</v>
      </c>
      <c r="O712" s="19" t="s">
        <v>264</v>
      </c>
      <c r="P712" s="19" t="s">
        <v>51</v>
      </c>
      <c r="Q712" s="19"/>
      <c r="R712" s="19" t="s">
        <v>256</v>
      </c>
      <c r="S712" s="19" t="s">
        <v>1153</v>
      </c>
      <c r="T712" s="19" t="s">
        <v>44</v>
      </c>
      <c r="U712" s="19" t="s">
        <v>44</v>
      </c>
      <c r="V712" s="19" t="s">
        <v>444</v>
      </c>
      <c r="W712" s="19" t="s">
        <v>45</v>
      </c>
      <c r="X712" s="19" t="s">
        <v>46</v>
      </c>
      <c r="Y712" s="29"/>
      <c r="Z712" s="19"/>
      <c r="AA712" s="19"/>
      <c r="AB712" s="19" t="s">
        <v>1154</v>
      </c>
      <c r="AC712" s="19" t="s">
        <v>1322</v>
      </c>
      <c r="AD712" s="19"/>
      <c r="AE712" s="19"/>
      <c r="AF712" s="19"/>
      <c r="AG712" s="19" t="s">
        <v>235</v>
      </c>
      <c r="AH712" s="19"/>
      <c r="AI712" s="19"/>
      <c r="AJ712" s="19" t="s">
        <v>234</v>
      </c>
      <c r="AK712" s="19" t="s">
        <v>234</v>
      </c>
      <c r="AL712" s="19"/>
      <c r="AM712" s="19" t="s">
        <v>234</v>
      </c>
      <c r="AN712" s="19" t="s">
        <v>234</v>
      </c>
      <c r="AO712" s="19" t="s">
        <v>235</v>
      </c>
      <c r="AP712" s="94"/>
      <c r="AQ712" s="19" t="s">
        <v>471</v>
      </c>
      <c r="AR712" s="19" t="s">
        <v>241</v>
      </c>
      <c r="AS712" s="19"/>
      <c r="AT712" s="65" t="str">
        <f t="shared" si="209"/>
        <v>N</v>
      </c>
      <c r="AU712" s="65" t="str">
        <f t="shared" si="204"/>
        <v>N</v>
      </c>
      <c r="AV712" s="65" t="str">
        <f t="shared" si="208"/>
        <v>N</v>
      </c>
      <c r="AW712" s="99"/>
      <c r="AX712" s="99"/>
      <c r="AY712" s="19"/>
      <c r="AZ712" s="96" t="str">
        <f t="shared" si="205"/>
        <v>n</v>
      </c>
      <c r="BA712" s="96" t="str">
        <f>IF(AZ712="n","n",VLOOKUP(AZ712,'Conversion factors'!$C$4:$D$24,2,FALSE))</f>
        <v>n</v>
      </c>
      <c r="BB712" s="96" t="str">
        <f t="shared" si="206"/>
        <v>n</v>
      </c>
      <c r="BC712" s="97"/>
      <c r="BD712" s="96" t="str">
        <f t="shared" si="210"/>
        <v>n</v>
      </c>
      <c r="BE712" s="96" t="str">
        <f t="shared" si="207"/>
        <v>n</v>
      </c>
      <c r="BF712" s="98" t="str">
        <f t="shared" ref="BF712:BF775" si="211">IF(BE712="n","",AZ712)</f>
        <v/>
      </c>
      <c r="BG712" s="96" t="str">
        <f>IF(BF712="","",IF(ISNUMBER(VLOOKUP(BF712,'Conversion factors'!$B$35:$C$52,2,FALSE)),"y","n"))</f>
        <v/>
      </c>
      <c r="BH712" s="99" t="s">
        <v>1510</v>
      </c>
    </row>
    <row r="713" spans="1:60" s="103" customFormat="1" ht="15.75" customHeight="1" x14ac:dyDescent="0.2">
      <c r="A713" s="18"/>
      <c r="B713" s="19">
        <v>324</v>
      </c>
      <c r="C713" s="19"/>
      <c r="D713" s="19">
        <v>165080</v>
      </c>
      <c r="E713" s="19" t="s">
        <v>1224</v>
      </c>
      <c r="F713" s="93">
        <v>2013</v>
      </c>
      <c r="G713" s="19" t="s">
        <v>1152</v>
      </c>
      <c r="H713" s="19"/>
      <c r="I713" s="19" t="s">
        <v>41</v>
      </c>
      <c r="J713" s="19" t="s">
        <v>375</v>
      </c>
      <c r="K713" s="19" t="s">
        <v>42</v>
      </c>
      <c r="L713" s="19" t="s">
        <v>43</v>
      </c>
      <c r="M713" s="19" t="s">
        <v>1303</v>
      </c>
      <c r="N713" s="19" t="s">
        <v>109</v>
      </c>
      <c r="O713" s="19" t="s">
        <v>264</v>
      </c>
      <c r="P713" s="19" t="s">
        <v>51</v>
      </c>
      <c r="Q713" s="19"/>
      <c r="R713" s="19" t="s">
        <v>256</v>
      </c>
      <c r="S713" s="19" t="s">
        <v>435</v>
      </c>
      <c r="T713" s="19" t="s">
        <v>44</v>
      </c>
      <c r="U713" s="19" t="s">
        <v>44</v>
      </c>
      <c r="V713" s="19" t="s">
        <v>444</v>
      </c>
      <c r="W713" s="19" t="s">
        <v>45</v>
      </c>
      <c r="X713" s="19" t="s">
        <v>46</v>
      </c>
      <c r="Y713" s="29"/>
      <c r="Z713" s="19"/>
      <c r="AA713" s="19"/>
      <c r="AB713" s="19" t="s">
        <v>1162</v>
      </c>
      <c r="AC713" s="19" t="s">
        <v>1322</v>
      </c>
      <c r="AD713" s="19"/>
      <c r="AE713" s="19"/>
      <c r="AF713" s="19"/>
      <c r="AG713" s="19" t="s">
        <v>235</v>
      </c>
      <c r="AH713" s="19"/>
      <c r="AI713" s="19"/>
      <c r="AJ713" s="19" t="s">
        <v>234</v>
      </c>
      <c r="AK713" s="19" t="s">
        <v>234</v>
      </c>
      <c r="AL713" s="19"/>
      <c r="AM713" s="19" t="s">
        <v>234</v>
      </c>
      <c r="AN713" s="19" t="s">
        <v>234</v>
      </c>
      <c r="AO713" s="19" t="s">
        <v>235</v>
      </c>
      <c r="AP713" s="94"/>
      <c r="AQ713" s="19" t="s">
        <v>471</v>
      </c>
      <c r="AR713" s="19" t="s">
        <v>241</v>
      </c>
      <c r="AS713" s="19"/>
      <c r="AT713" s="65" t="str">
        <f t="shared" si="209"/>
        <v>N</v>
      </c>
      <c r="AU713" s="65" t="str">
        <f t="shared" si="204"/>
        <v>N</v>
      </c>
      <c r="AV713" s="65" t="str">
        <f t="shared" si="208"/>
        <v>N</v>
      </c>
      <c r="AW713" s="99"/>
      <c r="AX713" s="99"/>
      <c r="AY713" s="19"/>
      <c r="AZ713" s="96" t="str">
        <f t="shared" si="205"/>
        <v>n</v>
      </c>
      <c r="BA713" s="96" t="str">
        <f>IF(AZ713="n","n",VLOOKUP(AZ713,'Conversion factors'!$C$4:$D$24,2,FALSE))</f>
        <v>n</v>
      </c>
      <c r="BB713" s="96" t="str">
        <f t="shared" si="206"/>
        <v>n</v>
      </c>
      <c r="BC713" s="97"/>
      <c r="BD713" s="96" t="str">
        <f t="shared" si="210"/>
        <v>n</v>
      </c>
      <c r="BE713" s="96" t="str">
        <f t="shared" si="207"/>
        <v>n</v>
      </c>
      <c r="BF713" s="98" t="str">
        <f t="shared" si="211"/>
        <v/>
      </c>
      <c r="BG713" s="96" t="str">
        <f>IF(BF713="","",IF(ISNUMBER(VLOOKUP(BF713,'Conversion factors'!$B$35:$C$52,2,FALSE)),"y","n"))</f>
        <v/>
      </c>
      <c r="BH713" s="99" t="s">
        <v>1510</v>
      </c>
    </row>
    <row r="714" spans="1:60" s="103" customFormat="1" ht="15.75" customHeight="1" x14ac:dyDescent="0.2">
      <c r="A714" s="18"/>
      <c r="B714" s="19">
        <v>324</v>
      </c>
      <c r="C714" s="19"/>
      <c r="D714" s="19">
        <v>165080</v>
      </c>
      <c r="E714" s="19" t="s">
        <v>1224</v>
      </c>
      <c r="F714" s="93">
        <v>2013</v>
      </c>
      <c r="G714" s="19" t="s">
        <v>1152</v>
      </c>
      <c r="H714" s="19"/>
      <c r="I714" s="19" t="s">
        <v>41</v>
      </c>
      <c r="J714" s="19" t="s">
        <v>375</v>
      </c>
      <c r="K714" s="19" t="s">
        <v>42</v>
      </c>
      <c r="L714" s="19" t="s">
        <v>43</v>
      </c>
      <c r="M714" s="19" t="s">
        <v>1303</v>
      </c>
      <c r="N714" s="19" t="s">
        <v>109</v>
      </c>
      <c r="O714" s="19" t="s">
        <v>264</v>
      </c>
      <c r="P714" s="19" t="s">
        <v>51</v>
      </c>
      <c r="Q714" s="19"/>
      <c r="R714" s="19" t="s">
        <v>256</v>
      </c>
      <c r="S714" s="19" t="s">
        <v>304</v>
      </c>
      <c r="T714" s="19" t="s">
        <v>44</v>
      </c>
      <c r="U714" s="19" t="s">
        <v>44</v>
      </c>
      <c r="V714" s="19" t="s">
        <v>444</v>
      </c>
      <c r="W714" s="19" t="s">
        <v>45</v>
      </c>
      <c r="X714" s="19" t="s">
        <v>46</v>
      </c>
      <c r="Y714" s="29"/>
      <c r="Z714" s="19"/>
      <c r="AA714" s="19"/>
      <c r="AB714" s="19" t="s">
        <v>1167</v>
      </c>
      <c r="AC714" s="19" t="s">
        <v>1322</v>
      </c>
      <c r="AD714" s="19"/>
      <c r="AE714" s="19"/>
      <c r="AF714" s="19"/>
      <c r="AG714" s="19" t="s">
        <v>235</v>
      </c>
      <c r="AH714" s="19"/>
      <c r="AI714" s="19"/>
      <c r="AJ714" s="19" t="s">
        <v>234</v>
      </c>
      <c r="AK714" s="19" t="s">
        <v>234</v>
      </c>
      <c r="AL714" s="19"/>
      <c r="AM714" s="19" t="s">
        <v>234</v>
      </c>
      <c r="AN714" s="19" t="s">
        <v>234</v>
      </c>
      <c r="AO714" s="19" t="s">
        <v>235</v>
      </c>
      <c r="AP714" s="94"/>
      <c r="AQ714" s="19" t="s">
        <v>471</v>
      </c>
      <c r="AR714" s="19" t="s">
        <v>241</v>
      </c>
      <c r="AS714" s="19"/>
      <c r="AT714" s="65" t="str">
        <f t="shared" si="209"/>
        <v>N</v>
      </c>
      <c r="AU714" s="65" t="str">
        <f t="shared" si="204"/>
        <v>N</v>
      </c>
      <c r="AV714" s="65" t="str">
        <f t="shared" si="208"/>
        <v>N</v>
      </c>
      <c r="AW714" s="99"/>
      <c r="AX714" s="99"/>
      <c r="AY714" s="19"/>
      <c r="AZ714" s="96" t="str">
        <f t="shared" si="205"/>
        <v>n</v>
      </c>
      <c r="BA714" s="96" t="str">
        <f>IF(AZ714="n","n",VLOOKUP(AZ714,'Conversion factors'!$C$4:$D$24,2,FALSE))</f>
        <v>n</v>
      </c>
      <c r="BB714" s="96" t="str">
        <f t="shared" si="206"/>
        <v>n</v>
      </c>
      <c r="BC714" s="97"/>
      <c r="BD714" s="96" t="str">
        <f t="shared" si="210"/>
        <v>n</v>
      </c>
      <c r="BE714" s="96" t="str">
        <f t="shared" si="207"/>
        <v>n</v>
      </c>
      <c r="BF714" s="98" t="str">
        <f t="shared" si="211"/>
        <v/>
      </c>
      <c r="BG714" s="96" t="str">
        <f>IF(BF714="","",IF(ISNUMBER(VLOOKUP(BF714,'Conversion factors'!$B$35:$C$52,2,FALSE)),"y","n"))</f>
        <v/>
      </c>
      <c r="BH714" s="99" t="s">
        <v>1510</v>
      </c>
    </row>
    <row r="715" spans="1:60" s="103" customFormat="1" ht="15.75" customHeight="1" x14ac:dyDescent="0.2">
      <c r="A715" s="18"/>
      <c r="B715" s="19">
        <v>324</v>
      </c>
      <c r="C715" s="19"/>
      <c r="D715" s="19">
        <v>165080</v>
      </c>
      <c r="E715" s="19" t="s">
        <v>1224</v>
      </c>
      <c r="F715" s="93">
        <v>2013</v>
      </c>
      <c r="G715" s="19" t="s">
        <v>1152</v>
      </c>
      <c r="H715" s="19"/>
      <c r="I715" s="19" t="s">
        <v>41</v>
      </c>
      <c r="J715" s="19" t="s">
        <v>375</v>
      </c>
      <c r="K715" s="19" t="s">
        <v>42</v>
      </c>
      <c r="L715" s="19" t="s">
        <v>43</v>
      </c>
      <c r="M715" s="19" t="s">
        <v>1303</v>
      </c>
      <c r="N715" s="19" t="s">
        <v>109</v>
      </c>
      <c r="O715" s="19" t="s">
        <v>264</v>
      </c>
      <c r="P715" s="19" t="s">
        <v>51</v>
      </c>
      <c r="Q715" s="19"/>
      <c r="R715" s="19" t="s">
        <v>256</v>
      </c>
      <c r="S715" s="19" t="s">
        <v>304</v>
      </c>
      <c r="T715" s="19" t="s">
        <v>44</v>
      </c>
      <c r="U715" s="19" t="s">
        <v>44</v>
      </c>
      <c r="V715" s="19" t="s">
        <v>144</v>
      </c>
      <c r="W715" s="19" t="s">
        <v>45</v>
      </c>
      <c r="X715" s="19" t="s">
        <v>46</v>
      </c>
      <c r="Y715" s="29"/>
      <c r="Z715" s="19"/>
      <c r="AA715" s="19"/>
      <c r="AB715" s="19" t="s">
        <v>1158</v>
      </c>
      <c r="AC715" s="19" t="s">
        <v>1322</v>
      </c>
      <c r="AD715" s="19"/>
      <c r="AE715" s="19"/>
      <c r="AF715" s="19"/>
      <c r="AG715" s="19" t="s">
        <v>235</v>
      </c>
      <c r="AH715" s="19"/>
      <c r="AI715" s="19"/>
      <c r="AJ715" s="19" t="s">
        <v>234</v>
      </c>
      <c r="AK715" s="19" t="s">
        <v>234</v>
      </c>
      <c r="AL715" s="19"/>
      <c r="AM715" s="19" t="s">
        <v>234</v>
      </c>
      <c r="AN715" s="19" t="s">
        <v>234</v>
      </c>
      <c r="AO715" s="19" t="s">
        <v>235</v>
      </c>
      <c r="AP715" s="94"/>
      <c r="AQ715" s="19" t="s">
        <v>471</v>
      </c>
      <c r="AR715" s="19" t="s">
        <v>241</v>
      </c>
      <c r="AS715" s="19"/>
      <c r="AT715" s="65" t="str">
        <f t="shared" si="209"/>
        <v>N</v>
      </c>
      <c r="AU715" s="65" t="str">
        <f t="shared" si="204"/>
        <v>N</v>
      </c>
      <c r="AV715" s="65" t="str">
        <f t="shared" si="208"/>
        <v>N</v>
      </c>
      <c r="AW715" s="99"/>
      <c r="AX715" s="99"/>
      <c r="AY715" s="19"/>
      <c r="AZ715" s="96" t="str">
        <f t="shared" si="205"/>
        <v>n</v>
      </c>
      <c r="BA715" s="96" t="str">
        <f>IF(AZ715="n","n",VLOOKUP(AZ715,'Conversion factors'!$C$4:$D$24,2,FALSE))</f>
        <v>n</v>
      </c>
      <c r="BB715" s="96" t="str">
        <f t="shared" si="206"/>
        <v>n</v>
      </c>
      <c r="BC715" s="97"/>
      <c r="BD715" s="96" t="str">
        <f t="shared" si="210"/>
        <v>n</v>
      </c>
      <c r="BE715" s="96" t="str">
        <f t="shared" si="207"/>
        <v>n</v>
      </c>
      <c r="BF715" s="98" t="str">
        <f t="shared" si="211"/>
        <v/>
      </c>
      <c r="BG715" s="96" t="str">
        <f>IF(BF715="","",IF(ISNUMBER(VLOOKUP(BF715,'Conversion factors'!$B$35:$C$52,2,FALSE)),"y","n"))</f>
        <v/>
      </c>
      <c r="BH715" s="99" t="s">
        <v>1510</v>
      </c>
    </row>
    <row r="716" spans="1:60" s="103" customFormat="1" ht="15.75" customHeight="1" x14ac:dyDescent="0.2">
      <c r="A716" s="18"/>
      <c r="B716" s="19">
        <v>324</v>
      </c>
      <c r="C716" s="19"/>
      <c r="D716" s="19">
        <v>165080</v>
      </c>
      <c r="E716" s="19" t="s">
        <v>1224</v>
      </c>
      <c r="F716" s="93">
        <v>2013</v>
      </c>
      <c r="G716" s="19" t="s">
        <v>1152</v>
      </c>
      <c r="H716" s="19"/>
      <c r="I716" s="19" t="s">
        <v>41</v>
      </c>
      <c r="J716" s="19" t="s">
        <v>375</v>
      </c>
      <c r="K716" s="19" t="s">
        <v>42</v>
      </c>
      <c r="L716" s="19" t="s">
        <v>43</v>
      </c>
      <c r="M716" s="19" t="s">
        <v>1303</v>
      </c>
      <c r="N716" s="19" t="s">
        <v>109</v>
      </c>
      <c r="O716" s="19" t="s">
        <v>264</v>
      </c>
      <c r="P716" s="19" t="s">
        <v>51</v>
      </c>
      <c r="Q716" s="19"/>
      <c r="R716" s="19" t="s">
        <v>256</v>
      </c>
      <c r="S716" s="19" t="s">
        <v>435</v>
      </c>
      <c r="T716" s="19" t="s">
        <v>44</v>
      </c>
      <c r="U716" s="19" t="s">
        <v>44</v>
      </c>
      <c r="V716" s="19" t="s">
        <v>144</v>
      </c>
      <c r="W716" s="19" t="s">
        <v>45</v>
      </c>
      <c r="X716" s="19" t="s">
        <v>46</v>
      </c>
      <c r="Y716" s="29"/>
      <c r="Z716" s="19"/>
      <c r="AA716" s="19"/>
      <c r="AB716" s="19" t="s">
        <v>1159</v>
      </c>
      <c r="AC716" s="19" t="s">
        <v>1322</v>
      </c>
      <c r="AD716" s="19"/>
      <c r="AE716" s="19"/>
      <c r="AF716" s="19"/>
      <c r="AG716" s="19" t="s">
        <v>235</v>
      </c>
      <c r="AH716" s="19"/>
      <c r="AI716" s="19"/>
      <c r="AJ716" s="19" t="s">
        <v>234</v>
      </c>
      <c r="AK716" s="19" t="s">
        <v>234</v>
      </c>
      <c r="AL716" s="19"/>
      <c r="AM716" s="19" t="s">
        <v>234</v>
      </c>
      <c r="AN716" s="19" t="s">
        <v>234</v>
      </c>
      <c r="AO716" s="19" t="s">
        <v>235</v>
      </c>
      <c r="AP716" s="94"/>
      <c r="AQ716" s="19" t="s">
        <v>471</v>
      </c>
      <c r="AR716" s="19" t="s">
        <v>241</v>
      </c>
      <c r="AS716" s="19"/>
      <c r="AT716" s="65" t="str">
        <f t="shared" si="209"/>
        <v>N</v>
      </c>
      <c r="AU716" s="65" t="str">
        <f t="shared" si="204"/>
        <v>N</v>
      </c>
      <c r="AV716" s="65" t="str">
        <f t="shared" si="208"/>
        <v>N</v>
      </c>
      <c r="AW716" s="99"/>
      <c r="AX716" s="99"/>
      <c r="AY716" s="19"/>
      <c r="AZ716" s="96" t="str">
        <f t="shared" si="205"/>
        <v>n</v>
      </c>
      <c r="BA716" s="96" t="str">
        <f>IF(AZ716="n","n",VLOOKUP(AZ716,'Conversion factors'!$C$4:$D$24,2,FALSE))</f>
        <v>n</v>
      </c>
      <c r="BB716" s="96" t="str">
        <f t="shared" si="206"/>
        <v>n</v>
      </c>
      <c r="BC716" s="97"/>
      <c r="BD716" s="96" t="str">
        <f t="shared" si="210"/>
        <v>n</v>
      </c>
      <c r="BE716" s="96" t="str">
        <f t="shared" si="207"/>
        <v>n</v>
      </c>
      <c r="BF716" s="98" t="str">
        <f t="shared" si="211"/>
        <v/>
      </c>
      <c r="BG716" s="96" t="str">
        <f>IF(BF716="","",IF(ISNUMBER(VLOOKUP(BF716,'Conversion factors'!$B$35:$C$52,2,FALSE)),"y","n"))</f>
        <v/>
      </c>
      <c r="BH716" s="99" t="s">
        <v>1510</v>
      </c>
    </row>
    <row r="717" spans="1:60" s="103" customFormat="1" ht="15.75" customHeight="1" x14ac:dyDescent="0.2">
      <c r="A717" s="18"/>
      <c r="B717" s="19">
        <v>324</v>
      </c>
      <c r="C717" s="19"/>
      <c r="D717" s="19">
        <v>165080</v>
      </c>
      <c r="E717" s="19" t="s">
        <v>1224</v>
      </c>
      <c r="F717" s="93">
        <v>2013</v>
      </c>
      <c r="G717" s="19" t="s">
        <v>1152</v>
      </c>
      <c r="H717" s="19"/>
      <c r="I717" s="19" t="s">
        <v>41</v>
      </c>
      <c r="J717" s="19" t="s">
        <v>375</v>
      </c>
      <c r="K717" s="19" t="s">
        <v>42</v>
      </c>
      <c r="L717" s="19" t="s">
        <v>43</v>
      </c>
      <c r="M717" s="19" t="s">
        <v>1303</v>
      </c>
      <c r="N717" s="19" t="s">
        <v>109</v>
      </c>
      <c r="O717" s="19" t="s">
        <v>264</v>
      </c>
      <c r="P717" s="19" t="s">
        <v>51</v>
      </c>
      <c r="Q717" s="19"/>
      <c r="R717" s="19" t="s">
        <v>256</v>
      </c>
      <c r="S717" s="19" t="s">
        <v>1153</v>
      </c>
      <c r="T717" s="19" t="s">
        <v>44</v>
      </c>
      <c r="U717" s="19" t="s">
        <v>44</v>
      </c>
      <c r="V717" s="19" t="s">
        <v>144</v>
      </c>
      <c r="W717" s="19" t="s">
        <v>45</v>
      </c>
      <c r="X717" s="19" t="s">
        <v>46</v>
      </c>
      <c r="Y717" s="29"/>
      <c r="Z717" s="19"/>
      <c r="AA717" s="19"/>
      <c r="AB717" s="19" t="s">
        <v>1164</v>
      </c>
      <c r="AC717" s="19" t="s">
        <v>1322</v>
      </c>
      <c r="AD717" s="19"/>
      <c r="AE717" s="19"/>
      <c r="AF717" s="19"/>
      <c r="AG717" s="19" t="s">
        <v>235</v>
      </c>
      <c r="AH717" s="19"/>
      <c r="AI717" s="19"/>
      <c r="AJ717" s="19" t="s">
        <v>234</v>
      </c>
      <c r="AK717" s="19" t="s">
        <v>234</v>
      </c>
      <c r="AL717" s="19"/>
      <c r="AM717" s="19" t="s">
        <v>234</v>
      </c>
      <c r="AN717" s="19" t="s">
        <v>234</v>
      </c>
      <c r="AO717" s="19" t="s">
        <v>235</v>
      </c>
      <c r="AP717" s="94"/>
      <c r="AQ717" s="19" t="s">
        <v>471</v>
      </c>
      <c r="AR717" s="19" t="s">
        <v>241</v>
      </c>
      <c r="AS717" s="19"/>
      <c r="AT717" s="65" t="str">
        <f t="shared" si="209"/>
        <v>N</v>
      </c>
      <c r="AU717" s="65" t="str">
        <f t="shared" si="204"/>
        <v>N</v>
      </c>
      <c r="AV717" s="65" t="str">
        <f t="shared" si="208"/>
        <v>N</v>
      </c>
      <c r="AW717" s="99"/>
      <c r="AX717" s="99"/>
      <c r="AY717" s="19"/>
      <c r="AZ717" s="96" t="str">
        <f t="shared" si="205"/>
        <v>n</v>
      </c>
      <c r="BA717" s="96" t="str">
        <f>IF(AZ717="n","n",VLOOKUP(AZ717,'Conversion factors'!$C$4:$D$24,2,FALSE))</f>
        <v>n</v>
      </c>
      <c r="BB717" s="96" t="str">
        <f t="shared" si="206"/>
        <v>n</v>
      </c>
      <c r="BC717" s="97"/>
      <c r="BD717" s="96" t="str">
        <f t="shared" si="210"/>
        <v>n</v>
      </c>
      <c r="BE717" s="96" t="str">
        <f t="shared" si="207"/>
        <v>n</v>
      </c>
      <c r="BF717" s="98" t="str">
        <f t="shared" si="211"/>
        <v/>
      </c>
      <c r="BG717" s="96" t="str">
        <f>IF(BF717="","",IF(ISNUMBER(VLOOKUP(BF717,'Conversion factors'!$B$35:$C$52,2,FALSE)),"y","n"))</f>
        <v/>
      </c>
      <c r="BH717" s="99" t="s">
        <v>1510</v>
      </c>
    </row>
    <row r="718" spans="1:60" s="103" customFormat="1" ht="15.75" customHeight="1" x14ac:dyDescent="0.2">
      <c r="A718" s="18"/>
      <c r="B718" s="19">
        <v>324</v>
      </c>
      <c r="C718" s="19"/>
      <c r="D718" s="19">
        <v>165080</v>
      </c>
      <c r="E718" s="19" t="s">
        <v>1224</v>
      </c>
      <c r="F718" s="93">
        <v>2013</v>
      </c>
      <c r="G718" s="19" t="s">
        <v>1152</v>
      </c>
      <c r="H718" s="19"/>
      <c r="I718" s="19" t="s">
        <v>41</v>
      </c>
      <c r="J718" s="19" t="s">
        <v>375</v>
      </c>
      <c r="K718" s="19" t="s">
        <v>42</v>
      </c>
      <c r="L718" s="19" t="s">
        <v>43</v>
      </c>
      <c r="M718" s="19" t="s">
        <v>1303</v>
      </c>
      <c r="N718" s="19" t="s">
        <v>109</v>
      </c>
      <c r="O718" s="19" t="s">
        <v>264</v>
      </c>
      <c r="P718" s="19" t="s">
        <v>51</v>
      </c>
      <c r="Q718" s="19"/>
      <c r="R718" s="19" t="s">
        <v>256</v>
      </c>
      <c r="S718" s="19" t="s">
        <v>304</v>
      </c>
      <c r="T718" s="19" t="s">
        <v>44</v>
      </c>
      <c r="U718" s="19" t="s">
        <v>44</v>
      </c>
      <c r="V718" s="19" t="s">
        <v>424</v>
      </c>
      <c r="W718" s="19" t="s">
        <v>45</v>
      </c>
      <c r="X718" s="19" t="s">
        <v>46</v>
      </c>
      <c r="Y718" s="29"/>
      <c r="Z718" s="19"/>
      <c r="AA718" s="19"/>
      <c r="AB718" s="19" t="s">
        <v>1161</v>
      </c>
      <c r="AC718" s="19" t="s">
        <v>1322</v>
      </c>
      <c r="AD718" s="19"/>
      <c r="AE718" s="19"/>
      <c r="AF718" s="19"/>
      <c r="AG718" s="19" t="s">
        <v>235</v>
      </c>
      <c r="AH718" s="19"/>
      <c r="AI718" s="19"/>
      <c r="AJ718" s="19" t="s">
        <v>234</v>
      </c>
      <c r="AK718" s="19" t="s">
        <v>234</v>
      </c>
      <c r="AL718" s="19"/>
      <c r="AM718" s="19" t="s">
        <v>234</v>
      </c>
      <c r="AN718" s="19" t="s">
        <v>234</v>
      </c>
      <c r="AO718" s="19" t="s">
        <v>235</v>
      </c>
      <c r="AP718" s="94"/>
      <c r="AQ718" s="19" t="s">
        <v>471</v>
      </c>
      <c r="AR718" s="19" t="s">
        <v>241</v>
      </c>
      <c r="AS718" s="19"/>
      <c r="AT718" s="65" t="str">
        <f t="shared" si="209"/>
        <v>N</v>
      </c>
      <c r="AU718" s="65" t="str">
        <f t="shared" si="204"/>
        <v>N</v>
      </c>
      <c r="AV718" s="65" t="str">
        <f t="shared" si="208"/>
        <v>N</v>
      </c>
      <c r="AW718" s="99"/>
      <c r="AX718" s="99"/>
      <c r="AY718" s="19"/>
      <c r="AZ718" s="96" t="str">
        <f t="shared" si="205"/>
        <v>n</v>
      </c>
      <c r="BA718" s="96" t="str">
        <f>IF(AZ718="n","n",VLOOKUP(AZ718,'Conversion factors'!$C$4:$D$24,2,FALSE))</f>
        <v>n</v>
      </c>
      <c r="BB718" s="96" t="str">
        <f t="shared" si="206"/>
        <v>n</v>
      </c>
      <c r="BC718" s="97"/>
      <c r="BD718" s="96" t="str">
        <f t="shared" si="210"/>
        <v>n</v>
      </c>
      <c r="BE718" s="96" t="str">
        <f t="shared" si="207"/>
        <v>n</v>
      </c>
      <c r="BF718" s="98" t="str">
        <f t="shared" si="211"/>
        <v/>
      </c>
      <c r="BG718" s="96" t="str">
        <f>IF(BF718="","",IF(ISNUMBER(VLOOKUP(BF718,'Conversion factors'!$B$35:$C$52,2,FALSE)),"y","n"))</f>
        <v/>
      </c>
      <c r="BH718" s="99" t="s">
        <v>1510</v>
      </c>
    </row>
    <row r="719" spans="1:60" s="103" customFormat="1" ht="15.75" customHeight="1" x14ac:dyDescent="0.2">
      <c r="A719" s="18"/>
      <c r="B719" s="19">
        <v>324</v>
      </c>
      <c r="C719" s="19"/>
      <c r="D719" s="19">
        <v>165080</v>
      </c>
      <c r="E719" s="19" t="s">
        <v>1224</v>
      </c>
      <c r="F719" s="93">
        <v>2013</v>
      </c>
      <c r="G719" s="19" t="s">
        <v>1152</v>
      </c>
      <c r="H719" s="19"/>
      <c r="I719" s="19" t="s">
        <v>41</v>
      </c>
      <c r="J719" s="19" t="s">
        <v>375</v>
      </c>
      <c r="K719" s="19" t="s">
        <v>42</v>
      </c>
      <c r="L719" s="19" t="s">
        <v>43</v>
      </c>
      <c r="M719" s="19" t="s">
        <v>1303</v>
      </c>
      <c r="N719" s="19" t="s">
        <v>109</v>
      </c>
      <c r="O719" s="19" t="s">
        <v>264</v>
      </c>
      <c r="P719" s="19" t="s">
        <v>51</v>
      </c>
      <c r="Q719" s="19"/>
      <c r="R719" s="19" t="s">
        <v>256</v>
      </c>
      <c r="S719" s="19" t="s">
        <v>435</v>
      </c>
      <c r="T719" s="19" t="s">
        <v>44</v>
      </c>
      <c r="U719" s="19" t="s">
        <v>44</v>
      </c>
      <c r="V719" s="19" t="s">
        <v>424</v>
      </c>
      <c r="W719" s="19" t="s">
        <v>45</v>
      </c>
      <c r="X719" s="19" t="s">
        <v>46</v>
      </c>
      <c r="Y719" s="29"/>
      <c r="Z719" s="19"/>
      <c r="AA719" s="19"/>
      <c r="AB719" s="19" t="s">
        <v>1169</v>
      </c>
      <c r="AC719" s="19" t="s">
        <v>1322</v>
      </c>
      <c r="AD719" s="19"/>
      <c r="AE719" s="19"/>
      <c r="AF719" s="19"/>
      <c r="AG719" s="19" t="s">
        <v>235</v>
      </c>
      <c r="AH719" s="19"/>
      <c r="AI719" s="19"/>
      <c r="AJ719" s="19" t="s">
        <v>234</v>
      </c>
      <c r="AK719" s="19" t="s">
        <v>234</v>
      </c>
      <c r="AL719" s="19"/>
      <c r="AM719" s="19" t="s">
        <v>234</v>
      </c>
      <c r="AN719" s="19" t="s">
        <v>234</v>
      </c>
      <c r="AO719" s="19" t="s">
        <v>235</v>
      </c>
      <c r="AP719" s="94"/>
      <c r="AQ719" s="19" t="s">
        <v>471</v>
      </c>
      <c r="AR719" s="19" t="s">
        <v>241</v>
      </c>
      <c r="AS719" s="19"/>
      <c r="AT719" s="65" t="str">
        <f t="shared" si="209"/>
        <v>N</v>
      </c>
      <c r="AU719" s="65" t="str">
        <f t="shared" si="204"/>
        <v>N</v>
      </c>
      <c r="AV719" s="65" t="str">
        <f t="shared" si="208"/>
        <v>N</v>
      </c>
      <c r="AW719" s="99"/>
      <c r="AX719" s="99"/>
      <c r="AY719" s="19"/>
      <c r="AZ719" s="96" t="str">
        <f t="shared" si="205"/>
        <v>n</v>
      </c>
      <c r="BA719" s="96" t="str">
        <f>IF(AZ719="n","n",VLOOKUP(AZ719,'Conversion factors'!$C$4:$D$24,2,FALSE))</f>
        <v>n</v>
      </c>
      <c r="BB719" s="96" t="str">
        <f t="shared" si="206"/>
        <v>n</v>
      </c>
      <c r="BC719" s="97"/>
      <c r="BD719" s="96" t="str">
        <f t="shared" si="210"/>
        <v>n</v>
      </c>
      <c r="BE719" s="96" t="str">
        <f t="shared" si="207"/>
        <v>n</v>
      </c>
      <c r="BF719" s="98" t="str">
        <f t="shared" si="211"/>
        <v/>
      </c>
      <c r="BG719" s="96" t="str">
        <f>IF(BF719="","",IF(ISNUMBER(VLOOKUP(BF719,'Conversion factors'!$B$35:$C$52,2,FALSE)),"y","n"))</f>
        <v/>
      </c>
      <c r="BH719" s="99" t="s">
        <v>1510</v>
      </c>
    </row>
    <row r="720" spans="1:60" s="103" customFormat="1" ht="15.75" customHeight="1" x14ac:dyDescent="0.2">
      <c r="A720" s="18"/>
      <c r="B720" s="19">
        <v>324</v>
      </c>
      <c r="C720" s="19"/>
      <c r="D720" s="19">
        <v>165080</v>
      </c>
      <c r="E720" s="19" t="s">
        <v>1224</v>
      </c>
      <c r="F720" s="93">
        <v>2013</v>
      </c>
      <c r="G720" s="19" t="s">
        <v>1152</v>
      </c>
      <c r="H720" s="19"/>
      <c r="I720" s="19" t="s">
        <v>41</v>
      </c>
      <c r="J720" s="19" t="s">
        <v>375</v>
      </c>
      <c r="K720" s="19" t="s">
        <v>42</v>
      </c>
      <c r="L720" s="19" t="s">
        <v>43</v>
      </c>
      <c r="M720" s="19" t="s">
        <v>1303</v>
      </c>
      <c r="N720" s="19" t="s">
        <v>109</v>
      </c>
      <c r="O720" s="19" t="s">
        <v>264</v>
      </c>
      <c r="P720" s="19" t="s">
        <v>51</v>
      </c>
      <c r="Q720" s="19"/>
      <c r="R720" s="19" t="s">
        <v>256</v>
      </c>
      <c r="S720" s="19" t="s">
        <v>1153</v>
      </c>
      <c r="T720" s="19" t="s">
        <v>44</v>
      </c>
      <c r="U720" s="19" t="s">
        <v>44</v>
      </c>
      <c r="V720" s="19" t="s">
        <v>424</v>
      </c>
      <c r="W720" s="19" t="s">
        <v>45</v>
      </c>
      <c r="X720" s="19" t="s">
        <v>46</v>
      </c>
      <c r="Y720" s="29"/>
      <c r="Z720" s="19"/>
      <c r="AA720" s="19"/>
      <c r="AB720" s="19" t="s">
        <v>1170</v>
      </c>
      <c r="AC720" s="19" t="s">
        <v>1322</v>
      </c>
      <c r="AD720" s="19"/>
      <c r="AE720" s="19"/>
      <c r="AF720" s="19"/>
      <c r="AG720" s="19" t="s">
        <v>235</v>
      </c>
      <c r="AH720" s="19"/>
      <c r="AI720" s="19"/>
      <c r="AJ720" s="19" t="s">
        <v>234</v>
      </c>
      <c r="AK720" s="19" t="s">
        <v>234</v>
      </c>
      <c r="AL720" s="19"/>
      <c r="AM720" s="19" t="s">
        <v>234</v>
      </c>
      <c r="AN720" s="19" t="s">
        <v>234</v>
      </c>
      <c r="AO720" s="19" t="s">
        <v>235</v>
      </c>
      <c r="AP720" s="94"/>
      <c r="AQ720" s="19" t="s">
        <v>471</v>
      </c>
      <c r="AR720" s="19" t="s">
        <v>241</v>
      </c>
      <c r="AS720" s="19"/>
      <c r="AT720" s="65" t="str">
        <f t="shared" si="209"/>
        <v>N</v>
      </c>
      <c r="AU720" s="65" t="str">
        <f t="shared" si="204"/>
        <v>N</v>
      </c>
      <c r="AV720" s="65" t="str">
        <f t="shared" si="208"/>
        <v>N</v>
      </c>
      <c r="AW720" s="99"/>
      <c r="AX720" s="99"/>
      <c r="AY720" s="19"/>
      <c r="AZ720" s="96" t="str">
        <f t="shared" si="205"/>
        <v>n</v>
      </c>
      <c r="BA720" s="96" t="str">
        <f>IF(AZ720="n","n",VLOOKUP(AZ720,'Conversion factors'!$C$4:$D$24,2,FALSE))</f>
        <v>n</v>
      </c>
      <c r="BB720" s="96" t="str">
        <f t="shared" si="206"/>
        <v>n</v>
      </c>
      <c r="BC720" s="97"/>
      <c r="BD720" s="96" t="str">
        <f t="shared" si="210"/>
        <v>n</v>
      </c>
      <c r="BE720" s="96" t="str">
        <f t="shared" si="207"/>
        <v>n</v>
      </c>
      <c r="BF720" s="98" t="str">
        <f t="shared" si="211"/>
        <v/>
      </c>
      <c r="BG720" s="96" t="str">
        <f>IF(BF720="","",IF(ISNUMBER(VLOOKUP(BF720,'Conversion factors'!$B$35:$C$52,2,FALSE)),"y","n"))</f>
        <v/>
      </c>
      <c r="BH720" s="99" t="s">
        <v>1510</v>
      </c>
    </row>
    <row r="721" spans="1:61" s="103" customFormat="1" ht="15.75" customHeight="1" x14ac:dyDescent="0.2">
      <c r="A721" s="18"/>
      <c r="B721" s="19">
        <v>324</v>
      </c>
      <c r="C721" s="19"/>
      <c r="D721" s="19">
        <v>165080</v>
      </c>
      <c r="E721" s="19" t="s">
        <v>1224</v>
      </c>
      <c r="F721" s="93">
        <v>2013</v>
      </c>
      <c r="G721" s="19" t="s">
        <v>1152</v>
      </c>
      <c r="H721" s="19"/>
      <c r="I721" s="19" t="s">
        <v>41</v>
      </c>
      <c r="J721" s="19" t="s">
        <v>375</v>
      </c>
      <c r="K721" s="19" t="s">
        <v>42</v>
      </c>
      <c r="L721" s="19" t="s">
        <v>43</v>
      </c>
      <c r="M721" s="19" t="s">
        <v>1303</v>
      </c>
      <c r="N721" s="19" t="s">
        <v>109</v>
      </c>
      <c r="O721" s="19" t="s">
        <v>264</v>
      </c>
      <c r="P721" s="19" t="s">
        <v>51</v>
      </c>
      <c r="Q721" s="19"/>
      <c r="R721" s="19" t="s">
        <v>256</v>
      </c>
      <c r="S721" s="19" t="s">
        <v>1153</v>
      </c>
      <c r="T721" s="19" t="s">
        <v>44</v>
      </c>
      <c r="U721" s="19" t="s">
        <v>44</v>
      </c>
      <c r="V721" s="19" t="s">
        <v>85</v>
      </c>
      <c r="W721" s="19" t="s">
        <v>45</v>
      </c>
      <c r="X721" s="19" t="s">
        <v>46</v>
      </c>
      <c r="Y721" s="29"/>
      <c r="Z721" s="19"/>
      <c r="AA721" s="19"/>
      <c r="AB721" s="19" t="s">
        <v>1156</v>
      </c>
      <c r="AC721" s="19" t="s">
        <v>1322</v>
      </c>
      <c r="AD721" s="19"/>
      <c r="AE721" s="19"/>
      <c r="AF721" s="19"/>
      <c r="AG721" s="19" t="s">
        <v>235</v>
      </c>
      <c r="AH721" s="19"/>
      <c r="AI721" s="19"/>
      <c r="AJ721" s="19" t="s">
        <v>234</v>
      </c>
      <c r="AK721" s="19" t="s">
        <v>234</v>
      </c>
      <c r="AL721" s="19"/>
      <c r="AM721" s="19" t="s">
        <v>234</v>
      </c>
      <c r="AN721" s="19" t="s">
        <v>234</v>
      </c>
      <c r="AO721" s="19" t="s">
        <v>235</v>
      </c>
      <c r="AP721" s="94"/>
      <c r="AQ721" s="19" t="s">
        <v>471</v>
      </c>
      <c r="AR721" s="19" t="s">
        <v>241</v>
      </c>
      <c r="AS721" s="19"/>
      <c r="AT721" s="65" t="str">
        <f t="shared" si="209"/>
        <v>N</v>
      </c>
      <c r="AU721" s="65" t="str">
        <f t="shared" si="204"/>
        <v>N</v>
      </c>
      <c r="AV721" s="65" t="str">
        <f t="shared" si="208"/>
        <v>N</v>
      </c>
      <c r="AW721" s="99"/>
      <c r="AX721" s="99"/>
      <c r="AY721" s="19"/>
      <c r="AZ721" s="96" t="str">
        <f t="shared" si="205"/>
        <v>n</v>
      </c>
      <c r="BA721" s="96" t="str">
        <f>IF(AZ721="n","n",VLOOKUP(AZ721,'Conversion factors'!$C$4:$D$24,2,FALSE))</f>
        <v>n</v>
      </c>
      <c r="BB721" s="96" t="str">
        <f t="shared" si="206"/>
        <v>n</v>
      </c>
      <c r="BC721" s="97"/>
      <c r="BD721" s="96" t="str">
        <f t="shared" si="210"/>
        <v>n</v>
      </c>
      <c r="BE721" s="96" t="str">
        <f t="shared" si="207"/>
        <v>n</v>
      </c>
      <c r="BF721" s="98" t="str">
        <f t="shared" si="211"/>
        <v/>
      </c>
      <c r="BG721" s="96" t="str">
        <f>IF(BF721="","",IF(ISNUMBER(VLOOKUP(BF721,'Conversion factors'!$B$35:$C$52,2,FALSE)),"y","n"))</f>
        <v/>
      </c>
      <c r="BH721" s="99" t="s">
        <v>1510</v>
      </c>
    </row>
    <row r="722" spans="1:61" s="103" customFormat="1" ht="15.75" customHeight="1" x14ac:dyDescent="0.2">
      <c r="A722" s="18"/>
      <c r="B722" s="19">
        <v>324</v>
      </c>
      <c r="C722" s="19"/>
      <c r="D722" s="19">
        <v>165080</v>
      </c>
      <c r="E722" s="19" t="s">
        <v>1224</v>
      </c>
      <c r="F722" s="93">
        <v>2013</v>
      </c>
      <c r="G722" s="19" t="s">
        <v>1152</v>
      </c>
      <c r="H722" s="19"/>
      <c r="I722" s="19" t="s">
        <v>41</v>
      </c>
      <c r="J722" s="19" t="s">
        <v>375</v>
      </c>
      <c r="K722" s="19" t="s">
        <v>42</v>
      </c>
      <c r="L722" s="19" t="s">
        <v>43</v>
      </c>
      <c r="M722" s="19" t="s">
        <v>1303</v>
      </c>
      <c r="N722" s="19" t="s">
        <v>109</v>
      </c>
      <c r="O722" s="19" t="s">
        <v>264</v>
      </c>
      <c r="P722" s="19" t="s">
        <v>51</v>
      </c>
      <c r="Q722" s="19"/>
      <c r="R722" s="19" t="s">
        <v>256</v>
      </c>
      <c r="S722" s="19" t="s">
        <v>435</v>
      </c>
      <c r="T722" s="19" t="s">
        <v>44</v>
      </c>
      <c r="U722" s="19" t="s">
        <v>44</v>
      </c>
      <c r="V722" s="19" t="s">
        <v>85</v>
      </c>
      <c r="W722" s="19" t="s">
        <v>45</v>
      </c>
      <c r="X722" s="19" t="s">
        <v>46</v>
      </c>
      <c r="Y722" s="29"/>
      <c r="Z722" s="19"/>
      <c r="AA722" s="19"/>
      <c r="AB722" s="19" t="s">
        <v>1157</v>
      </c>
      <c r="AC722" s="19" t="s">
        <v>1322</v>
      </c>
      <c r="AD722" s="19"/>
      <c r="AE722" s="19"/>
      <c r="AF722" s="19"/>
      <c r="AG722" s="19" t="s">
        <v>235</v>
      </c>
      <c r="AH722" s="19"/>
      <c r="AI722" s="19"/>
      <c r="AJ722" s="19" t="s">
        <v>234</v>
      </c>
      <c r="AK722" s="19" t="s">
        <v>234</v>
      </c>
      <c r="AL722" s="19"/>
      <c r="AM722" s="19" t="s">
        <v>234</v>
      </c>
      <c r="AN722" s="19" t="s">
        <v>234</v>
      </c>
      <c r="AO722" s="19" t="s">
        <v>235</v>
      </c>
      <c r="AP722" s="94"/>
      <c r="AQ722" s="19" t="s">
        <v>471</v>
      </c>
      <c r="AR722" s="19" t="s">
        <v>241</v>
      </c>
      <c r="AS722" s="19"/>
      <c r="AT722" s="65" t="str">
        <f t="shared" si="209"/>
        <v>N</v>
      </c>
      <c r="AU722" s="65" t="str">
        <f t="shared" si="204"/>
        <v>N</v>
      </c>
      <c r="AV722" s="65" t="str">
        <f t="shared" si="208"/>
        <v>N</v>
      </c>
      <c r="AW722" s="99"/>
      <c r="AX722" s="99"/>
      <c r="AY722" s="19"/>
      <c r="AZ722" s="96" t="str">
        <f t="shared" si="205"/>
        <v>n</v>
      </c>
      <c r="BA722" s="96" t="str">
        <f>IF(AZ722="n","n",VLOOKUP(AZ722,'Conversion factors'!$C$4:$D$24,2,FALSE))</f>
        <v>n</v>
      </c>
      <c r="BB722" s="96" t="str">
        <f t="shared" si="206"/>
        <v>n</v>
      </c>
      <c r="BC722" s="97"/>
      <c r="BD722" s="96" t="str">
        <f t="shared" si="210"/>
        <v>n</v>
      </c>
      <c r="BE722" s="96" t="str">
        <f t="shared" si="207"/>
        <v>n</v>
      </c>
      <c r="BF722" s="98" t="str">
        <f t="shared" si="211"/>
        <v/>
      </c>
      <c r="BG722" s="96" t="str">
        <f>IF(BF722="","",IF(ISNUMBER(VLOOKUP(BF722,'Conversion factors'!$B$35:$C$52,2,FALSE)),"y","n"))</f>
        <v/>
      </c>
      <c r="BH722" s="99" t="s">
        <v>1510</v>
      </c>
    </row>
    <row r="723" spans="1:61" s="103" customFormat="1" ht="15.75" customHeight="1" x14ac:dyDescent="0.2">
      <c r="A723" s="18"/>
      <c r="B723" s="19">
        <v>324</v>
      </c>
      <c r="C723" s="19"/>
      <c r="D723" s="19">
        <v>165080</v>
      </c>
      <c r="E723" s="19" t="s">
        <v>1224</v>
      </c>
      <c r="F723" s="93">
        <v>2013</v>
      </c>
      <c r="G723" s="19" t="s">
        <v>1152</v>
      </c>
      <c r="H723" s="19"/>
      <c r="I723" s="19" t="s">
        <v>41</v>
      </c>
      <c r="J723" s="19" t="s">
        <v>375</v>
      </c>
      <c r="K723" s="19" t="s">
        <v>42</v>
      </c>
      <c r="L723" s="19" t="s">
        <v>43</v>
      </c>
      <c r="M723" s="19" t="s">
        <v>1303</v>
      </c>
      <c r="N723" s="19" t="s">
        <v>109</v>
      </c>
      <c r="O723" s="19" t="s">
        <v>264</v>
      </c>
      <c r="P723" s="19" t="s">
        <v>51</v>
      </c>
      <c r="Q723" s="19"/>
      <c r="R723" s="19" t="s">
        <v>256</v>
      </c>
      <c r="S723" s="19" t="s">
        <v>304</v>
      </c>
      <c r="T723" s="19" t="s">
        <v>44</v>
      </c>
      <c r="U723" s="19" t="s">
        <v>44</v>
      </c>
      <c r="V723" s="19" t="s">
        <v>85</v>
      </c>
      <c r="W723" s="19" t="s">
        <v>45</v>
      </c>
      <c r="X723" s="19" t="s">
        <v>46</v>
      </c>
      <c r="Y723" s="29"/>
      <c r="Z723" s="19"/>
      <c r="AA723" s="19"/>
      <c r="AB723" s="19" t="s">
        <v>1166</v>
      </c>
      <c r="AC723" s="19" t="s">
        <v>1322</v>
      </c>
      <c r="AD723" s="19"/>
      <c r="AE723" s="19"/>
      <c r="AF723" s="19"/>
      <c r="AG723" s="19" t="s">
        <v>235</v>
      </c>
      <c r="AH723" s="19"/>
      <c r="AI723" s="19"/>
      <c r="AJ723" s="19" t="s">
        <v>234</v>
      </c>
      <c r="AK723" s="19" t="s">
        <v>234</v>
      </c>
      <c r="AL723" s="19"/>
      <c r="AM723" s="19" t="s">
        <v>234</v>
      </c>
      <c r="AN723" s="19" t="s">
        <v>234</v>
      </c>
      <c r="AO723" s="19" t="s">
        <v>235</v>
      </c>
      <c r="AP723" s="94"/>
      <c r="AQ723" s="19" t="s">
        <v>471</v>
      </c>
      <c r="AR723" s="19" t="s">
        <v>241</v>
      </c>
      <c r="AS723" s="19"/>
      <c r="AT723" s="65" t="str">
        <f t="shared" si="209"/>
        <v>N</v>
      </c>
      <c r="AU723" s="65" t="str">
        <f t="shared" si="204"/>
        <v>N</v>
      </c>
      <c r="AV723" s="65" t="str">
        <f t="shared" si="208"/>
        <v>N</v>
      </c>
      <c r="AW723" s="99"/>
      <c r="AX723" s="99"/>
      <c r="AY723" s="19"/>
      <c r="AZ723" s="96" t="str">
        <f t="shared" si="205"/>
        <v>n</v>
      </c>
      <c r="BA723" s="96" t="str">
        <f>IF(AZ723="n","n",VLOOKUP(AZ723,'Conversion factors'!$C$4:$D$24,2,FALSE))</f>
        <v>n</v>
      </c>
      <c r="BB723" s="96" t="str">
        <f t="shared" si="206"/>
        <v>n</v>
      </c>
      <c r="BC723" s="97"/>
      <c r="BD723" s="96" t="str">
        <f t="shared" si="210"/>
        <v>n</v>
      </c>
      <c r="BE723" s="96" t="str">
        <f t="shared" si="207"/>
        <v>n</v>
      </c>
      <c r="BF723" s="98" t="str">
        <f t="shared" si="211"/>
        <v/>
      </c>
      <c r="BG723" s="96" t="str">
        <f>IF(BF723="","",IF(ISNUMBER(VLOOKUP(BF723,'Conversion factors'!$B$35:$C$52,2,FALSE)),"y","n"))</f>
        <v/>
      </c>
      <c r="BH723" s="99" t="s">
        <v>1510</v>
      </c>
    </row>
    <row r="724" spans="1:61" s="103" customFormat="1" ht="15.75" customHeight="1" x14ac:dyDescent="0.2">
      <c r="A724" s="18"/>
      <c r="B724" s="19">
        <v>282</v>
      </c>
      <c r="C724" s="19"/>
      <c r="D724" s="19">
        <v>101782</v>
      </c>
      <c r="E724" s="19" t="s">
        <v>1224</v>
      </c>
      <c r="F724" s="93">
        <v>2006</v>
      </c>
      <c r="G724" s="19" t="s">
        <v>992</v>
      </c>
      <c r="H724" s="19"/>
      <c r="I724" s="19" t="s">
        <v>41</v>
      </c>
      <c r="J724" s="19" t="s">
        <v>993</v>
      </c>
      <c r="K724" s="19" t="s">
        <v>42</v>
      </c>
      <c r="L724" s="19" t="s">
        <v>43</v>
      </c>
      <c r="M724" s="19" t="s">
        <v>1303</v>
      </c>
      <c r="N724" s="19" t="s">
        <v>109</v>
      </c>
      <c r="O724" s="19" t="s">
        <v>235</v>
      </c>
      <c r="P724" s="19" t="s">
        <v>162</v>
      </c>
      <c r="Q724" s="19"/>
      <c r="R724" s="19" t="s">
        <v>256</v>
      </c>
      <c r="S724" s="19" t="s">
        <v>309</v>
      </c>
      <c r="T724" s="19" t="s">
        <v>465</v>
      </c>
      <c r="U724" s="19" t="s">
        <v>54</v>
      </c>
      <c r="V724" s="19" t="s">
        <v>103</v>
      </c>
      <c r="W724" s="19" t="s">
        <v>231</v>
      </c>
      <c r="X724" s="19" t="s">
        <v>46</v>
      </c>
      <c r="Y724" s="29"/>
      <c r="Z724" s="19" t="s">
        <v>994</v>
      </c>
      <c r="AA724" s="19"/>
      <c r="AB724" s="19"/>
      <c r="AC724" s="19" t="s">
        <v>1322</v>
      </c>
      <c r="AD724" s="19"/>
      <c r="AE724" s="19"/>
      <c r="AF724" s="19"/>
      <c r="AG724" s="19" t="s">
        <v>235</v>
      </c>
      <c r="AH724" s="19"/>
      <c r="AI724" s="19"/>
      <c r="AJ724" s="19" t="s">
        <v>234</v>
      </c>
      <c r="AK724" s="19" t="s">
        <v>234</v>
      </c>
      <c r="AL724" s="19"/>
      <c r="AM724" s="19" t="s">
        <v>234</v>
      </c>
      <c r="AN724" s="19" t="s">
        <v>234</v>
      </c>
      <c r="AO724" s="19" t="s">
        <v>235</v>
      </c>
      <c r="AP724" s="94"/>
      <c r="AQ724" s="19" t="s">
        <v>102</v>
      </c>
      <c r="AR724" s="19" t="s">
        <v>241</v>
      </c>
      <c r="AS724" s="19"/>
      <c r="AT724" s="65" t="str">
        <f t="shared" si="209"/>
        <v>N</v>
      </c>
      <c r="AU724" s="65" t="str">
        <f t="shared" si="204"/>
        <v>N</v>
      </c>
      <c r="AV724" s="65" t="str">
        <f t="shared" si="208"/>
        <v>N</v>
      </c>
      <c r="AW724" s="99"/>
      <c r="AX724" s="99"/>
      <c r="AY724" s="19"/>
      <c r="AZ724" s="96" t="str">
        <f t="shared" si="205"/>
        <v>n</v>
      </c>
      <c r="BA724" s="96" t="str">
        <f>IF(AZ724="n","n",VLOOKUP(AZ724,'Conversion factors'!$C$4:$D$24,2,FALSE))</f>
        <v>n</v>
      </c>
      <c r="BB724" s="96" t="str">
        <f t="shared" si="206"/>
        <v>n</v>
      </c>
      <c r="BC724" s="97"/>
      <c r="BD724" s="96" t="str">
        <f t="shared" si="210"/>
        <v>n</v>
      </c>
      <c r="BE724" s="96" t="str">
        <f t="shared" si="207"/>
        <v>n</v>
      </c>
      <c r="BF724" s="98" t="str">
        <f t="shared" si="211"/>
        <v/>
      </c>
      <c r="BG724" s="96" t="str">
        <f>IF(BF724="","",IF(ISNUMBER(VLOOKUP(BF724,'Conversion factors'!$B$35:$C$52,2,FALSE)),"y","n"))</f>
        <v/>
      </c>
      <c r="BH724" s="99"/>
    </row>
    <row r="725" spans="1:61" s="103" customFormat="1" ht="15.75" customHeight="1" x14ac:dyDescent="0.2">
      <c r="A725" s="18"/>
      <c r="B725" s="19">
        <v>228</v>
      </c>
      <c r="C725" s="19"/>
      <c r="D725" s="19">
        <v>68220</v>
      </c>
      <c r="E725" s="19" t="s">
        <v>1224</v>
      </c>
      <c r="F725" s="93">
        <v>2002</v>
      </c>
      <c r="G725" s="19" t="s">
        <v>566</v>
      </c>
      <c r="H725" s="19"/>
      <c r="I725" s="19" t="s">
        <v>41</v>
      </c>
      <c r="J725" s="19" t="s">
        <v>567</v>
      </c>
      <c r="K725" s="19" t="s">
        <v>42</v>
      </c>
      <c r="L725" s="19" t="s">
        <v>43</v>
      </c>
      <c r="M725" s="19" t="s">
        <v>1303</v>
      </c>
      <c r="N725" s="19" t="s">
        <v>109</v>
      </c>
      <c r="O725" s="19" t="s">
        <v>264</v>
      </c>
      <c r="P725" s="19" t="s">
        <v>51</v>
      </c>
      <c r="Q725" s="19"/>
      <c r="R725" s="19" t="s">
        <v>256</v>
      </c>
      <c r="S725" s="19" t="s">
        <v>309</v>
      </c>
      <c r="T725" s="19" t="s">
        <v>44</v>
      </c>
      <c r="U725" s="19" t="s">
        <v>44</v>
      </c>
      <c r="V725" s="19" t="s">
        <v>619</v>
      </c>
      <c r="W725" s="19" t="s">
        <v>231</v>
      </c>
      <c r="X725" s="19" t="s">
        <v>46</v>
      </c>
      <c r="Y725" s="29"/>
      <c r="Z725" s="19" t="s">
        <v>570</v>
      </c>
      <c r="AA725" s="19"/>
      <c r="AB725" s="19">
        <f t="shared" ref="AB725:AB730" si="212">Z725*65.39</f>
        <v>85.007000000000005</v>
      </c>
      <c r="AC725" s="19" t="s">
        <v>214</v>
      </c>
      <c r="AD725" s="19"/>
      <c r="AE725" s="19">
        <v>85</v>
      </c>
      <c r="AF725" s="19" t="s">
        <v>1298</v>
      </c>
      <c r="AG725" s="19" t="s">
        <v>270</v>
      </c>
      <c r="AH725" s="19"/>
      <c r="AI725" s="19"/>
      <c r="AJ725" s="19">
        <v>7.5</v>
      </c>
      <c r="AK725" s="19">
        <v>7.5</v>
      </c>
      <c r="AL725" s="19"/>
      <c r="AM725" s="19" t="s">
        <v>234</v>
      </c>
      <c r="AN725" s="19" t="s">
        <v>568</v>
      </c>
      <c r="AO725" s="19" t="s">
        <v>270</v>
      </c>
      <c r="AP725" s="94"/>
      <c r="AQ725" s="19" t="s">
        <v>507</v>
      </c>
      <c r="AR725" s="19" t="s">
        <v>241</v>
      </c>
      <c r="AS725" s="19"/>
      <c r="AT725" s="65" t="str">
        <f t="shared" si="209"/>
        <v>Y</v>
      </c>
      <c r="AU725" s="65" t="str">
        <f t="shared" si="204"/>
        <v>Y</v>
      </c>
      <c r="AV725" s="65" t="str">
        <f t="shared" si="208"/>
        <v>Y</v>
      </c>
      <c r="AW725" s="99"/>
      <c r="AX725" s="99"/>
      <c r="AY725" s="19"/>
      <c r="AZ725" s="96" t="str">
        <f t="shared" si="205"/>
        <v>EC50</v>
      </c>
      <c r="BA725" s="96">
        <f>IF(AZ725="n","n",VLOOKUP(AZ725,'Conversion factors'!$C$4:$D$24,2,FALSE))</f>
        <v>5</v>
      </c>
      <c r="BB725" s="96">
        <f t="shared" si="206"/>
        <v>17.0014</v>
      </c>
      <c r="BC725" s="97"/>
      <c r="BD725" s="96" t="str">
        <f t="shared" si="210"/>
        <v>Chronic</v>
      </c>
      <c r="BE725" s="96" t="str">
        <f t="shared" si="207"/>
        <v>y</v>
      </c>
      <c r="BF725" s="98" t="str">
        <f t="shared" si="211"/>
        <v>EC50</v>
      </c>
      <c r="BG725" s="96" t="str">
        <f>IF(BF725="","",IF(ISNUMBER(VLOOKUP(BF725,'Conversion factors'!$B$35:$C$52,2,FALSE)),"y","n"))</f>
        <v>n</v>
      </c>
      <c r="BH725" s="99" t="s">
        <v>1470</v>
      </c>
    </row>
    <row r="726" spans="1:61" s="103" customFormat="1" ht="15.75" customHeight="1" x14ac:dyDescent="0.2">
      <c r="A726" s="18"/>
      <c r="B726" s="19">
        <v>228</v>
      </c>
      <c r="C726" s="19"/>
      <c r="D726" s="19">
        <v>68220</v>
      </c>
      <c r="E726" s="19" t="s">
        <v>1224</v>
      </c>
      <c r="F726" s="93">
        <v>2002</v>
      </c>
      <c r="G726" s="19" t="s">
        <v>566</v>
      </c>
      <c r="H726" s="19"/>
      <c r="I726" s="19" t="s">
        <v>41</v>
      </c>
      <c r="J726" s="19" t="s">
        <v>567</v>
      </c>
      <c r="K726" s="19" t="s">
        <v>42</v>
      </c>
      <c r="L726" s="19" t="s">
        <v>43</v>
      </c>
      <c r="M726" s="19" t="s">
        <v>1303</v>
      </c>
      <c r="N726" s="19" t="s">
        <v>109</v>
      </c>
      <c r="O726" s="19" t="s">
        <v>264</v>
      </c>
      <c r="P726" s="19" t="s">
        <v>51</v>
      </c>
      <c r="Q726" s="19"/>
      <c r="R726" s="19" t="s">
        <v>256</v>
      </c>
      <c r="S726" s="19" t="s">
        <v>309</v>
      </c>
      <c r="T726" s="19" t="s">
        <v>55</v>
      </c>
      <c r="U726" s="19" t="s">
        <v>55</v>
      </c>
      <c r="V726" s="19" t="s">
        <v>619</v>
      </c>
      <c r="W726" s="19" t="s">
        <v>231</v>
      </c>
      <c r="X726" s="19" t="s">
        <v>46</v>
      </c>
      <c r="Y726" s="29"/>
      <c r="Z726" s="19" t="s">
        <v>571</v>
      </c>
      <c r="AA726" s="19"/>
      <c r="AB726" s="19">
        <f t="shared" si="212"/>
        <v>37.272299999999994</v>
      </c>
      <c r="AC726" s="19" t="s">
        <v>214</v>
      </c>
      <c r="AD726" s="19"/>
      <c r="AE726" s="19">
        <v>85</v>
      </c>
      <c r="AF726" s="19" t="s">
        <v>1298</v>
      </c>
      <c r="AG726" s="19" t="s">
        <v>270</v>
      </c>
      <c r="AH726" s="19"/>
      <c r="AI726" s="19"/>
      <c r="AJ726" s="19">
        <v>7.5</v>
      </c>
      <c r="AK726" s="19">
        <v>7.5</v>
      </c>
      <c r="AL726" s="19"/>
      <c r="AM726" s="19" t="s">
        <v>234</v>
      </c>
      <c r="AN726" s="19" t="s">
        <v>568</v>
      </c>
      <c r="AO726" s="19" t="s">
        <v>270</v>
      </c>
      <c r="AP726" s="94"/>
      <c r="AQ726" s="19" t="s">
        <v>507</v>
      </c>
      <c r="AR726" s="19" t="s">
        <v>241</v>
      </c>
      <c r="AS726" s="19"/>
      <c r="AT726" s="65" t="str">
        <f t="shared" si="209"/>
        <v>Y</v>
      </c>
      <c r="AU726" s="65" t="str">
        <f t="shared" si="204"/>
        <v>Y</v>
      </c>
      <c r="AV726" s="65" t="str">
        <f t="shared" si="208"/>
        <v>Y</v>
      </c>
      <c r="AW726" s="99"/>
      <c r="AX726" s="99"/>
      <c r="AY726" s="19"/>
      <c r="AZ726" s="96" t="str">
        <f t="shared" si="205"/>
        <v>LOEC</v>
      </c>
      <c r="BA726" s="96">
        <f>IF(AZ726="n","n",VLOOKUP(AZ726,'Conversion factors'!$C$4:$D$24,2,FALSE))</f>
        <v>2.5</v>
      </c>
      <c r="BB726" s="96">
        <f t="shared" si="206"/>
        <v>14.908919999999998</v>
      </c>
      <c r="BC726" s="97"/>
      <c r="BD726" s="96" t="str">
        <f t="shared" si="210"/>
        <v>Chronic</v>
      </c>
      <c r="BE726" s="96" t="str">
        <f t="shared" si="207"/>
        <v>y</v>
      </c>
      <c r="BF726" s="98" t="str">
        <f t="shared" si="211"/>
        <v>LOEC</v>
      </c>
      <c r="BG726" s="96" t="str">
        <f>IF(BF726="","",IF(ISNUMBER(VLOOKUP(BF726,'Conversion factors'!$B$35:$C$52,2,FALSE)),"y","n"))</f>
        <v>n</v>
      </c>
      <c r="BH726" s="99" t="s">
        <v>1470</v>
      </c>
    </row>
    <row r="727" spans="1:61" s="103" customFormat="1" ht="15.75" customHeight="1" x14ac:dyDescent="0.2">
      <c r="A727" s="18"/>
      <c r="B727" s="19">
        <v>228</v>
      </c>
      <c r="C727" s="19"/>
      <c r="D727" s="19">
        <v>68220</v>
      </c>
      <c r="E727" s="19" t="s">
        <v>1224</v>
      </c>
      <c r="F727" s="93">
        <v>2002</v>
      </c>
      <c r="G727" s="19" t="s">
        <v>566</v>
      </c>
      <c r="H727" s="19"/>
      <c r="I727" s="19" t="s">
        <v>41</v>
      </c>
      <c r="J727" s="19" t="s">
        <v>567</v>
      </c>
      <c r="K727" s="19" t="s">
        <v>42</v>
      </c>
      <c r="L727" s="99" t="s">
        <v>43</v>
      </c>
      <c r="M727" s="19" t="s">
        <v>1303</v>
      </c>
      <c r="N727" s="19" t="s">
        <v>109</v>
      </c>
      <c r="O727" s="19" t="s">
        <v>264</v>
      </c>
      <c r="P727" s="19" t="s">
        <v>51</v>
      </c>
      <c r="Q727" s="19"/>
      <c r="R727" s="19" t="s">
        <v>256</v>
      </c>
      <c r="S727" s="19" t="s">
        <v>309</v>
      </c>
      <c r="T727" s="19" t="s">
        <v>54</v>
      </c>
      <c r="U727" s="19" t="s">
        <v>54</v>
      </c>
      <c r="V727" s="19" t="s">
        <v>619</v>
      </c>
      <c r="W727" s="19" t="s">
        <v>231</v>
      </c>
      <c r="X727" s="19" t="s">
        <v>46</v>
      </c>
      <c r="Y727" s="29"/>
      <c r="Z727" s="19" t="s">
        <v>572</v>
      </c>
      <c r="AA727" s="19"/>
      <c r="AB727" s="19">
        <f t="shared" si="212"/>
        <v>20.270900000000001</v>
      </c>
      <c r="AC727" s="19" t="s">
        <v>214</v>
      </c>
      <c r="AD727" s="19"/>
      <c r="AE727" s="19">
        <v>85</v>
      </c>
      <c r="AF727" s="19" t="s">
        <v>1298</v>
      </c>
      <c r="AG727" s="19" t="s">
        <v>270</v>
      </c>
      <c r="AH727" s="19"/>
      <c r="AI727" s="19"/>
      <c r="AJ727" s="19">
        <v>7.5</v>
      </c>
      <c r="AK727" s="19">
        <v>7.5</v>
      </c>
      <c r="AL727" s="19"/>
      <c r="AM727" s="19"/>
      <c r="AN727" s="19" t="s">
        <v>568</v>
      </c>
      <c r="AO727" s="19" t="s">
        <v>270</v>
      </c>
      <c r="AP727" s="94"/>
      <c r="AQ727" s="19" t="s">
        <v>507</v>
      </c>
      <c r="AR727" s="19" t="s">
        <v>241</v>
      </c>
      <c r="AS727" s="19"/>
      <c r="AT727" s="65" t="str">
        <f t="shared" si="209"/>
        <v>Y</v>
      </c>
      <c r="AU727" s="65" t="str">
        <f t="shared" si="204"/>
        <v>Y</v>
      </c>
      <c r="AV727" s="65" t="str">
        <f t="shared" si="208"/>
        <v>Y</v>
      </c>
      <c r="AW727" s="99"/>
      <c r="AX727" s="99"/>
      <c r="AY727" s="19"/>
      <c r="AZ727" s="96" t="str">
        <f t="shared" si="205"/>
        <v>NOEC</v>
      </c>
      <c r="BA727" s="96">
        <f>IF(AZ727="n","n",VLOOKUP(AZ727,'Conversion factors'!$C$4:$D$24,2,FALSE))</f>
        <v>1</v>
      </c>
      <c r="BB727" s="96">
        <f t="shared" si="206"/>
        <v>20.270900000000001</v>
      </c>
      <c r="BC727" s="97"/>
      <c r="BD727" s="96" t="str">
        <f t="shared" si="210"/>
        <v>Chronic</v>
      </c>
      <c r="BE727" s="96" t="str">
        <f t="shared" si="207"/>
        <v>y</v>
      </c>
      <c r="BF727" s="98" t="str">
        <f t="shared" si="211"/>
        <v>NOEC</v>
      </c>
      <c r="BG727" s="96" t="str">
        <f>IF(BF727="","",IF(ISNUMBER(VLOOKUP(BF727,'Conversion factors'!$B$35:$C$52,2,FALSE)),"y","n"))</f>
        <v>y</v>
      </c>
      <c r="BH727" s="99" t="s">
        <v>1511</v>
      </c>
    </row>
    <row r="728" spans="1:61" s="103" customFormat="1" ht="15.75" customHeight="1" x14ac:dyDescent="0.2">
      <c r="A728" s="18"/>
      <c r="B728" s="19">
        <v>228</v>
      </c>
      <c r="C728" s="19"/>
      <c r="D728" s="19">
        <v>68220</v>
      </c>
      <c r="E728" s="19" t="s">
        <v>1224</v>
      </c>
      <c r="F728" s="93">
        <v>2002</v>
      </c>
      <c r="G728" s="19" t="s">
        <v>566</v>
      </c>
      <c r="H728" s="19"/>
      <c r="I728" s="19" t="s">
        <v>41</v>
      </c>
      <c r="J728" s="19" t="s">
        <v>567</v>
      </c>
      <c r="K728" s="19" t="s">
        <v>42</v>
      </c>
      <c r="L728" s="19" t="s">
        <v>43</v>
      </c>
      <c r="M728" s="19" t="s">
        <v>1303</v>
      </c>
      <c r="N728" s="19" t="s">
        <v>109</v>
      </c>
      <c r="O728" s="19" t="s">
        <v>264</v>
      </c>
      <c r="P728" s="19" t="s">
        <v>51</v>
      </c>
      <c r="Q728" s="19"/>
      <c r="R728" s="19" t="s">
        <v>256</v>
      </c>
      <c r="S728" s="19" t="s">
        <v>309</v>
      </c>
      <c r="T728" s="19" t="s">
        <v>44</v>
      </c>
      <c r="U728" s="19" t="s">
        <v>44</v>
      </c>
      <c r="V728" s="19" t="s">
        <v>103</v>
      </c>
      <c r="W728" s="19" t="s">
        <v>231</v>
      </c>
      <c r="X728" s="19" t="s">
        <v>46</v>
      </c>
      <c r="Y728" s="29"/>
      <c r="Z728" s="19" t="s">
        <v>569</v>
      </c>
      <c r="AA728" s="19"/>
      <c r="AB728" s="19">
        <f t="shared" si="212"/>
        <v>91.545999999999992</v>
      </c>
      <c r="AC728" s="19" t="s">
        <v>214</v>
      </c>
      <c r="AD728" s="19"/>
      <c r="AE728" s="19">
        <v>85</v>
      </c>
      <c r="AF728" s="19" t="s">
        <v>1298</v>
      </c>
      <c r="AG728" s="19" t="s">
        <v>270</v>
      </c>
      <c r="AH728" s="19"/>
      <c r="AI728" s="19"/>
      <c r="AJ728" s="19">
        <v>7.5</v>
      </c>
      <c r="AK728" s="19">
        <v>7.5</v>
      </c>
      <c r="AL728" s="19"/>
      <c r="AM728" s="19" t="s">
        <v>234</v>
      </c>
      <c r="AN728" s="19" t="s">
        <v>568</v>
      </c>
      <c r="AO728" s="19" t="s">
        <v>270</v>
      </c>
      <c r="AP728" s="94"/>
      <c r="AQ728" s="19" t="s">
        <v>507</v>
      </c>
      <c r="AR728" s="19" t="s">
        <v>241</v>
      </c>
      <c r="AS728" s="19"/>
      <c r="AT728" s="65" t="str">
        <f t="shared" si="209"/>
        <v>Y</v>
      </c>
      <c r="AU728" s="65" t="str">
        <f t="shared" si="204"/>
        <v>Y</v>
      </c>
      <c r="AV728" s="65" t="str">
        <f t="shared" si="208"/>
        <v>Y</v>
      </c>
      <c r="AW728" s="99"/>
      <c r="AX728" s="99"/>
      <c r="AY728" s="19"/>
      <c r="AZ728" s="96" t="str">
        <f t="shared" si="205"/>
        <v>EC50</v>
      </c>
      <c r="BA728" s="96">
        <f>IF(AZ728="n","n",VLOOKUP(AZ728,'Conversion factors'!$C$4:$D$24,2,FALSE))</f>
        <v>5</v>
      </c>
      <c r="BB728" s="96">
        <f t="shared" si="206"/>
        <v>18.309199999999997</v>
      </c>
      <c r="BC728" s="97"/>
      <c r="BD728" s="96" t="str">
        <f t="shared" si="210"/>
        <v>Chronic</v>
      </c>
      <c r="BE728" s="96" t="str">
        <f t="shared" si="207"/>
        <v>y</v>
      </c>
      <c r="BF728" s="98" t="str">
        <f t="shared" si="211"/>
        <v>EC50</v>
      </c>
      <c r="BG728" s="96" t="str">
        <f>IF(BF728="","",IF(ISNUMBER(VLOOKUP(BF728,'Conversion factors'!$B$35:$C$52,2,FALSE)),"y","n"))</f>
        <v>n</v>
      </c>
      <c r="BH728" s="99" t="s">
        <v>1470</v>
      </c>
    </row>
    <row r="729" spans="1:61" s="103" customFormat="1" ht="15.75" customHeight="1" x14ac:dyDescent="0.2">
      <c r="A729" s="18"/>
      <c r="B729" s="19">
        <v>228</v>
      </c>
      <c r="C729" s="19"/>
      <c r="D729" s="19">
        <v>68220</v>
      </c>
      <c r="E729" s="19" t="s">
        <v>1224</v>
      </c>
      <c r="F729" s="93">
        <v>2002</v>
      </c>
      <c r="G729" s="19" t="s">
        <v>566</v>
      </c>
      <c r="H729" s="19"/>
      <c r="I729" s="19" t="s">
        <v>41</v>
      </c>
      <c r="J729" s="19" t="s">
        <v>567</v>
      </c>
      <c r="K729" s="19" t="s">
        <v>42</v>
      </c>
      <c r="L729" s="19" t="s">
        <v>43</v>
      </c>
      <c r="M729" s="19" t="s">
        <v>1303</v>
      </c>
      <c r="N729" s="19" t="s">
        <v>109</v>
      </c>
      <c r="O729" s="19" t="s">
        <v>264</v>
      </c>
      <c r="P729" s="19" t="s">
        <v>51</v>
      </c>
      <c r="Q729" s="19"/>
      <c r="R729" s="19" t="s">
        <v>256</v>
      </c>
      <c r="S729" s="19" t="s">
        <v>309</v>
      </c>
      <c r="T729" s="19" t="s">
        <v>55</v>
      </c>
      <c r="U729" s="19" t="s">
        <v>55</v>
      </c>
      <c r="V729" s="19" t="s">
        <v>103</v>
      </c>
      <c r="W729" s="19" t="s">
        <v>231</v>
      </c>
      <c r="X729" s="19" t="s">
        <v>46</v>
      </c>
      <c r="Y729" s="29"/>
      <c r="Z729" s="19" t="s">
        <v>571</v>
      </c>
      <c r="AA729" s="19"/>
      <c r="AB729" s="19">
        <f t="shared" si="212"/>
        <v>37.272299999999994</v>
      </c>
      <c r="AC729" s="19" t="s">
        <v>214</v>
      </c>
      <c r="AD729" s="19"/>
      <c r="AE729" s="19">
        <v>85</v>
      </c>
      <c r="AF729" s="19" t="s">
        <v>1298</v>
      </c>
      <c r="AG729" s="19" t="s">
        <v>270</v>
      </c>
      <c r="AH729" s="19"/>
      <c r="AI729" s="19"/>
      <c r="AJ729" s="19">
        <v>7.5</v>
      </c>
      <c r="AK729" s="19">
        <v>7.5</v>
      </c>
      <c r="AL729" s="19"/>
      <c r="AM729" s="19" t="s">
        <v>234</v>
      </c>
      <c r="AN729" s="19" t="s">
        <v>568</v>
      </c>
      <c r="AO729" s="19" t="s">
        <v>270</v>
      </c>
      <c r="AP729" s="94"/>
      <c r="AQ729" s="19" t="s">
        <v>507</v>
      </c>
      <c r="AR729" s="19" t="s">
        <v>241</v>
      </c>
      <c r="AS729" s="19"/>
      <c r="AT729" s="65" t="str">
        <f t="shared" si="209"/>
        <v>Y</v>
      </c>
      <c r="AU729" s="65" t="str">
        <f t="shared" si="204"/>
        <v>Y</v>
      </c>
      <c r="AV729" s="65" t="str">
        <f t="shared" si="208"/>
        <v>Y</v>
      </c>
      <c r="AW729" s="99"/>
      <c r="AX729" s="99"/>
      <c r="AY729" s="19"/>
      <c r="AZ729" s="96" t="str">
        <f t="shared" si="205"/>
        <v>LOEC</v>
      </c>
      <c r="BA729" s="96">
        <f>IF(AZ729="n","n",VLOOKUP(AZ729,'Conversion factors'!$C$4:$D$24,2,FALSE))</f>
        <v>2.5</v>
      </c>
      <c r="BB729" s="96">
        <f t="shared" si="206"/>
        <v>14.908919999999998</v>
      </c>
      <c r="BC729" s="97"/>
      <c r="BD729" s="96" t="str">
        <f t="shared" si="210"/>
        <v>Chronic</v>
      </c>
      <c r="BE729" s="96" t="str">
        <f t="shared" si="207"/>
        <v>y</v>
      </c>
      <c r="BF729" s="98" t="str">
        <f t="shared" si="211"/>
        <v>LOEC</v>
      </c>
      <c r="BG729" s="96" t="str">
        <f>IF(BF729="","",IF(ISNUMBER(VLOOKUP(BF729,'Conversion factors'!$B$35:$C$52,2,FALSE)),"y","n"))</f>
        <v>n</v>
      </c>
      <c r="BH729" s="99" t="s">
        <v>1470</v>
      </c>
    </row>
    <row r="730" spans="1:61" s="103" customFormat="1" ht="15.75" customHeight="1" x14ac:dyDescent="0.2">
      <c r="A730" s="18"/>
      <c r="B730" s="19">
        <v>228</v>
      </c>
      <c r="C730" s="19"/>
      <c r="D730" s="19">
        <v>68220</v>
      </c>
      <c r="E730" s="19" t="s">
        <v>1224</v>
      </c>
      <c r="F730" s="93">
        <v>2002</v>
      </c>
      <c r="G730" s="19" t="s">
        <v>566</v>
      </c>
      <c r="H730" s="19"/>
      <c r="I730" s="19" t="s">
        <v>41</v>
      </c>
      <c r="J730" s="19" t="s">
        <v>567</v>
      </c>
      <c r="K730" s="19" t="s">
        <v>42</v>
      </c>
      <c r="L730" s="99" t="s">
        <v>43</v>
      </c>
      <c r="M730" s="19" t="s">
        <v>1303</v>
      </c>
      <c r="N730" s="19" t="s">
        <v>109</v>
      </c>
      <c r="O730" s="19" t="s">
        <v>264</v>
      </c>
      <c r="P730" s="19" t="s">
        <v>51</v>
      </c>
      <c r="Q730" s="19"/>
      <c r="R730" s="19" t="s">
        <v>256</v>
      </c>
      <c r="S730" s="19" t="s">
        <v>309</v>
      </c>
      <c r="T730" s="19" t="s">
        <v>54</v>
      </c>
      <c r="U730" s="19" t="s">
        <v>54</v>
      </c>
      <c r="V730" s="19" t="s">
        <v>103</v>
      </c>
      <c r="W730" s="19" t="s">
        <v>231</v>
      </c>
      <c r="X730" s="19" t="s">
        <v>46</v>
      </c>
      <c r="Y730" s="29"/>
      <c r="Z730" s="19" t="s">
        <v>572</v>
      </c>
      <c r="AA730" s="19"/>
      <c r="AB730" s="19">
        <f t="shared" si="212"/>
        <v>20.270900000000001</v>
      </c>
      <c r="AC730" s="19" t="s">
        <v>214</v>
      </c>
      <c r="AD730" s="19"/>
      <c r="AE730" s="19">
        <v>85</v>
      </c>
      <c r="AF730" s="19" t="s">
        <v>1298</v>
      </c>
      <c r="AG730" s="19" t="s">
        <v>270</v>
      </c>
      <c r="AH730" s="19"/>
      <c r="AI730" s="19"/>
      <c r="AJ730" s="19">
        <v>7.5</v>
      </c>
      <c r="AK730" s="19">
        <v>7.5</v>
      </c>
      <c r="AL730" s="19"/>
      <c r="AM730" s="19"/>
      <c r="AN730" s="19" t="s">
        <v>568</v>
      </c>
      <c r="AO730" s="19" t="s">
        <v>270</v>
      </c>
      <c r="AP730" s="94"/>
      <c r="AQ730" s="19" t="s">
        <v>507</v>
      </c>
      <c r="AR730" s="19" t="s">
        <v>241</v>
      </c>
      <c r="AS730" s="19"/>
      <c r="AT730" s="65" t="str">
        <f t="shared" si="209"/>
        <v>Y</v>
      </c>
      <c r="AU730" s="65" t="str">
        <f t="shared" si="204"/>
        <v>Y</v>
      </c>
      <c r="AV730" s="65" t="str">
        <f t="shared" si="208"/>
        <v>Y</v>
      </c>
      <c r="AW730" s="99"/>
      <c r="AX730" s="99"/>
      <c r="AY730" s="19"/>
      <c r="AZ730" s="96" t="str">
        <f t="shared" si="205"/>
        <v>NOEC</v>
      </c>
      <c r="BA730" s="96">
        <f>IF(AZ730="n","n",VLOOKUP(AZ730,'Conversion factors'!$C$4:$D$24,2,FALSE))</f>
        <v>1</v>
      </c>
      <c r="BB730" s="96">
        <f t="shared" si="206"/>
        <v>20.270900000000001</v>
      </c>
      <c r="BC730" s="97"/>
      <c r="BD730" s="96" t="str">
        <f t="shared" si="210"/>
        <v>Chronic</v>
      </c>
      <c r="BE730" s="96" t="str">
        <f t="shared" si="207"/>
        <v>y</v>
      </c>
      <c r="BF730" s="98" t="str">
        <f t="shared" si="211"/>
        <v>NOEC</v>
      </c>
      <c r="BG730" s="96" t="str">
        <f>IF(BF730="","",IF(ISNUMBER(VLOOKUP(BF730,'Conversion factors'!$B$35:$C$52,2,FALSE)),"y","n"))</f>
        <v>y</v>
      </c>
      <c r="BH730" s="99" t="s">
        <v>1511</v>
      </c>
    </row>
    <row r="731" spans="1:61" s="103" customFormat="1" ht="15.75" customHeight="1" x14ac:dyDescent="0.2">
      <c r="A731" s="18"/>
      <c r="B731" s="19">
        <v>271</v>
      </c>
      <c r="C731" s="19"/>
      <c r="D731" s="19">
        <v>99981</v>
      </c>
      <c r="E731" s="19" t="s">
        <v>1224</v>
      </c>
      <c r="F731" s="93">
        <v>2006</v>
      </c>
      <c r="G731" s="19" t="s">
        <v>933</v>
      </c>
      <c r="H731" s="19"/>
      <c r="I731" s="19" t="s">
        <v>41</v>
      </c>
      <c r="J731" s="19" t="s">
        <v>567</v>
      </c>
      <c r="K731" s="19" t="s">
        <v>42</v>
      </c>
      <c r="L731" s="19" t="s">
        <v>43</v>
      </c>
      <c r="M731" s="19" t="s">
        <v>1303</v>
      </c>
      <c r="N731" s="19" t="s">
        <v>109</v>
      </c>
      <c r="O731" s="19" t="s">
        <v>235</v>
      </c>
      <c r="P731" s="19" t="s">
        <v>51</v>
      </c>
      <c r="Q731" s="19"/>
      <c r="R731" s="19" t="s">
        <v>256</v>
      </c>
      <c r="S731" s="19" t="s">
        <v>309</v>
      </c>
      <c r="T731" s="19" t="s">
        <v>110</v>
      </c>
      <c r="U731" s="19" t="s">
        <v>44</v>
      </c>
      <c r="V731" s="19" t="s">
        <v>619</v>
      </c>
      <c r="W731" s="19" t="s">
        <v>231</v>
      </c>
      <c r="X731" s="19" t="s">
        <v>46</v>
      </c>
      <c r="Y731" s="29"/>
      <c r="Z731" s="19"/>
      <c r="AA731" s="19"/>
      <c r="AB731" s="19" t="s">
        <v>313</v>
      </c>
      <c r="AC731" s="19" t="s">
        <v>214</v>
      </c>
      <c r="AD731" s="19"/>
      <c r="AE731" s="19">
        <v>44</v>
      </c>
      <c r="AF731" s="19" t="s">
        <v>934</v>
      </c>
      <c r="AG731" s="19" t="s">
        <v>270</v>
      </c>
      <c r="AH731" s="19"/>
      <c r="AI731" s="19"/>
      <c r="AJ731" s="19">
        <v>7.5</v>
      </c>
      <c r="AK731" s="19" t="s">
        <v>544</v>
      </c>
      <c r="AL731" s="19"/>
      <c r="AM731" s="19" t="s">
        <v>234</v>
      </c>
      <c r="AN731" s="19" t="s">
        <v>234</v>
      </c>
      <c r="AO731" s="19" t="s">
        <v>235</v>
      </c>
      <c r="AP731" s="94"/>
      <c r="AQ731" s="19" t="s">
        <v>507</v>
      </c>
      <c r="AR731" s="19" t="s">
        <v>241</v>
      </c>
      <c r="AS731" s="19"/>
      <c r="AT731" s="65" t="str">
        <f t="shared" si="209"/>
        <v>Y</v>
      </c>
      <c r="AU731" s="65" t="str">
        <f t="shared" si="204"/>
        <v>Y</v>
      </c>
      <c r="AV731" s="65" t="str">
        <f t="shared" si="208"/>
        <v>Y</v>
      </c>
      <c r="AW731" s="99"/>
      <c r="AX731" s="99" t="s">
        <v>1643</v>
      </c>
      <c r="AY731" s="19"/>
      <c r="AZ731" s="96" t="str">
        <f t="shared" si="205"/>
        <v>IC50</v>
      </c>
      <c r="BA731" s="96">
        <f>IF(AZ731="n","n",VLOOKUP(AZ731,'Conversion factors'!$C$4:$D$24,2,FALSE))</f>
        <v>5</v>
      </c>
      <c r="BB731" s="96">
        <f t="shared" si="206"/>
        <v>32</v>
      </c>
      <c r="BC731" s="97"/>
      <c r="BD731" s="96" t="str">
        <f t="shared" si="210"/>
        <v>Chronic</v>
      </c>
      <c r="BE731" s="96" t="str">
        <f t="shared" si="207"/>
        <v>y</v>
      </c>
      <c r="BF731" s="98" t="str">
        <f t="shared" si="211"/>
        <v>IC50</v>
      </c>
      <c r="BG731" s="96" t="str">
        <f>IF(BF731="","",IF(ISNUMBER(VLOOKUP(BF731,'Conversion factors'!$B$35:$C$52,2,FALSE)),"y","n"))</f>
        <v>n</v>
      </c>
      <c r="BH731" s="99" t="s">
        <v>1471</v>
      </c>
      <c r="BI731" s="103" t="s">
        <v>1643</v>
      </c>
    </row>
    <row r="732" spans="1:61" s="103" customFormat="1" ht="15.75" customHeight="1" x14ac:dyDescent="0.2">
      <c r="A732" s="18"/>
      <c r="B732" s="19">
        <v>271</v>
      </c>
      <c r="C732" s="19"/>
      <c r="D732" s="19">
        <v>99981</v>
      </c>
      <c r="E732" s="19" t="s">
        <v>1224</v>
      </c>
      <c r="F732" s="93">
        <v>2006</v>
      </c>
      <c r="G732" s="19" t="s">
        <v>933</v>
      </c>
      <c r="H732" s="19"/>
      <c r="I732" s="19" t="s">
        <v>41</v>
      </c>
      <c r="J732" s="19" t="s">
        <v>567</v>
      </c>
      <c r="K732" s="19" t="s">
        <v>42</v>
      </c>
      <c r="L732" s="19" t="s">
        <v>43</v>
      </c>
      <c r="M732" s="19" t="s">
        <v>1303</v>
      </c>
      <c r="N732" s="19" t="s">
        <v>109</v>
      </c>
      <c r="O732" s="19" t="s">
        <v>235</v>
      </c>
      <c r="P732" s="19" t="s">
        <v>51</v>
      </c>
      <c r="Q732" s="19"/>
      <c r="R732" s="19" t="s">
        <v>256</v>
      </c>
      <c r="S732" s="19" t="s">
        <v>309</v>
      </c>
      <c r="T732" s="19" t="s">
        <v>110</v>
      </c>
      <c r="U732" s="19" t="s">
        <v>44</v>
      </c>
      <c r="V732" s="19" t="s">
        <v>619</v>
      </c>
      <c r="W732" s="19" t="s">
        <v>231</v>
      </c>
      <c r="X732" s="19" t="s">
        <v>46</v>
      </c>
      <c r="Y732" s="29"/>
      <c r="Z732" s="19"/>
      <c r="AA732" s="19"/>
      <c r="AB732" s="19" t="s">
        <v>935</v>
      </c>
      <c r="AC732" s="19" t="s">
        <v>214</v>
      </c>
      <c r="AD732" s="19"/>
      <c r="AE732" s="19">
        <v>44</v>
      </c>
      <c r="AF732" s="19" t="s">
        <v>934</v>
      </c>
      <c r="AG732" s="19" t="s">
        <v>270</v>
      </c>
      <c r="AH732" s="19"/>
      <c r="AI732" s="19"/>
      <c r="AJ732" s="19">
        <v>6.5</v>
      </c>
      <c r="AK732" s="19" t="s">
        <v>613</v>
      </c>
      <c r="AL732" s="19"/>
      <c r="AM732" s="19" t="s">
        <v>234</v>
      </c>
      <c r="AN732" s="19" t="s">
        <v>234</v>
      </c>
      <c r="AO732" s="19" t="s">
        <v>235</v>
      </c>
      <c r="AP732" s="94"/>
      <c r="AQ732" s="19" t="s">
        <v>507</v>
      </c>
      <c r="AR732" s="19" t="s">
        <v>241</v>
      </c>
      <c r="AS732" s="19"/>
      <c r="AT732" s="65" t="str">
        <f t="shared" si="209"/>
        <v>Y</v>
      </c>
      <c r="AU732" s="65" t="str">
        <f t="shared" si="204"/>
        <v>Y</v>
      </c>
      <c r="AV732" s="65" t="str">
        <f t="shared" si="208"/>
        <v>Y</v>
      </c>
      <c r="AW732" s="99"/>
      <c r="AX732" s="99" t="s">
        <v>1643</v>
      </c>
      <c r="AY732" s="19"/>
      <c r="AZ732" s="96" t="str">
        <f t="shared" si="205"/>
        <v>IC50</v>
      </c>
      <c r="BA732" s="96">
        <f>IF(AZ732="n","n",VLOOKUP(AZ732,'Conversion factors'!$C$4:$D$24,2,FALSE))</f>
        <v>5</v>
      </c>
      <c r="BB732" s="96">
        <f t="shared" si="206"/>
        <v>194</v>
      </c>
      <c r="BC732" s="97"/>
      <c r="BD732" s="96" t="str">
        <f t="shared" si="210"/>
        <v>Chronic</v>
      </c>
      <c r="BE732" s="96" t="str">
        <f t="shared" si="207"/>
        <v>y</v>
      </c>
      <c r="BF732" s="98" t="str">
        <f t="shared" si="211"/>
        <v>IC50</v>
      </c>
      <c r="BG732" s="96" t="str">
        <f>IF(BF732="","",IF(ISNUMBER(VLOOKUP(BF732,'Conversion factors'!$B$35:$C$52,2,FALSE)),"y","n"))</f>
        <v>n</v>
      </c>
      <c r="BH732" s="99" t="s">
        <v>1471</v>
      </c>
      <c r="BI732" s="103" t="s">
        <v>1643</v>
      </c>
    </row>
    <row r="733" spans="1:61" s="103" customFormat="1" ht="15.75" customHeight="1" x14ac:dyDescent="0.2">
      <c r="A733" s="18"/>
      <c r="B733" s="19">
        <v>271</v>
      </c>
      <c r="C733" s="19"/>
      <c r="D733" s="19">
        <v>99981</v>
      </c>
      <c r="E733" s="19" t="s">
        <v>1224</v>
      </c>
      <c r="F733" s="93">
        <v>2006</v>
      </c>
      <c r="G733" s="19" t="s">
        <v>933</v>
      </c>
      <c r="H733" s="19"/>
      <c r="I733" s="19" t="s">
        <v>41</v>
      </c>
      <c r="J733" s="19" t="s">
        <v>567</v>
      </c>
      <c r="K733" s="19" t="s">
        <v>42</v>
      </c>
      <c r="L733" s="19" t="s">
        <v>43</v>
      </c>
      <c r="M733" s="19" t="s">
        <v>1303</v>
      </c>
      <c r="N733" s="19" t="s">
        <v>109</v>
      </c>
      <c r="O733" s="19" t="s">
        <v>235</v>
      </c>
      <c r="P733" s="19" t="s">
        <v>51</v>
      </c>
      <c r="Q733" s="19"/>
      <c r="R733" s="19" t="s">
        <v>256</v>
      </c>
      <c r="S733" s="19" t="s">
        <v>309</v>
      </c>
      <c r="T733" s="19" t="s">
        <v>110</v>
      </c>
      <c r="U733" s="19" t="s">
        <v>44</v>
      </c>
      <c r="V733" s="19" t="s">
        <v>619</v>
      </c>
      <c r="W733" s="19" t="s">
        <v>231</v>
      </c>
      <c r="X733" s="19" t="s">
        <v>46</v>
      </c>
      <c r="Y733" s="29"/>
      <c r="Z733" s="19"/>
      <c r="AA733" s="19"/>
      <c r="AB733" s="19" t="s">
        <v>98</v>
      </c>
      <c r="AC733" s="19" t="s">
        <v>214</v>
      </c>
      <c r="AD733" s="19"/>
      <c r="AE733" s="19">
        <v>44</v>
      </c>
      <c r="AF733" s="19" t="s">
        <v>934</v>
      </c>
      <c r="AG733" s="19" t="s">
        <v>270</v>
      </c>
      <c r="AH733" s="19"/>
      <c r="AI733" s="19"/>
      <c r="AJ733" s="19">
        <v>8</v>
      </c>
      <c r="AK733" s="19" t="s">
        <v>605</v>
      </c>
      <c r="AL733" s="19"/>
      <c r="AM733" s="19" t="s">
        <v>234</v>
      </c>
      <c r="AN733" s="19" t="s">
        <v>234</v>
      </c>
      <c r="AO733" s="19" t="s">
        <v>235</v>
      </c>
      <c r="AP733" s="94"/>
      <c r="AQ733" s="19" t="s">
        <v>507</v>
      </c>
      <c r="AR733" s="19" t="s">
        <v>241</v>
      </c>
      <c r="AS733" s="19"/>
      <c r="AT733" s="65" t="str">
        <f t="shared" si="209"/>
        <v>Y</v>
      </c>
      <c r="AU733" s="65" t="str">
        <f t="shared" si="204"/>
        <v>Y</v>
      </c>
      <c r="AV733" s="65" t="str">
        <f t="shared" si="208"/>
        <v>Y</v>
      </c>
      <c r="AW733" s="99"/>
      <c r="AX733" s="99" t="s">
        <v>1643</v>
      </c>
      <c r="AY733" s="19"/>
      <c r="AZ733" s="96" t="str">
        <f t="shared" si="205"/>
        <v>IC50</v>
      </c>
      <c r="BA733" s="96">
        <f>IF(AZ733="n","n",VLOOKUP(AZ733,'Conversion factors'!$C$4:$D$24,2,FALSE))</f>
        <v>5</v>
      </c>
      <c r="BB733" s="96">
        <f t="shared" si="206"/>
        <v>10.4</v>
      </c>
      <c r="BC733" s="97"/>
      <c r="BD733" s="96" t="str">
        <f t="shared" si="210"/>
        <v>Chronic</v>
      </c>
      <c r="BE733" s="96" t="str">
        <f t="shared" si="207"/>
        <v>y</v>
      </c>
      <c r="BF733" s="98" t="str">
        <f t="shared" si="211"/>
        <v>IC50</v>
      </c>
      <c r="BG733" s="96" t="str">
        <f>IF(BF733="","",IF(ISNUMBER(VLOOKUP(BF733,'Conversion factors'!$B$35:$C$52,2,FALSE)),"y","n"))</f>
        <v>n</v>
      </c>
      <c r="BH733" s="99" t="s">
        <v>1471</v>
      </c>
      <c r="BI733" s="103" t="s">
        <v>1643</v>
      </c>
    </row>
    <row r="734" spans="1:61" s="103" customFormat="1" ht="15.75" customHeight="1" x14ac:dyDescent="0.2">
      <c r="A734" s="18"/>
      <c r="B734" s="19">
        <v>271</v>
      </c>
      <c r="C734" s="19"/>
      <c r="D734" s="19">
        <v>99981</v>
      </c>
      <c r="E734" s="19" t="s">
        <v>1224</v>
      </c>
      <c r="F734" s="93">
        <v>2006</v>
      </c>
      <c r="G734" s="19" t="s">
        <v>933</v>
      </c>
      <c r="H734" s="19"/>
      <c r="I734" s="19" t="s">
        <v>41</v>
      </c>
      <c r="J734" s="19" t="s">
        <v>567</v>
      </c>
      <c r="K734" s="19" t="s">
        <v>42</v>
      </c>
      <c r="L734" s="19" t="s">
        <v>43</v>
      </c>
      <c r="M734" s="19" t="s">
        <v>1303</v>
      </c>
      <c r="N734" s="19" t="s">
        <v>109</v>
      </c>
      <c r="O734" s="19" t="s">
        <v>235</v>
      </c>
      <c r="P734" s="19" t="s">
        <v>51</v>
      </c>
      <c r="Q734" s="19"/>
      <c r="R734" s="19" t="s">
        <v>256</v>
      </c>
      <c r="S734" s="19" t="s">
        <v>309</v>
      </c>
      <c r="T734" s="19" t="s">
        <v>110</v>
      </c>
      <c r="U734" s="19" t="s">
        <v>44</v>
      </c>
      <c r="V734" s="19" t="s">
        <v>619</v>
      </c>
      <c r="W734" s="19" t="s">
        <v>231</v>
      </c>
      <c r="X734" s="19" t="s">
        <v>46</v>
      </c>
      <c r="Y734" s="29"/>
      <c r="Z734" s="19"/>
      <c r="AA734" s="19"/>
      <c r="AB734" s="19" t="s">
        <v>936</v>
      </c>
      <c r="AC734" s="19" t="s">
        <v>214</v>
      </c>
      <c r="AD734" s="19"/>
      <c r="AE734" s="19">
        <v>44</v>
      </c>
      <c r="AF734" s="19" t="s">
        <v>934</v>
      </c>
      <c r="AG734" s="19" t="s">
        <v>270</v>
      </c>
      <c r="AH734" s="19"/>
      <c r="AI734" s="19"/>
      <c r="AJ734" s="19">
        <v>5.5</v>
      </c>
      <c r="AK734" s="19" t="s">
        <v>449</v>
      </c>
      <c r="AL734" s="19"/>
      <c r="AM734" s="19" t="s">
        <v>234</v>
      </c>
      <c r="AN734" s="19" t="s">
        <v>234</v>
      </c>
      <c r="AO734" s="19" t="s">
        <v>235</v>
      </c>
      <c r="AP734" s="94"/>
      <c r="AQ734" s="19" t="s">
        <v>507</v>
      </c>
      <c r="AR734" s="19" t="s">
        <v>241</v>
      </c>
      <c r="AS734" s="19"/>
      <c r="AT734" s="65" t="str">
        <f t="shared" si="209"/>
        <v>Y</v>
      </c>
      <c r="AU734" s="65" t="str">
        <f t="shared" si="204"/>
        <v>N</v>
      </c>
      <c r="AV734" s="65" t="s">
        <v>162</v>
      </c>
      <c r="AW734" s="99" t="s">
        <v>1405</v>
      </c>
      <c r="AX734" s="99" t="s">
        <v>1643</v>
      </c>
      <c r="AY734" s="19"/>
      <c r="AZ734" s="96" t="str">
        <f t="shared" si="205"/>
        <v>n</v>
      </c>
      <c r="BA734" s="96" t="str">
        <f>IF(AZ734="n","n",VLOOKUP(AZ734,'Conversion factors'!$C$4:$D$24,2,FALSE))</f>
        <v>n</v>
      </c>
      <c r="BB734" s="96" t="str">
        <f t="shared" si="206"/>
        <v>n</v>
      </c>
      <c r="BC734" s="97"/>
      <c r="BD734" s="96" t="str">
        <f t="shared" si="210"/>
        <v>n</v>
      </c>
      <c r="BE734" s="96" t="str">
        <f t="shared" si="207"/>
        <v>n</v>
      </c>
      <c r="BF734" s="98" t="str">
        <f t="shared" si="211"/>
        <v/>
      </c>
      <c r="BG734" s="96" t="str">
        <f>IF(BF734="","",IF(ISNUMBER(VLOOKUP(BF734,'Conversion factors'!$B$35:$C$52,2,FALSE)),"y","n"))</f>
        <v/>
      </c>
      <c r="BH734" s="99" t="s">
        <v>1471</v>
      </c>
      <c r="BI734" s="103" t="s">
        <v>1643</v>
      </c>
    </row>
    <row r="735" spans="1:61" s="103" customFormat="1" ht="15.75" customHeight="1" x14ac:dyDescent="0.2">
      <c r="A735" s="18"/>
      <c r="B735" s="19">
        <v>271</v>
      </c>
      <c r="C735" s="19"/>
      <c r="D735" s="19">
        <v>99981</v>
      </c>
      <c r="E735" s="19" t="s">
        <v>1224</v>
      </c>
      <c r="F735" s="93">
        <v>2006</v>
      </c>
      <c r="G735" s="19" t="s">
        <v>933</v>
      </c>
      <c r="H735" s="19"/>
      <c r="I735" s="19" t="s">
        <v>41</v>
      </c>
      <c r="J735" s="19" t="s">
        <v>567</v>
      </c>
      <c r="K735" s="19" t="s">
        <v>42</v>
      </c>
      <c r="L735" s="19" t="s">
        <v>43</v>
      </c>
      <c r="M735" s="19" t="s">
        <v>1303</v>
      </c>
      <c r="N735" s="19" t="s">
        <v>109</v>
      </c>
      <c r="O735" s="19" t="s">
        <v>235</v>
      </c>
      <c r="P735" s="19" t="s">
        <v>51</v>
      </c>
      <c r="Q735" s="19"/>
      <c r="R735" s="19" t="s">
        <v>256</v>
      </c>
      <c r="S735" s="19" t="s">
        <v>309</v>
      </c>
      <c r="T735" s="19" t="s">
        <v>110</v>
      </c>
      <c r="U735" s="19" t="s">
        <v>44</v>
      </c>
      <c r="V735" s="19" t="s">
        <v>619</v>
      </c>
      <c r="W735" s="19" t="s">
        <v>231</v>
      </c>
      <c r="X735" s="19" t="s">
        <v>46</v>
      </c>
      <c r="Y735" s="29"/>
      <c r="Z735" s="19"/>
      <c r="AA735" s="19"/>
      <c r="AB735" s="19" t="s">
        <v>644</v>
      </c>
      <c r="AC735" s="19" t="s">
        <v>214</v>
      </c>
      <c r="AD735" s="19"/>
      <c r="AE735" s="19">
        <v>44</v>
      </c>
      <c r="AF735" s="19" t="s">
        <v>934</v>
      </c>
      <c r="AG735" s="19" t="s">
        <v>270</v>
      </c>
      <c r="AH735" s="19"/>
      <c r="AI735" s="19"/>
      <c r="AJ735" s="19">
        <v>7</v>
      </c>
      <c r="AK735" s="19" t="s">
        <v>85</v>
      </c>
      <c r="AL735" s="19"/>
      <c r="AM735" s="19" t="s">
        <v>234</v>
      </c>
      <c r="AN735" s="19" t="s">
        <v>234</v>
      </c>
      <c r="AO735" s="19" t="s">
        <v>235</v>
      </c>
      <c r="AP735" s="94"/>
      <c r="AQ735" s="19" t="s">
        <v>507</v>
      </c>
      <c r="AR735" s="19" t="s">
        <v>241</v>
      </c>
      <c r="AS735" s="19"/>
      <c r="AT735" s="65" t="str">
        <f t="shared" si="209"/>
        <v>Y</v>
      </c>
      <c r="AU735" s="65" t="str">
        <f t="shared" si="204"/>
        <v>Y</v>
      </c>
      <c r="AV735" s="65" t="str">
        <f>AU735</f>
        <v>Y</v>
      </c>
      <c r="AW735" s="99"/>
      <c r="AX735" s="99" t="s">
        <v>1643</v>
      </c>
      <c r="AY735" s="19"/>
      <c r="AZ735" s="96" t="str">
        <f t="shared" si="205"/>
        <v>IC50</v>
      </c>
      <c r="BA735" s="96">
        <f>IF(AZ735="n","n",VLOOKUP(AZ735,'Conversion factors'!$C$4:$D$24,2,FALSE))</f>
        <v>5</v>
      </c>
      <c r="BB735" s="96">
        <f t="shared" si="206"/>
        <v>126</v>
      </c>
      <c r="BC735" s="97"/>
      <c r="BD735" s="96" t="str">
        <f t="shared" si="210"/>
        <v>Chronic</v>
      </c>
      <c r="BE735" s="96" t="str">
        <f t="shared" si="207"/>
        <v>y</v>
      </c>
      <c r="BF735" s="98" t="str">
        <f t="shared" si="211"/>
        <v>IC50</v>
      </c>
      <c r="BG735" s="96" t="str">
        <f>IF(BF735="","",IF(ISNUMBER(VLOOKUP(BF735,'Conversion factors'!$B$35:$C$52,2,FALSE)),"y","n"))</f>
        <v>n</v>
      </c>
      <c r="BH735" s="99" t="s">
        <v>1471</v>
      </c>
      <c r="BI735" s="103" t="s">
        <v>1643</v>
      </c>
    </row>
    <row r="736" spans="1:61" s="103" customFormat="1" ht="15.75" customHeight="1" x14ac:dyDescent="0.2">
      <c r="A736" s="18"/>
      <c r="B736" s="19">
        <v>271</v>
      </c>
      <c r="C736" s="19"/>
      <c r="D736" s="19">
        <v>99981</v>
      </c>
      <c r="E736" s="19" t="s">
        <v>1224</v>
      </c>
      <c r="F736" s="93">
        <v>2006</v>
      </c>
      <c r="G736" s="19" t="s">
        <v>933</v>
      </c>
      <c r="H736" s="19"/>
      <c r="I736" s="19" t="s">
        <v>41</v>
      </c>
      <c r="J736" s="19" t="s">
        <v>567</v>
      </c>
      <c r="K736" s="19" t="s">
        <v>42</v>
      </c>
      <c r="L736" s="19" t="s">
        <v>43</v>
      </c>
      <c r="M736" s="19" t="s">
        <v>1303</v>
      </c>
      <c r="N736" s="19" t="s">
        <v>109</v>
      </c>
      <c r="O736" s="19" t="s">
        <v>235</v>
      </c>
      <c r="P736" s="19" t="s">
        <v>51</v>
      </c>
      <c r="Q736" s="19"/>
      <c r="R736" s="19" t="s">
        <v>256</v>
      </c>
      <c r="S736" s="19" t="s">
        <v>309</v>
      </c>
      <c r="T736" s="19" t="s">
        <v>110</v>
      </c>
      <c r="U736" s="19" t="s">
        <v>44</v>
      </c>
      <c r="V736" s="19" t="s">
        <v>619</v>
      </c>
      <c r="W736" s="19" t="s">
        <v>231</v>
      </c>
      <c r="X736" s="19" t="s">
        <v>46</v>
      </c>
      <c r="Y736" s="29"/>
      <c r="Z736" s="19"/>
      <c r="AA736" s="19"/>
      <c r="AB736" s="19" t="s">
        <v>937</v>
      </c>
      <c r="AC736" s="19" t="s">
        <v>214</v>
      </c>
      <c r="AD736" s="19"/>
      <c r="AE736" s="19">
        <v>44</v>
      </c>
      <c r="AF736" s="19" t="s">
        <v>934</v>
      </c>
      <c r="AG736" s="19" t="s">
        <v>270</v>
      </c>
      <c r="AH736" s="19"/>
      <c r="AI736" s="19"/>
      <c r="AJ736" s="19">
        <v>6</v>
      </c>
      <c r="AK736" s="19" t="s">
        <v>424</v>
      </c>
      <c r="AL736" s="19"/>
      <c r="AM736" s="19" t="s">
        <v>234</v>
      </c>
      <c r="AN736" s="19" t="s">
        <v>234</v>
      </c>
      <c r="AO736" s="19" t="s">
        <v>235</v>
      </c>
      <c r="AP736" s="94"/>
      <c r="AQ736" s="19" t="s">
        <v>507</v>
      </c>
      <c r="AR736" s="19" t="s">
        <v>241</v>
      </c>
      <c r="AS736" s="19"/>
      <c r="AT736" s="65" t="str">
        <f t="shared" si="209"/>
        <v>Y</v>
      </c>
      <c r="AU736" s="65" t="str">
        <f t="shared" ref="AU736:AU799" si="213">IF(AT736="N","N",IF(AJ736&lt;6,"N",IF(AJ736&gt;8.5,"N","Y")))</f>
        <v>Y</v>
      </c>
      <c r="AV736" s="65" t="s">
        <v>162</v>
      </c>
      <c r="AW736" s="99" t="s">
        <v>1405</v>
      </c>
      <c r="AX736" s="99" t="s">
        <v>1643</v>
      </c>
      <c r="AY736" s="19"/>
      <c r="AZ736" s="96" t="str">
        <f t="shared" si="205"/>
        <v>n</v>
      </c>
      <c r="BA736" s="96" t="str">
        <f>IF(AZ736="n","n",VLOOKUP(AZ736,'Conversion factors'!$C$4:$D$24,2,FALSE))</f>
        <v>n</v>
      </c>
      <c r="BB736" s="96" t="str">
        <f t="shared" si="206"/>
        <v>n</v>
      </c>
      <c r="BC736" s="97"/>
      <c r="BD736" s="96" t="str">
        <f t="shared" si="210"/>
        <v>n</v>
      </c>
      <c r="BE736" s="96" t="str">
        <f t="shared" si="207"/>
        <v>n</v>
      </c>
      <c r="BF736" s="98" t="str">
        <f t="shared" si="211"/>
        <v/>
      </c>
      <c r="BG736" s="96" t="str">
        <f>IF(BF736="","",IF(ISNUMBER(VLOOKUP(BF736,'Conversion factors'!$B$35:$C$52,2,FALSE)),"y","n"))</f>
        <v/>
      </c>
      <c r="BH736" s="99" t="s">
        <v>1471</v>
      </c>
      <c r="BI736" s="103" t="s">
        <v>1643</v>
      </c>
    </row>
    <row r="737" spans="1:60" s="103" customFormat="1" ht="15.75" customHeight="1" x14ac:dyDescent="0.2">
      <c r="A737" s="18"/>
      <c r="B737" s="19">
        <v>271</v>
      </c>
      <c r="C737" s="19"/>
      <c r="D737" s="19">
        <v>99981</v>
      </c>
      <c r="E737" s="19" t="s">
        <v>1224</v>
      </c>
      <c r="F737" s="93">
        <v>2006</v>
      </c>
      <c r="G737" s="19" t="s">
        <v>933</v>
      </c>
      <c r="H737" s="19"/>
      <c r="I737" s="19" t="s">
        <v>41</v>
      </c>
      <c r="J737" s="19" t="s">
        <v>567</v>
      </c>
      <c r="K737" s="19" t="s">
        <v>42</v>
      </c>
      <c r="L737" s="99" t="s">
        <v>43</v>
      </c>
      <c r="M737" s="19" t="s">
        <v>1303</v>
      </c>
      <c r="N737" s="19" t="s">
        <v>109</v>
      </c>
      <c r="O737" s="19" t="s">
        <v>235</v>
      </c>
      <c r="P737" s="19" t="s">
        <v>51</v>
      </c>
      <c r="Q737" s="19"/>
      <c r="R737" s="19" t="s">
        <v>256</v>
      </c>
      <c r="S737" s="19" t="s">
        <v>309</v>
      </c>
      <c r="T737" s="19" t="s">
        <v>1497</v>
      </c>
      <c r="U737" s="19" t="s">
        <v>1497</v>
      </c>
      <c r="V737" s="19" t="s">
        <v>619</v>
      </c>
      <c r="W737" s="19" t="s">
        <v>231</v>
      </c>
      <c r="X737" s="19" t="s">
        <v>46</v>
      </c>
      <c r="Y737" s="29"/>
      <c r="Z737" s="19"/>
      <c r="AA737" s="19"/>
      <c r="AB737" s="19" t="s">
        <v>938</v>
      </c>
      <c r="AC737" s="19" t="s">
        <v>214</v>
      </c>
      <c r="AD737" s="19"/>
      <c r="AE737" s="19">
        <v>44</v>
      </c>
      <c r="AF737" s="19" t="s">
        <v>934</v>
      </c>
      <c r="AG737" s="19" t="s">
        <v>270</v>
      </c>
      <c r="AH737" s="19"/>
      <c r="AI737" s="19"/>
      <c r="AJ737" s="101">
        <v>8</v>
      </c>
      <c r="AK737" s="19" t="s">
        <v>605</v>
      </c>
      <c r="AL737" s="19"/>
      <c r="AM737" s="19" t="s">
        <v>234</v>
      </c>
      <c r="AN737" s="19" t="s">
        <v>234</v>
      </c>
      <c r="AO737" s="19" t="s">
        <v>235</v>
      </c>
      <c r="AP737" s="94"/>
      <c r="AQ737" s="19" t="s">
        <v>507</v>
      </c>
      <c r="AR737" s="19" t="s">
        <v>241</v>
      </c>
      <c r="AS737" s="19"/>
      <c r="AT737" s="65" t="str">
        <f t="shared" si="209"/>
        <v>Y</v>
      </c>
      <c r="AU737" s="65" t="str">
        <f t="shared" si="213"/>
        <v>Y</v>
      </c>
      <c r="AV737" s="65" t="str">
        <f>AU737</f>
        <v>Y</v>
      </c>
      <c r="AW737" s="99"/>
      <c r="AX737" s="99"/>
      <c r="AY737" s="19"/>
      <c r="AZ737" s="96" t="str">
        <f t="shared" ref="AZ737:AZ800" si="214">IF(AV737="N","n",T737)</f>
        <v>MDEC</v>
      </c>
      <c r="BA737" s="96">
        <f>IF(AZ737="n","n",VLOOKUP(AZ737,'Conversion factors'!$C$4:$D$24,2,FALSE))</f>
        <v>1</v>
      </c>
      <c r="BB737" s="96">
        <f t="shared" ref="BB737:BB800" si="215">IF(BA737="n","n",AB737/BA737)</f>
        <v>5.9</v>
      </c>
      <c r="BC737" s="97"/>
      <c r="BD737" s="96" t="str">
        <f t="shared" si="210"/>
        <v>Chronic</v>
      </c>
      <c r="BE737" s="96" t="str">
        <f t="shared" ref="BE737:BE800" si="216">IF(BD737="chronic","y","n")</f>
        <v>y</v>
      </c>
      <c r="BF737" s="98" t="str">
        <f t="shared" si="211"/>
        <v>MDEC</v>
      </c>
      <c r="BG737" s="96" t="str">
        <f>IF(BF737="","",IF(ISNUMBER(VLOOKUP(BF737,'Conversion factors'!$B$35:$C$52,2,FALSE)),"y","n"))</f>
        <v>n</v>
      </c>
      <c r="BH737" s="99"/>
    </row>
    <row r="738" spans="1:60" s="103" customFormat="1" ht="15.75" customHeight="1" x14ac:dyDescent="0.2">
      <c r="A738" s="18"/>
      <c r="B738" s="19">
        <v>271</v>
      </c>
      <c r="C738" s="19"/>
      <c r="D738" s="19">
        <v>99981</v>
      </c>
      <c r="E738" s="19" t="s">
        <v>1224</v>
      </c>
      <c r="F738" s="93">
        <v>2006</v>
      </c>
      <c r="G738" s="19" t="s">
        <v>933</v>
      </c>
      <c r="H738" s="19"/>
      <c r="I738" s="19" t="s">
        <v>41</v>
      </c>
      <c r="J738" s="19" t="s">
        <v>567</v>
      </c>
      <c r="K738" s="19" t="s">
        <v>42</v>
      </c>
      <c r="L738" s="99" t="s">
        <v>43</v>
      </c>
      <c r="M738" s="19" t="s">
        <v>1303</v>
      </c>
      <c r="N738" s="19" t="s">
        <v>109</v>
      </c>
      <c r="O738" s="19" t="s">
        <v>235</v>
      </c>
      <c r="P738" s="19" t="s">
        <v>51</v>
      </c>
      <c r="Q738" s="19"/>
      <c r="R738" s="19" t="s">
        <v>256</v>
      </c>
      <c r="S738" s="19" t="s">
        <v>309</v>
      </c>
      <c r="T738" s="19" t="s">
        <v>1497</v>
      </c>
      <c r="U738" s="19" t="s">
        <v>1497</v>
      </c>
      <c r="V738" s="19" t="s">
        <v>619</v>
      </c>
      <c r="W738" s="19" t="s">
        <v>231</v>
      </c>
      <c r="X738" s="19" t="s">
        <v>46</v>
      </c>
      <c r="Y738" s="29"/>
      <c r="Z738" s="19"/>
      <c r="AA738" s="19"/>
      <c r="AB738" s="19" t="s">
        <v>939</v>
      </c>
      <c r="AC738" s="19" t="s">
        <v>214</v>
      </c>
      <c r="AD738" s="19"/>
      <c r="AE738" s="19">
        <v>44</v>
      </c>
      <c r="AF738" s="19" t="s">
        <v>934</v>
      </c>
      <c r="AG738" s="19" t="s">
        <v>270</v>
      </c>
      <c r="AH738" s="19"/>
      <c r="AI738" s="19"/>
      <c r="AJ738" s="101">
        <v>7</v>
      </c>
      <c r="AK738" s="19" t="s">
        <v>85</v>
      </c>
      <c r="AL738" s="19"/>
      <c r="AM738" s="19" t="s">
        <v>234</v>
      </c>
      <c r="AN738" s="19" t="s">
        <v>234</v>
      </c>
      <c r="AO738" s="19" t="s">
        <v>235</v>
      </c>
      <c r="AP738" s="94"/>
      <c r="AQ738" s="19" t="s">
        <v>507</v>
      </c>
      <c r="AR738" s="19" t="s">
        <v>241</v>
      </c>
      <c r="AS738" s="19"/>
      <c r="AT738" s="65" t="str">
        <f t="shared" si="209"/>
        <v>Y</v>
      </c>
      <c r="AU738" s="65" t="str">
        <f t="shared" si="213"/>
        <v>Y</v>
      </c>
      <c r="AV738" s="65" t="str">
        <f>AU738</f>
        <v>Y</v>
      </c>
      <c r="AW738" s="99"/>
      <c r="AX738" s="99"/>
      <c r="AY738" s="19"/>
      <c r="AZ738" s="96" t="str">
        <f t="shared" si="214"/>
        <v>MDEC</v>
      </c>
      <c r="BA738" s="96">
        <f>IF(AZ738="n","n",VLOOKUP(AZ738,'Conversion factors'!$C$4:$D$24,2,FALSE))</f>
        <v>1</v>
      </c>
      <c r="BB738" s="96">
        <f t="shared" si="215"/>
        <v>93</v>
      </c>
      <c r="BC738" s="97"/>
      <c r="BD738" s="96" t="str">
        <f t="shared" si="210"/>
        <v>Chronic</v>
      </c>
      <c r="BE738" s="96" t="str">
        <f t="shared" si="216"/>
        <v>y</v>
      </c>
      <c r="BF738" s="98" t="str">
        <f t="shared" si="211"/>
        <v>MDEC</v>
      </c>
      <c r="BG738" s="96" t="str">
        <f>IF(BF738="","",IF(ISNUMBER(VLOOKUP(BF738,'Conversion factors'!$B$35:$C$52,2,FALSE)),"y","n"))</f>
        <v>n</v>
      </c>
      <c r="BH738" s="99"/>
    </row>
    <row r="739" spans="1:60" s="103" customFormat="1" ht="15.75" customHeight="1" x14ac:dyDescent="0.2">
      <c r="A739" s="18"/>
      <c r="B739" s="19">
        <v>271</v>
      </c>
      <c r="C739" s="19"/>
      <c r="D739" s="19">
        <v>99981</v>
      </c>
      <c r="E739" s="19" t="s">
        <v>1224</v>
      </c>
      <c r="F739" s="93">
        <v>2006</v>
      </c>
      <c r="G739" s="19" t="s">
        <v>933</v>
      </c>
      <c r="H739" s="19"/>
      <c r="I739" s="19" t="s">
        <v>41</v>
      </c>
      <c r="J739" s="19" t="s">
        <v>567</v>
      </c>
      <c r="K739" s="19" t="s">
        <v>42</v>
      </c>
      <c r="L739" s="99" t="s">
        <v>43</v>
      </c>
      <c r="M739" s="19" t="s">
        <v>1303</v>
      </c>
      <c r="N739" s="19" t="s">
        <v>109</v>
      </c>
      <c r="O739" s="19" t="s">
        <v>235</v>
      </c>
      <c r="P739" s="19" t="s">
        <v>51</v>
      </c>
      <c r="Q739" s="19"/>
      <c r="R739" s="19" t="s">
        <v>256</v>
      </c>
      <c r="S739" s="19" t="s">
        <v>309</v>
      </c>
      <c r="T739" s="19" t="s">
        <v>1497</v>
      </c>
      <c r="U739" s="19" t="s">
        <v>1497</v>
      </c>
      <c r="V739" s="19" t="s">
        <v>619</v>
      </c>
      <c r="W739" s="19" t="s">
        <v>231</v>
      </c>
      <c r="X739" s="19" t="s">
        <v>46</v>
      </c>
      <c r="Y739" s="29"/>
      <c r="Z739" s="19"/>
      <c r="AA739" s="19"/>
      <c r="AB739" s="19" t="s">
        <v>812</v>
      </c>
      <c r="AC739" s="19" t="s">
        <v>214</v>
      </c>
      <c r="AD739" s="19"/>
      <c r="AE739" s="19">
        <v>44</v>
      </c>
      <c r="AF739" s="19" t="s">
        <v>934</v>
      </c>
      <c r="AG739" s="19" t="s">
        <v>270</v>
      </c>
      <c r="AH739" s="19"/>
      <c r="AI739" s="19"/>
      <c r="AJ739" s="101">
        <v>6.5</v>
      </c>
      <c r="AK739" s="19" t="s">
        <v>613</v>
      </c>
      <c r="AL739" s="19"/>
      <c r="AM739" s="19" t="s">
        <v>234</v>
      </c>
      <c r="AN739" s="19" t="s">
        <v>234</v>
      </c>
      <c r="AO739" s="19" t="s">
        <v>235</v>
      </c>
      <c r="AP739" s="94"/>
      <c r="AQ739" s="19" t="s">
        <v>507</v>
      </c>
      <c r="AR739" s="19" t="s">
        <v>241</v>
      </c>
      <c r="AS739" s="19"/>
      <c r="AT739" s="65" t="str">
        <f t="shared" si="209"/>
        <v>Y</v>
      </c>
      <c r="AU739" s="65" t="str">
        <f t="shared" si="213"/>
        <v>Y</v>
      </c>
      <c r="AV739" s="65" t="str">
        <f>AU739</f>
        <v>Y</v>
      </c>
      <c r="AW739" s="99"/>
      <c r="AX739" s="99"/>
      <c r="AY739" s="19"/>
      <c r="AZ739" s="96" t="str">
        <f t="shared" si="214"/>
        <v>MDEC</v>
      </c>
      <c r="BA739" s="96">
        <f>IF(AZ739="n","n",VLOOKUP(AZ739,'Conversion factors'!$C$4:$D$24,2,FALSE))</f>
        <v>1</v>
      </c>
      <c r="BB739" s="96">
        <f t="shared" si="215"/>
        <v>105</v>
      </c>
      <c r="BC739" s="97"/>
      <c r="BD739" s="96" t="str">
        <f t="shared" si="210"/>
        <v>Chronic</v>
      </c>
      <c r="BE739" s="96" t="str">
        <f t="shared" si="216"/>
        <v>y</v>
      </c>
      <c r="BF739" s="98" t="str">
        <f t="shared" si="211"/>
        <v>MDEC</v>
      </c>
      <c r="BG739" s="96" t="str">
        <f>IF(BF739="","",IF(ISNUMBER(VLOOKUP(BF739,'Conversion factors'!$B$35:$C$52,2,FALSE)),"y","n"))</f>
        <v>n</v>
      </c>
      <c r="BH739" s="99"/>
    </row>
    <row r="740" spans="1:60" s="103" customFormat="1" ht="15.75" customHeight="1" x14ac:dyDescent="0.2">
      <c r="A740" s="18"/>
      <c r="B740" s="19">
        <v>271</v>
      </c>
      <c r="C740" s="19"/>
      <c r="D740" s="19">
        <v>99981</v>
      </c>
      <c r="E740" s="19" t="s">
        <v>1224</v>
      </c>
      <c r="F740" s="93">
        <v>2006</v>
      </c>
      <c r="G740" s="19" t="s">
        <v>933</v>
      </c>
      <c r="H740" s="19"/>
      <c r="I740" s="19" t="s">
        <v>41</v>
      </c>
      <c r="J740" s="19" t="s">
        <v>567</v>
      </c>
      <c r="K740" s="19" t="s">
        <v>42</v>
      </c>
      <c r="L740" s="19" t="s">
        <v>43</v>
      </c>
      <c r="M740" s="19" t="s">
        <v>1303</v>
      </c>
      <c r="N740" s="19" t="s">
        <v>109</v>
      </c>
      <c r="O740" s="19" t="s">
        <v>235</v>
      </c>
      <c r="P740" s="19" t="s">
        <v>51</v>
      </c>
      <c r="Q740" s="19"/>
      <c r="R740" s="19" t="s">
        <v>256</v>
      </c>
      <c r="S740" s="19" t="s">
        <v>309</v>
      </c>
      <c r="T740" s="19" t="s">
        <v>1497</v>
      </c>
      <c r="U740" s="19" t="s">
        <v>1497</v>
      </c>
      <c r="V740" s="19" t="s">
        <v>619</v>
      </c>
      <c r="W740" s="19" t="s">
        <v>231</v>
      </c>
      <c r="X740" s="19" t="s">
        <v>46</v>
      </c>
      <c r="Y740" s="29"/>
      <c r="Z740" s="19"/>
      <c r="AA740" s="19"/>
      <c r="AB740" s="19" t="s">
        <v>641</v>
      </c>
      <c r="AC740" s="19" t="s">
        <v>214</v>
      </c>
      <c r="AD740" s="19"/>
      <c r="AE740" s="19">
        <v>44</v>
      </c>
      <c r="AF740" s="19" t="s">
        <v>934</v>
      </c>
      <c r="AG740" s="19" t="s">
        <v>270</v>
      </c>
      <c r="AH740" s="19"/>
      <c r="AI740" s="19"/>
      <c r="AJ740" s="19">
        <v>6</v>
      </c>
      <c r="AK740" s="19" t="s">
        <v>424</v>
      </c>
      <c r="AL740" s="19"/>
      <c r="AM740" s="19" t="s">
        <v>234</v>
      </c>
      <c r="AN740" s="19" t="s">
        <v>234</v>
      </c>
      <c r="AO740" s="19" t="s">
        <v>235</v>
      </c>
      <c r="AP740" s="94"/>
      <c r="AQ740" s="19" t="s">
        <v>507</v>
      </c>
      <c r="AR740" s="19" t="s">
        <v>241</v>
      </c>
      <c r="AS740" s="19"/>
      <c r="AT740" s="65" t="str">
        <f t="shared" si="209"/>
        <v>Y</v>
      </c>
      <c r="AU740" s="65" t="str">
        <f t="shared" si="213"/>
        <v>Y</v>
      </c>
      <c r="AV740" s="65" t="str">
        <f>AU740</f>
        <v>Y</v>
      </c>
      <c r="AW740" s="99"/>
      <c r="AX740" s="99"/>
      <c r="AY740" s="19"/>
      <c r="AZ740" s="96" t="str">
        <f t="shared" si="214"/>
        <v>MDEC</v>
      </c>
      <c r="BA740" s="96">
        <f>IF(AZ740="n","n",VLOOKUP(AZ740,'Conversion factors'!$C$4:$D$24,2,FALSE))</f>
        <v>1</v>
      </c>
      <c r="BB740" s="96">
        <f t="shared" si="215"/>
        <v>350</v>
      </c>
      <c r="BC740" s="97"/>
      <c r="BD740" s="96" t="str">
        <f t="shared" si="210"/>
        <v>Chronic</v>
      </c>
      <c r="BE740" s="96" t="str">
        <f t="shared" si="216"/>
        <v>y</v>
      </c>
      <c r="BF740" s="98" t="str">
        <f t="shared" si="211"/>
        <v>MDEC</v>
      </c>
      <c r="BG740" s="96" t="str">
        <f>IF(BF740="","",IF(ISNUMBER(VLOOKUP(BF740,'Conversion factors'!$B$35:$C$52,2,FALSE)),"y","n"))</f>
        <v>n</v>
      </c>
      <c r="BH740" s="99"/>
    </row>
    <row r="741" spans="1:60" s="103" customFormat="1" ht="15.75" customHeight="1" x14ac:dyDescent="0.2">
      <c r="A741" s="18"/>
      <c r="B741" s="19">
        <v>271</v>
      </c>
      <c r="C741" s="19"/>
      <c r="D741" s="19">
        <v>99981</v>
      </c>
      <c r="E741" s="19" t="s">
        <v>1224</v>
      </c>
      <c r="F741" s="93">
        <v>2006</v>
      </c>
      <c r="G741" s="19" t="s">
        <v>933</v>
      </c>
      <c r="H741" s="19"/>
      <c r="I741" s="19" t="s">
        <v>41</v>
      </c>
      <c r="J741" s="19" t="s">
        <v>567</v>
      </c>
      <c r="K741" s="19" t="s">
        <v>42</v>
      </c>
      <c r="L741" s="19" t="s">
        <v>43</v>
      </c>
      <c r="M741" s="19" t="s">
        <v>1303</v>
      </c>
      <c r="N741" s="19" t="s">
        <v>109</v>
      </c>
      <c r="O741" s="19" t="s">
        <v>235</v>
      </c>
      <c r="P741" s="19" t="s">
        <v>51</v>
      </c>
      <c r="Q741" s="19"/>
      <c r="R741" s="19" t="s">
        <v>256</v>
      </c>
      <c r="S741" s="19" t="s">
        <v>309</v>
      </c>
      <c r="T741" s="19" t="s">
        <v>1497</v>
      </c>
      <c r="U741" s="19" t="s">
        <v>1497</v>
      </c>
      <c r="V741" s="19" t="s">
        <v>619</v>
      </c>
      <c r="W741" s="19" t="s">
        <v>231</v>
      </c>
      <c r="X741" s="19" t="s">
        <v>46</v>
      </c>
      <c r="Y741" s="29"/>
      <c r="Z741" s="19"/>
      <c r="AA741" s="19"/>
      <c r="AB741" s="19" t="s">
        <v>606</v>
      </c>
      <c r="AC741" s="19" t="s">
        <v>214</v>
      </c>
      <c r="AD741" s="19"/>
      <c r="AE741" s="19">
        <v>44</v>
      </c>
      <c r="AF741" s="19" t="s">
        <v>934</v>
      </c>
      <c r="AG741" s="19" t="s">
        <v>270</v>
      </c>
      <c r="AH741" s="19"/>
      <c r="AI741" s="19"/>
      <c r="AJ741" s="19">
        <v>5.5</v>
      </c>
      <c r="AK741" s="19" t="s">
        <v>449</v>
      </c>
      <c r="AL741" s="19"/>
      <c r="AM741" s="19" t="s">
        <v>234</v>
      </c>
      <c r="AN741" s="19" t="s">
        <v>234</v>
      </c>
      <c r="AO741" s="19" t="s">
        <v>235</v>
      </c>
      <c r="AP741" s="94"/>
      <c r="AQ741" s="19" t="s">
        <v>507</v>
      </c>
      <c r="AR741" s="19" t="s">
        <v>241</v>
      </c>
      <c r="AS741" s="19"/>
      <c r="AT741" s="65" t="str">
        <f t="shared" si="209"/>
        <v>Y</v>
      </c>
      <c r="AU741" s="65" t="str">
        <f t="shared" si="213"/>
        <v>N</v>
      </c>
      <c r="AV741" s="65" t="s">
        <v>162</v>
      </c>
      <c r="AW741" s="99" t="s">
        <v>1405</v>
      </c>
      <c r="AX741" s="99"/>
      <c r="AY741" s="19"/>
      <c r="AZ741" s="96" t="str">
        <f t="shared" si="214"/>
        <v>n</v>
      </c>
      <c r="BA741" s="96" t="str">
        <f>IF(AZ741="n","n",VLOOKUP(AZ741,'Conversion factors'!$C$4:$D$24,2,FALSE))</f>
        <v>n</v>
      </c>
      <c r="BB741" s="96" t="str">
        <f t="shared" si="215"/>
        <v>n</v>
      </c>
      <c r="BC741" s="97"/>
      <c r="BD741" s="96" t="str">
        <f t="shared" si="210"/>
        <v>n</v>
      </c>
      <c r="BE741" s="96" t="str">
        <f t="shared" si="216"/>
        <v>n</v>
      </c>
      <c r="BF741" s="98" t="str">
        <f t="shared" si="211"/>
        <v/>
      </c>
      <c r="BG741" s="96" t="str">
        <f>IF(BF741="","",IF(ISNUMBER(VLOOKUP(BF741,'Conversion factors'!$B$35:$C$52,2,FALSE)),"y","n"))</f>
        <v/>
      </c>
      <c r="BH741" s="99"/>
    </row>
    <row r="742" spans="1:60" s="103" customFormat="1" ht="15.75" customHeight="1" x14ac:dyDescent="0.2">
      <c r="A742" s="18"/>
      <c r="B742" s="19">
        <v>271</v>
      </c>
      <c r="C742" s="19"/>
      <c r="D742" s="19">
        <v>99981</v>
      </c>
      <c r="E742" s="19" t="s">
        <v>1224</v>
      </c>
      <c r="F742" s="93">
        <v>2006</v>
      </c>
      <c r="G742" s="19" t="s">
        <v>933</v>
      </c>
      <c r="H742" s="19"/>
      <c r="I742" s="19" t="s">
        <v>41</v>
      </c>
      <c r="J742" s="19" t="s">
        <v>567</v>
      </c>
      <c r="K742" s="19" t="s">
        <v>42</v>
      </c>
      <c r="L742" s="99" t="s">
        <v>43</v>
      </c>
      <c r="M742" s="19" t="s">
        <v>1303</v>
      </c>
      <c r="N742" s="19" t="s">
        <v>109</v>
      </c>
      <c r="O742" s="19" t="s">
        <v>235</v>
      </c>
      <c r="P742" s="19" t="s">
        <v>51</v>
      </c>
      <c r="Q742" s="19"/>
      <c r="R742" s="19" t="s">
        <v>256</v>
      </c>
      <c r="S742" s="19" t="s">
        <v>309</v>
      </c>
      <c r="T742" s="19" t="s">
        <v>1497</v>
      </c>
      <c r="U742" s="19" t="s">
        <v>1497</v>
      </c>
      <c r="V742" s="19" t="s">
        <v>619</v>
      </c>
      <c r="W742" s="19" t="s">
        <v>231</v>
      </c>
      <c r="X742" s="19" t="s">
        <v>46</v>
      </c>
      <c r="Y742" s="29"/>
      <c r="Z742" s="19"/>
      <c r="AA742" s="19"/>
      <c r="AB742" s="19" t="s">
        <v>360</v>
      </c>
      <c r="AC742" s="19" t="s">
        <v>214</v>
      </c>
      <c r="AD742" s="19"/>
      <c r="AE742" s="19">
        <v>44</v>
      </c>
      <c r="AF742" s="19" t="s">
        <v>934</v>
      </c>
      <c r="AG742" s="19" t="s">
        <v>270</v>
      </c>
      <c r="AH742" s="19"/>
      <c r="AI742" s="19"/>
      <c r="AJ742" s="101">
        <v>7.5</v>
      </c>
      <c r="AK742" s="19" t="s">
        <v>544</v>
      </c>
      <c r="AL742" s="19"/>
      <c r="AM742" s="19" t="s">
        <v>234</v>
      </c>
      <c r="AN742" s="19" t="s">
        <v>234</v>
      </c>
      <c r="AO742" s="19" t="s">
        <v>235</v>
      </c>
      <c r="AP742" s="94"/>
      <c r="AQ742" s="19" t="s">
        <v>507</v>
      </c>
      <c r="AR742" s="19" t="s">
        <v>241</v>
      </c>
      <c r="AS742" s="19"/>
      <c r="AT742" s="65" t="str">
        <f t="shared" si="209"/>
        <v>Y</v>
      </c>
      <c r="AU742" s="65" t="str">
        <f t="shared" si="213"/>
        <v>Y</v>
      </c>
      <c r="AV742" s="65" t="str">
        <f t="shared" ref="AV742:AV784" si="217">AU742</f>
        <v>Y</v>
      </c>
      <c r="AW742" s="99"/>
      <c r="AX742" s="99"/>
      <c r="AY742" s="19"/>
      <c r="AZ742" s="96" t="str">
        <f t="shared" si="214"/>
        <v>MDEC</v>
      </c>
      <c r="BA742" s="96">
        <f>IF(AZ742="n","n",VLOOKUP(AZ742,'Conversion factors'!$C$4:$D$24,2,FALSE))</f>
        <v>1</v>
      </c>
      <c r="BB742" s="96">
        <f t="shared" si="215"/>
        <v>16</v>
      </c>
      <c r="BC742" s="97"/>
      <c r="BD742" s="96" t="str">
        <f t="shared" si="210"/>
        <v>Chronic</v>
      </c>
      <c r="BE742" s="96" t="str">
        <f t="shared" si="216"/>
        <v>y</v>
      </c>
      <c r="BF742" s="98" t="str">
        <f t="shared" si="211"/>
        <v>MDEC</v>
      </c>
      <c r="BG742" s="96" t="str">
        <f>IF(BF742="","",IF(ISNUMBER(VLOOKUP(BF742,'Conversion factors'!$B$35:$C$52,2,FALSE)),"y","n"))</f>
        <v>n</v>
      </c>
      <c r="BH742" s="99"/>
    </row>
    <row r="743" spans="1:60" s="103" customFormat="1" ht="15.75" customHeight="1" x14ac:dyDescent="0.2">
      <c r="A743" s="18"/>
      <c r="B743" s="19">
        <v>727</v>
      </c>
      <c r="C743" s="19"/>
      <c r="D743" s="19">
        <v>115303</v>
      </c>
      <c r="E743" s="19" t="s">
        <v>1224</v>
      </c>
      <c r="F743" s="93">
        <v>2007</v>
      </c>
      <c r="G743" s="19" t="s">
        <v>1061</v>
      </c>
      <c r="H743" s="19"/>
      <c r="I743" s="19" t="s">
        <v>41</v>
      </c>
      <c r="J743" s="19" t="s">
        <v>567</v>
      </c>
      <c r="K743" s="19" t="s">
        <v>42</v>
      </c>
      <c r="L743" s="99" t="s">
        <v>43</v>
      </c>
      <c r="M743" s="19" t="s">
        <v>1303</v>
      </c>
      <c r="N743" s="19" t="s">
        <v>109</v>
      </c>
      <c r="O743" s="19" t="s">
        <v>264</v>
      </c>
      <c r="P743" s="19" t="s">
        <v>51</v>
      </c>
      <c r="Q743" s="19"/>
      <c r="R743" s="19" t="s">
        <v>256</v>
      </c>
      <c r="S743" s="19" t="s">
        <v>309</v>
      </c>
      <c r="T743" s="19" t="s">
        <v>1062</v>
      </c>
      <c r="U743" s="19" t="s">
        <v>49</v>
      </c>
      <c r="V743" s="19" t="s">
        <v>103</v>
      </c>
      <c r="W743" s="19" t="s">
        <v>231</v>
      </c>
      <c r="X743" s="19" t="s">
        <v>46</v>
      </c>
      <c r="Y743" s="29"/>
      <c r="Z743" s="19"/>
      <c r="AA743" s="19"/>
      <c r="AB743" s="19" t="s">
        <v>252</v>
      </c>
      <c r="AC743" s="19" t="s">
        <v>214</v>
      </c>
      <c r="AD743" s="19"/>
      <c r="AE743" s="19">
        <v>85</v>
      </c>
      <c r="AF743" s="19" t="s">
        <v>1298</v>
      </c>
      <c r="AG743" s="19" t="s">
        <v>270</v>
      </c>
      <c r="AH743" s="19"/>
      <c r="AI743" s="19"/>
      <c r="AJ743" s="101">
        <v>7.5</v>
      </c>
      <c r="AK743" s="19">
        <v>7.5</v>
      </c>
      <c r="AL743" s="19"/>
      <c r="AM743" s="19"/>
      <c r="AN743" s="19" t="s">
        <v>568</v>
      </c>
      <c r="AO743" s="19" t="s">
        <v>270</v>
      </c>
      <c r="AP743" s="94"/>
      <c r="AQ743" s="19" t="s">
        <v>365</v>
      </c>
      <c r="AR743" s="19" t="s">
        <v>241</v>
      </c>
      <c r="AS743" s="19"/>
      <c r="AT743" s="65" t="str">
        <f t="shared" si="209"/>
        <v>Y</v>
      </c>
      <c r="AU743" s="65" t="str">
        <f t="shared" si="213"/>
        <v>Y</v>
      </c>
      <c r="AV743" s="65" t="str">
        <f t="shared" si="217"/>
        <v>Y</v>
      </c>
      <c r="AW743" s="99"/>
      <c r="AX743" s="99"/>
      <c r="AY743" s="19"/>
      <c r="AZ743" s="96" t="str">
        <f t="shared" si="214"/>
        <v>IC10</v>
      </c>
      <c r="BA743" s="96">
        <f>IF(AZ743="n","n",VLOOKUP(AZ743,'Conversion factors'!$C$4:$D$24,2,FALSE))</f>
        <v>1</v>
      </c>
      <c r="BB743" s="96">
        <f t="shared" si="215"/>
        <v>28</v>
      </c>
      <c r="BC743" s="97"/>
      <c r="BD743" s="96" t="str">
        <f t="shared" si="210"/>
        <v>Chronic</v>
      </c>
      <c r="BE743" s="96" t="str">
        <f t="shared" si="216"/>
        <v>y</v>
      </c>
      <c r="BF743" s="98" t="str">
        <f t="shared" si="211"/>
        <v>IC10</v>
      </c>
      <c r="BG743" s="96" t="str">
        <f>IF(BF743="","",IF(ISNUMBER(VLOOKUP(BF743,'Conversion factors'!$B$35:$C$52,2,FALSE)),"y","n"))</f>
        <v>y</v>
      </c>
      <c r="BH743" s="99"/>
    </row>
    <row r="744" spans="1:60" s="103" customFormat="1" ht="15.75" customHeight="1" x14ac:dyDescent="0.2">
      <c r="A744" s="18"/>
      <c r="B744" s="19">
        <v>307</v>
      </c>
      <c r="C744" s="19"/>
      <c r="D744" s="19">
        <v>115303</v>
      </c>
      <c r="E744" s="19" t="s">
        <v>1224</v>
      </c>
      <c r="F744" s="93">
        <v>2007</v>
      </c>
      <c r="G744" s="19" t="s">
        <v>1061</v>
      </c>
      <c r="H744" s="19"/>
      <c r="I744" s="19" t="s">
        <v>41</v>
      </c>
      <c r="J744" s="19" t="s">
        <v>567</v>
      </c>
      <c r="K744" s="19" t="s">
        <v>42</v>
      </c>
      <c r="L744" s="19" t="s">
        <v>43</v>
      </c>
      <c r="M744" s="19" t="s">
        <v>1303</v>
      </c>
      <c r="N744" s="19" t="s">
        <v>109</v>
      </c>
      <c r="O744" s="19" t="s">
        <v>264</v>
      </c>
      <c r="P744" s="19" t="s">
        <v>51</v>
      </c>
      <c r="Q744" s="19"/>
      <c r="R744" s="19" t="s">
        <v>256</v>
      </c>
      <c r="S744" s="19" t="s">
        <v>309</v>
      </c>
      <c r="T744" s="19" t="s">
        <v>346</v>
      </c>
      <c r="U744" s="19" t="s">
        <v>346</v>
      </c>
      <c r="V744" s="19" t="s">
        <v>103</v>
      </c>
      <c r="W744" s="19" t="s">
        <v>231</v>
      </c>
      <c r="X744" s="19" t="s">
        <v>46</v>
      </c>
      <c r="Y744" s="29"/>
      <c r="Z744" s="19"/>
      <c r="AA744" s="19"/>
      <c r="AB744" s="19" t="s">
        <v>1013</v>
      </c>
      <c r="AC744" s="19" t="s">
        <v>214</v>
      </c>
      <c r="AD744" s="19"/>
      <c r="AE744" s="19">
        <v>85</v>
      </c>
      <c r="AF744" s="19" t="s">
        <v>1298</v>
      </c>
      <c r="AG744" s="19" t="s">
        <v>270</v>
      </c>
      <c r="AH744" s="19"/>
      <c r="AI744" s="19"/>
      <c r="AJ744" s="19">
        <v>7.5</v>
      </c>
      <c r="AK744" s="19">
        <v>7.5</v>
      </c>
      <c r="AL744" s="19"/>
      <c r="AM744" s="19" t="s">
        <v>234</v>
      </c>
      <c r="AN744" s="19" t="s">
        <v>568</v>
      </c>
      <c r="AO744" s="19" t="s">
        <v>270</v>
      </c>
      <c r="AP744" s="94"/>
      <c r="AQ744" s="19" t="s">
        <v>365</v>
      </c>
      <c r="AR744" s="19" t="s">
        <v>241</v>
      </c>
      <c r="AS744" s="19"/>
      <c r="AT744" s="65" t="str">
        <f t="shared" si="209"/>
        <v>Y</v>
      </c>
      <c r="AU744" s="65" t="str">
        <f t="shared" si="213"/>
        <v>Y</v>
      </c>
      <c r="AV744" s="65" t="str">
        <f t="shared" si="217"/>
        <v>Y</v>
      </c>
      <c r="AW744" s="99"/>
      <c r="AX744" s="99"/>
      <c r="AY744" s="19"/>
      <c r="AZ744" s="96" t="str">
        <f t="shared" si="214"/>
        <v>IC25</v>
      </c>
      <c r="BA744" s="96">
        <f>IF(AZ744="n","n",VLOOKUP(AZ744,'Conversion factors'!$C$4:$D$24,2,FALSE))</f>
        <v>2</v>
      </c>
      <c r="BB744" s="96">
        <f t="shared" si="215"/>
        <v>30.5</v>
      </c>
      <c r="BC744" s="97"/>
      <c r="BD744" s="96" t="str">
        <f t="shared" si="210"/>
        <v>Chronic</v>
      </c>
      <c r="BE744" s="96" t="str">
        <f t="shared" si="216"/>
        <v>y</v>
      </c>
      <c r="BF744" s="98" t="str">
        <f t="shared" si="211"/>
        <v>IC25</v>
      </c>
      <c r="BG744" s="96" t="str">
        <f>IF(BF744="","",IF(ISNUMBER(VLOOKUP(BF744,'Conversion factors'!$B$35:$C$52,2,FALSE)),"y","n"))</f>
        <v>n</v>
      </c>
      <c r="BH744" s="99" t="s">
        <v>1490</v>
      </c>
    </row>
    <row r="745" spans="1:60" s="103" customFormat="1" ht="15.75" customHeight="1" x14ac:dyDescent="0.2">
      <c r="A745" s="18"/>
      <c r="B745" s="19">
        <v>307</v>
      </c>
      <c r="C745" s="19"/>
      <c r="D745" s="19">
        <v>115303</v>
      </c>
      <c r="E745" s="19" t="s">
        <v>1224</v>
      </c>
      <c r="F745" s="93">
        <v>2007</v>
      </c>
      <c r="G745" s="19" t="s">
        <v>1061</v>
      </c>
      <c r="H745" s="19"/>
      <c r="I745" s="19" t="s">
        <v>41</v>
      </c>
      <c r="J745" s="19" t="s">
        <v>567</v>
      </c>
      <c r="K745" s="19" t="s">
        <v>42</v>
      </c>
      <c r="L745" s="19" t="s">
        <v>43</v>
      </c>
      <c r="M745" s="19" t="s">
        <v>1303</v>
      </c>
      <c r="N745" s="19" t="s">
        <v>109</v>
      </c>
      <c r="O745" s="19" t="s">
        <v>264</v>
      </c>
      <c r="P745" s="19" t="s">
        <v>51</v>
      </c>
      <c r="Q745" s="19"/>
      <c r="R745" s="19" t="s">
        <v>256</v>
      </c>
      <c r="S745" s="19" t="s">
        <v>309</v>
      </c>
      <c r="T745" s="19" t="s">
        <v>110</v>
      </c>
      <c r="U745" s="19" t="s">
        <v>44</v>
      </c>
      <c r="V745" s="19" t="s">
        <v>103</v>
      </c>
      <c r="W745" s="19" t="s">
        <v>231</v>
      </c>
      <c r="X745" s="19" t="s">
        <v>46</v>
      </c>
      <c r="Y745" s="29"/>
      <c r="Z745" s="19"/>
      <c r="AA745" s="19"/>
      <c r="AB745" s="19" t="s">
        <v>622</v>
      </c>
      <c r="AC745" s="19" t="s">
        <v>214</v>
      </c>
      <c r="AD745" s="19"/>
      <c r="AE745" s="19">
        <v>85</v>
      </c>
      <c r="AF745" s="19" t="s">
        <v>1298</v>
      </c>
      <c r="AG745" s="19" t="s">
        <v>270</v>
      </c>
      <c r="AH745" s="19"/>
      <c r="AI745" s="19"/>
      <c r="AJ745" s="19">
        <v>7.5</v>
      </c>
      <c r="AK745" s="19">
        <v>7.5</v>
      </c>
      <c r="AL745" s="19"/>
      <c r="AM745" s="19" t="s">
        <v>234</v>
      </c>
      <c r="AN745" s="19" t="s">
        <v>568</v>
      </c>
      <c r="AO745" s="19" t="s">
        <v>270</v>
      </c>
      <c r="AP745" s="94"/>
      <c r="AQ745" s="19" t="s">
        <v>365</v>
      </c>
      <c r="AR745" s="19" t="s">
        <v>241</v>
      </c>
      <c r="AS745" s="19"/>
      <c r="AT745" s="65" t="str">
        <f t="shared" si="209"/>
        <v>Y</v>
      </c>
      <c r="AU745" s="65" t="str">
        <f t="shared" si="213"/>
        <v>Y</v>
      </c>
      <c r="AV745" s="65" t="str">
        <f t="shared" si="217"/>
        <v>Y</v>
      </c>
      <c r="AW745" s="99"/>
      <c r="AX745" s="99"/>
      <c r="AY745" s="19"/>
      <c r="AZ745" s="96" t="str">
        <f t="shared" si="214"/>
        <v>IC50</v>
      </c>
      <c r="BA745" s="96">
        <f>IF(AZ745="n","n",VLOOKUP(AZ745,'Conversion factors'!$C$4:$D$24,2,FALSE))</f>
        <v>5</v>
      </c>
      <c r="BB745" s="96">
        <f t="shared" si="215"/>
        <v>22</v>
      </c>
      <c r="BC745" s="97"/>
      <c r="BD745" s="96" t="str">
        <f t="shared" si="210"/>
        <v>Chronic</v>
      </c>
      <c r="BE745" s="96" t="str">
        <f t="shared" si="216"/>
        <v>y</v>
      </c>
      <c r="BF745" s="98" t="str">
        <f t="shared" si="211"/>
        <v>IC50</v>
      </c>
      <c r="BG745" s="96" t="str">
        <f>IF(BF745="","",IF(ISNUMBER(VLOOKUP(BF745,'Conversion factors'!$B$35:$C$52,2,FALSE)),"y","n"))</f>
        <v>n</v>
      </c>
      <c r="BH745" s="99" t="s">
        <v>1490</v>
      </c>
    </row>
    <row r="746" spans="1:60" s="19" customFormat="1" ht="15.75" customHeight="1" x14ac:dyDescent="0.2">
      <c r="A746" s="19">
        <v>1345</v>
      </c>
      <c r="B746" s="93" t="s">
        <v>1520</v>
      </c>
      <c r="D746" s="19">
        <v>115303</v>
      </c>
      <c r="E746" s="19" t="s">
        <v>1224</v>
      </c>
      <c r="F746" s="93">
        <v>2007</v>
      </c>
      <c r="G746" s="19" t="s">
        <v>1061</v>
      </c>
      <c r="I746" s="19" t="s">
        <v>41</v>
      </c>
      <c r="J746" s="19" t="s">
        <v>567</v>
      </c>
      <c r="K746" s="19" t="s">
        <v>42</v>
      </c>
      <c r="L746" s="19" t="s">
        <v>43</v>
      </c>
      <c r="M746" s="19" t="s">
        <v>1303</v>
      </c>
      <c r="N746" s="19" t="s">
        <v>109</v>
      </c>
      <c r="O746" s="19" t="s">
        <v>264</v>
      </c>
      <c r="P746" s="19" t="s">
        <v>51</v>
      </c>
      <c r="R746" s="19" t="s">
        <v>256</v>
      </c>
      <c r="S746" s="19" t="s">
        <v>54</v>
      </c>
      <c r="T746" s="19" t="s">
        <v>54</v>
      </c>
      <c r="U746" s="19" t="s">
        <v>54</v>
      </c>
      <c r="V746" s="19">
        <v>3</v>
      </c>
      <c r="W746" s="19" t="s">
        <v>45</v>
      </c>
      <c r="X746" s="35" t="s">
        <v>46</v>
      </c>
      <c r="Y746" s="35"/>
      <c r="Z746" s="35"/>
      <c r="AB746" s="19" t="s">
        <v>97</v>
      </c>
      <c r="AE746" s="19">
        <v>85</v>
      </c>
      <c r="AJ746" s="19">
        <v>7.5</v>
      </c>
      <c r="AK746" s="19">
        <v>8.5</v>
      </c>
      <c r="AM746" s="19" t="s">
        <v>568</v>
      </c>
      <c r="AN746" s="19" t="s">
        <v>568</v>
      </c>
      <c r="AO746" s="19" t="s">
        <v>270</v>
      </c>
      <c r="AP746" s="94"/>
      <c r="AQ746" s="19" t="s">
        <v>365</v>
      </c>
      <c r="AR746" s="19" t="s">
        <v>241</v>
      </c>
      <c r="AS746" s="114"/>
      <c r="AT746" s="65" t="str">
        <f t="shared" si="209"/>
        <v>N</v>
      </c>
      <c r="AU746" s="65" t="str">
        <f t="shared" si="213"/>
        <v>N</v>
      </c>
      <c r="AV746" s="65" t="str">
        <f t="shared" si="217"/>
        <v>N</v>
      </c>
      <c r="AW746" s="99"/>
      <c r="AX746" s="99"/>
      <c r="AY746" s="96"/>
      <c r="AZ746" s="96" t="str">
        <f t="shared" si="214"/>
        <v>n</v>
      </c>
      <c r="BA746" s="96" t="str">
        <f>IF(AZ746="n","n",VLOOKUP(AZ746,'Conversion factors'!$C$4:$D$24,2,FALSE))</f>
        <v>n</v>
      </c>
      <c r="BB746" s="96" t="str">
        <f t="shared" si="215"/>
        <v>n</v>
      </c>
      <c r="BC746" s="97"/>
      <c r="BD746" s="96" t="str">
        <f t="shared" si="210"/>
        <v>n</v>
      </c>
      <c r="BE746" s="96" t="str">
        <f t="shared" si="216"/>
        <v>n</v>
      </c>
      <c r="BF746" s="98" t="str">
        <f t="shared" si="211"/>
        <v/>
      </c>
      <c r="BG746" s="96" t="str">
        <f>IF(BF746="","",IF(ISNUMBER(VLOOKUP(BF746,'Conversion factors'!$B$35:$C$52,2,FALSE)),"y","n"))</f>
        <v/>
      </c>
      <c r="BH746" s="99" t="s">
        <v>1490</v>
      </c>
    </row>
    <row r="747" spans="1:60" s="19" customFormat="1" ht="15.75" customHeight="1" x14ac:dyDescent="0.2">
      <c r="A747" s="19">
        <v>1346</v>
      </c>
      <c r="B747" s="93" t="s">
        <v>1521</v>
      </c>
      <c r="D747" s="19">
        <v>115303</v>
      </c>
      <c r="E747" s="19" t="s">
        <v>1224</v>
      </c>
      <c r="F747" s="93">
        <v>2007</v>
      </c>
      <c r="G747" s="19" t="s">
        <v>1061</v>
      </c>
      <c r="I747" s="19" t="s">
        <v>41</v>
      </c>
      <c r="J747" s="19" t="s">
        <v>567</v>
      </c>
      <c r="K747" s="19" t="s">
        <v>42</v>
      </c>
      <c r="L747" s="19" t="s">
        <v>43</v>
      </c>
      <c r="M747" s="19" t="s">
        <v>1303</v>
      </c>
      <c r="N747" s="19" t="s">
        <v>109</v>
      </c>
      <c r="O747" s="19" t="s">
        <v>264</v>
      </c>
      <c r="P747" s="19" t="s">
        <v>51</v>
      </c>
      <c r="R747" s="19" t="s">
        <v>256</v>
      </c>
      <c r="S747" s="19" t="s">
        <v>55</v>
      </c>
      <c r="T747" s="19" t="s">
        <v>55</v>
      </c>
      <c r="U747" s="19" t="s">
        <v>55</v>
      </c>
      <c r="V747" s="19">
        <v>3</v>
      </c>
      <c r="W747" s="19" t="s">
        <v>45</v>
      </c>
      <c r="X747" s="35" t="s">
        <v>46</v>
      </c>
      <c r="Y747" s="35"/>
      <c r="Z747" s="35"/>
      <c r="AB747" s="19" t="s">
        <v>1016</v>
      </c>
      <c r="AE747" s="19">
        <v>85</v>
      </c>
      <c r="AJ747" s="19">
        <v>7.5</v>
      </c>
      <c r="AK747" s="19">
        <v>9.5</v>
      </c>
      <c r="AM747" s="19" t="s">
        <v>568</v>
      </c>
      <c r="AN747" s="19" t="s">
        <v>568</v>
      </c>
      <c r="AO747" s="19" t="s">
        <v>270</v>
      </c>
      <c r="AP747" s="94"/>
      <c r="AQ747" s="19" t="s">
        <v>365</v>
      </c>
      <c r="AR747" s="19" t="s">
        <v>241</v>
      </c>
      <c r="AS747" s="114"/>
      <c r="AT747" s="65" t="str">
        <f t="shared" si="209"/>
        <v>N</v>
      </c>
      <c r="AU747" s="65" t="str">
        <f t="shared" si="213"/>
        <v>N</v>
      </c>
      <c r="AV747" s="65" t="str">
        <f t="shared" si="217"/>
        <v>N</v>
      </c>
      <c r="AW747" s="99"/>
      <c r="AX747" s="99"/>
      <c r="AY747" s="96"/>
      <c r="AZ747" s="96" t="str">
        <f t="shared" si="214"/>
        <v>n</v>
      </c>
      <c r="BA747" s="96" t="str">
        <f>IF(AZ747="n","n",VLOOKUP(AZ747,'Conversion factors'!$C$4:$D$24,2,FALSE))</f>
        <v>n</v>
      </c>
      <c r="BB747" s="96" t="str">
        <f t="shared" si="215"/>
        <v>n</v>
      </c>
      <c r="BC747" s="97"/>
      <c r="BD747" s="96" t="str">
        <f t="shared" si="210"/>
        <v>n</v>
      </c>
      <c r="BE747" s="96" t="str">
        <f t="shared" si="216"/>
        <v>n</v>
      </c>
      <c r="BF747" s="98" t="str">
        <f t="shared" si="211"/>
        <v/>
      </c>
      <c r="BG747" s="96" t="str">
        <f>IF(BF747="","",IF(ISNUMBER(VLOOKUP(BF747,'Conversion factors'!$B$35:$C$52,2,FALSE)),"y","n"))</f>
        <v/>
      </c>
      <c r="BH747" s="99" t="s">
        <v>1490</v>
      </c>
    </row>
    <row r="748" spans="1:60" s="103" customFormat="1" ht="15.75" customHeight="1" x14ac:dyDescent="0.2">
      <c r="A748" s="18"/>
      <c r="B748" s="19">
        <v>323</v>
      </c>
      <c r="C748" s="19"/>
      <c r="D748" s="19">
        <v>164647</v>
      </c>
      <c r="E748" s="19" t="s">
        <v>1224</v>
      </c>
      <c r="F748" s="93">
        <v>2011</v>
      </c>
      <c r="G748" s="19" t="s">
        <v>1144</v>
      </c>
      <c r="H748" s="19"/>
      <c r="I748" s="19" t="s">
        <v>41</v>
      </c>
      <c r="J748" s="19" t="s">
        <v>567</v>
      </c>
      <c r="K748" s="19" t="s">
        <v>42</v>
      </c>
      <c r="L748" s="19" t="s">
        <v>43</v>
      </c>
      <c r="M748" s="19" t="s">
        <v>1303</v>
      </c>
      <c r="N748" s="19" t="s">
        <v>109</v>
      </c>
      <c r="O748" s="19" t="s">
        <v>235</v>
      </c>
      <c r="P748" s="19" t="s">
        <v>51</v>
      </c>
      <c r="Q748" s="19"/>
      <c r="R748" s="19" t="s">
        <v>256</v>
      </c>
      <c r="S748" s="19" t="s">
        <v>304</v>
      </c>
      <c r="T748" s="19" t="s">
        <v>55</v>
      </c>
      <c r="U748" s="19" t="s">
        <v>55</v>
      </c>
      <c r="V748" s="19" t="s">
        <v>619</v>
      </c>
      <c r="W748" s="19" t="s">
        <v>45</v>
      </c>
      <c r="X748" s="19" t="s">
        <v>46</v>
      </c>
      <c r="Y748" s="29"/>
      <c r="Z748" s="19"/>
      <c r="AA748" s="19"/>
      <c r="AB748" s="19" t="s">
        <v>1148</v>
      </c>
      <c r="AC748" s="19" t="s">
        <v>1322</v>
      </c>
      <c r="AD748" s="19"/>
      <c r="AE748" s="19"/>
      <c r="AF748" s="19"/>
      <c r="AG748" s="19" t="s">
        <v>235</v>
      </c>
      <c r="AH748" s="19"/>
      <c r="AI748" s="19"/>
      <c r="AJ748" s="19" t="s">
        <v>234</v>
      </c>
      <c r="AK748" s="19" t="s">
        <v>234</v>
      </c>
      <c r="AL748" s="19"/>
      <c r="AM748" s="19" t="s">
        <v>234</v>
      </c>
      <c r="AN748" s="19" t="s">
        <v>234</v>
      </c>
      <c r="AO748" s="19" t="s">
        <v>235</v>
      </c>
      <c r="AP748" s="94"/>
      <c r="AQ748" s="19" t="s">
        <v>102</v>
      </c>
      <c r="AR748" s="19" t="s">
        <v>241</v>
      </c>
      <c r="AS748" s="19"/>
      <c r="AT748" s="65" t="str">
        <f t="shared" si="209"/>
        <v>N</v>
      </c>
      <c r="AU748" s="65" t="str">
        <f t="shared" si="213"/>
        <v>N</v>
      </c>
      <c r="AV748" s="65" t="str">
        <f t="shared" si="217"/>
        <v>N</v>
      </c>
      <c r="AW748" s="99"/>
      <c r="AX748" s="99"/>
      <c r="AY748" s="19"/>
      <c r="AZ748" s="96" t="str">
        <f t="shared" si="214"/>
        <v>n</v>
      </c>
      <c r="BA748" s="96" t="str">
        <f>IF(AZ748="n","n",VLOOKUP(AZ748,'Conversion factors'!$C$4:$D$24,2,FALSE))</f>
        <v>n</v>
      </c>
      <c r="BB748" s="96" t="str">
        <f t="shared" si="215"/>
        <v>n</v>
      </c>
      <c r="BC748" s="97"/>
      <c r="BD748" s="96" t="str">
        <f t="shared" si="210"/>
        <v>n</v>
      </c>
      <c r="BE748" s="96" t="str">
        <f t="shared" si="216"/>
        <v>n</v>
      </c>
      <c r="BF748" s="98" t="str">
        <f t="shared" si="211"/>
        <v/>
      </c>
      <c r="BG748" s="96" t="str">
        <f>IF(BF748="","",IF(ISNUMBER(VLOOKUP(BF748,'Conversion factors'!$B$35:$C$52,2,FALSE)),"y","n"))</f>
        <v/>
      </c>
      <c r="BH748" s="99" t="s">
        <v>1511</v>
      </c>
    </row>
    <row r="749" spans="1:60" s="103" customFormat="1" ht="15.75" customHeight="1" x14ac:dyDescent="0.2">
      <c r="A749" s="18"/>
      <c r="B749" s="19">
        <v>323</v>
      </c>
      <c r="C749" s="19"/>
      <c r="D749" s="19">
        <v>164647</v>
      </c>
      <c r="E749" s="19" t="s">
        <v>1224</v>
      </c>
      <c r="F749" s="93">
        <v>2011</v>
      </c>
      <c r="G749" s="19" t="s">
        <v>1144</v>
      </c>
      <c r="H749" s="19"/>
      <c r="I749" s="19" t="s">
        <v>41</v>
      </c>
      <c r="J749" s="19" t="s">
        <v>567</v>
      </c>
      <c r="K749" s="19" t="s">
        <v>42</v>
      </c>
      <c r="L749" s="19" t="s">
        <v>43</v>
      </c>
      <c r="M749" s="19" t="s">
        <v>1303</v>
      </c>
      <c r="N749" s="19" t="s">
        <v>109</v>
      </c>
      <c r="O749" s="19" t="s">
        <v>235</v>
      </c>
      <c r="P749" s="19" t="s">
        <v>51</v>
      </c>
      <c r="Q749" s="19"/>
      <c r="R749" s="19" t="s">
        <v>256</v>
      </c>
      <c r="S749" s="19" t="s">
        <v>304</v>
      </c>
      <c r="T749" s="19" t="s">
        <v>55</v>
      </c>
      <c r="U749" s="19" t="s">
        <v>55</v>
      </c>
      <c r="V749" s="19" t="s">
        <v>619</v>
      </c>
      <c r="W749" s="19" t="s">
        <v>45</v>
      </c>
      <c r="X749" s="19" t="s">
        <v>46</v>
      </c>
      <c r="Y749" s="29"/>
      <c r="Z749" s="19"/>
      <c r="AA749" s="19"/>
      <c r="AB749" s="19" t="s">
        <v>1148</v>
      </c>
      <c r="AC749" s="19" t="s">
        <v>1322</v>
      </c>
      <c r="AD749" s="19"/>
      <c r="AE749" s="19"/>
      <c r="AF749" s="19"/>
      <c r="AG749" s="19" t="s">
        <v>235</v>
      </c>
      <c r="AH749" s="19"/>
      <c r="AI749" s="19"/>
      <c r="AJ749" s="19" t="s">
        <v>234</v>
      </c>
      <c r="AK749" s="19" t="s">
        <v>234</v>
      </c>
      <c r="AL749" s="19"/>
      <c r="AM749" s="19" t="s">
        <v>234</v>
      </c>
      <c r="AN749" s="19" t="s">
        <v>234</v>
      </c>
      <c r="AO749" s="19" t="s">
        <v>235</v>
      </c>
      <c r="AP749" s="94"/>
      <c r="AQ749" s="19" t="s">
        <v>102</v>
      </c>
      <c r="AR749" s="19" t="s">
        <v>241</v>
      </c>
      <c r="AS749" s="19"/>
      <c r="AT749" s="65" t="str">
        <f t="shared" si="209"/>
        <v>N</v>
      </c>
      <c r="AU749" s="65" t="str">
        <f t="shared" si="213"/>
        <v>N</v>
      </c>
      <c r="AV749" s="65" t="str">
        <f t="shared" si="217"/>
        <v>N</v>
      </c>
      <c r="AW749" s="99"/>
      <c r="AX749" s="99"/>
      <c r="AY749" s="19"/>
      <c r="AZ749" s="96" t="str">
        <f t="shared" si="214"/>
        <v>n</v>
      </c>
      <c r="BA749" s="96" t="str">
        <f>IF(AZ749="n","n",VLOOKUP(AZ749,'Conversion factors'!$C$4:$D$24,2,FALSE))</f>
        <v>n</v>
      </c>
      <c r="BB749" s="96" t="str">
        <f t="shared" si="215"/>
        <v>n</v>
      </c>
      <c r="BC749" s="97"/>
      <c r="BD749" s="96" t="str">
        <f t="shared" si="210"/>
        <v>n</v>
      </c>
      <c r="BE749" s="96" t="str">
        <f t="shared" si="216"/>
        <v>n</v>
      </c>
      <c r="BF749" s="98" t="str">
        <f t="shared" si="211"/>
        <v/>
      </c>
      <c r="BG749" s="96" t="str">
        <f>IF(BF749="","",IF(ISNUMBER(VLOOKUP(BF749,'Conversion factors'!$B$35:$C$52,2,FALSE)),"y","n"))</f>
        <v/>
      </c>
      <c r="BH749" s="99" t="s">
        <v>1511</v>
      </c>
    </row>
    <row r="750" spans="1:60" s="103" customFormat="1" ht="15.75" customHeight="1" x14ac:dyDescent="0.2">
      <c r="A750" s="18"/>
      <c r="B750" s="19">
        <v>323</v>
      </c>
      <c r="C750" s="19"/>
      <c r="D750" s="19">
        <v>164647</v>
      </c>
      <c r="E750" s="19" t="s">
        <v>1224</v>
      </c>
      <c r="F750" s="93">
        <v>2011</v>
      </c>
      <c r="G750" s="19" t="s">
        <v>1144</v>
      </c>
      <c r="H750" s="19"/>
      <c r="I750" s="19" t="s">
        <v>41</v>
      </c>
      <c r="J750" s="19" t="s">
        <v>567</v>
      </c>
      <c r="K750" s="19" t="s">
        <v>42</v>
      </c>
      <c r="L750" s="19" t="s">
        <v>43</v>
      </c>
      <c r="M750" s="19" t="s">
        <v>1303</v>
      </c>
      <c r="N750" s="19" t="s">
        <v>109</v>
      </c>
      <c r="O750" s="19" t="s">
        <v>235</v>
      </c>
      <c r="P750" s="19" t="s">
        <v>51</v>
      </c>
      <c r="Q750" s="19"/>
      <c r="R750" s="19" t="s">
        <v>256</v>
      </c>
      <c r="S750" s="19" t="s">
        <v>304</v>
      </c>
      <c r="T750" s="19" t="s">
        <v>55</v>
      </c>
      <c r="U750" s="19" t="s">
        <v>55</v>
      </c>
      <c r="V750" s="19" t="s">
        <v>619</v>
      </c>
      <c r="W750" s="19" t="s">
        <v>45</v>
      </c>
      <c r="X750" s="19" t="s">
        <v>46</v>
      </c>
      <c r="Y750" s="29"/>
      <c r="Z750" s="19"/>
      <c r="AA750" s="19"/>
      <c r="AB750" s="19" t="s">
        <v>1149</v>
      </c>
      <c r="AC750" s="19" t="s">
        <v>1322</v>
      </c>
      <c r="AD750" s="19"/>
      <c r="AE750" s="19"/>
      <c r="AF750" s="19"/>
      <c r="AG750" s="19" t="s">
        <v>235</v>
      </c>
      <c r="AH750" s="19"/>
      <c r="AI750" s="19"/>
      <c r="AJ750" s="19" t="s">
        <v>234</v>
      </c>
      <c r="AK750" s="19" t="s">
        <v>234</v>
      </c>
      <c r="AL750" s="19"/>
      <c r="AM750" s="19" t="s">
        <v>234</v>
      </c>
      <c r="AN750" s="19" t="s">
        <v>234</v>
      </c>
      <c r="AO750" s="19" t="s">
        <v>235</v>
      </c>
      <c r="AP750" s="94"/>
      <c r="AQ750" s="19" t="s">
        <v>102</v>
      </c>
      <c r="AR750" s="19" t="s">
        <v>241</v>
      </c>
      <c r="AS750" s="19"/>
      <c r="AT750" s="65" t="str">
        <f t="shared" si="209"/>
        <v>N</v>
      </c>
      <c r="AU750" s="65" t="str">
        <f t="shared" si="213"/>
        <v>N</v>
      </c>
      <c r="AV750" s="65" t="str">
        <f t="shared" si="217"/>
        <v>N</v>
      </c>
      <c r="AW750" s="99"/>
      <c r="AX750" s="99"/>
      <c r="AY750" s="19"/>
      <c r="AZ750" s="96" t="str">
        <f t="shared" si="214"/>
        <v>n</v>
      </c>
      <c r="BA750" s="96" t="str">
        <f>IF(AZ750="n","n",VLOOKUP(AZ750,'Conversion factors'!$C$4:$D$24,2,FALSE))</f>
        <v>n</v>
      </c>
      <c r="BB750" s="96" t="str">
        <f t="shared" si="215"/>
        <v>n</v>
      </c>
      <c r="BC750" s="97"/>
      <c r="BD750" s="96" t="str">
        <f t="shared" si="210"/>
        <v>n</v>
      </c>
      <c r="BE750" s="96" t="str">
        <f t="shared" si="216"/>
        <v>n</v>
      </c>
      <c r="BF750" s="98" t="str">
        <f t="shared" si="211"/>
        <v/>
      </c>
      <c r="BG750" s="96" t="str">
        <f>IF(BF750="","",IF(ISNUMBER(VLOOKUP(BF750,'Conversion factors'!$B$35:$C$52,2,FALSE)),"y","n"))</f>
        <v/>
      </c>
      <c r="BH750" s="99" t="s">
        <v>1511</v>
      </c>
    </row>
    <row r="751" spans="1:60" s="103" customFormat="1" ht="15.75" customHeight="1" x14ac:dyDescent="0.2">
      <c r="A751" s="18"/>
      <c r="B751" s="19">
        <v>323</v>
      </c>
      <c r="C751" s="19"/>
      <c r="D751" s="19">
        <v>164647</v>
      </c>
      <c r="E751" s="19" t="s">
        <v>1224</v>
      </c>
      <c r="F751" s="93">
        <v>2011</v>
      </c>
      <c r="G751" s="19" t="s">
        <v>1144</v>
      </c>
      <c r="H751" s="19"/>
      <c r="I751" s="19" t="s">
        <v>41</v>
      </c>
      <c r="J751" s="19" t="s">
        <v>567</v>
      </c>
      <c r="K751" s="19" t="s">
        <v>42</v>
      </c>
      <c r="L751" s="19" t="s">
        <v>43</v>
      </c>
      <c r="M751" s="19" t="s">
        <v>1303</v>
      </c>
      <c r="N751" s="19" t="s">
        <v>109</v>
      </c>
      <c r="O751" s="19" t="s">
        <v>235</v>
      </c>
      <c r="P751" s="19" t="s">
        <v>51</v>
      </c>
      <c r="Q751" s="19"/>
      <c r="R751" s="19" t="s">
        <v>256</v>
      </c>
      <c r="S751" s="19" t="s">
        <v>304</v>
      </c>
      <c r="T751" s="19" t="s">
        <v>55</v>
      </c>
      <c r="U751" s="19" t="s">
        <v>55</v>
      </c>
      <c r="V751" s="19" t="s">
        <v>619</v>
      </c>
      <c r="W751" s="19" t="s">
        <v>45</v>
      </c>
      <c r="X751" s="19" t="s">
        <v>46</v>
      </c>
      <c r="Y751" s="29"/>
      <c r="Z751" s="19"/>
      <c r="AA751" s="19"/>
      <c r="AB751" s="19" t="s">
        <v>1149</v>
      </c>
      <c r="AC751" s="19" t="s">
        <v>1322</v>
      </c>
      <c r="AD751" s="19"/>
      <c r="AE751" s="19"/>
      <c r="AF751" s="19"/>
      <c r="AG751" s="19" t="s">
        <v>235</v>
      </c>
      <c r="AH751" s="19"/>
      <c r="AI751" s="19"/>
      <c r="AJ751" s="19" t="s">
        <v>234</v>
      </c>
      <c r="AK751" s="19" t="s">
        <v>234</v>
      </c>
      <c r="AL751" s="19"/>
      <c r="AM751" s="19" t="s">
        <v>234</v>
      </c>
      <c r="AN751" s="19" t="s">
        <v>234</v>
      </c>
      <c r="AO751" s="19" t="s">
        <v>235</v>
      </c>
      <c r="AP751" s="94"/>
      <c r="AQ751" s="19" t="s">
        <v>102</v>
      </c>
      <c r="AR751" s="19" t="s">
        <v>241</v>
      </c>
      <c r="AS751" s="19"/>
      <c r="AT751" s="65" t="str">
        <f t="shared" si="209"/>
        <v>N</v>
      </c>
      <c r="AU751" s="65" t="str">
        <f t="shared" si="213"/>
        <v>N</v>
      </c>
      <c r="AV751" s="65" t="str">
        <f t="shared" si="217"/>
        <v>N</v>
      </c>
      <c r="AW751" s="99"/>
      <c r="AX751" s="99"/>
      <c r="AY751" s="19"/>
      <c r="AZ751" s="96" t="str">
        <f t="shared" si="214"/>
        <v>n</v>
      </c>
      <c r="BA751" s="96" t="str">
        <f>IF(AZ751="n","n",VLOOKUP(AZ751,'Conversion factors'!$C$4:$D$24,2,FALSE))</f>
        <v>n</v>
      </c>
      <c r="BB751" s="96" t="str">
        <f t="shared" si="215"/>
        <v>n</v>
      </c>
      <c r="BC751" s="97"/>
      <c r="BD751" s="96" t="str">
        <f t="shared" si="210"/>
        <v>n</v>
      </c>
      <c r="BE751" s="96" t="str">
        <f t="shared" si="216"/>
        <v>n</v>
      </c>
      <c r="BF751" s="98" t="str">
        <f t="shared" si="211"/>
        <v/>
      </c>
      <c r="BG751" s="96" t="str">
        <f>IF(BF751="","",IF(ISNUMBER(VLOOKUP(BF751,'Conversion factors'!$B$35:$C$52,2,FALSE)),"y","n"))</f>
        <v/>
      </c>
      <c r="BH751" s="99" t="s">
        <v>1511</v>
      </c>
    </row>
    <row r="752" spans="1:60" s="103" customFormat="1" ht="15.75" customHeight="1" x14ac:dyDescent="0.2">
      <c r="A752" s="18"/>
      <c r="B752" s="19">
        <v>323</v>
      </c>
      <c r="C752" s="19"/>
      <c r="D752" s="19">
        <v>164647</v>
      </c>
      <c r="E752" s="19" t="s">
        <v>1224</v>
      </c>
      <c r="F752" s="93">
        <v>2011</v>
      </c>
      <c r="G752" s="19" t="s">
        <v>1144</v>
      </c>
      <c r="H752" s="19"/>
      <c r="I752" s="19" t="s">
        <v>41</v>
      </c>
      <c r="J752" s="19" t="s">
        <v>567</v>
      </c>
      <c r="K752" s="19" t="s">
        <v>42</v>
      </c>
      <c r="L752" s="19" t="s">
        <v>43</v>
      </c>
      <c r="M752" s="19" t="s">
        <v>1303</v>
      </c>
      <c r="N752" s="19" t="s">
        <v>109</v>
      </c>
      <c r="O752" s="19" t="s">
        <v>235</v>
      </c>
      <c r="P752" s="19" t="s">
        <v>51</v>
      </c>
      <c r="Q752" s="19"/>
      <c r="R752" s="19" t="s">
        <v>256</v>
      </c>
      <c r="S752" s="19" t="s">
        <v>304</v>
      </c>
      <c r="T752" s="19" t="s">
        <v>55</v>
      </c>
      <c r="U752" s="19" t="s">
        <v>55</v>
      </c>
      <c r="V752" s="19" t="s">
        <v>444</v>
      </c>
      <c r="W752" s="19" t="s">
        <v>45</v>
      </c>
      <c r="X752" s="19" t="s">
        <v>46</v>
      </c>
      <c r="Y752" s="29"/>
      <c r="Z752" s="19"/>
      <c r="AA752" s="19"/>
      <c r="AB752" s="19" t="s">
        <v>1148</v>
      </c>
      <c r="AC752" s="19" t="s">
        <v>1322</v>
      </c>
      <c r="AD752" s="19"/>
      <c r="AE752" s="19"/>
      <c r="AF752" s="19"/>
      <c r="AG752" s="19" t="s">
        <v>235</v>
      </c>
      <c r="AH752" s="19"/>
      <c r="AI752" s="19"/>
      <c r="AJ752" s="19" t="s">
        <v>234</v>
      </c>
      <c r="AK752" s="19" t="s">
        <v>234</v>
      </c>
      <c r="AL752" s="19"/>
      <c r="AM752" s="19" t="s">
        <v>234</v>
      </c>
      <c r="AN752" s="19" t="s">
        <v>234</v>
      </c>
      <c r="AO752" s="19" t="s">
        <v>235</v>
      </c>
      <c r="AP752" s="94"/>
      <c r="AQ752" s="19" t="s">
        <v>102</v>
      </c>
      <c r="AR752" s="19" t="s">
        <v>241</v>
      </c>
      <c r="AS752" s="19"/>
      <c r="AT752" s="65" t="str">
        <f t="shared" si="209"/>
        <v>N</v>
      </c>
      <c r="AU752" s="65" t="str">
        <f t="shared" si="213"/>
        <v>N</v>
      </c>
      <c r="AV752" s="65" t="str">
        <f t="shared" si="217"/>
        <v>N</v>
      </c>
      <c r="AW752" s="99"/>
      <c r="AX752" s="99"/>
      <c r="AY752" s="19"/>
      <c r="AZ752" s="96" t="str">
        <f t="shared" si="214"/>
        <v>n</v>
      </c>
      <c r="BA752" s="96" t="str">
        <f>IF(AZ752="n","n",VLOOKUP(AZ752,'Conversion factors'!$C$4:$D$24,2,FALSE))</f>
        <v>n</v>
      </c>
      <c r="BB752" s="96" t="str">
        <f t="shared" si="215"/>
        <v>n</v>
      </c>
      <c r="BC752" s="97"/>
      <c r="BD752" s="96" t="str">
        <f t="shared" si="210"/>
        <v>n</v>
      </c>
      <c r="BE752" s="96" t="str">
        <f t="shared" si="216"/>
        <v>n</v>
      </c>
      <c r="BF752" s="98" t="str">
        <f t="shared" si="211"/>
        <v/>
      </c>
      <c r="BG752" s="96" t="str">
        <f>IF(BF752="","",IF(ISNUMBER(VLOOKUP(BF752,'Conversion factors'!$B$35:$C$52,2,FALSE)),"y","n"))</f>
        <v/>
      </c>
      <c r="BH752" s="99" t="s">
        <v>1511</v>
      </c>
    </row>
    <row r="753" spans="1:60" s="103" customFormat="1" ht="15.75" customHeight="1" x14ac:dyDescent="0.2">
      <c r="A753" s="18"/>
      <c r="B753" s="19">
        <v>323</v>
      </c>
      <c r="C753" s="19"/>
      <c r="D753" s="19">
        <v>164647</v>
      </c>
      <c r="E753" s="19" t="s">
        <v>1224</v>
      </c>
      <c r="F753" s="93">
        <v>2011</v>
      </c>
      <c r="G753" s="19" t="s">
        <v>1144</v>
      </c>
      <c r="H753" s="19"/>
      <c r="I753" s="19" t="s">
        <v>41</v>
      </c>
      <c r="J753" s="19" t="s">
        <v>567</v>
      </c>
      <c r="K753" s="19" t="s">
        <v>42</v>
      </c>
      <c r="L753" s="19" t="s">
        <v>43</v>
      </c>
      <c r="M753" s="19" t="s">
        <v>1303</v>
      </c>
      <c r="N753" s="19" t="s">
        <v>109</v>
      </c>
      <c r="O753" s="19" t="s">
        <v>235</v>
      </c>
      <c r="P753" s="19" t="s">
        <v>51</v>
      </c>
      <c r="Q753" s="19"/>
      <c r="R753" s="19" t="s">
        <v>256</v>
      </c>
      <c r="S753" s="19" t="s">
        <v>304</v>
      </c>
      <c r="T753" s="19" t="s">
        <v>55</v>
      </c>
      <c r="U753" s="19" t="s">
        <v>55</v>
      </c>
      <c r="V753" s="19" t="s">
        <v>444</v>
      </c>
      <c r="W753" s="19" t="s">
        <v>45</v>
      </c>
      <c r="X753" s="19" t="s">
        <v>46</v>
      </c>
      <c r="Y753" s="29"/>
      <c r="Z753" s="19"/>
      <c r="AA753" s="19"/>
      <c r="AB753" s="19" t="s">
        <v>1148</v>
      </c>
      <c r="AC753" s="19" t="s">
        <v>1322</v>
      </c>
      <c r="AD753" s="19"/>
      <c r="AE753" s="19"/>
      <c r="AF753" s="19"/>
      <c r="AG753" s="19" t="s">
        <v>235</v>
      </c>
      <c r="AH753" s="19"/>
      <c r="AI753" s="19"/>
      <c r="AJ753" s="19" t="s">
        <v>234</v>
      </c>
      <c r="AK753" s="19" t="s">
        <v>234</v>
      </c>
      <c r="AL753" s="19"/>
      <c r="AM753" s="19" t="s">
        <v>234</v>
      </c>
      <c r="AN753" s="19" t="s">
        <v>234</v>
      </c>
      <c r="AO753" s="19" t="s">
        <v>235</v>
      </c>
      <c r="AP753" s="94"/>
      <c r="AQ753" s="19" t="s">
        <v>102</v>
      </c>
      <c r="AR753" s="19" t="s">
        <v>241</v>
      </c>
      <c r="AS753" s="19"/>
      <c r="AT753" s="65" t="str">
        <f t="shared" si="209"/>
        <v>N</v>
      </c>
      <c r="AU753" s="65" t="str">
        <f t="shared" si="213"/>
        <v>N</v>
      </c>
      <c r="AV753" s="65" t="str">
        <f t="shared" si="217"/>
        <v>N</v>
      </c>
      <c r="AW753" s="99"/>
      <c r="AX753" s="99"/>
      <c r="AY753" s="19"/>
      <c r="AZ753" s="96" t="str">
        <f t="shared" si="214"/>
        <v>n</v>
      </c>
      <c r="BA753" s="96" t="str">
        <f>IF(AZ753="n","n",VLOOKUP(AZ753,'Conversion factors'!$C$4:$D$24,2,FALSE))</f>
        <v>n</v>
      </c>
      <c r="BB753" s="96" t="str">
        <f t="shared" si="215"/>
        <v>n</v>
      </c>
      <c r="BC753" s="97"/>
      <c r="BD753" s="96" t="str">
        <f t="shared" si="210"/>
        <v>n</v>
      </c>
      <c r="BE753" s="96" t="str">
        <f t="shared" si="216"/>
        <v>n</v>
      </c>
      <c r="BF753" s="98" t="str">
        <f t="shared" si="211"/>
        <v/>
      </c>
      <c r="BG753" s="96" t="str">
        <f>IF(BF753="","",IF(ISNUMBER(VLOOKUP(BF753,'Conversion factors'!$B$35:$C$52,2,FALSE)),"y","n"))</f>
        <v/>
      </c>
      <c r="BH753" s="99" t="s">
        <v>1511</v>
      </c>
    </row>
    <row r="754" spans="1:60" s="103" customFormat="1" ht="15.75" customHeight="1" x14ac:dyDescent="0.2">
      <c r="A754" s="18"/>
      <c r="B754" s="19">
        <v>323</v>
      </c>
      <c r="C754" s="19"/>
      <c r="D754" s="19">
        <v>164647</v>
      </c>
      <c r="E754" s="19" t="s">
        <v>1224</v>
      </c>
      <c r="F754" s="93">
        <v>2011</v>
      </c>
      <c r="G754" s="19" t="s">
        <v>1144</v>
      </c>
      <c r="H754" s="19"/>
      <c r="I754" s="19" t="s">
        <v>41</v>
      </c>
      <c r="J754" s="19" t="s">
        <v>567</v>
      </c>
      <c r="K754" s="19" t="s">
        <v>42</v>
      </c>
      <c r="L754" s="19" t="s">
        <v>43</v>
      </c>
      <c r="M754" s="19" t="s">
        <v>1303</v>
      </c>
      <c r="N754" s="19" t="s">
        <v>109</v>
      </c>
      <c r="O754" s="19" t="s">
        <v>235</v>
      </c>
      <c r="P754" s="19" t="s">
        <v>51</v>
      </c>
      <c r="Q754" s="19"/>
      <c r="R754" s="19" t="s">
        <v>256</v>
      </c>
      <c r="S754" s="19" t="s">
        <v>304</v>
      </c>
      <c r="T754" s="19" t="s">
        <v>55</v>
      </c>
      <c r="U754" s="19" t="s">
        <v>55</v>
      </c>
      <c r="V754" s="19" t="s">
        <v>444</v>
      </c>
      <c r="W754" s="19" t="s">
        <v>45</v>
      </c>
      <c r="X754" s="19" t="s">
        <v>46</v>
      </c>
      <c r="Y754" s="29"/>
      <c r="Z754" s="19"/>
      <c r="AA754" s="19"/>
      <c r="AB754" s="19" t="s">
        <v>1149</v>
      </c>
      <c r="AC754" s="19" t="s">
        <v>1322</v>
      </c>
      <c r="AD754" s="19"/>
      <c r="AE754" s="19"/>
      <c r="AF754" s="19"/>
      <c r="AG754" s="19" t="s">
        <v>235</v>
      </c>
      <c r="AH754" s="19"/>
      <c r="AI754" s="19"/>
      <c r="AJ754" s="19" t="s">
        <v>234</v>
      </c>
      <c r="AK754" s="19" t="s">
        <v>234</v>
      </c>
      <c r="AL754" s="19"/>
      <c r="AM754" s="19" t="s">
        <v>234</v>
      </c>
      <c r="AN754" s="19" t="s">
        <v>234</v>
      </c>
      <c r="AO754" s="19" t="s">
        <v>235</v>
      </c>
      <c r="AP754" s="94"/>
      <c r="AQ754" s="19" t="s">
        <v>102</v>
      </c>
      <c r="AR754" s="19" t="s">
        <v>241</v>
      </c>
      <c r="AS754" s="19"/>
      <c r="AT754" s="65" t="str">
        <f t="shared" si="209"/>
        <v>N</v>
      </c>
      <c r="AU754" s="65" t="str">
        <f t="shared" si="213"/>
        <v>N</v>
      </c>
      <c r="AV754" s="65" t="str">
        <f t="shared" si="217"/>
        <v>N</v>
      </c>
      <c r="AW754" s="99"/>
      <c r="AX754" s="99"/>
      <c r="AY754" s="19"/>
      <c r="AZ754" s="96" t="str">
        <f t="shared" si="214"/>
        <v>n</v>
      </c>
      <c r="BA754" s="96" t="str">
        <f>IF(AZ754="n","n",VLOOKUP(AZ754,'Conversion factors'!$C$4:$D$24,2,FALSE))</f>
        <v>n</v>
      </c>
      <c r="BB754" s="96" t="str">
        <f t="shared" si="215"/>
        <v>n</v>
      </c>
      <c r="BC754" s="97"/>
      <c r="BD754" s="96" t="str">
        <f t="shared" si="210"/>
        <v>n</v>
      </c>
      <c r="BE754" s="96" t="str">
        <f t="shared" si="216"/>
        <v>n</v>
      </c>
      <c r="BF754" s="98" t="str">
        <f t="shared" si="211"/>
        <v/>
      </c>
      <c r="BG754" s="96" t="str">
        <f>IF(BF754="","",IF(ISNUMBER(VLOOKUP(BF754,'Conversion factors'!$B$35:$C$52,2,FALSE)),"y","n"))</f>
        <v/>
      </c>
      <c r="BH754" s="99" t="s">
        <v>1511</v>
      </c>
    </row>
    <row r="755" spans="1:60" s="103" customFormat="1" ht="15.75" customHeight="1" x14ac:dyDescent="0.2">
      <c r="A755" s="18"/>
      <c r="B755" s="19">
        <v>323</v>
      </c>
      <c r="C755" s="19"/>
      <c r="D755" s="19">
        <v>164647</v>
      </c>
      <c r="E755" s="19" t="s">
        <v>1224</v>
      </c>
      <c r="F755" s="93">
        <v>2011</v>
      </c>
      <c r="G755" s="19" t="s">
        <v>1144</v>
      </c>
      <c r="H755" s="19"/>
      <c r="I755" s="19" t="s">
        <v>41</v>
      </c>
      <c r="J755" s="19" t="s">
        <v>567</v>
      </c>
      <c r="K755" s="19" t="s">
        <v>42</v>
      </c>
      <c r="L755" s="19" t="s">
        <v>43</v>
      </c>
      <c r="M755" s="19" t="s">
        <v>1303</v>
      </c>
      <c r="N755" s="19" t="s">
        <v>109</v>
      </c>
      <c r="O755" s="19" t="s">
        <v>235</v>
      </c>
      <c r="P755" s="19" t="s">
        <v>51</v>
      </c>
      <c r="Q755" s="19"/>
      <c r="R755" s="19" t="s">
        <v>256</v>
      </c>
      <c r="S755" s="19" t="s">
        <v>304</v>
      </c>
      <c r="T755" s="19" t="s">
        <v>55</v>
      </c>
      <c r="U755" s="19" t="s">
        <v>55</v>
      </c>
      <c r="V755" s="19" t="s">
        <v>444</v>
      </c>
      <c r="W755" s="19" t="s">
        <v>45</v>
      </c>
      <c r="X755" s="19" t="s">
        <v>46</v>
      </c>
      <c r="Y755" s="29"/>
      <c r="Z755" s="19"/>
      <c r="AA755" s="19"/>
      <c r="AB755" s="19" t="s">
        <v>1149</v>
      </c>
      <c r="AC755" s="19" t="s">
        <v>1322</v>
      </c>
      <c r="AD755" s="19"/>
      <c r="AE755" s="19"/>
      <c r="AF755" s="19"/>
      <c r="AG755" s="19" t="s">
        <v>235</v>
      </c>
      <c r="AH755" s="19"/>
      <c r="AI755" s="19"/>
      <c r="AJ755" s="19" t="s">
        <v>234</v>
      </c>
      <c r="AK755" s="19" t="s">
        <v>234</v>
      </c>
      <c r="AL755" s="19"/>
      <c r="AM755" s="19" t="s">
        <v>234</v>
      </c>
      <c r="AN755" s="19" t="s">
        <v>234</v>
      </c>
      <c r="AO755" s="19" t="s">
        <v>235</v>
      </c>
      <c r="AP755" s="94"/>
      <c r="AQ755" s="19" t="s">
        <v>102</v>
      </c>
      <c r="AR755" s="19" t="s">
        <v>241</v>
      </c>
      <c r="AS755" s="19"/>
      <c r="AT755" s="65" t="str">
        <f t="shared" si="209"/>
        <v>N</v>
      </c>
      <c r="AU755" s="65" t="str">
        <f t="shared" si="213"/>
        <v>N</v>
      </c>
      <c r="AV755" s="65" t="str">
        <f t="shared" si="217"/>
        <v>N</v>
      </c>
      <c r="AW755" s="99"/>
      <c r="AX755" s="99"/>
      <c r="AY755" s="19"/>
      <c r="AZ755" s="96" t="str">
        <f t="shared" si="214"/>
        <v>n</v>
      </c>
      <c r="BA755" s="96" t="str">
        <f>IF(AZ755="n","n",VLOOKUP(AZ755,'Conversion factors'!$C$4:$D$24,2,FALSE))</f>
        <v>n</v>
      </c>
      <c r="BB755" s="96" t="str">
        <f t="shared" si="215"/>
        <v>n</v>
      </c>
      <c r="BC755" s="97"/>
      <c r="BD755" s="96" t="str">
        <f t="shared" si="210"/>
        <v>n</v>
      </c>
      <c r="BE755" s="96" t="str">
        <f t="shared" si="216"/>
        <v>n</v>
      </c>
      <c r="BF755" s="98" t="str">
        <f t="shared" si="211"/>
        <v/>
      </c>
      <c r="BG755" s="96" t="str">
        <f>IF(BF755="","",IF(ISNUMBER(VLOOKUP(BF755,'Conversion factors'!$B$35:$C$52,2,FALSE)),"y","n"))</f>
        <v/>
      </c>
      <c r="BH755" s="99" t="s">
        <v>1511</v>
      </c>
    </row>
    <row r="756" spans="1:60" s="103" customFormat="1" ht="15.75" customHeight="1" x14ac:dyDescent="0.2">
      <c r="A756" s="18"/>
      <c r="B756" s="19">
        <v>323</v>
      </c>
      <c r="C756" s="19"/>
      <c r="D756" s="19">
        <v>164647</v>
      </c>
      <c r="E756" s="19" t="s">
        <v>1224</v>
      </c>
      <c r="F756" s="93">
        <v>2011</v>
      </c>
      <c r="G756" s="19" t="s">
        <v>1144</v>
      </c>
      <c r="H756" s="19"/>
      <c r="I756" s="19" t="s">
        <v>41</v>
      </c>
      <c r="J756" s="19" t="s">
        <v>567</v>
      </c>
      <c r="K756" s="19" t="s">
        <v>42</v>
      </c>
      <c r="L756" s="19" t="s">
        <v>43</v>
      </c>
      <c r="M756" s="19" t="s">
        <v>1303</v>
      </c>
      <c r="N756" s="19" t="s">
        <v>109</v>
      </c>
      <c r="O756" s="19" t="s">
        <v>235</v>
      </c>
      <c r="P756" s="19" t="s">
        <v>51</v>
      </c>
      <c r="Q756" s="19"/>
      <c r="R756" s="19" t="s">
        <v>256</v>
      </c>
      <c r="S756" s="19" t="s">
        <v>304</v>
      </c>
      <c r="T756" s="19" t="s">
        <v>1145</v>
      </c>
      <c r="U756" s="19" t="s">
        <v>1145</v>
      </c>
      <c r="V756" s="19" t="s">
        <v>424</v>
      </c>
      <c r="W756" s="19" t="s">
        <v>45</v>
      </c>
      <c r="X756" s="19" t="s">
        <v>46</v>
      </c>
      <c r="Y756" s="29"/>
      <c r="Z756" s="19"/>
      <c r="AA756" s="19"/>
      <c r="AB756" s="19" t="s">
        <v>1146</v>
      </c>
      <c r="AC756" s="19" t="s">
        <v>1322</v>
      </c>
      <c r="AD756" s="19"/>
      <c r="AE756" s="19"/>
      <c r="AF756" s="19"/>
      <c r="AG756" s="19" t="s">
        <v>235</v>
      </c>
      <c r="AH756" s="19"/>
      <c r="AI756" s="19"/>
      <c r="AJ756" s="19" t="s">
        <v>234</v>
      </c>
      <c r="AK756" s="19" t="s">
        <v>234</v>
      </c>
      <c r="AL756" s="19"/>
      <c r="AM756" s="19" t="s">
        <v>234</v>
      </c>
      <c r="AN756" s="19" t="s">
        <v>234</v>
      </c>
      <c r="AO756" s="19" t="s">
        <v>235</v>
      </c>
      <c r="AP756" s="94"/>
      <c r="AQ756" s="19" t="s">
        <v>102</v>
      </c>
      <c r="AR756" s="19" t="s">
        <v>241</v>
      </c>
      <c r="AS756" s="19"/>
      <c r="AT756" s="65" t="str">
        <f t="shared" si="209"/>
        <v>N</v>
      </c>
      <c r="AU756" s="65" t="str">
        <f t="shared" si="213"/>
        <v>N</v>
      </c>
      <c r="AV756" s="65" t="str">
        <f t="shared" si="217"/>
        <v>N</v>
      </c>
      <c r="AW756" s="99"/>
      <c r="AX756" s="99"/>
      <c r="AY756" s="19"/>
      <c r="AZ756" s="96" t="str">
        <f t="shared" si="214"/>
        <v>n</v>
      </c>
      <c r="BA756" s="96" t="str">
        <f>IF(AZ756="n","n",VLOOKUP(AZ756,'Conversion factors'!$C$4:$D$24,2,FALSE))</f>
        <v>n</v>
      </c>
      <c r="BB756" s="96" t="str">
        <f t="shared" si="215"/>
        <v>n</v>
      </c>
      <c r="BC756" s="97"/>
      <c r="BD756" s="96" t="str">
        <f t="shared" si="210"/>
        <v>n</v>
      </c>
      <c r="BE756" s="96" t="str">
        <f t="shared" si="216"/>
        <v>n</v>
      </c>
      <c r="BF756" s="98" t="str">
        <f t="shared" si="211"/>
        <v/>
      </c>
      <c r="BG756" s="96" t="str">
        <f>IF(BF756="","",IF(ISNUMBER(VLOOKUP(BF756,'Conversion factors'!$B$35:$C$52,2,FALSE)),"y","n"))</f>
        <v/>
      </c>
      <c r="BH756" s="99" t="s">
        <v>1511</v>
      </c>
    </row>
    <row r="757" spans="1:60" s="103" customFormat="1" ht="15.75" customHeight="1" x14ac:dyDescent="0.2">
      <c r="A757" s="18"/>
      <c r="B757" s="19">
        <v>323</v>
      </c>
      <c r="C757" s="19"/>
      <c r="D757" s="19">
        <v>164647</v>
      </c>
      <c r="E757" s="19" t="s">
        <v>1224</v>
      </c>
      <c r="F757" s="93">
        <v>2011</v>
      </c>
      <c r="G757" s="19" t="s">
        <v>1144</v>
      </c>
      <c r="H757" s="19"/>
      <c r="I757" s="19" t="s">
        <v>41</v>
      </c>
      <c r="J757" s="19" t="s">
        <v>567</v>
      </c>
      <c r="K757" s="19" t="s">
        <v>42</v>
      </c>
      <c r="L757" s="19" t="s">
        <v>43</v>
      </c>
      <c r="M757" s="19" t="s">
        <v>1303</v>
      </c>
      <c r="N757" s="19" t="s">
        <v>109</v>
      </c>
      <c r="O757" s="19" t="s">
        <v>235</v>
      </c>
      <c r="P757" s="19" t="s">
        <v>51</v>
      </c>
      <c r="Q757" s="19"/>
      <c r="R757" s="19" t="s">
        <v>256</v>
      </c>
      <c r="S757" s="19" t="s">
        <v>304</v>
      </c>
      <c r="T757" s="19" t="s">
        <v>1145</v>
      </c>
      <c r="U757" s="19" t="s">
        <v>1145</v>
      </c>
      <c r="V757" s="19" t="s">
        <v>424</v>
      </c>
      <c r="W757" s="19" t="s">
        <v>45</v>
      </c>
      <c r="X757" s="19" t="s">
        <v>46</v>
      </c>
      <c r="Y757" s="29"/>
      <c r="Z757" s="19"/>
      <c r="AA757" s="19"/>
      <c r="AB757" s="19" t="s">
        <v>1147</v>
      </c>
      <c r="AC757" s="19" t="s">
        <v>1322</v>
      </c>
      <c r="AD757" s="19"/>
      <c r="AE757" s="19"/>
      <c r="AF757" s="19"/>
      <c r="AG757" s="19" t="s">
        <v>235</v>
      </c>
      <c r="AH757" s="19"/>
      <c r="AI757" s="19"/>
      <c r="AJ757" s="19" t="s">
        <v>234</v>
      </c>
      <c r="AK757" s="19" t="s">
        <v>234</v>
      </c>
      <c r="AL757" s="19"/>
      <c r="AM757" s="19" t="s">
        <v>234</v>
      </c>
      <c r="AN757" s="19" t="s">
        <v>234</v>
      </c>
      <c r="AO757" s="19" t="s">
        <v>235</v>
      </c>
      <c r="AP757" s="94"/>
      <c r="AQ757" s="19" t="s">
        <v>102</v>
      </c>
      <c r="AR757" s="19" t="s">
        <v>241</v>
      </c>
      <c r="AS757" s="19"/>
      <c r="AT757" s="65" t="str">
        <f t="shared" si="209"/>
        <v>N</v>
      </c>
      <c r="AU757" s="65" t="str">
        <f t="shared" si="213"/>
        <v>N</v>
      </c>
      <c r="AV757" s="65" t="str">
        <f t="shared" si="217"/>
        <v>N</v>
      </c>
      <c r="AW757" s="99"/>
      <c r="AX757" s="99"/>
      <c r="AY757" s="19"/>
      <c r="AZ757" s="96" t="str">
        <f t="shared" si="214"/>
        <v>n</v>
      </c>
      <c r="BA757" s="96" t="str">
        <f>IF(AZ757="n","n",VLOOKUP(AZ757,'Conversion factors'!$C$4:$D$24,2,FALSE))</f>
        <v>n</v>
      </c>
      <c r="BB757" s="96" t="str">
        <f t="shared" si="215"/>
        <v>n</v>
      </c>
      <c r="BC757" s="97"/>
      <c r="BD757" s="96" t="str">
        <f t="shared" si="210"/>
        <v>n</v>
      </c>
      <c r="BE757" s="96" t="str">
        <f t="shared" si="216"/>
        <v>n</v>
      </c>
      <c r="BF757" s="98" t="str">
        <f t="shared" si="211"/>
        <v/>
      </c>
      <c r="BG757" s="96" t="str">
        <f>IF(BF757="","",IF(ISNUMBER(VLOOKUP(BF757,'Conversion factors'!$B$35:$C$52,2,FALSE)),"y","n"))</f>
        <v/>
      </c>
      <c r="BH757" s="99" t="s">
        <v>1511</v>
      </c>
    </row>
    <row r="758" spans="1:60" s="103" customFormat="1" ht="15.75" customHeight="1" x14ac:dyDescent="0.2">
      <c r="A758" s="18"/>
      <c r="B758" s="19">
        <v>323</v>
      </c>
      <c r="C758" s="19"/>
      <c r="D758" s="19">
        <v>164647</v>
      </c>
      <c r="E758" s="19" t="s">
        <v>1224</v>
      </c>
      <c r="F758" s="93">
        <v>2011</v>
      </c>
      <c r="G758" s="19" t="s">
        <v>1144</v>
      </c>
      <c r="H758" s="19"/>
      <c r="I758" s="19" t="s">
        <v>41</v>
      </c>
      <c r="J758" s="19" t="s">
        <v>567</v>
      </c>
      <c r="K758" s="19" t="s">
        <v>42</v>
      </c>
      <c r="L758" s="19" t="s">
        <v>43</v>
      </c>
      <c r="M758" s="19" t="s">
        <v>1303</v>
      </c>
      <c r="N758" s="19" t="s">
        <v>109</v>
      </c>
      <c r="O758" s="19" t="s">
        <v>235</v>
      </c>
      <c r="P758" s="19" t="s">
        <v>51</v>
      </c>
      <c r="Q758" s="19"/>
      <c r="R758" s="19" t="s">
        <v>256</v>
      </c>
      <c r="S758" s="19" t="s">
        <v>304</v>
      </c>
      <c r="T758" s="19" t="s">
        <v>55</v>
      </c>
      <c r="U758" s="19" t="s">
        <v>55</v>
      </c>
      <c r="V758" s="19" t="s">
        <v>424</v>
      </c>
      <c r="W758" s="19" t="s">
        <v>45</v>
      </c>
      <c r="X758" s="19" t="s">
        <v>46</v>
      </c>
      <c r="Y758" s="29"/>
      <c r="Z758" s="19"/>
      <c r="AA758" s="19"/>
      <c r="AB758" s="19" t="s">
        <v>238</v>
      </c>
      <c r="AC758" s="19" t="s">
        <v>1322</v>
      </c>
      <c r="AD758" s="19"/>
      <c r="AE758" s="19"/>
      <c r="AF758" s="19"/>
      <c r="AG758" s="19" t="s">
        <v>235</v>
      </c>
      <c r="AH758" s="19"/>
      <c r="AI758" s="19"/>
      <c r="AJ758" s="19" t="s">
        <v>234</v>
      </c>
      <c r="AK758" s="19" t="s">
        <v>234</v>
      </c>
      <c r="AL758" s="19"/>
      <c r="AM758" s="19" t="s">
        <v>234</v>
      </c>
      <c r="AN758" s="19" t="s">
        <v>234</v>
      </c>
      <c r="AO758" s="19" t="s">
        <v>235</v>
      </c>
      <c r="AP758" s="94"/>
      <c r="AQ758" s="19" t="s">
        <v>102</v>
      </c>
      <c r="AR758" s="19" t="s">
        <v>241</v>
      </c>
      <c r="AS758" s="19"/>
      <c r="AT758" s="65" t="str">
        <f t="shared" si="209"/>
        <v>N</v>
      </c>
      <c r="AU758" s="65" t="str">
        <f t="shared" si="213"/>
        <v>N</v>
      </c>
      <c r="AV758" s="65" t="str">
        <f t="shared" si="217"/>
        <v>N</v>
      </c>
      <c r="AW758" s="99"/>
      <c r="AX758" s="99"/>
      <c r="AY758" s="19"/>
      <c r="AZ758" s="96" t="str">
        <f t="shared" si="214"/>
        <v>n</v>
      </c>
      <c r="BA758" s="96" t="str">
        <f>IF(AZ758="n","n",VLOOKUP(AZ758,'Conversion factors'!$C$4:$D$24,2,FALSE))</f>
        <v>n</v>
      </c>
      <c r="BB758" s="96" t="str">
        <f t="shared" si="215"/>
        <v>n</v>
      </c>
      <c r="BC758" s="97"/>
      <c r="BD758" s="96" t="str">
        <f t="shared" si="210"/>
        <v>n</v>
      </c>
      <c r="BE758" s="96" t="str">
        <f t="shared" si="216"/>
        <v>n</v>
      </c>
      <c r="BF758" s="98" t="str">
        <f t="shared" si="211"/>
        <v/>
      </c>
      <c r="BG758" s="96" t="str">
        <f>IF(BF758="","",IF(ISNUMBER(VLOOKUP(BF758,'Conversion factors'!$B$35:$C$52,2,FALSE)),"y","n"))</f>
        <v/>
      </c>
      <c r="BH758" s="99" t="s">
        <v>1511</v>
      </c>
    </row>
    <row r="759" spans="1:60" s="103" customFormat="1" ht="15.75" customHeight="1" x14ac:dyDescent="0.2">
      <c r="A759" s="18"/>
      <c r="B759" s="19">
        <v>323</v>
      </c>
      <c r="C759" s="19"/>
      <c r="D759" s="19">
        <v>164647</v>
      </c>
      <c r="E759" s="19" t="s">
        <v>1224</v>
      </c>
      <c r="F759" s="93">
        <v>2011</v>
      </c>
      <c r="G759" s="19" t="s">
        <v>1144</v>
      </c>
      <c r="H759" s="19"/>
      <c r="I759" s="19" t="s">
        <v>41</v>
      </c>
      <c r="J759" s="19" t="s">
        <v>567</v>
      </c>
      <c r="K759" s="19" t="s">
        <v>42</v>
      </c>
      <c r="L759" s="19" t="s">
        <v>43</v>
      </c>
      <c r="M759" s="19" t="s">
        <v>1303</v>
      </c>
      <c r="N759" s="19" t="s">
        <v>109</v>
      </c>
      <c r="O759" s="19" t="s">
        <v>235</v>
      </c>
      <c r="P759" s="19" t="s">
        <v>51</v>
      </c>
      <c r="Q759" s="19"/>
      <c r="R759" s="19" t="s">
        <v>256</v>
      </c>
      <c r="S759" s="19" t="s">
        <v>304</v>
      </c>
      <c r="T759" s="19" t="s">
        <v>55</v>
      </c>
      <c r="U759" s="19" t="s">
        <v>55</v>
      </c>
      <c r="V759" s="19" t="s">
        <v>424</v>
      </c>
      <c r="W759" s="19" t="s">
        <v>45</v>
      </c>
      <c r="X759" s="19" t="s">
        <v>46</v>
      </c>
      <c r="Y759" s="29"/>
      <c r="Z759" s="19"/>
      <c r="AA759" s="19"/>
      <c r="AB759" s="19" t="s">
        <v>1148</v>
      </c>
      <c r="AC759" s="19" t="s">
        <v>1322</v>
      </c>
      <c r="AD759" s="19"/>
      <c r="AE759" s="19"/>
      <c r="AF759" s="19"/>
      <c r="AG759" s="19" t="s">
        <v>235</v>
      </c>
      <c r="AH759" s="19"/>
      <c r="AI759" s="19"/>
      <c r="AJ759" s="19" t="s">
        <v>234</v>
      </c>
      <c r="AK759" s="19" t="s">
        <v>234</v>
      </c>
      <c r="AL759" s="19"/>
      <c r="AM759" s="19" t="s">
        <v>234</v>
      </c>
      <c r="AN759" s="19" t="s">
        <v>234</v>
      </c>
      <c r="AO759" s="19" t="s">
        <v>235</v>
      </c>
      <c r="AP759" s="94"/>
      <c r="AQ759" s="19" t="s">
        <v>102</v>
      </c>
      <c r="AR759" s="19" t="s">
        <v>241</v>
      </c>
      <c r="AS759" s="19"/>
      <c r="AT759" s="65" t="str">
        <f t="shared" si="209"/>
        <v>N</v>
      </c>
      <c r="AU759" s="65" t="str">
        <f t="shared" si="213"/>
        <v>N</v>
      </c>
      <c r="AV759" s="65" t="str">
        <f t="shared" si="217"/>
        <v>N</v>
      </c>
      <c r="AW759" s="99"/>
      <c r="AX759" s="99"/>
      <c r="AY759" s="19"/>
      <c r="AZ759" s="96" t="str">
        <f t="shared" si="214"/>
        <v>n</v>
      </c>
      <c r="BA759" s="96" t="str">
        <f>IF(AZ759="n","n",VLOOKUP(AZ759,'Conversion factors'!$C$4:$D$24,2,FALSE))</f>
        <v>n</v>
      </c>
      <c r="BB759" s="96" t="str">
        <f t="shared" si="215"/>
        <v>n</v>
      </c>
      <c r="BC759" s="97"/>
      <c r="BD759" s="96" t="str">
        <f t="shared" si="210"/>
        <v>n</v>
      </c>
      <c r="BE759" s="96" t="str">
        <f t="shared" si="216"/>
        <v>n</v>
      </c>
      <c r="BF759" s="98" t="str">
        <f t="shared" si="211"/>
        <v/>
      </c>
      <c r="BG759" s="96" t="str">
        <f>IF(BF759="","",IF(ISNUMBER(VLOOKUP(BF759,'Conversion factors'!$B$35:$C$52,2,FALSE)),"y","n"))</f>
        <v/>
      </c>
      <c r="BH759" s="99" t="s">
        <v>1511</v>
      </c>
    </row>
    <row r="760" spans="1:60" s="103" customFormat="1" ht="15.75" customHeight="1" x14ac:dyDescent="0.2">
      <c r="A760" s="18"/>
      <c r="B760" s="19">
        <v>323</v>
      </c>
      <c r="C760" s="19"/>
      <c r="D760" s="19">
        <v>164647</v>
      </c>
      <c r="E760" s="19" t="s">
        <v>1224</v>
      </c>
      <c r="F760" s="93">
        <v>2011</v>
      </c>
      <c r="G760" s="19" t="s">
        <v>1144</v>
      </c>
      <c r="H760" s="19"/>
      <c r="I760" s="19" t="s">
        <v>41</v>
      </c>
      <c r="J760" s="19" t="s">
        <v>567</v>
      </c>
      <c r="K760" s="19" t="s">
        <v>42</v>
      </c>
      <c r="L760" s="19" t="s">
        <v>43</v>
      </c>
      <c r="M760" s="19" t="s">
        <v>1303</v>
      </c>
      <c r="N760" s="19" t="s">
        <v>109</v>
      </c>
      <c r="O760" s="19" t="s">
        <v>235</v>
      </c>
      <c r="P760" s="19" t="s">
        <v>51</v>
      </c>
      <c r="Q760" s="19"/>
      <c r="R760" s="19" t="s">
        <v>256</v>
      </c>
      <c r="S760" s="19" t="s">
        <v>304</v>
      </c>
      <c r="T760" s="19" t="s">
        <v>55</v>
      </c>
      <c r="U760" s="19" t="s">
        <v>55</v>
      </c>
      <c r="V760" s="19" t="s">
        <v>424</v>
      </c>
      <c r="W760" s="19" t="s">
        <v>45</v>
      </c>
      <c r="X760" s="19" t="s">
        <v>46</v>
      </c>
      <c r="Y760" s="29"/>
      <c r="Z760" s="19"/>
      <c r="AA760" s="19"/>
      <c r="AB760" s="19" t="s">
        <v>1148</v>
      </c>
      <c r="AC760" s="19" t="s">
        <v>1322</v>
      </c>
      <c r="AD760" s="19"/>
      <c r="AE760" s="19"/>
      <c r="AF760" s="19"/>
      <c r="AG760" s="19" t="s">
        <v>235</v>
      </c>
      <c r="AH760" s="19"/>
      <c r="AI760" s="19"/>
      <c r="AJ760" s="19" t="s">
        <v>234</v>
      </c>
      <c r="AK760" s="19" t="s">
        <v>234</v>
      </c>
      <c r="AL760" s="19"/>
      <c r="AM760" s="19" t="s">
        <v>234</v>
      </c>
      <c r="AN760" s="19" t="s">
        <v>234</v>
      </c>
      <c r="AO760" s="19" t="s">
        <v>235</v>
      </c>
      <c r="AP760" s="94"/>
      <c r="AQ760" s="19" t="s">
        <v>102</v>
      </c>
      <c r="AR760" s="19" t="s">
        <v>241</v>
      </c>
      <c r="AS760" s="19"/>
      <c r="AT760" s="65" t="str">
        <f t="shared" si="209"/>
        <v>N</v>
      </c>
      <c r="AU760" s="65" t="str">
        <f t="shared" si="213"/>
        <v>N</v>
      </c>
      <c r="AV760" s="65" t="str">
        <f t="shared" si="217"/>
        <v>N</v>
      </c>
      <c r="AW760" s="99"/>
      <c r="AX760" s="99"/>
      <c r="AY760" s="19"/>
      <c r="AZ760" s="96" t="str">
        <f t="shared" si="214"/>
        <v>n</v>
      </c>
      <c r="BA760" s="96" t="str">
        <f>IF(AZ760="n","n",VLOOKUP(AZ760,'Conversion factors'!$C$4:$D$24,2,FALSE))</f>
        <v>n</v>
      </c>
      <c r="BB760" s="96" t="str">
        <f t="shared" si="215"/>
        <v>n</v>
      </c>
      <c r="BC760" s="97"/>
      <c r="BD760" s="96" t="str">
        <f t="shared" si="210"/>
        <v>n</v>
      </c>
      <c r="BE760" s="96" t="str">
        <f t="shared" si="216"/>
        <v>n</v>
      </c>
      <c r="BF760" s="98" t="str">
        <f t="shared" si="211"/>
        <v/>
      </c>
      <c r="BG760" s="96" t="str">
        <f>IF(BF760="","",IF(ISNUMBER(VLOOKUP(BF760,'Conversion factors'!$B$35:$C$52,2,FALSE)),"y","n"))</f>
        <v/>
      </c>
      <c r="BH760" s="99" t="s">
        <v>1511</v>
      </c>
    </row>
    <row r="761" spans="1:60" s="103" customFormat="1" ht="15.75" customHeight="1" x14ac:dyDescent="0.2">
      <c r="A761" s="18"/>
      <c r="B761" s="19">
        <v>323</v>
      </c>
      <c r="C761" s="19"/>
      <c r="D761" s="19">
        <v>164647</v>
      </c>
      <c r="E761" s="19" t="s">
        <v>1224</v>
      </c>
      <c r="F761" s="93">
        <v>2011</v>
      </c>
      <c r="G761" s="19" t="s">
        <v>1144</v>
      </c>
      <c r="H761" s="19"/>
      <c r="I761" s="19" t="s">
        <v>41</v>
      </c>
      <c r="J761" s="19" t="s">
        <v>567</v>
      </c>
      <c r="K761" s="19" t="s">
        <v>42</v>
      </c>
      <c r="L761" s="19" t="s">
        <v>43</v>
      </c>
      <c r="M761" s="19" t="s">
        <v>1303</v>
      </c>
      <c r="N761" s="19" t="s">
        <v>109</v>
      </c>
      <c r="O761" s="19" t="s">
        <v>235</v>
      </c>
      <c r="P761" s="19" t="s">
        <v>51</v>
      </c>
      <c r="Q761" s="19"/>
      <c r="R761" s="19" t="s">
        <v>256</v>
      </c>
      <c r="S761" s="19" t="s">
        <v>304</v>
      </c>
      <c r="T761" s="19" t="s">
        <v>55</v>
      </c>
      <c r="U761" s="19" t="s">
        <v>55</v>
      </c>
      <c r="V761" s="19" t="s">
        <v>424</v>
      </c>
      <c r="W761" s="19" t="s">
        <v>45</v>
      </c>
      <c r="X761" s="19" t="s">
        <v>46</v>
      </c>
      <c r="Y761" s="29"/>
      <c r="Z761" s="19"/>
      <c r="AA761" s="19"/>
      <c r="AB761" s="19" t="s">
        <v>1149</v>
      </c>
      <c r="AC761" s="19" t="s">
        <v>1322</v>
      </c>
      <c r="AD761" s="19"/>
      <c r="AE761" s="19"/>
      <c r="AF761" s="19"/>
      <c r="AG761" s="19" t="s">
        <v>235</v>
      </c>
      <c r="AH761" s="19"/>
      <c r="AI761" s="19"/>
      <c r="AJ761" s="19" t="s">
        <v>234</v>
      </c>
      <c r="AK761" s="19" t="s">
        <v>234</v>
      </c>
      <c r="AL761" s="19"/>
      <c r="AM761" s="19" t="s">
        <v>234</v>
      </c>
      <c r="AN761" s="19" t="s">
        <v>234</v>
      </c>
      <c r="AO761" s="19" t="s">
        <v>235</v>
      </c>
      <c r="AP761" s="94"/>
      <c r="AQ761" s="19" t="s">
        <v>102</v>
      </c>
      <c r="AR761" s="19" t="s">
        <v>241</v>
      </c>
      <c r="AS761" s="19"/>
      <c r="AT761" s="65" t="str">
        <f t="shared" si="209"/>
        <v>N</v>
      </c>
      <c r="AU761" s="65" t="str">
        <f t="shared" si="213"/>
        <v>N</v>
      </c>
      <c r="AV761" s="65" t="str">
        <f t="shared" si="217"/>
        <v>N</v>
      </c>
      <c r="AW761" s="99"/>
      <c r="AX761" s="99"/>
      <c r="AY761" s="19"/>
      <c r="AZ761" s="96" t="str">
        <f t="shared" si="214"/>
        <v>n</v>
      </c>
      <c r="BA761" s="96" t="str">
        <f>IF(AZ761="n","n",VLOOKUP(AZ761,'Conversion factors'!$C$4:$D$24,2,FALSE))</f>
        <v>n</v>
      </c>
      <c r="BB761" s="96" t="str">
        <f t="shared" si="215"/>
        <v>n</v>
      </c>
      <c r="BC761" s="97"/>
      <c r="BD761" s="96" t="str">
        <f t="shared" si="210"/>
        <v>n</v>
      </c>
      <c r="BE761" s="96" t="str">
        <f t="shared" si="216"/>
        <v>n</v>
      </c>
      <c r="BF761" s="98" t="str">
        <f t="shared" si="211"/>
        <v/>
      </c>
      <c r="BG761" s="96" t="str">
        <f>IF(BF761="","",IF(ISNUMBER(VLOOKUP(BF761,'Conversion factors'!$B$35:$C$52,2,FALSE)),"y","n"))</f>
        <v/>
      </c>
      <c r="BH761" s="99" t="s">
        <v>1511</v>
      </c>
    </row>
    <row r="762" spans="1:60" s="103" customFormat="1" ht="15.75" customHeight="1" x14ac:dyDescent="0.2">
      <c r="A762" s="18"/>
      <c r="B762" s="19">
        <v>323</v>
      </c>
      <c r="C762" s="19"/>
      <c r="D762" s="19">
        <v>164647</v>
      </c>
      <c r="E762" s="19" t="s">
        <v>1224</v>
      </c>
      <c r="F762" s="93">
        <v>2011</v>
      </c>
      <c r="G762" s="19" t="s">
        <v>1144</v>
      </c>
      <c r="H762" s="19"/>
      <c r="I762" s="19" t="s">
        <v>41</v>
      </c>
      <c r="J762" s="19" t="s">
        <v>567</v>
      </c>
      <c r="K762" s="19" t="s">
        <v>42</v>
      </c>
      <c r="L762" s="19" t="s">
        <v>43</v>
      </c>
      <c r="M762" s="19" t="s">
        <v>1303</v>
      </c>
      <c r="N762" s="19" t="s">
        <v>109</v>
      </c>
      <c r="O762" s="19" t="s">
        <v>235</v>
      </c>
      <c r="P762" s="19" t="s">
        <v>51</v>
      </c>
      <c r="Q762" s="19"/>
      <c r="R762" s="19" t="s">
        <v>256</v>
      </c>
      <c r="S762" s="19" t="s">
        <v>304</v>
      </c>
      <c r="T762" s="19" t="s">
        <v>55</v>
      </c>
      <c r="U762" s="19" t="s">
        <v>55</v>
      </c>
      <c r="V762" s="19" t="s">
        <v>424</v>
      </c>
      <c r="W762" s="19" t="s">
        <v>45</v>
      </c>
      <c r="X762" s="19" t="s">
        <v>46</v>
      </c>
      <c r="Y762" s="29"/>
      <c r="Z762" s="19"/>
      <c r="AA762" s="19"/>
      <c r="AB762" s="19" t="s">
        <v>1149</v>
      </c>
      <c r="AC762" s="19" t="s">
        <v>1322</v>
      </c>
      <c r="AD762" s="19"/>
      <c r="AE762" s="19"/>
      <c r="AF762" s="19"/>
      <c r="AG762" s="19" t="s">
        <v>235</v>
      </c>
      <c r="AH762" s="19"/>
      <c r="AI762" s="19"/>
      <c r="AJ762" s="19" t="s">
        <v>234</v>
      </c>
      <c r="AK762" s="19" t="s">
        <v>234</v>
      </c>
      <c r="AL762" s="19"/>
      <c r="AM762" s="19" t="s">
        <v>234</v>
      </c>
      <c r="AN762" s="19" t="s">
        <v>234</v>
      </c>
      <c r="AO762" s="19" t="s">
        <v>235</v>
      </c>
      <c r="AP762" s="94"/>
      <c r="AQ762" s="19" t="s">
        <v>102</v>
      </c>
      <c r="AR762" s="19" t="s">
        <v>241</v>
      </c>
      <c r="AS762" s="19"/>
      <c r="AT762" s="65" t="str">
        <f t="shared" si="209"/>
        <v>N</v>
      </c>
      <c r="AU762" s="65" t="str">
        <f t="shared" si="213"/>
        <v>N</v>
      </c>
      <c r="AV762" s="65" t="str">
        <f t="shared" si="217"/>
        <v>N</v>
      </c>
      <c r="AW762" s="99"/>
      <c r="AX762" s="99"/>
      <c r="AY762" s="19"/>
      <c r="AZ762" s="96" t="str">
        <f t="shared" si="214"/>
        <v>n</v>
      </c>
      <c r="BA762" s="96" t="str">
        <f>IF(AZ762="n","n",VLOOKUP(AZ762,'Conversion factors'!$C$4:$D$24,2,FALSE))</f>
        <v>n</v>
      </c>
      <c r="BB762" s="96" t="str">
        <f t="shared" si="215"/>
        <v>n</v>
      </c>
      <c r="BC762" s="97"/>
      <c r="BD762" s="96" t="str">
        <f t="shared" si="210"/>
        <v>n</v>
      </c>
      <c r="BE762" s="96" t="str">
        <f t="shared" si="216"/>
        <v>n</v>
      </c>
      <c r="BF762" s="98" t="str">
        <f t="shared" si="211"/>
        <v/>
      </c>
      <c r="BG762" s="96" t="str">
        <f>IF(BF762="","",IF(ISNUMBER(VLOOKUP(BF762,'Conversion factors'!$B$35:$C$52,2,FALSE)),"y","n"))</f>
        <v/>
      </c>
      <c r="BH762" s="99" t="s">
        <v>1511</v>
      </c>
    </row>
    <row r="763" spans="1:60" s="103" customFormat="1" ht="15.75" customHeight="1" x14ac:dyDescent="0.2">
      <c r="A763" s="18"/>
      <c r="B763" s="19">
        <v>323</v>
      </c>
      <c r="C763" s="19"/>
      <c r="D763" s="19">
        <v>164647</v>
      </c>
      <c r="E763" s="19" t="s">
        <v>1224</v>
      </c>
      <c r="F763" s="93">
        <v>2011</v>
      </c>
      <c r="G763" s="19" t="s">
        <v>1144</v>
      </c>
      <c r="H763" s="19"/>
      <c r="I763" s="19" t="s">
        <v>41</v>
      </c>
      <c r="J763" s="19" t="s">
        <v>567</v>
      </c>
      <c r="K763" s="19" t="s">
        <v>42</v>
      </c>
      <c r="L763" s="19" t="s">
        <v>43</v>
      </c>
      <c r="M763" s="19" t="s">
        <v>1303</v>
      </c>
      <c r="N763" s="19" t="s">
        <v>109</v>
      </c>
      <c r="O763" s="19" t="s">
        <v>235</v>
      </c>
      <c r="P763" s="19" t="s">
        <v>51</v>
      </c>
      <c r="Q763" s="19"/>
      <c r="R763" s="19" t="s">
        <v>256</v>
      </c>
      <c r="S763" s="19" t="s">
        <v>304</v>
      </c>
      <c r="T763" s="19" t="s">
        <v>55</v>
      </c>
      <c r="U763" s="19" t="s">
        <v>55</v>
      </c>
      <c r="V763" s="19" t="s">
        <v>424</v>
      </c>
      <c r="W763" s="19" t="s">
        <v>45</v>
      </c>
      <c r="X763" s="19" t="s">
        <v>46</v>
      </c>
      <c r="Y763" s="29"/>
      <c r="Z763" s="19"/>
      <c r="AA763" s="19"/>
      <c r="AB763" s="19" t="s">
        <v>1148</v>
      </c>
      <c r="AC763" s="19" t="s">
        <v>1322</v>
      </c>
      <c r="AD763" s="19"/>
      <c r="AE763" s="19"/>
      <c r="AF763" s="19"/>
      <c r="AG763" s="19" t="s">
        <v>235</v>
      </c>
      <c r="AH763" s="19"/>
      <c r="AI763" s="19"/>
      <c r="AJ763" s="19" t="s">
        <v>234</v>
      </c>
      <c r="AK763" s="19" t="s">
        <v>234</v>
      </c>
      <c r="AL763" s="19"/>
      <c r="AM763" s="19" t="s">
        <v>234</v>
      </c>
      <c r="AN763" s="19" t="s">
        <v>234</v>
      </c>
      <c r="AO763" s="19" t="s">
        <v>235</v>
      </c>
      <c r="AP763" s="94"/>
      <c r="AQ763" s="19" t="s">
        <v>102</v>
      </c>
      <c r="AR763" s="19" t="s">
        <v>241</v>
      </c>
      <c r="AS763" s="19"/>
      <c r="AT763" s="65" t="str">
        <f t="shared" si="209"/>
        <v>N</v>
      </c>
      <c r="AU763" s="65" t="str">
        <f t="shared" si="213"/>
        <v>N</v>
      </c>
      <c r="AV763" s="65" t="str">
        <f t="shared" si="217"/>
        <v>N</v>
      </c>
      <c r="AW763" s="99"/>
      <c r="AX763" s="99"/>
      <c r="AY763" s="19"/>
      <c r="AZ763" s="96" t="str">
        <f t="shared" si="214"/>
        <v>n</v>
      </c>
      <c r="BA763" s="96" t="str">
        <f>IF(AZ763="n","n",VLOOKUP(AZ763,'Conversion factors'!$C$4:$D$24,2,FALSE))</f>
        <v>n</v>
      </c>
      <c r="BB763" s="96" t="str">
        <f t="shared" si="215"/>
        <v>n</v>
      </c>
      <c r="BC763" s="97"/>
      <c r="BD763" s="96" t="str">
        <f t="shared" si="210"/>
        <v>n</v>
      </c>
      <c r="BE763" s="96" t="str">
        <f t="shared" si="216"/>
        <v>n</v>
      </c>
      <c r="BF763" s="98" t="str">
        <f t="shared" si="211"/>
        <v/>
      </c>
      <c r="BG763" s="96" t="str">
        <f>IF(BF763="","",IF(ISNUMBER(VLOOKUP(BF763,'Conversion factors'!$B$35:$C$52,2,FALSE)),"y","n"))</f>
        <v/>
      </c>
      <c r="BH763" s="99" t="s">
        <v>1511</v>
      </c>
    </row>
    <row r="764" spans="1:60" s="103" customFormat="1" ht="15.75" customHeight="1" x14ac:dyDescent="0.2">
      <c r="A764" s="18"/>
      <c r="B764" s="19">
        <v>323</v>
      </c>
      <c r="C764" s="19"/>
      <c r="D764" s="19">
        <v>164647</v>
      </c>
      <c r="E764" s="19" t="s">
        <v>1224</v>
      </c>
      <c r="F764" s="93">
        <v>2011</v>
      </c>
      <c r="G764" s="19" t="s">
        <v>1144</v>
      </c>
      <c r="H764" s="19"/>
      <c r="I764" s="19" t="s">
        <v>41</v>
      </c>
      <c r="J764" s="19" t="s">
        <v>567</v>
      </c>
      <c r="K764" s="19" t="s">
        <v>42</v>
      </c>
      <c r="L764" s="19" t="s">
        <v>43</v>
      </c>
      <c r="M764" s="19" t="s">
        <v>1303</v>
      </c>
      <c r="N764" s="19" t="s">
        <v>109</v>
      </c>
      <c r="O764" s="19" t="s">
        <v>235</v>
      </c>
      <c r="P764" s="19" t="s">
        <v>51</v>
      </c>
      <c r="Q764" s="19"/>
      <c r="R764" s="19" t="s">
        <v>256</v>
      </c>
      <c r="S764" s="19" t="s">
        <v>304</v>
      </c>
      <c r="T764" s="19" t="s">
        <v>54</v>
      </c>
      <c r="U764" s="19" t="s">
        <v>54</v>
      </c>
      <c r="V764" s="19" t="s">
        <v>424</v>
      </c>
      <c r="W764" s="19" t="s">
        <v>45</v>
      </c>
      <c r="X764" s="19" t="s">
        <v>46</v>
      </c>
      <c r="Y764" s="29"/>
      <c r="Z764" s="19"/>
      <c r="AA764" s="19"/>
      <c r="AB764" s="19" t="s">
        <v>392</v>
      </c>
      <c r="AC764" s="19" t="s">
        <v>1322</v>
      </c>
      <c r="AD764" s="19"/>
      <c r="AE764" s="19"/>
      <c r="AF764" s="19"/>
      <c r="AG764" s="19" t="s">
        <v>235</v>
      </c>
      <c r="AH764" s="19"/>
      <c r="AI764" s="19"/>
      <c r="AJ764" s="19" t="s">
        <v>234</v>
      </c>
      <c r="AK764" s="19" t="s">
        <v>234</v>
      </c>
      <c r="AL764" s="19"/>
      <c r="AM764" s="19" t="s">
        <v>234</v>
      </c>
      <c r="AN764" s="19" t="s">
        <v>234</v>
      </c>
      <c r="AO764" s="19" t="s">
        <v>235</v>
      </c>
      <c r="AP764" s="94"/>
      <c r="AQ764" s="19" t="s">
        <v>102</v>
      </c>
      <c r="AR764" s="19" t="s">
        <v>241</v>
      </c>
      <c r="AS764" s="19"/>
      <c r="AT764" s="65" t="str">
        <f t="shared" si="209"/>
        <v>N</v>
      </c>
      <c r="AU764" s="65" t="str">
        <f t="shared" si="213"/>
        <v>N</v>
      </c>
      <c r="AV764" s="65" t="str">
        <f t="shared" si="217"/>
        <v>N</v>
      </c>
      <c r="AW764" s="99"/>
      <c r="AX764" s="99"/>
      <c r="AY764" s="19"/>
      <c r="AZ764" s="96" t="str">
        <f t="shared" si="214"/>
        <v>n</v>
      </c>
      <c r="BA764" s="96" t="str">
        <f>IF(AZ764="n","n",VLOOKUP(AZ764,'Conversion factors'!$C$4:$D$24,2,FALSE))</f>
        <v>n</v>
      </c>
      <c r="BB764" s="96" t="str">
        <f t="shared" si="215"/>
        <v>n</v>
      </c>
      <c r="BC764" s="97"/>
      <c r="BD764" s="96" t="str">
        <f t="shared" si="210"/>
        <v>n</v>
      </c>
      <c r="BE764" s="96" t="str">
        <f t="shared" si="216"/>
        <v>n</v>
      </c>
      <c r="BF764" s="98" t="str">
        <f t="shared" si="211"/>
        <v/>
      </c>
      <c r="BG764" s="96" t="str">
        <f>IF(BF764="","",IF(ISNUMBER(VLOOKUP(BF764,'Conversion factors'!$B$35:$C$52,2,FALSE)),"y","n"))</f>
        <v/>
      </c>
      <c r="BH764" s="99" t="s">
        <v>1511</v>
      </c>
    </row>
    <row r="765" spans="1:60" s="103" customFormat="1" ht="15.75" customHeight="1" x14ac:dyDescent="0.2">
      <c r="A765" s="18"/>
      <c r="B765" s="19">
        <v>323</v>
      </c>
      <c r="C765" s="19"/>
      <c r="D765" s="19">
        <v>164647</v>
      </c>
      <c r="E765" s="19" t="s">
        <v>1224</v>
      </c>
      <c r="F765" s="93">
        <v>2011</v>
      </c>
      <c r="G765" s="19" t="s">
        <v>1144</v>
      </c>
      <c r="H765" s="19"/>
      <c r="I765" s="19" t="s">
        <v>41</v>
      </c>
      <c r="J765" s="19" t="s">
        <v>567</v>
      </c>
      <c r="K765" s="19" t="s">
        <v>42</v>
      </c>
      <c r="L765" s="19" t="s">
        <v>43</v>
      </c>
      <c r="M765" s="19" t="s">
        <v>1303</v>
      </c>
      <c r="N765" s="19" t="s">
        <v>109</v>
      </c>
      <c r="O765" s="19" t="s">
        <v>235</v>
      </c>
      <c r="P765" s="19" t="s">
        <v>51</v>
      </c>
      <c r="Q765" s="19"/>
      <c r="R765" s="19" t="s">
        <v>256</v>
      </c>
      <c r="S765" s="19" t="s">
        <v>304</v>
      </c>
      <c r="T765" s="19" t="s">
        <v>54</v>
      </c>
      <c r="U765" s="19" t="s">
        <v>54</v>
      </c>
      <c r="V765" s="19" t="s">
        <v>424</v>
      </c>
      <c r="W765" s="19" t="s">
        <v>45</v>
      </c>
      <c r="X765" s="19" t="s">
        <v>46</v>
      </c>
      <c r="Y765" s="29"/>
      <c r="Z765" s="19"/>
      <c r="AA765" s="19"/>
      <c r="AB765" s="19" t="s">
        <v>1150</v>
      </c>
      <c r="AC765" s="19" t="s">
        <v>1322</v>
      </c>
      <c r="AD765" s="19"/>
      <c r="AE765" s="19"/>
      <c r="AF765" s="19"/>
      <c r="AG765" s="19" t="s">
        <v>235</v>
      </c>
      <c r="AH765" s="19"/>
      <c r="AI765" s="19"/>
      <c r="AJ765" s="19" t="s">
        <v>234</v>
      </c>
      <c r="AK765" s="19" t="s">
        <v>234</v>
      </c>
      <c r="AL765" s="19"/>
      <c r="AM765" s="19" t="s">
        <v>234</v>
      </c>
      <c r="AN765" s="19" t="s">
        <v>234</v>
      </c>
      <c r="AO765" s="19" t="s">
        <v>235</v>
      </c>
      <c r="AP765" s="94"/>
      <c r="AQ765" s="19" t="s">
        <v>102</v>
      </c>
      <c r="AR765" s="19" t="s">
        <v>241</v>
      </c>
      <c r="AS765" s="19"/>
      <c r="AT765" s="65" t="str">
        <f t="shared" si="209"/>
        <v>N</v>
      </c>
      <c r="AU765" s="65" t="str">
        <f t="shared" si="213"/>
        <v>N</v>
      </c>
      <c r="AV765" s="65" t="str">
        <f t="shared" si="217"/>
        <v>N</v>
      </c>
      <c r="AW765" s="99"/>
      <c r="AX765" s="99"/>
      <c r="AY765" s="19"/>
      <c r="AZ765" s="96" t="str">
        <f t="shared" si="214"/>
        <v>n</v>
      </c>
      <c r="BA765" s="96" t="str">
        <f>IF(AZ765="n","n",VLOOKUP(AZ765,'Conversion factors'!$C$4:$D$24,2,FALSE))</f>
        <v>n</v>
      </c>
      <c r="BB765" s="96" t="str">
        <f t="shared" si="215"/>
        <v>n</v>
      </c>
      <c r="BC765" s="97"/>
      <c r="BD765" s="96" t="str">
        <f t="shared" si="210"/>
        <v>n</v>
      </c>
      <c r="BE765" s="96" t="str">
        <f t="shared" si="216"/>
        <v>n</v>
      </c>
      <c r="BF765" s="98" t="str">
        <f t="shared" si="211"/>
        <v/>
      </c>
      <c r="BG765" s="96" t="str">
        <f>IF(BF765="","",IF(ISNUMBER(VLOOKUP(BF765,'Conversion factors'!$B$35:$C$52,2,FALSE)),"y","n"))</f>
        <v/>
      </c>
      <c r="BH765" s="99" t="s">
        <v>1511</v>
      </c>
    </row>
    <row r="766" spans="1:60" s="103" customFormat="1" ht="15.75" customHeight="1" x14ac:dyDescent="0.2">
      <c r="A766" s="18"/>
      <c r="B766" s="19">
        <v>323</v>
      </c>
      <c r="C766" s="19"/>
      <c r="D766" s="19">
        <v>164647</v>
      </c>
      <c r="E766" s="19" t="s">
        <v>1224</v>
      </c>
      <c r="F766" s="93">
        <v>2011</v>
      </c>
      <c r="G766" s="19" t="s">
        <v>1144</v>
      </c>
      <c r="H766" s="19"/>
      <c r="I766" s="19" t="s">
        <v>41</v>
      </c>
      <c r="J766" s="19" t="s">
        <v>567</v>
      </c>
      <c r="K766" s="19" t="s">
        <v>42</v>
      </c>
      <c r="L766" s="19" t="s">
        <v>43</v>
      </c>
      <c r="M766" s="19" t="s">
        <v>1303</v>
      </c>
      <c r="N766" s="19" t="s">
        <v>109</v>
      </c>
      <c r="O766" s="19" t="s">
        <v>235</v>
      </c>
      <c r="P766" s="19" t="s">
        <v>51</v>
      </c>
      <c r="Q766" s="19"/>
      <c r="R766" s="19" t="s">
        <v>256</v>
      </c>
      <c r="S766" s="19" t="s">
        <v>304</v>
      </c>
      <c r="T766" s="19" t="s">
        <v>1145</v>
      </c>
      <c r="U766" s="19" t="s">
        <v>1145</v>
      </c>
      <c r="V766" s="19" t="s">
        <v>424</v>
      </c>
      <c r="W766" s="19" t="s">
        <v>45</v>
      </c>
      <c r="X766" s="19" t="s">
        <v>46</v>
      </c>
      <c r="Y766" s="29"/>
      <c r="Z766" s="19"/>
      <c r="AA766" s="19"/>
      <c r="AB766" s="19" t="s">
        <v>390</v>
      </c>
      <c r="AC766" s="19" t="s">
        <v>1322</v>
      </c>
      <c r="AD766" s="19"/>
      <c r="AE766" s="19"/>
      <c r="AF766" s="19"/>
      <c r="AG766" s="19" t="s">
        <v>235</v>
      </c>
      <c r="AH766" s="19"/>
      <c r="AI766" s="19"/>
      <c r="AJ766" s="19" t="s">
        <v>234</v>
      </c>
      <c r="AK766" s="19" t="s">
        <v>234</v>
      </c>
      <c r="AL766" s="19"/>
      <c r="AM766" s="19" t="s">
        <v>234</v>
      </c>
      <c r="AN766" s="19" t="s">
        <v>234</v>
      </c>
      <c r="AO766" s="19" t="s">
        <v>235</v>
      </c>
      <c r="AP766" s="94"/>
      <c r="AQ766" s="19" t="s">
        <v>102</v>
      </c>
      <c r="AR766" s="19" t="s">
        <v>241</v>
      </c>
      <c r="AS766" s="19"/>
      <c r="AT766" s="65" t="str">
        <f t="shared" si="209"/>
        <v>N</v>
      </c>
      <c r="AU766" s="65" t="str">
        <f t="shared" si="213"/>
        <v>N</v>
      </c>
      <c r="AV766" s="65" t="str">
        <f t="shared" si="217"/>
        <v>N</v>
      </c>
      <c r="AW766" s="99"/>
      <c r="AX766" s="99"/>
      <c r="AY766" s="19"/>
      <c r="AZ766" s="96" t="str">
        <f t="shared" si="214"/>
        <v>n</v>
      </c>
      <c r="BA766" s="96" t="str">
        <f>IF(AZ766="n","n",VLOOKUP(AZ766,'Conversion factors'!$C$4:$D$24,2,FALSE))</f>
        <v>n</v>
      </c>
      <c r="BB766" s="96" t="str">
        <f t="shared" si="215"/>
        <v>n</v>
      </c>
      <c r="BC766" s="97"/>
      <c r="BD766" s="96" t="str">
        <f t="shared" si="210"/>
        <v>n</v>
      </c>
      <c r="BE766" s="96" t="str">
        <f t="shared" si="216"/>
        <v>n</v>
      </c>
      <c r="BF766" s="98" t="str">
        <f t="shared" si="211"/>
        <v/>
      </c>
      <c r="BG766" s="96" t="str">
        <f>IF(BF766="","",IF(ISNUMBER(VLOOKUP(BF766,'Conversion factors'!$B$35:$C$52,2,FALSE)),"y","n"))</f>
        <v/>
      </c>
      <c r="BH766" s="99" t="s">
        <v>1511</v>
      </c>
    </row>
    <row r="767" spans="1:60" s="103" customFormat="1" ht="15.75" customHeight="1" x14ac:dyDescent="0.2">
      <c r="A767" s="18"/>
      <c r="B767" s="19">
        <v>323</v>
      </c>
      <c r="C767" s="19"/>
      <c r="D767" s="19">
        <v>164647</v>
      </c>
      <c r="E767" s="19" t="s">
        <v>1224</v>
      </c>
      <c r="F767" s="93">
        <v>2011</v>
      </c>
      <c r="G767" s="19" t="s">
        <v>1144</v>
      </c>
      <c r="H767" s="19"/>
      <c r="I767" s="19" t="s">
        <v>41</v>
      </c>
      <c r="J767" s="19" t="s">
        <v>567</v>
      </c>
      <c r="K767" s="19" t="s">
        <v>42</v>
      </c>
      <c r="L767" s="19" t="s">
        <v>43</v>
      </c>
      <c r="M767" s="19" t="s">
        <v>1303</v>
      </c>
      <c r="N767" s="19" t="s">
        <v>109</v>
      </c>
      <c r="O767" s="19" t="s">
        <v>235</v>
      </c>
      <c r="P767" s="19" t="s">
        <v>51</v>
      </c>
      <c r="Q767" s="19"/>
      <c r="R767" s="19" t="s">
        <v>256</v>
      </c>
      <c r="S767" s="19" t="s">
        <v>304</v>
      </c>
      <c r="T767" s="19" t="s">
        <v>55</v>
      </c>
      <c r="U767" s="19" t="s">
        <v>55</v>
      </c>
      <c r="V767" s="19" t="s">
        <v>424</v>
      </c>
      <c r="W767" s="19" t="s">
        <v>45</v>
      </c>
      <c r="X767" s="19" t="s">
        <v>46</v>
      </c>
      <c r="Y767" s="29"/>
      <c r="Z767" s="19"/>
      <c r="AA767" s="19"/>
      <c r="AB767" s="19" t="s">
        <v>1151</v>
      </c>
      <c r="AC767" s="19" t="s">
        <v>1322</v>
      </c>
      <c r="AD767" s="19"/>
      <c r="AE767" s="19"/>
      <c r="AF767" s="19"/>
      <c r="AG767" s="19" t="s">
        <v>235</v>
      </c>
      <c r="AH767" s="19"/>
      <c r="AI767" s="19"/>
      <c r="AJ767" s="19" t="s">
        <v>234</v>
      </c>
      <c r="AK767" s="19" t="s">
        <v>234</v>
      </c>
      <c r="AL767" s="19"/>
      <c r="AM767" s="19" t="s">
        <v>234</v>
      </c>
      <c r="AN767" s="19" t="s">
        <v>234</v>
      </c>
      <c r="AO767" s="19" t="s">
        <v>235</v>
      </c>
      <c r="AP767" s="94"/>
      <c r="AQ767" s="19" t="s">
        <v>102</v>
      </c>
      <c r="AR767" s="19" t="s">
        <v>241</v>
      </c>
      <c r="AS767" s="19"/>
      <c r="AT767" s="65" t="str">
        <f t="shared" si="209"/>
        <v>N</v>
      </c>
      <c r="AU767" s="65" t="str">
        <f t="shared" si="213"/>
        <v>N</v>
      </c>
      <c r="AV767" s="65" t="str">
        <f t="shared" si="217"/>
        <v>N</v>
      </c>
      <c r="AW767" s="99"/>
      <c r="AX767" s="99"/>
      <c r="AY767" s="19"/>
      <c r="AZ767" s="96" t="str">
        <f t="shared" si="214"/>
        <v>n</v>
      </c>
      <c r="BA767" s="96" t="str">
        <f>IF(AZ767="n","n",VLOOKUP(AZ767,'Conversion factors'!$C$4:$D$24,2,FALSE))</f>
        <v>n</v>
      </c>
      <c r="BB767" s="96" t="str">
        <f t="shared" si="215"/>
        <v>n</v>
      </c>
      <c r="BC767" s="97"/>
      <c r="BD767" s="96" t="str">
        <f t="shared" si="210"/>
        <v>n</v>
      </c>
      <c r="BE767" s="96" t="str">
        <f t="shared" si="216"/>
        <v>n</v>
      </c>
      <c r="BF767" s="98" t="str">
        <f t="shared" si="211"/>
        <v/>
      </c>
      <c r="BG767" s="96" t="str">
        <f>IF(BF767="","",IF(ISNUMBER(VLOOKUP(BF767,'Conversion factors'!$B$35:$C$52,2,FALSE)),"y","n"))</f>
        <v/>
      </c>
      <c r="BH767" s="99" t="s">
        <v>1511</v>
      </c>
    </row>
    <row r="768" spans="1:60" s="103" customFormat="1" ht="15.75" customHeight="1" x14ac:dyDescent="0.2">
      <c r="A768" s="18"/>
      <c r="B768" s="19">
        <v>323</v>
      </c>
      <c r="C768" s="19"/>
      <c r="D768" s="19">
        <v>164647</v>
      </c>
      <c r="E768" s="19" t="s">
        <v>1224</v>
      </c>
      <c r="F768" s="93">
        <v>2011</v>
      </c>
      <c r="G768" s="19" t="s">
        <v>1144</v>
      </c>
      <c r="H768" s="19"/>
      <c r="I768" s="19" t="s">
        <v>41</v>
      </c>
      <c r="J768" s="19" t="s">
        <v>567</v>
      </c>
      <c r="K768" s="19" t="s">
        <v>42</v>
      </c>
      <c r="L768" s="19" t="s">
        <v>43</v>
      </c>
      <c r="M768" s="19" t="s">
        <v>1303</v>
      </c>
      <c r="N768" s="19" t="s">
        <v>109</v>
      </c>
      <c r="O768" s="19" t="s">
        <v>235</v>
      </c>
      <c r="P768" s="19" t="s">
        <v>51</v>
      </c>
      <c r="Q768" s="19"/>
      <c r="R768" s="19" t="s">
        <v>256</v>
      </c>
      <c r="S768" s="19" t="s">
        <v>304</v>
      </c>
      <c r="T768" s="19" t="s">
        <v>54</v>
      </c>
      <c r="U768" s="19" t="s">
        <v>54</v>
      </c>
      <c r="V768" s="19" t="s">
        <v>424</v>
      </c>
      <c r="W768" s="19" t="s">
        <v>45</v>
      </c>
      <c r="X768" s="19" t="s">
        <v>46</v>
      </c>
      <c r="Y768" s="29"/>
      <c r="Z768" s="19"/>
      <c r="AA768" s="19"/>
      <c r="AB768" s="19" t="s">
        <v>388</v>
      </c>
      <c r="AC768" s="19" t="s">
        <v>1322</v>
      </c>
      <c r="AD768" s="19"/>
      <c r="AE768" s="19"/>
      <c r="AF768" s="19"/>
      <c r="AG768" s="19" t="s">
        <v>235</v>
      </c>
      <c r="AH768" s="19"/>
      <c r="AI768" s="19"/>
      <c r="AJ768" s="19" t="s">
        <v>234</v>
      </c>
      <c r="AK768" s="19" t="s">
        <v>234</v>
      </c>
      <c r="AL768" s="19"/>
      <c r="AM768" s="19" t="s">
        <v>234</v>
      </c>
      <c r="AN768" s="19" t="s">
        <v>234</v>
      </c>
      <c r="AO768" s="19" t="s">
        <v>235</v>
      </c>
      <c r="AP768" s="94"/>
      <c r="AQ768" s="19" t="s">
        <v>102</v>
      </c>
      <c r="AR768" s="19" t="s">
        <v>241</v>
      </c>
      <c r="AS768" s="19"/>
      <c r="AT768" s="65" t="str">
        <f t="shared" si="209"/>
        <v>N</v>
      </c>
      <c r="AU768" s="65" t="str">
        <f t="shared" si="213"/>
        <v>N</v>
      </c>
      <c r="AV768" s="65" t="str">
        <f t="shared" si="217"/>
        <v>N</v>
      </c>
      <c r="AW768" s="99"/>
      <c r="AX768" s="99"/>
      <c r="AY768" s="19"/>
      <c r="AZ768" s="96" t="str">
        <f t="shared" si="214"/>
        <v>n</v>
      </c>
      <c r="BA768" s="96" t="str">
        <f>IF(AZ768="n","n",VLOOKUP(AZ768,'Conversion factors'!$C$4:$D$24,2,FALSE))</f>
        <v>n</v>
      </c>
      <c r="BB768" s="96" t="str">
        <f t="shared" si="215"/>
        <v>n</v>
      </c>
      <c r="BC768" s="97"/>
      <c r="BD768" s="96" t="str">
        <f t="shared" si="210"/>
        <v>n</v>
      </c>
      <c r="BE768" s="96" t="str">
        <f t="shared" si="216"/>
        <v>n</v>
      </c>
      <c r="BF768" s="98" t="str">
        <f t="shared" si="211"/>
        <v/>
      </c>
      <c r="BG768" s="96" t="str">
        <f>IF(BF768="","",IF(ISNUMBER(VLOOKUP(BF768,'Conversion factors'!$B$35:$C$52,2,FALSE)),"y","n"))</f>
        <v/>
      </c>
      <c r="BH768" s="99" t="s">
        <v>1511</v>
      </c>
    </row>
    <row r="769" spans="1:60" s="103" customFormat="1" ht="15.75" customHeight="1" x14ac:dyDescent="0.2">
      <c r="A769" s="18"/>
      <c r="B769" s="19">
        <v>170</v>
      </c>
      <c r="C769" s="19"/>
      <c r="D769" s="19">
        <v>3265</v>
      </c>
      <c r="E769" s="19" t="s">
        <v>1224</v>
      </c>
      <c r="F769" s="93">
        <v>1990</v>
      </c>
      <c r="G769" s="19" t="s">
        <v>244</v>
      </c>
      <c r="H769" s="19"/>
      <c r="I769" s="19" t="s">
        <v>41</v>
      </c>
      <c r="J769" s="19" t="s">
        <v>245</v>
      </c>
      <c r="K769" s="19" t="s">
        <v>42</v>
      </c>
      <c r="L769" s="19" t="s">
        <v>43</v>
      </c>
      <c r="M769" s="19" t="s">
        <v>1303</v>
      </c>
      <c r="N769" s="19" t="s">
        <v>109</v>
      </c>
      <c r="O769" s="19" t="s">
        <v>235</v>
      </c>
      <c r="P769" s="19" t="s">
        <v>51</v>
      </c>
      <c r="Q769" s="19"/>
      <c r="R769" s="19" t="s">
        <v>81</v>
      </c>
      <c r="S769" s="19" t="s">
        <v>243</v>
      </c>
      <c r="T769" s="19" t="s">
        <v>44</v>
      </c>
      <c r="U769" s="19" t="s">
        <v>44</v>
      </c>
      <c r="V769" s="19" t="s">
        <v>103</v>
      </c>
      <c r="W769" s="19" t="s">
        <v>231</v>
      </c>
      <c r="X769" s="19" t="s">
        <v>46</v>
      </c>
      <c r="Y769" s="29"/>
      <c r="Z769" s="19"/>
      <c r="AA769" s="19"/>
      <c r="AB769" s="19" t="s">
        <v>246</v>
      </c>
      <c r="AC769" s="19" t="s">
        <v>1322</v>
      </c>
      <c r="AD769" s="19"/>
      <c r="AE769" s="19"/>
      <c r="AF769" s="19"/>
      <c r="AG769" s="19" t="s">
        <v>235</v>
      </c>
      <c r="AH769" s="19"/>
      <c r="AI769" s="19"/>
      <c r="AJ769" s="19" t="s">
        <v>234</v>
      </c>
      <c r="AK769" s="19" t="s">
        <v>234</v>
      </c>
      <c r="AL769" s="19"/>
      <c r="AM769" s="19" t="s">
        <v>234</v>
      </c>
      <c r="AN769" s="19" t="s">
        <v>234</v>
      </c>
      <c r="AO769" s="19" t="s">
        <v>235</v>
      </c>
      <c r="AP769" s="94"/>
      <c r="AQ769" s="19" t="s">
        <v>247</v>
      </c>
      <c r="AR769" s="19"/>
      <c r="AS769" s="19"/>
      <c r="AT769" s="65" t="str">
        <f t="shared" si="209"/>
        <v>N</v>
      </c>
      <c r="AU769" s="65" t="str">
        <f t="shared" si="213"/>
        <v>N</v>
      </c>
      <c r="AV769" s="65" t="str">
        <f t="shared" si="217"/>
        <v>N</v>
      </c>
      <c r="AW769" s="99"/>
      <c r="AX769" s="99"/>
      <c r="AY769" s="19"/>
      <c r="AZ769" s="96" t="str">
        <f t="shared" si="214"/>
        <v>n</v>
      </c>
      <c r="BA769" s="96" t="str">
        <f>IF(AZ769="n","n",VLOOKUP(AZ769,'Conversion factors'!$C$4:$D$24,2,FALSE))</f>
        <v>n</v>
      </c>
      <c r="BB769" s="96" t="str">
        <f t="shared" si="215"/>
        <v>n</v>
      </c>
      <c r="BC769" s="97"/>
      <c r="BD769" s="96" t="str">
        <f t="shared" si="210"/>
        <v>n</v>
      </c>
      <c r="BE769" s="96" t="str">
        <f t="shared" si="216"/>
        <v>n</v>
      </c>
      <c r="BF769" s="98" t="str">
        <f t="shared" si="211"/>
        <v/>
      </c>
      <c r="BG769" s="96" t="str">
        <f>IF(BF769="","",IF(ISNUMBER(VLOOKUP(BF769,'Conversion factors'!$B$35:$C$52,2,FALSE)),"y","n"))</f>
        <v/>
      </c>
      <c r="BH769" s="99"/>
    </row>
    <row r="770" spans="1:60" s="103" customFormat="1" ht="15.75" customHeight="1" x14ac:dyDescent="0.2">
      <c r="A770" s="18"/>
      <c r="B770" s="19">
        <v>174</v>
      </c>
      <c r="C770" s="19"/>
      <c r="D770" s="19">
        <v>7568</v>
      </c>
      <c r="E770" s="19" t="s">
        <v>1224</v>
      </c>
      <c r="F770" s="93">
        <v>1991</v>
      </c>
      <c r="G770" s="19" t="s">
        <v>263</v>
      </c>
      <c r="H770" s="19"/>
      <c r="I770" s="19" t="s">
        <v>41</v>
      </c>
      <c r="J770" s="19" t="s">
        <v>245</v>
      </c>
      <c r="K770" s="19" t="s">
        <v>42</v>
      </c>
      <c r="L770" s="19" t="s">
        <v>43</v>
      </c>
      <c r="M770" s="19" t="s">
        <v>1303</v>
      </c>
      <c r="N770" s="19" t="s">
        <v>109</v>
      </c>
      <c r="O770" s="19" t="s">
        <v>264</v>
      </c>
      <c r="P770" s="19" t="s">
        <v>51</v>
      </c>
      <c r="Q770" s="19"/>
      <c r="R770" s="19" t="s">
        <v>237</v>
      </c>
      <c r="S770" s="19" t="s">
        <v>79</v>
      </c>
      <c r="T770" s="19" t="s">
        <v>56</v>
      </c>
      <c r="U770" s="19" t="s">
        <v>44</v>
      </c>
      <c r="V770" s="19" t="s">
        <v>1204</v>
      </c>
      <c r="W770" s="19" t="s">
        <v>231</v>
      </c>
      <c r="X770" s="19" t="s">
        <v>46</v>
      </c>
      <c r="Y770" s="29"/>
      <c r="Z770" s="19"/>
      <c r="AA770" s="19"/>
      <c r="AB770" s="19" t="s">
        <v>265</v>
      </c>
      <c r="AC770" s="19" t="s">
        <v>1322</v>
      </c>
      <c r="AD770" s="19"/>
      <c r="AE770" s="19"/>
      <c r="AF770" s="19"/>
      <c r="AG770" s="19" t="s">
        <v>235</v>
      </c>
      <c r="AH770" s="19"/>
      <c r="AI770" s="19"/>
      <c r="AJ770" s="19" t="s">
        <v>234</v>
      </c>
      <c r="AK770" s="19" t="s">
        <v>234</v>
      </c>
      <c r="AL770" s="19"/>
      <c r="AM770" s="19" t="s">
        <v>234</v>
      </c>
      <c r="AN770" s="19" t="s">
        <v>234</v>
      </c>
      <c r="AO770" s="19" t="s">
        <v>235</v>
      </c>
      <c r="AP770" s="94"/>
      <c r="AQ770" s="19" t="s">
        <v>150</v>
      </c>
      <c r="AR770" s="19"/>
      <c r="AS770" s="19"/>
      <c r="AT770" s="65" t="str">
        <f t="shared" si="209"/>
        <v>N</v>
      </c>
      <c r="AU770" s="65" t="str">
        <f t="shared" si="213"/>
        <v>N</v>
      </c>
      <c r="AV770" s="65" t="str">
        <f t="shared" si="217"/>
        <v>N</v>
      </c>
      <c r="AW770" s="99"/>
      <c r="AX770" s="99"/>
      <c r="AY770" s="19"/>
      <c r="AZ770" s="96" t="str">
        <f t="shared" si="214"/>
        <v>n</v>
      </c>
      <c r="BA770" s="96" t="str">
        <f>IF(AZ770="n","n",VLOOKUP(AZ770,'Conversion factors'!$C$4:$D$24,2,FALSE))</f>
        <v>n</v>
      </c>
      <c r="BB770" s="96" t="str">
        <f t="shared" si="215"/>
        <v>n</v>
      </c>
      <c r="BC770" s="97"/>
      <c r="BD770" s="96" t="str">
        <f t="shared" si="210"/>
        <v>n</v>
      </c>
      <c r="BE770" s="96" t="str">
        <f t="shared" si="216"/>
        <v>n</v>
      </c>
      <c r="BF770" s="98" t="str">
        <f t="shared" si="211"/>
        <v/>
      </c>
      <c r="BG770" s="96" t="str">
        <f>IF(BF770="","",IF(ISNUMBER(VLOOKUP(BF770,'Conversion factors'!$B$35:$C$52,2,FALSE)),"y","n"))</f>
        <v/>
      </c>
      <c r="BH770" s="99"/>
    </row>
    <row r="771" spans="1:60" s="103" customFormat="1" ht="15.75" customHeight="1" x14ac:dyDescent="0.2">
      <c r="A771" s="18"/>
      <c r="B771" s="19">
        <v>216</v>
      </c>
      <c r="C771" s="19"/>
      <c r="D771" s="19">
        <v>61964</v>
      </c>
      <c r="E771" s="19" t="s">
        <v>1224</v>
      </c>
      <c r="F771" s="93">
        <v>2001</v>
      </c>
      <c r="G771" s="19" t="s">
        <v>512</v>
      </c>
      <c r="H771" s="19"/>
      <c r="I771" s="19" t="s">
        <v>41</v>
      </c>
      <c r="J771" s="19" t="s">
        <v>245</v>
      </c>
      <c r="K771" s="19" t="s">
        <v>42</v>
      </c>
      <c r="L771" s="19" t="s">
        <v>43</v>
      </c>
      <c r="M771" s="19" t="s">
        <v>1303</v>
      </c>
      <c r="N771" s="19" t="s">
        <v>109</v>
      </c>
      <c r="O771" s="19" t="s">
        <v>264</v>
      </c>
      <c r="P771" s="19" t="s">
        <v>51</v>
      </c>
      <c r="Q771" s="19"/>
      <c r="R771" s="19" t="s">
        <v>256</v>
      </c>
      <c r="S771" s="19" t="s">
        <v>309</v>
      </c>
      <c r="T771" s="19" t="s">
        <v>44</v>
      </c>
      <c r="U771" s="19" t="s">
        <v>44</v>
      </c>
      <c r="V771" s="19" t="s">
        <v>103</v>
      </c>
      <c r="W771" s="19" t="s">
        <v>231</v>
      </c>
      <c r="X771" s="19" t="s">
        <v>46</v>
      </c>
      <c r="Y771" s="29"/>
      <c r="Z771" s="19"/>
      <c r="AA771" s="19"/>
      <c r="AB771" s="19" t="s">
        <v>513</v>
      </c>
      <c r="AC771" s="19" t="s">
        <v>214</v>
      </c>
      <c r="AD771" s="19"/>
      <c r="AE771" s="19"/>
      <c r="AF771" s="19"/>
      <c r="AG771" s="19" t="s">
        <v>235</v>
      </c>
      <c r="AH771" s="19"/>
      <c r="AI771" s="19"/>
      <c r="AJ771" s="19" t="s">
        <v>234</v>
      </c>
      <c r="AK771" s="19" t="s">
        <v>234</v>
      </c>
      <c r="AL771" s="19"/>
      <c r="AM771" s="19" t="s">
        <v>234</v>
      </c>
      <c r="AN771" s="19" t="s">
        <v>234</v>
      </c>
      <c r="AO771" s="19" t="s">
        <v>235</v>
      </c>
      <c r="AP771" s="94"/>
      <c r="AQ771" s="19" t="s">
        <v>234</v>
      </c>
      <c r="AR771" s="19" t="s">
        <v>241</v>
      </c>
      <c r="AS771" s="19"/>
      <c r="AT771" s="65" t="str">
        <f t="shared" si="209"/>
        <v>Y</v>
      </c>
      <c r="AU771" s="65" t="str">
        <f t="shared" si="213"/>
        <v>N</v>
      </c>
      <c r="AV771" s="65" t="str">
        <f t="shared" si="217"/>
        <v>N</v>
      </c>
      <c r="AW771" s="99"/>
      <c r="AX771" s="99"/>
      <c r="AY771" s="19"/>
      <c r="AZ771" s="96" t="str">
        <f t="shared" si="214"/>
        <v>n</v>
      </c>
      <c r="BA771" s="96" t="str">
        <f>IF(AZ771="n","n",VLOOKUP(AZ771,'Conversion factors'!$C$4:$D$24,2,FALSE))</f>
        <v>n</v>
      </c>
      <c r="BB771" s="96" t="str">
        <f t="shared" si="215"/>
        <v>n</v>
      </c>
      <c r="BC771" s="97"/>
      <c r="BD771" s="96" t="str">
        <f t="shared" si="210"/>
        <v>n</v>
      </c>
      <c r="BE771" s="96" t="str">
        <f t="shared" si="216"/>
        <v>n</v>
      </c>
      <c r="BF771" s="98" t="str">
        <f t="shared" si="211"/>
        <v/>
      </c>
      <c r="BG771" s="96" t="str">
        <f>IF(BF771="","",IF(ISNUMBER(VLOOKUP(BF771,'Conversion factors'!$B$35:$C$52,2,FALSE)),"y","n"))</f>
        <v/>
      </c>
      <c r="BH771" s="99"/>
    </row>
    <row r="772" spans="1:60" s="103" customFormat="1" ht="15.75" customHeight="1" x14ac:dyDescent="0.2">
      <c r="A772" s="18"/>
      <c r="B772" s="19">
        <v>216</v>
      </c>
      <c r="C772" s="19"/>
      <c r="D772" s="19">
        <v>61964</v>
      </c>
      <c r="E772" s="19" t="s">
        <v>1224</v>
      </c>
      <c r="F772" s="93">
        <v>2001</v>
      </c>
      <c r="G772" s="19" t="s">
        <v>512</v>
      </c>
      <c r="H772" s="19"/>
      <c r="I772" s="19" t="s">
        <v>41</v>
      </c>
      <c r="J772" s="19" t="s">
        <v>245</v>
      </c>
      <c r="K772" s="19" t="s">
        <v>42</v>
      </c>
      <c r="L772" s="19" t="s">
        <v>43</v>
      </c>
      <c r="M772" s="19" t="s">
        <v>1303</v>
      </c>
      <c r="N772" s="19" t="s">
        <v>109</v>
      </c>
      <c r="O772" s="19" t="s">
        <v>264</v>
      </c>
      <c r="P772" s="19" t="s">
        <v>51</v>
      </c>
      <c r="Q772" s="19"/>
      <c r="R772" s="19" t="s">
        <v>256</v>
      </c>
      <c r="S772" s="19" t="s">
        <v>302</v>
      </c>
      <c r="T772" s="19" t="s">
        <v>44</v>
      </c>
      <c r="U772" s="19" t="s">
        <v>44</v>
      </c>
      <c r="V772" s="19" t="s">
        <v>103</v>
      </c>
      <c r="W772" s="19" t="s">
        <v>231</v>
      </c>
      <c r="X772" s="19" t="s">
        <v>46</v>
      </c>
      <c r="Y772" s="29"/>
      <c r="Z772" s="19"/>
      <c r="AA772" s="19"/>
      <c r="AB772" s="19" t="s">
        <v>357</v>
      </c>
      <c r="AC772" s="19" t="s">
        <v>214</v>
      </c>
      <c r="AD772" s="19"/>
      <c r="AE772" s="19"/>
      <c r="AF772" s="19"/>
      <c r="AG772" s="19" t="s">
        <v>235</v>
      </c>
      <c r="AH772" s="19"/>
      <c r="AI772" s="19"/>
      <c r="AJ772" s="19" t="s">
        <v>234</v>
      </c>
      <c r="AK772" s="19" t="s">
        <v>234</v>
      </c>
      <c r="AL772" s="19"/>
      <c r="AM772" s="19" t="s">
        <v>234</v>
      </c>
      <c r="AN772" s="19" t="s">
        <v>234</v>
      </c>
      <c r="AO772" s="19" t="s">
        <v>235</v>
      </c>
      <c r="AP772" s="94"/>
      <c r="AQ772" s="19" t="s">
        <v>234</v>
      </c>
      <c r="AR772" s="19" t="s">
        <v>241</v>
      </c>
      <c r="AS772" s="19"/>
      <c r="AT772" s="65" t="str">
        <f t="shared" si="209"/>
        <v>Y</v>
      </c>
      <c r="AU772" s="65" t="str">
        <f t="shared" si="213"/>
        <v>N</v>
      </c>
      <c r="AV772" s="65" t="str">
        <f t="shared" si="217"/>
        <v>N</v>
      </c>
      <c r="AW772" s="99"/>
      <c r="AX772" s="99"/>
      <c r="AY772" s="19"/>
      <c r="AZ772" s="96" t="str">
        <f t="shared" si="214"/>
        <v>n</v>
      </c>
      <c r="BA772" s="96" t="str">
        <f>IF(AZ772="n","n",VLOOKUP(AZ772,'Conversion factors'!$C$4:$D$24,2,FALSE))</f>
        <v>n</v>
      </c>
      <c r="BB772" s="96" t="str">
        <f t="shared" si="215"/>
        <v>n</v>
      </c>
      <c r="BC772" s="97"/>
      <c r="BD772" s="96" t="str">
        <f t="shared" si="210"/>
        <v>n</v>
      </c>
      <c r="BE772" s="96" t="str">
        <f t="shared" si="216"/>
        <v>n</v>
      </c>
      <c r="BF772" s="98" t="str">
        <f t="shared" si="211"/>
        <v/>
      </c>
      <c r="BG772" s="96" t="str">
        <f>IF(BF772="","",IF(ISNUMBER(VLOOKUP(BF772,'Conversion factors'!$B$35:$C$52,2,FALSE)),"y","n"))</f>
        <v/>
      </c>
      <c r="BH772" s="99"/>
    </row>
    <row r="773" spans="1:60" s="103" customFormat="1" ht="15.75" customHeight="1" x14ac:dyDescent="0.2">
      <c r="A773" s="18"/>
      <c r="B773" s="19">
        <v>262</v>
      </c>
      <c r="C773" s="19"/>
      <c r="D773" s="19">
        <v>84103</v>
      </c>
      <c r="E773" s="19" t="s">
        <v>1224</v>
      </c>
      <c r="F773" s="93">
        <v>2005</v>
      </c>
      <c r="G773" s="19" t="s">
        <v>897</v>
      </c>
      <c r="H773" s="19"/>
      <c r="I773" s="19" t="s">
        <v>41</v>
      </c>
      <c r="J773" s="19" t="s">
        <v>245</v>
      </c>
      <c r="K773" s="19" t="s">
        <v>42</v>
      </c>
      <c r="L773" s="19" t="s">
        <v>43</v>
      </c>
      <c r="M773" s="19" t="s">
        <v>1303</v>
      </c>
      <c r="N773" s="19" t="s">
        <v>109</v>
      </c>
      <c r="O773" s="19" t="s">
        <v>235</v>
      </c>
      <c r="P773" s="19" t="s">
        <v>51</v>
      </c>
      <c r="Q773" s="19"/>
      <c r="R773" s="19" t="s">
        <v>256</v>
      </c>
      <c r="S773" s="19" t="s">
        <v>304</v>
      </c>
      <c r="T773" s="19" t="s">
        <v>55</v>
      </c>
      <c r="U773" s="19" t="s">
        <v>55</v>
      </c>
      <c r="V773" s="19" t="s">
        <v>101</v>
      </c>
      <c r="W773" s="19" t="s">
        <v>231</v>
      </c>
      <c r="X773" s="19" t="s">
        <v>46</v>
      </c>
      <c r="Y773" s="29"/>
      <c r="Z773" s="19" t="s">
        <v>898</v>
      </c>
      <c r="AA773" s="19"/>
      <c r="AB773" s="19"/>
      <c r="AC773" s="19" t="s">
        <v>1322</v>
      </c>
      <c r="AD773" s="19"/>
      <c r="AE773" s="19"/>
      <c r="AF773" s="19"/>
      <c r="AG773" s="19" t="s">
        <v>235</v>
      </c>
      <c r="AH773" s="19"/>
      <c r="AI773" s="19"/>
      <c r="AJ773" s="19" t="s">
        <v>234</v>
      </c>
      <c r="AK773" s="19" t="s">
        <v>234</v>
      </c>
      <c r="AL773" s="19"/>
      <c r="AM773" s="19" t="s">
        <v>234</v>
      </c>
      <c r="AN773" s="19" t="s">
        <v>234</v>
      </c>
      <c r="AO773" s="19" t="s">
        <v>235</v>
      </c>
      <c r="AP773" s="94"/>
      <c r="AQ773" s="19" t="s">
        <v>102</v>
      </c>
      <c r="AR773" s="19" t="s">
        <v>241</v>
      </c>
      <c r="AS773" s="19"/>
      <c r="AT773" s="65" t="str">
        <f t="shared" si="209"/>
        <v>N</v>
      </c>
      <c r="AU773" s="65" t="str">
        <f t="shared" si="213"/>
        <v>N</v>
      </c>
      <c r="AV773" s="65" t="str">
        <f t="shared" si="217"/>
        <v>N</v>
      </c>
      <c r="AW773" s="99"/>
      <c r="AX773" s="99"/>
      <c r="AY773" s="19"/>
      <c r="AZ773" s="96" t="str">
        <f t="shared" si="214"/>
        <v>n</v>
      </c>
      <c r="BA773" s="96" t="str">
        <f>IF(AZ773="n","n",VLOOKUP(AZ773,'Conversion factors'!$C$4:$D$24,2,FALSE))</f>
        <v>n</v>
      </c>
      <c r="BB773" s="96" t="str">
        <f t="shared" si="215"/>
        <v>n</v>
      </c>
      <c r="BC773" s="97"/>
      <c r="BD773" s="96" t="str">
        <f t="shared" si="210"/>
        <v>n</v>
      </c>
      <c r="BE773" s="96" t="str">
        <f t="shared" si="216"/>
        <v>n</v>
      </c>
      <c r="BF773" s="98" t="str">
        <f t="shared" si="211"/>
        <v/>
      </c>
      <c r="BG773" s="96" t="str">
        <f>IF(BF773="","",IF(ISNUMBER(VLOOKUP(BF773,'Conversion factors'!$B$35:$C$52,2,FALSE)),"y","n"))</f>
        <v/>
      </c>
      <c r="BH773" s="99"/>
    </row>
    <row r="774" spans="1:60" s="103" customFormat="1" ht="15.75" customHeight="1" x14ac:dyDescent="0.2">
      <c r="A774" s="18"/>
      <c r="B774" s="19">
        <v>262</v>
      </c>
      <c r="C774" s="19"/>
      <c r="D774" s="19">
        <v>84103</v>
      </c>
      <c r="E774" s="19" t="s">
        <v>1224</v>
      </c>
      <c r="F774" s="93">
        <v>2005</v>
      </c>
      <c r="G774" s="19" t="s">
        <v>897</v>
      </c>
      <c r="H774" s="19"/>
      <c r="I774" s="19" t="s">
        <v>41</v>
      </c>
      <c r="J774" s="19" t="s">
        <v>245</v>
      </c>
      <c r="K774" s="19" t="s">
        <v>42</v>
      </c>
      <c r="L774" s="19" t="s">
        <v>43</v>
      </c>
      <c r="M774" s="19" t="s">
        <v>1303</v>
      </c>
      <c r="N774" s="19" t="s">
        <v>109</v>
      </c>
      <c r="O774" s="19" t="s">
        <v>235</v>
      </c>
      <c r="P774" s="19" t="s">
        <v>51</v>
      </c>
      <c r="Q774" s="19"/>
      <c r="R774" s="19" t="s">
        <v>256</v>
      </c>
      <c r="S774" s="19" t="s">
        <v>304</v>
      </c>
      <c r="T774" s="19" t="s">
        <v>55</v>
      </c>
      <c r="U774" s="19" t="s">
        <v>55</v>
      </c>
      <c r="V774" s="19" t="s">
        <v>101</v>
      </c>
      <c r="W774" s="19" t="s">
        <v>231</v>
      </c>
      <c r="X774" s="19" t="s">
        <v>46</v>
      </c>
      <c r="Y774" s="29"/>
      <c r="Z774" s="19" t="s">
        <v>898</v>
      </c>
      <c r="AA774" s="19"/>
      <c r="AB774" s="19"/>
      <c r="AC774" s="19" t="s">
        <v>1322</v>
      </c>
      <c r="AD774" s="19"/>
      <c r="AE774" s="19"/>
      <c r="AF774" s="19"/>
      <c r="AG774" s="19" t="s">
        <v>235</v>
      </c>
      <c r="AH774" s="19"/>
      <c r="AI774" s="19"/>
      <c r="AJ774" s="19" t="s">
        <v>234</v>
      </c>
      <c r="AK774" s="19" t="s">
        <v>234</v>
      </c>
      <c r="AL774" s="19"/>
      <c r="AM774" s="19" t="s">
        <v>234</v>
      </c>
      <c r="AN774" s="19" t="s">
        <v>234</v>
      </c>
      <c r="AO774" s="19" t="s">
        <v>235</v>
      </c>
      <c r="AP774" s="94"/>
      <c r="AQ774" s="19" t="s">
        <v>102</v>
      </c>
      <c r="AR774" s="19" t="s">
        <v>241</v>
      </c>
      <c r="AS774" s="19"/>
      <c r="AT774" s="65" t="str">
        <f t="shared" si="209"/>
        <v>N</v>
      </c>
      <c r="AU774" s="65" t="str">
        <f t="shared" si="213"/>
        <v>N</v>
      </c>
      <c r="AV774" s="65" t="str">
        <f t="shared" si="217"/>
        <v>N</v>
      </c>
      <c r="AW774" s="99"/>
      <c r="AX774" s="99"/>
      <c r="AY774" s="19"/>
      <c r="AZ774" s="96" t="str">
        <f t="shared" si="214"/>
        <v>n</v>
      </c>
      <c r="BA774" s="96" t="str">
        <f>IF(AZ774="n","n",VLOOKUP(AZ774,'Conversion factors'!$C$4:$D$24,2,FALSE))</f>
        <v>n</v>
      </c>
      <c r="BB774" s="96" t="str">
        <f t="shared" si="215"/>
        <v>n</v>
      </c>
      <c r="BC774" s="97"/>
      <c r="BD774" s="96" t="str">
        <f t="shared" si="210"/>
        <v>n</v>
      </c>
      <c r="BE774" s="96" t="str">
        <f t="shared" si="216"/>
        <v>n</v>
      </c>
      <c r="BF774" s="98" t="str">
        <f t="shared" si="211"/>
        <v/>
      </c>
      <c r="BG774" s="96" t="str">
        <f>IF(BF774="","",IF(ISNUMBER(VLOOKUP(BF774,'Conversion factors'!$B$35:$C$52,2,FALSE)),"y","n"))</f>
        <v/>
      </c>
      <c r="BH774" s="99"/>
    </row>
    <row r="775" spans="1:60" s="103" customFormat="1" ht="15.75" customHeight="1" x14ac:dyDescent="0.2">
      <c r="A775" s="18"/>
      <c r="B775" s="19">
        <v>264</v>
      </c>
      <c r="C775" s="19"/>
      <c r="D775" s="19">
        <v>84115</v>
      </c>
      <c r="E775" s="19" t="s">
        <v>1224</v>
      </c>
      <c r="F775" s="93">
        <v>1991</v>
      </c>
      <c r="G775" s="19" t="s">
        <v>900</v>
      </c>
      <c r="H775" s="19"/>
      <c r="I775" s="19" t="s">
        <v>41</v>
      </c>
      <c r="J775" s="19" t="s">
        <v>245</v>
      </c>
      <c r="K775" s="19" t="s">
        <v>42</v>
      </c>
      <c r="L775" s="19" t="s">
        <v>43</v>
      </c>
      <c r="M775" s="19" t="s">
        <v>1303</v>
      </c>
      <c r="N775" s="19" t="s">
        <v>109</v>
      </c>
      <c r="O775" s="19" t="s">
        <v>264</v>
      </c>
      <c r="P775" s="19" t="s">
        <v>51</v>
      </c>
      <c r="Q775" s="19"/>
      <c r="R775" s="19" t="s">
        <v>237</v>
      </c>
      <c r="S775" s="19" t="s">
        <v>79</v>
      </c>
      <c r="T775" s="19" t="s">
        <v>901</v>
      </c>
      <c r="U775" s="19" t="s">
        <v>1698</v>
      </c>
      <c r="V775" s="19" t="s">
        <v>101</v>
      </c>
      <c r="W775" s="19" t="s">
        <v>231</v>
      </c>
      <c r="X775" s="19" t="s">
        <v>46</v>
      </c>
      <c r="Y775" s="29"/>
      <c r="Z775" s="19"/>
      <c r="AA775" s="19"/>
      <c r="AB775" s="19" t="s">
        <v>238</v>
      </c>
      <c r="AC775" s="19" t="s">
        <v>1322</v>
      </c>
      <c r="AD775" s="19"/>
      <c r="AE775" s="19"/>
      <c r="AF775" s="19"/>
      <c r="AG775" s="19" t="s">
        <v>235</v>
      </c>
      <c r="AH775" s="19"/>
      <c r="AI775" s="19"/>
      <c r="AJ775" s="19" t="s">
        <v>234</v>
      </c>
      <c r="AK775" s="19" t="s">
        <v>234</v>
      </c>
      <c r="AL775" s="19"/>
      <c r="AM775" s="19" t="s">
        <v>234</v>
      </c>
      <c r="AN775" s="19" t="s">
        <v>234</v>
      </c>
      <c r="AO775" s="19" t="s">
        <v>235</v>
      </c>
      <c r="AP775" s="94"/>
      <c r="AQ775" s="19" t="s">
        <v>234</v>
      </c>
      <c r="AR775" s="19" t="s">
        <v>241</v>
      </c>
      <c r="AS775" s="19"/>
      <c r="AT775" s="65" t="str">
        <f t="shared" ref="AT775:AT803" si="218">IF(F775&lt;1980,"N",IF(AC775="M","Y",IF(AC775="SM","Y","N")))</f>
        <v>N</v>
      </c>
      <c r="AU775" s="65" t="str">
        <f t="shared" si="213"/>
        <v>N</v>
      </c>
      <c r="AV775" s="65" t="str">
        <f t="shared" si="217"/>
        <v>N</v>
      </c>
      <c r="AW775" s="99"/>
      <c r="AX775" s="99"/>
      <c r="AY775" s="19"/>
      <c r="AZ775" s="96" t="str">
        <f t="shared" si="214"/>
        <v>n</v>
      </c>
      <c r="BA775" s="96" t="str">
        <f>IF(AZ775="n","n",VLOOKUP(AZ775,'Conversion factors'!$C$4:$D$24,2,FALSE))</f>
        <v>n</v>
      </c>
      <c r="BB775" s="96" t="str">
        <f t="shared" si="215"/>
        <v>n</v>
      </c>
      <c r="BC775" s="97"/>
      <c r="BD775" s="96" t="str">
        <f t="shared" ref="BD775:BD803" si="219">IF(AV775="N","n",X775)</f>
        <v>n</v>
      </c>
      <c r="BE775" s="96" t="str">
        <f t="shared" si="216"/>
        <v>n</v>
      </c>
      <c r="BF775" s="98" t="str">
        <f t="shared" si="211"/>
        <v/>
      </c>
      <c r="BG775" s="96" t="str">
        <f>IF(BF775="","",IF(ISNUMBER(VLOOKUP(BF775,'Conversion factors'!$B$35:$C$52,2,FALSE)),"y","n"))</f>
        <v/>
      </c>
      <c r="BH775" s="99"/>
    </row>
    <row r="776" spans="1:60" s="103" customFormat="1" ht="15.75" customHeight="1" x14ac:dyDescent="0.2">
      <c r="A776" s="18"/>
      <c r="B776" s="19">
        <v>264</v>
      </c>
      <c r="C776" s="19"/>
      <c r="D776" s="19">
        <v>84115</v>
      </c>
      <c r="E776" s="19" t="s">
        <v>1224</v>
      </c>
      <c r="F776" s="93">
        <v>1991</v>
      </c>
      <c r="G776" s="19" t="s">
        <v>900</v>
      </c>
      <c r="H776" s="19"/>
      <c r="I776" s="19" t="s">
        <v>41</v>
      </c>
      <c r="J776" s="19" t="s">
        <v>245</v>
      </c>
      <c r="K776" s="19" t="s">
        <v>42</v>
      </c>
      <c r="L776" s="19" t="s">
        <v>43</v>
      </c>
      <c r="M776" s="19" t="s">
        <v>1303</v>
      </c>
      <c r="N776" s="19" t="s">
        <v>109</v>
      </c>
      <c r="O776" s="19" t="s">
        <v>264</v>
      </c>
      <c r="P776" s="19" t="s">
        <v>51</v>
      </c>
      <c r="Q776" s="19"/>
      <c r="R776" s="19" t="s">
        <v>237</v>
      </c>
      <c r="S776" s="19" t="s">
        <v>79</v>
      </c>
      <c r="T776" s="19" t="s">
        <v>56</v>
      </c>
      <c r="U776" s="19" t="s">
        <v>44</v>
      </c>
      <c r="V776" s="19" t="s">
        <v>101</v>
      </c>
      <c r="W776" s="19" t="s">
        <v>231</v>
      </c>
      <c r="X776" s="19" t="s">
        <v>46</v>
      </c>
      <c r="Y776" s="29"/>
      <c r="Z776" s="19"/>
      <c r="AA776" s="19"/>
      <c r="AB776" s="19" t="s">
        <v>902</v>
      </c>
      <c r="AC776" s="19" t="s">
        <v>1322</v>
      </c>
      <c r="AD776" s="19"/>
      <c r="AE776" s="19"/>
      <c r="AF776" s="19"/>
      <c r="AG776" s="19" t="s">
        <v>235</v>
      </c>
      <c r="AH776" s="19"/>
      <c r="AI776" s="19"/>
      <c r="AJ776" s="19" t="s">
        <v>234</v>
      </c>
      <c r="AK776" s="19" t="s">
        <v>234</v>
      </c>
      <c r="AL776" s="19"/>
      <c r="AM776" s="19" t="s">
        <v>234</v>
      </c>
      <c r="AN776" s="19" t="s">
        <v>234</v>
      </c>
      <c r="AO776" s="19" t="s">
        <v>235</v>
      </c>
      <c r="AP776" s="94"/>
      <c r="AQ776" s="19" t="s">
        <v>234</v>
      </c>
      <c r="AR776" s="19" t="s">
        <v>241</v>
      </c>
      <c r="AS776" s="19"/>
      <c r="AT776" s="65" t="str">
        <f t="shared" si="218"/>
        <v>N</v>
      </c>
      <c r="AU776" s="65" t="str">
        <f t="shared" si="213"/>
        <v>N</v>
      </c>
      <c r="AV776" s="65" t="str">
        <f t="shared" si="217"/>
        <v>N</v>
      </c>
      <c r="AW776" s="99"/>
      <c r="AX776" s="99"/>
      <c r="AY776" s="19"/>
      <c r="AZ776" s="96" t="str">
        <f t="shared" si="214"/>
        <v>n</v>
      </c>
      <c r="BA776" s="96" t="str">
        <f>IF(AZ776="n","n",VLOOKUP(AZ776,'Conversion factors'!$C$4:$D$24,2,FALSE))</f>
        <v>n</v>
      </c>
      <c r="BB776" s="96" t="str">
        <f t="shared" si="215"/>
        <v>n</v>
      </c>
      <c r="BC776" s="97"/>
      <c r="BD776" s="96" t="str">
        <f t="shared" si="219"/>
        <v>n</v>
      </c>
      <c r="BE776" s="96" t="str">
        <f t="shared" si="216"/>
        <v>n</v>
      </c>
      <c r="BF776" s="98" t="str">
        <f t="shared" ref="BF776:BF803" si="220">IF(BE776="n","",AZ776)</f>
        <v/>
      </c>
      <c r="BG776" s="96" t="str">
        <f>IF(BF776="","",IF(ISNUMBER(VLOOKUP(BF776,'Conversion factors'!$B$35:$C$52,2,FALSE)),"y","n"))</f>
        <v/>
      </c>
      <c r="BH776" s="99"/>
    </row>
    <row r="777" spans="1:60" s="103" customFormat="1" ht="15.75" customHeight="1" x14ac:dyDescent="0.2">
      <c r="A777" s="18"/>
      <c r="B777" s="19">
        <v>181</v>
      </c>
      <c r="C777" s="19"/>
      <c r="D777" s="19">
        <v>16945</v>
      </c>
      <c r="E777" s="19" t="s">
        <v>1224</v>
      </c>
      <c r="F777" s="93">
        <v>1994</v>
      </c>
      <c r="G777" s="19" t="s">
        <v>314</v>
      </c>
      <c r="H777" s="19"/>
      <c r="I777" s="19" t="s">
        <v>41</v>
      </c>
      <c r="J777" s="19" t="s">
        <v>318</v>
      </c>
      <c r="K777" s="19" t="s">
        <v>316</v>
      </c>
      <c r="L777" s="19" t="s">
        <v>43</v>
      </c>
      <c r="M777" s="19" t="s">
        <v>1402</v>
      </c>
      <c r="N777" s="19" t="s">
        <v>109</v>
      </c>
      <c r="O777" s="19" t="s">
        <v>235</v>
      </c>
      <c r="P777" s="19" t="s">
        <v>51</v>
      </c>
      <c r="Q777" s="19"/>
      <c r="R777" s="19" t="s">
        <v>256</v>
      </c>
      <c r="S777" s="19" t="s">
        <v>304</v>
      </c>
      <c r="T777" s="19" t="s">
        <v>44</v>
      </c>
      <c r="U777" s="19" t="s">
        <v>44</v>
      </c>
      <c r="V777" s="19" t="s">
        <v>126</v>
      </c>
      <c r="W777" s="19" t="s">
        <v>231</v>
      </c>
      <c r="X777" s="19" t="s">
        <v>46</v>
      </c>
      <c r="Y777" s="29"/>
      <c r="Z777" s="19"/>
      <c r="AA777" s="19"/>
      <c r="AB777" s="19" t="s">
        <v>319</v>
      </c>
      <c r="AC777" s="19" t="s">
        <v>1322</v>
      </c>
      <c r="AD777" s="19"/>
      <c r="AE777" s="19"/>
      <c r="AF777" s="19"/>
      <c r="AG777" s="19" t="s">
        <v>235</v>
      </c>
      <c r="AH777" s="19"/>
      <c r="AI777" s="19"/>
      <c r="AJ777" s="19" t="s">
        <v>234</v>
      </c>
      <c r="AK777" s="19" t="s">
        <v>234</v>
      </c>
      <c r="AL777" s="19"/>
      <c r="AM777" s="19" t="s">
        <v>234</v>
      </c>
      <c r="AN777" s="19" t="s">
        <v>234</v>
      </c>
      <c r="AO777" s="19" t="s">
        <v>235</v>
      </c>
      <c r="AP777" s="94"/>
      <c r="AQ777" s="19" t="s">
        <v>150</v>
      </c>
      <c r="AR777" s="19" t="s">
        <v>241</v>
      </c>
      <c r="AS777" s="19"/>
      <c r="AT777" s="65" t="str">
        <f t="shared" si="218"/>
        <v>N</v>
      </c>
      <c r="AU777" s="65" t="str">
        <f t="shared" si="213"/>
        <v>N</v>
      </c>
      <c r="AV777" s="65" t="str">
        <f t="shared" si="217"/>
        <v>N</v>
      </c>
      <c r="AW777" s="99"/>
      <c r="AX777" s="99"/>
      <c r="AY777" s="19"/>
      <c r="AZ777" s="96" t="str">
        <f t="shared" si="214"/>
        <v>n</v>
      </c>
      <c r="BA777" s="96" t="str">
        <f>IF(AZ777="n","n",VLOOKUP(AZ777,'Conversion factors'!$C$4:$D$24,2,FALSE))</f>
        <v>n</v>
      </c>
      <c r="BB777" s="96" t="str">
        <f t="shared" si="215"/>
        <v>n</v>
      </c>
      <c r="BC777" s="97"/>
      <c r="BD777" s="96" t="str">
        <f t="shared" si="219"/>
        <v>n</v>
      </c>
      <c r="BE777" s="96" t="str">
        <f t="shared" si="216"/>
        <v>n</v>
      </c>
      <c r="BF777" s="98" t="str">
        <f t="shared" si="220"/>
        <v/>
      </c>
      <c r="BG777" s="96" t="str">
        <f>IF(BF777="","",IF(ISNUMBER(VLOOKUP(BF777,'Conversion factors'!$B$35:$C$52,2,FALSE)),"y","n"))</f>
        <v/>
      </c>
      <c r="BH777" s="99"/>
    </row>
    <row r="778" spans="1:60" s="103" customFormat="1" ht="15.75" customHeight="1" x14ac:dyDescent="0.2">
      <c r="A778" s="18"/>
      <c r="B778" s="19">
        <v>181</v>
      </c>
      <c r="C778" s="19"/>
      <c r="D778" s="19">
        <v>16945</v>
      </c>
      <c r="E778" s="19" t="s">
        <v>1224</v>
      </c>
      <c r="F778" s="93">
        <v>1994</v>
      </c>
      <c r="G778" s="19" t="s">
        <v>314</v>
      </c>
      <c r="H778" s="19"/>
      <c r="I778" s="19" t="s">
        <v>41</v>
      </c>
      <c r="J778" s="19" t="s">
        <v>318</v>
      </c>
      <c r="K778" s="19" t="s">
        <v>316</v>
      </c>
      <c r="L778" s="19" t="s">
        <v>43</v>
      </c>
      <c r="M778" s="19" t="s">
        <v>1402</v>
      </c>
      <c r="N778" s="19" t="s">
        <v>109</v>
      </c>
      <c r="O778" s="19" t="s">
        <v>235</v>
      </c>
      <c r="P778" s="19" t="s">
        <v>51</v>
      </c>
      <c r="Q778" s="19"/>
      <c r="R778" s="19" t="s">
        <v>256</v>
      </c>
      <c r="S778" s="19" t="s">
        <v>304</v>
      </c>
      <c r="T778" s="19" t="s">
        <v>44</v>
      </c>
      <c r="U778" s="19" t="s">
        <v>44</v>
      </c>
      <c r="V778" s="19" t="s">
        <v>126</v>
      </c>
      <c r="W778" s="19" t="s">
        <v>231</v>
      </c>
      <c r="X778" s="19" t="s">
        <v>46</v>
      </c>
      <c r="Y778" s="29"/>
      <c r="Z778" s="19"/>
      <c r="AA778" s="19"/>
      <c r="AB778" s="19" t="s">
        <v>322</v>
      </c>
      <c r="AC778" s="19" t="s">
        <v>1322</v>
      </c>
      <c r="AD778" s="19"/>
      <c r="AE778" s="19"/>
      <c r="AF778" s="19"/>
      <c r="AG778" s="19" t="s">
        <v>235</v>
      </c>
      <c r="AH778" s="19"/>
      <c r="AI778" s="19"/>
      <c r="AJ778" s="19" t="s">
        <v>234</v>
      </c>
      <c r="AK778" s="19" t="s">
        <v>234</v>
      </c>
      <c r="AL778" s="19"/>
      <c r="AM778" s="19" t="s">
        <v>234</v>
      </c>
      <c r="AN778" s="19" t="s">
        <v>234</v>
      </c>
      <c r="AO778" s="19" t="s">
        <v>235</v>
      </c>
      <c r="AP778" s="94"/>
      <c r="AQ778" s="19" t="s">
        <v>150</v>
      </c>
      <c r="AR778" s="19" t="s">
        <v>241</v>
      </c>
      <c r="AS778" s="19"/>
      <c r="AT778" s="65" t="str">
        <f t="shared" si="218"/>
        <v>N</v>
      </c>
      <c r="AU778" s="65" t="str">
        <f t="shared" si="213"/>
        <v>N</v>
      </c>
      <c r="AV778" s="65" t="str">
        <f t="shared" si="217"/>
        <v>N</v>
      </c>
      <c r="AW778" s="99"/>
      <c r="AX778" s="99"/>
      <c r="AY778" s="19"/>
      <c r="AZ778" s="96" t="str">
        <f t="shared" si="214"/>
        <v>n</v>
      </c>
      <c r="BA778" s="96" t="str">
        <f>IF(AZ778="n","n",VLOOKUP(AZ778,'Conversion factors'!$C$4:$D$24,2,FALSE))</f>
        <v>n</v>
      </c>
      <c r="BB778" s="96" t="str">
        <f t="shared" si="215"/>
        <v>n</v>
      </c>
      <c r="BC778" s="97"/>
      <c r="BD778" s="96" t="str">
        <f t="shared" si="219"/>
        <v>n</v>
      </c>
      <c r="BE778" s="96" t="str">
        <f t="shared" si="216"/>
        <v>n</v>
      </c>
      <c r="BF778" s="98" t="str">
        <f t="shared" si="220"/>
        <v/>
      </c>
      <c r="BG778" s="96" t="str">
        <f>IF(BF778="","",IF(ISNUMBER(VLOOKUP(BF778,'Conversion factors'!$B$35:$C$52,2,FALSE)),"y","n"))</f>
        <v/>
      </c>
      <c r="BH778" s="99"/>
    </row>
    <row r="779" spans="1:60" s="103" customFormat="1" ht="15.75" customHeight="1" x14ac:dyDescent="0.2">
      <c r="A779" s="18"/>
      <c r="B779" s="19">
        <v>231</v>
      </c>
      <c r="C779" s="19"/>
      <c r="D779" s="19">
        <v>69554</v>
      </c>
      <c r="E779" s="19" t="s">
        <v>1224</v>
      </c>
      <c r="F779" s="93">
        <v>2003</v>
      </c>
      <c r="G779" s="19" t="s">
        <v>591</v>
      </c>
      <c r="H779" s="19"/>
      <c r="I779" s="19" t="s">
        <v>41</v>
      </c>
      <c r="J779" s="19" t="s">
        <v>592</v>
      </c>
      <c r="K779" s="19" t="s">
        <v>42</v>
      </c>
      <c r="L779" s="19" t="s">
        <v>43</v>
      </c>
      <c r="M779" s="19" t="s">
        <v>1303</v>
      </c>
      <c r="N779" s="19" t="s">
        <v>109</v>
      </c>
      <c r="O779" s="19" t="s">
        <v>235</v>
      </c>
      <c r="P779" s="19" t="s">
        <v>162</v>
      </c>
      <c r="Q779" s="19"/>
      <c r="R779" s="19" t="s">
        <v>256</v>
      </c>
      <c r="S779" s="19" t="s">
        <v>302</v>
      </c>
      <c r="T779" s="19" t="s">
        <v>44</v>
      </c>
      <c r="U779" s="19" t="s">
        <v>44</v>
      </c>
      <c r="V779" s="19" t="s">
        <v>103</v>
      </c>
      <c r="W779" s="19" t="s">
        <v>45</v>
      </c>
      <c r="X779" s="19" t="s">
        <v>46</v>
      </c>
      <c r="Y779" s="29"/>
      <c r="Z779" s="19"/>
      <c r="AA779" s="19"/>
      <c r="AB779" s="19" t="s">
        <v>593</v>
      </c>
      <c r="AC779" s="19" t="s">
        <v>1322</v>
      </c>
      <c r="AD779" s="19"/>
      <c r="AE779" s="19"/>
      <c r="AF779" s="19"/>
      <c r="AG779" s="19" t="s">
        <v>235</v>
      </c>
      <c r="AH779" s="19"/>
      <c r="AI779" s="19"/>
      <c r="AJ779" s="19" t="s">
        <v>234</v>
      </c>
      <c r="AK779" s="19" t="s">
        <v>234</v>
      </c>
      <c r="AL779" s="19"/>
      <c r="AM779" s="19" t="s">
        <v>234</v>
      </c>
      <c r="AN779" s="19" t="s">
        <v>234</v>
      </c>
      <c r="AO779" s="19" t="s">
        <v>235</v>
      </c>
      <c r="AP779" s="94"/>
      <c r="AQ779" s="19" t="s">
        <v>91</v>
      </c>
      <c r="AR779" s="19" t="s">
        <v>241</v>
      </c>
      <c r="AS779" s="19"/>
      <c r="AT779" s="65" t="str">
        <f t="shared" si="218"/>
        <v>N</v>
      </c>
      <c r="AU779" s="65" t="str">
        <f t="shared" si="213"/>
        <v>N</v>
      </c>
      <c r="AV779" s="65" t="str">
        <f t="shared" si="217"/>
        <v>N</v>
      </c>
      <c r="AW779" s="99"/>
      <c r="AX779" s="99"/>
      <c r="AY779" s="19"/>
      <c r="AZ779" s="96" t="str">
        <f t="shared" si="214"/>
        <v>n</v>
      </c>
      <c r="BA779" s="96" t="str">
        <f>IF(AZ779="n","n",VLOOKUP(AZ779,'Conversion factors'!$C$4:$D$24,2,FALSE))</f>
        <v>n</v>
      </c>
      <c r="BB779" s="96" t="str">
        <f t="shared" si="215"/>
        <v>n</v>
      </c>
      <c r="BC779" s="97"/>
      <c r="BD779" s="96" t="str">
        <f t="shared" si="219"/>
        <v>n</v>
      </c>
      <c r="BE779" s="96" t="str">
        <f t="shared" si="216"/>
        <v>n</v>
      </c>
      <c r="BF779" s="98" t="str">
        <f t="shared" si="220"/>
        <v/>
      </c>
      <c r="BG779" s="96" t="str">
        <f>IF(BF779="","",IF(ISNUMBER(VLOOKUP(BF779,'Conversion factors'!$B$35:$C$52,2,FALSE)),"y","n"))</f>
        <v/>
      </c>
      <c r="BH779" s="99"/>
    </row>
    <row r="780" spans="1:60" s="103" customFormat="1" ht="15.75" customHeight="1" x14ac:dyDescent="0.2">
      <c r="A780" s="18"/>
      <c r="B780" s="19">
        <v>231</v>
      </c>
      <c r="C780" s="19"/>
      <c r="D780" s="19">
        <v>69554</v>
      </c>
      <c r="E780" s="19" t="s">
        <v>1224</v>
      </c>
      <c r="F780" s="93">
        <v>2003</v>
      </c>
      <c r="G780" s="19" t="s">
        <v>591</v>
      </c>
      <c r="H780" s="19"/>
      <c r="I780" s="19" t="s">
        <v>41</v>
      </c>
      <c r="J780" s="19" t="s">
        <v>592</v>
      </c>
      <c r="K780" s="19" t="s">
        <v>42</v>
      </c>
      <c r="L780" s="19" t="s">
        <v>43</v>
      </c>
      <c r="M780" s="19" t="s">
        <v>1303</v>
      </c>
      <c r="N780" s="19" t="s">
        <v>109</v>
      </c>
      <c r="O780" s="19" t="s">
        <v>235</v>
      </c>
      <c r="P780" s="19" t="s">
        <v>162</v>
      </c>
      <c r="Q780" s="19"/>
      <c r="R780" s="19" t="s">
        <v>256</v>
      </c>
      <c r="S780" s="19" t="s">
        <v>257</v>
      </c>
      <c r="T780" s="19" t="s">
        <v>44</v>
      </c>
      <c r="U780" s="19" t="s">
        <v>44</v>
      </c>
      <c r="V780" s="19" t="s">
        <v>103</v>
      </c>
      <c r="W780" s="19" t="s">
        <v>45</v>
      </c>
      <c r="X780" s="19" t="s">
        <v>46</v>
      </c>
      <c r="Y780" s="29"/>
      <c r="Z780" s="19"/>
      <c r="AA780" s="19"/>
      <c r="AB780" s="19" t="s">
        <v>594</v>
      </c>
      <c r="AC780" s="19" t="s">
        <v>1322</v>
      </c>
      <c r="AD780" s="19"/>
      <c r="AE780" s="19"/>
      <c r="AF780" s="19"/>
      <c r="AG780" s="19" t="s">
        <v>235</v>
      </c>
      <c r="AH780" s="19"/>
      <c r="AI780" s="19"/>
      <c r="AJ780" s="19" t="s">
        <v>234</v>
      </c>
      <c r="AK780" s="19" t="s">
        <v>234</v>
      </c>
      <c r="AL780" s="19"/>
      <c r="AM780" s="19" t="s">
        <v>234</v>
      </c>
      <c r="AN780" s="19" t="s">
        <v>234</v>
      </c>
      <c r="AO780" s="19" t="s">
        <v>235</v>
      </c>
      <c r="AP780" s="94"/>
      <c r="AQ780" s="19" t="s">
        <v>91</v>
      </c>
      <c r="AR780" s="19" t="s">
        <v>241</v>
      </c>
      <c r="AS780" s="19"/>
      <c r="AT780" s="65" t="str">
        <f t="shared" si="218"/>
        <v>N</v>
      </c>
      <c r="AU780" s="65" t="str">
        <f t="shared" si="213"/>
        <v>N</v>
      </c>
      <c r="AV780" s="65" t="str">
        <f t="shared" si="217"/>
        <v>N</v>
      </c>
      <c r="AW780" s="99"/>
      <c r="AX780" s="99"/>
      <c r="AY780" s="19"/>
      <c r="AZ780" s="96" t="str">
        <f t="shared" si="214"/>
        <v>n</v>
      </c>
      <c r="BA780" s="96" t="str">
        <f>IF(AZ780="n","n",VLOOKUP(AZ780,'Conversion factors'!$C$4:$D$24,2,FALSE))</f>
        <v>n</v>
      </c>
      <c r="BB780" s="96" t="str">
        <f t="shared" si="215"/>
        <v>n</v>
      </c>
      <c r="BC780" s="97"/>
      <c r="BD780" s="96" t="str">
        <f t="shared" si="219"/>
        <v>n</v>
      </c>
      <c r="BE780" s="96" t="str">
        <f t="shared" si="216"/>
        <v>n</v>
      </c>
      <c r="BF780" s="98" t="str">
        <f t="shared" si="220"/>
        <v/>
      </c>
      <c r="BG780" s="96" t="str">
        <f>IF(BF780="","",IF(ISNUMBER(VLOOKUP(BF780,'Conversion factors'!$B$35:$C$52,2,FALSE)),"y","n"))</f>
        <v/>
      </c>
      <c r="BH780" s="99"/>
    </row>
    <row r="781" spans="1:60" s="103" customFormat="1" ht="15.75" customHeight="1" x14ac:dyDescent="0.2">
      <c r="A781" s="18"/>
      <c r="B781" s="19">
        <v>231</v>
      </c>
      <c r="C781" s="19"/>
      <c r="D781" s="19">
        <v>69554</v>
      </c>
      <c r="E781" s="19" t="s">
        <v>1224</v>
      </c>
      <c r="F781" s="93">
        <v>2003</v>
      </c>
      <c r="G781" s="19" t="s">
        <v>591</v>
      </c>
      <c r="H781" s="19"/>
      <c r="I781" s="19" t="s">
        <v>41</v>
      </c>
      <c r="J781" s="19" t="s">
        <v>592</v>
      </c>
      <c r="K781" s="19" t="s">
        <v>42</v>
      </c>
      <c r="L781" s="19" t="s">
        <v>43</v>
      </c>
      <c r="M781" s="19" t="s">
        <v>1303</v>
      </c>
      <c r="N781" s="19" t="s">
        <v>109</v>
      </c>
      <c r="O781" s="19" t="s">
        <v>235</v>
      </c>
      <c r="P781" s="19" t="s">
        <v>162</v>
      </c>
      <c r="Q781" s="19"/>
      <c r="R781" s="19" t="s">
        <v>256</v>
      </c>
      <c r="S781" s="19" t="s">
        <v>309</v>
      </c>
      <c r="T781" s="19" t="s">
        <v>44</v>
      </c>
      <c r="U781" s="19" t="s">
        <v>44</v>
      </c>
      <c r="V781" s="19" t="s">
        <v>103</v>
      </c>
      <c r="W781" s="19" t="s">
        <v>45</v>
      </c>
      <c r="X781" s="19" t="s">
        <v>46</v>
      </c>
      <c r="Y781" s="29"/>
      <c r="Z781" s="19"/>
      <c r="AA781" s="19"/>
      <c r="AB781" s="19" t="s">
        <v>595</v>
      </c>
      <c r="AC781" s="19" t="s">
        <v>1322</v>
      </c>
      <c r="AD781" s="19"/>
      <c r="AE781" s="19"/>
      <c r="AF781" s="19"/>
      <c r="AG781" s="19" t="s">
        <v>235</v>
      </c>
      <c r="AH781" s="19"/>
      <c r="AI781" s="19"/>
      <c r="AJ781" s="19" t="s">
        <v>234</v>
      </c>
      <c r="AK781" s="19" t="s">
        <v>234</v>
      </c>
      <c r="AL781" s="19"/>
      <c r="AM781" s="19" t="s">
        <v>234</v>
      </c>
      <c r="AN781" s="19" t="s">
        <v>234</v>
      </c>
      <c r="AO781" s="19" t="s">
        <v>235</v>
      </c>
      <c r="AP781" s="94"/>
      <c r="AQ781" s="19" t="s">
        <v>91</v>
      </c>
      <c r="AR781" s="19" t="s">
        <v>241</v>
      </c>
      <c r="AS781" s="19"/>
      <c r="AT781" s="65" t="str">
        <f t="shared" si="218"/>
        <v>N</v>
      </c>
      <c r="AU781" s="65" t="str">
        <f t="shared" si="213"/>
        <v>N</v>
      </c>
      <c r="AV781" s="65" t="str">
        <f t="shared" si="217"/>
        <v>N</v>
      </c>
      <c r="AW781" s="99"/>
      <c r="AX781" s="99"/>
      <c r="AY781" s="19"/>
      <c r="AZ781" s="96" t="str">
        <f t="shared" si="214"/>
        <v>n</v>
      </c>
      <c r="BA781" s="96" t="str">
        <f>IF(AZ781="n","n",VLOOKUP(AZ781,'Conversion factors'!$C$4:$D$24,2,FALSE))</f>
        <v>n</v>
      </c>
      <c r="BB781" s="96" t="str">
        <f t="shared" si="215"/>
        <v>n</v>
      </c>
      <c r="BC781" s="97"/>
      <c r="BD781" s="96" t="str">
        <f t="shared" si="219"/>
        <v>n</v>
      </c>
      <c r="BE781" s="96" t="str">
        <f t="shared" si="216"/>
        <v>n</v>
      </c>
      <c r="BF781" s="98" t="str">
        <f t="shared" si="220"/>
        <v/>
      </c>
      <c r="BG781" s="96" t="str">
        <f>IF(BF781="","",IF(ISNUMBER(VLOOKUP(BF781,'Conversion factors'!$B$35:$C$52,2,FALSE)),"y","n"))</f>
        <v/>
      </c>
      <c r="BH781" s="99"/>
    </row>
    <row r="782" spans="1:60" s="103" customFormat="1" ht="15.75" customHeight="1" x14ac:dyDescent="0.2">
      <c r="A782" s="18"/>
      <c r="B782" s="19">
        <v>231</v>
      </c>
      <c r="C782" s="19"/>
      <c r="D782" s="19">
        <v>69554</v>
      </c>
      <c r="E782" s="19" t="s">
        <v>1224</v>
      </c>
      <c r="F782" s="93">
        <v>2003</v>
      </c>
      <c r="G782" s="19" t="s">
        <v>591</v>
      </c>
      <c r="H782" s="19"/>
      <c r="I782" s="19" t="s">
        <v>41</v>
      </c>
      <c r="J782" s="19" t="s">
        <v>592</v>
      </c>
      <c r="K782" s="19" t="s">
        <v>42</v>
      </c>
      <c r="L782" s="19" t="s">
        <v>43</v>
      </c>
      <c r="M782" s="19" t="s">
        <v>1303</v>
      </c>
      <c r="N782" s="19" t="s">
        <v>109</v>
      </c>
      <c r="O782" s="19" t="s">
        <v>235</v>
      </c>
      <c r="P782" s="19" t="s">
        <v>162</v>
      </c>
      <c r="Q782" s="19"/>
      <c r="R782" s="19" t="s">
        <v>256</v>
      </c>
      <c r="S782" s="19" t="s">
        <v>309</v>
      </c>
      <c r="T782" s="19" t="s">
        <v>44</v>
      </c>
      <c r="U782" s="19" t="s">
        <v>44</v>
      </c>
      <c r="V782" s="19" t="s">
        <v>103</v>
      </c>
      <c r="W782" s="19" t="s">
        <v>45</v>
      </c>
      <c r="X782" s="19" t="s">
        <v>46</v>
      </c>
      <c r="Y782" s="29"/>
      <c r="Z782" s="19"/>
      <c r="AA782" s="19"/>
      <c r="AB782" s="19" t="s">
        <v>596</v>
      </c>
      <c r="AC782" s="19" t="s">
        <v>1322</v>
      </c>
      <c r="AD782" s="19"/>
      <c r="AE782" s="19"/>
      <c r="AF782" s="19"/>
      <c r="AG782" s="19" t="s">
        <v>235</v>
      </c>
      <c r="AH782" s="19"/>
      <c r="AI782" s="19"/>
      <c r="AJ782" s="19" t="s">
        <v>234</v>
      </c>
      <c r="AK782" s="19" t="s">
        <v>234</v>
      </c>
      <c r="AL782" s="19"/>
      <c r="AM782" s="19" t="s">
        <v>234</v>
      </c>
      <c r="AN782" s="19" t="s">
        <v>234</v>
      </c>
      <c r="AO782" s="19" t="s">
        <v>235</v>
      </c>
      <c r="AP782" s="94"/>
      <c r="AQ782" s="19" t="s">
        <v>91</v>
      </c>
      <c r="AR782" s="19" t="s">
        <v>241</v>
      </c>
      <c r="AS782" s="19"/>
      <c r="AT782" s="65" t="str">
        <f t="shared" si="218"/>
        <v>N</v>
      </c>
      <c r="AU782" s="65" t="str">
        <f t="shared" si="213"/>
        <v>N</v>
      </c>
      <c r="AV782" s="65" t="str">
        <f t="shared" si="217"/>
        <v>N</v>
      </c>
      <c r="AW782" s="99"/>
      <c r="AX782" s="99"/>
      <c r="AY782" s="19"/>
      <c r="AZ782" s="96" t="str">
        <f t="shared" si="214"/>
        <v>n</v>
      </c>
      <c r="BA782" s="96" t="str">
        <f>IF(AZ782="n","n",VLOOKUP(AZ782,'Conversion factors'!$C$4:$D$24,2,FALSE))</f>
        <v>n</v>
      </c>
      <c r="BB782" s="96" t="str">
        <f t="shared" si="215"/>
        <v>n</v>
      </c>
      <c r="BC782" s="97"/>
      <c r="BD782" s="96" t="str">
        <f t="shared" si="219"/>
        <v>n</v>
      </c>
      <c r="BE782" s="96" t="str">
        <f t="shared" si="216"/>
        <v>n</v>
      </c>
      <c r="BF782" s="98" t="str">
        <f t="shared" si="220"/>
        <v/>
      </c>
      <c r="BG782" s="96" t="str">
        <f>IF(BF782="","",IF(ISNUMBER(VLOOKUP(BF782,'Conversion factors'!$B$35:$C$52,2,FALSE)),"y","n"))</f>
        <v/>
      </c>
      <c r="BH782" s="99"/>
    </row>
    <row r="783" spans="1:60" s="103" customFormat="1" ht="15.75" customHeight="1" x14ac:dyDescent="0.2">
      <c r="A783" s="18"/>
      <c r="B783" s="19">
        <v>231</v>
      </c>
      <c r="C783" s="19"/>
      <c r="D783" s="19">
        <v>69554</v>
      </c>
      <c r="E783" s="19" t="s">
        <v>1224</v>
      </c>
      <c r="F783" s="93">
        <v>2003</v>
      </c>
      <c r="G783" s="19" t="s">
        <v>591</v>
      </c>
      <c r="H783" s="19"/>
      <c r="I783" s="19" t="s">
        <v>41</v>
      </c>
      <c r="J783" s="19" t="s">
        <v>592</v>
      </c>
      <c r="K783" s="19" t="s">
        <v>42</v>
      </c>
      <c r="L783" s="19" t="s">
        <v>43</v>
      </c>
      <c r="M783" s="19" t="s">
        <v>1303</v>
      </c>
      <c r="N783" s="19" t="s">
        <v>109</v>
      </c>
      <c r="O783" s="19" t="s">
        <v>235</v>
      </c>
      <c r="P783" s="19" t="s">
        <v>162</v>
      </c>
      <c r="Q783" s="19"/>
      <c r="R783" s="19" t="s">
        <v>256</v>
      </c>
      <c r="S783" s="19" t="s">
        <v>309</v>
      </c>
      <c r="T783" s="19" t="s">
        <v>44</v>
      </c>
      <c r="U783" s="19" t="s">
        <v>44</v>
      </c>
      <c r="V783" s="19" t="s">
        <v>103</v>
      </c>
      <c r="W783" s="19" t="s">
        <v>45</v>
      </c>
      <c r="X783" s="19" t="s">
        <v>46</v>
      </c>
      <c r="Y783" s="29"/>
      <c r="Z783" s="19"/>
      <c r="AA783" s="19"/>
      <c r="AB783" s="19" t="s">
        <v>587</v>
      </c>
      <c r="AC783" s="19" t="s">
        <v>1322</v>
      </c>
      <c r="AD783" s="19"/>
      <c r="AE783" s="19"/>
      <c r="AF783" s="19"/>
      <c r="AG783" s="19" t="s">
        <v>235</v>
      </c>
      <c r="AH783" s="19"/>
      <c r="AI783" s="19"/>
      <c r="AJ783" s="19" t="s">
        <v>234</v>
      </c>
      <c r="AK783" s="19" t="s">
        <v>234</v>
      </c>
      <c r="AL783" s="19"/>
      <c r="AM783" s="19" t="s">
        <v>234</v>
      </c>
      <c r="AN783" s="19" t="s">
        <v>234</v>
      </c>
      <c r="AO783" s="19" t="s">
        <v>235</v>
      </c>
      <c r="AP783" s="94"/>
      <c r="AQ783" s="19" t="s">
        <v>91</v>
      </c>
      <c r="AR783" s="19" t="s">
        <v>241</v>
      </c>
      <c r="AS783" s="19"/>
      <c r="AT783" s="65" t="str">
        <f t="shared" si="218"/>
        <v>N</v>
      </c>
      <c r="AU783" s="65" t="str">
        <f t="shared" si="213"/>
        <v>N</v>
      </c>
      <c r="AV783" s="65" t="str">
        <f t="shared" si="217"/>
        <v>N</v>
      </c>
      <c r="AW783" s="99"/>
      <c r="AX783" s="99"/>
      <c r="AY783" s="19"/>
      <c r="AZ783" s="96" t="str">
        <f t="shared" si="214"/>
        <v>n</v>
      </c>
      <c r="BA783" s="96" t="str">
        <f>IF(AZ783="n","n",VLOOKUP(AZ783,'Conversion factors'!$C$4:$D$24,2,FALSE))</f>
        <v>n</v>
      </c>
      <c r="BB783" s="96" t="str">
        <f t="shared" si="215"/>
        <v>n</v>
      </c>
      <c r="BC783" s="97"/>
      <c r="BD783" s="96" t="str">
        <f t="shared" si="219"/>
        <v>n</v>
      </c>
      <c r="BE783" s="96" t="str">
        <f t="shared" si="216"/>
        <v>n</v>
      </c>
      <c r="BF783" s="98" t="str">
        <f t="shared" si="220"/>
        <v/>
      </c>
      <c r="BG783" s="96" t="str">
        <f>IF(BF783="","",IF(ISNUMBER(VLOOKUP(BF783,'Conversion factors'!$B$35:$C$52,2,FALSE)),"y","n"))</f>
        <v/>
      </c>
      <c r="BH783" s="99"/>
    </row>
    <row r="784" spans="1:60" s="103" customFormat="1" ht="15.75" customHeight="1" x14ac:dyDescent="0.2">
      <c r="A784" s="18"/>
      <c r="B784" s="19">
        <v>224</v>
      </c>
      <c r="C784" s="19"/>
      <c r="D784" s="19">
        <v>66305</v>
      </c>
      <c r="E784" s="19" t="s">
        <v>1224</v>
      </c>
      <c r="F784" s="93">
        <v>2002</v>
      </c>
      <c r="G784" s="19" t="s">
        <v>549</v>
      </c>
      <c r="H784" s="19"/>
      <c r="I784" s="19" t="s">
        <v>41</v>
      </c>
      <c r="J784" s="19" t="s">
        <v>550</v>
      </c>
      <c r="K784" s="19" t="s">
        <v>551</v>
      </c>
      <c r="L784" s="19" t="s">
        <v>43</v>
      </c>
      <c r="M784" s="19" t="s">
        <v>1485</v>
      </c>
      <c r="N784" s="19" t="s">
        <v>1484</v>
      </c>
      <c r="O784" s="19" t="s">
        <v>235</v>
      </c>
      <c r="P784" s="19" t="s">
        <v>51</v>
      </c>
      <c r="Q784" s="19"/>
      <c r="R784" s="19" t="s">
        <v>256</v>
      </c>
      <c r="S784" s="19" t="s">
        <v>309</v>
      </c>
      <c r="T784" s="19" t="s">
        <v>56</v>
      </c>
      <c r="U784" s="19" t="s">
        <v>44</v>
      </c>
      <c r="V784" s="19" t="s">
        <v>103</v>
      </c>
      <c r="W784" s="19" t="s">
        <v>45</v>
      </c>
      <c r="X784" s="19" t="s">
        <v>46</v>
      </c>
      <c r="Y784" s="29"/>
      <c r="Z784" s="19">
        <v>880</v>
      </c>
      <c r="AA784" s="19"/>
      <c r="AB784" s="19"/>
      <c r="AC784" s="19" t="s">
        <v>1322</v>
      </c>
      <c r="AD784" s="19"/>
      <c r="AE784" s="19"/>
      <c r="AF784" s="19"/>
      <c r="AG784" s="19" t="s">
        <v>235</v>
      </c>
      <c r="AH784" s="19"/>
      <c r="AI784" s="19"/>
      <c r="AJ784" s="19" t="s">
        <v>234</v>
      </c>
      <c r="AK784" s="19" t="s">
        <v>234</v>
      </c>
      <c r="AL784" s="19"/>
      <c r="AM784" s="19" t="s">
        <v>234</v>
      </c>
      <c r="AN784" s="19" t="s">
        <v>234</v>
      </c>
      <c r="AO784" s="19" t="s">
        <v>235</v>
      </c>
      <c r="AP784" s="94"/>
      <c r="AQ784" s="19" t="s">
        <v>234</v>
      </c>
      <c r="AR784" s="19" t="s">
        <v>241</v>
      </c>
      <c r="AS784" s="19"/>
      <c r="AT784" s="65" t="str">
        <f t="shared" si="218"/>
        <v>N</v>
      </c>
      <c r="AU784" s="65" t="str">
        <f t="shared" si="213"/>
        <v>N</v>
      </c>
      <c r="AV784" s="65" t="str">
        <f t="shared" si="217"/>
        <v>N</v>
      </c>
      <c r="AW784" s="99"/>
      <c r="AX784" s="99"/>
      <c r="AY784" s="19"/>
      <c r="AZ784" s="96" t="str">
        <f t="shared" si="214"/>
        <v>n</v>
      </c>
      <c r="BA784" s="96" t="str">
        <f>IF(AZ784="n","n",VLOOKUP(AZ784,'Conversion factors'!$C$4:$D$24,2,FALSE))</f>
        <v>n</v>
      </c>
      <c r="BB784" s="96" t="str">
        <f t="shared" si="215"/>
        <v>n</v>
      </c>
      <c r="BC784" s="97"/>
      <c r="BD784" s="96" t="str">
        <f t="shared" si="219"/>
        <v>n</v>
      </c>
      <c r="BE784" s="96" t="str">
        <f t="shared" si="216"/>
        <v>n</v>
      </c>
      <c r="BF784" s="98" t="str">
        <f t="shared" si="220"/>
        <v/>
      </c>
      <c r="BG784" s="96" t="str">
        <f>IF(BF784="","",IF(ISNUMBER(VLOOKUP(BF784,'Conversion factors'!$B$35:$C$52,2,FALSE)),"y","n"))</f>
        <v/>
      </c>
      <c r="BH784" s="99"/>
    </row>
    <row r="785" spans="1:60" s="103" customFormat="1" ht="15.75" customHeight="1" x14ac:dyDescent="0.2">
      <c r="A785" s="18"/>
      <c r="B785" s="19">
        <v>241</v>
      </c>
      <c r="C785" s="19"/>
      <c r="D785" s="19">
        <v>76336</v>
      </c>
      <c r="E785" s="19" t="s">
        <v>1224</v>
      </c>
      <c r="F785" s="93">
        <v>2000</v>
      </c>
      <c r="G785" s="19" t="s">
        <v>677</v>
      </c>
      <c r="H785" s="19"/>
      <c r="I785" s="19" t="s">
        <v>41</v>
      </c>
      <c r="J785" s="19" t="s">
        <v>550</v>
      </c>
      <c r="K785" s="19" t="s">
        <v>551</v>
      </c>
      <c r="L785" s="19" t="s">
        <v>43</v>
      </c>
      <c r="M785" s="19" t="s">
        <v>1485</v>
      </c>
      <c r="N785" s="19" t="s">
        <v>1484</v>
      </c>
      <c r="O785" s="19" t="s">
        <v>264</v>
      </c>
      <c r="P785" s="19" t="s">
        <v>51</v>
      </c>
      <c r="Q785" s="19"/>
      <c r="R785" s="19" t="s">
        <v>256</v>
      </c>
      <c r="S785" s="19" t="s">
        <v>309</v>
      </c>
      <c r="T785" s="19" t="s">
        <v>44</v>
      </c>
      <c r="U785" s="19" t="s">
        <v>44</v>
      </c>
      <c r="V785" s="19" t="s">
        <v>144</v>
      </c>
      <c r="W785" s="19" t="s">
        <v>231</v>
      </c>
      <c r="X785" s="19" t="s">
        <v>46</v>
      </c>
      <c r="Y785" s="29"/>
      <c r="Z785" s="19">
        <v>3100</v>
      </c>
      <c r="AA785" s="19"/>
      <c r="AB785" s="19"/>
      <c r="AC785" s="19" t="s">
        <v>1322</v>
      </c>
      <c r="AD785" s="19"/>
      <c r="AE785" s="19"/>
      <c r="AF785" s="19"/>
      <c r="AG785" s="19" t="s">
        <v>235</v>
      </c>
      <c r="AH785" s="19"/>
      <c r="AI785" s="19"/>
      <c r="AJ785" s="19">
        <v>2.7</v>
      </c>
      <c r="AK785" s="19" t="s">
        <v>678</v>
      </c>
      <c r="AL785" s="19"/>
      <c r="AM785" s="19" t="s">
        <v>234</v>
      </c>
      <c r="AN785" s="19" t="s">
        <v>234</v>
      </c>
      <c r="AO785" s="19" t="s">
        <v>235</v>
      </c>
      <c r="AP785" s="94"/>
      <c r="AQ785" s="19" t="s">
        <v>91</v>
      </c>
      <c r="AR785" s="19" t="s">
        <v>241</v>
      </c>
      <c r="AS785" s="19"/>
      <c r="AT785" s="65" t="str">
        <f t="shared" si="218"/>
        <v>N</v>
      </c>
      <c r="AU785" s="65" t="str">
        <f t="shared" si="213"/>
        <v>N</v>
      </c>
      <c r="AV785" s="65" t="s">
        <v>162</v>
      </c>
      <c r="AW785" s="99" t="s">
        <v>1405</v>
      </c>
      <c r="AX785" s="99"/>
      <c r="AY785" s="19"/>
      <c r="AZ785" s="96" t="str">
        <f t="shared" si="214"/>
        <v>n</v>
      </c>
      <c r="BA785" s="96" t="str">
        <f>IF(AZ785="n","n",VLOOKUP(AZ785,'Conversion factors'!$C$4:$D$24,2,FALSE))</f>
        <v>n</v>
      </c>
      <c r="BB785" s="96" t="str">
        <f t="shared" si="215"/>
        <v>n</v>
      </c>
      <c r="BC785" s="97"/>
      <c r="BD785" s="96" t="str">
        <f t="shared" si="219"/>
        <v>n</v>
      </c>
      <c r="BE785" s="96" t="str">
        <f t="shared" si="216"/>
        <v>n</v>
      </c>
      <c r="BF785" s="98" t="str">
        <f t="shared" si="220"/>
        <v/>
      </c>
      <c r="BG785" s="96" t="str">
        <f>IF(BF785="","",IF(ISNUMBER(VLOOKUP(BF785,'Conversion factors'!$B$35:$C$52,2,FALSE)),"y","n"))</f>
        <v/>
      </c>
      <c r="BH785" s="99"/>
    </row>
    <row r="786" spans="1:60" s="103" customFormat="1" ht="15.75" customHeight="1" x14ac:dyDescent="0.2">
      <c r="A786" s="18"/>
      <c r="B786" s="19">
        <v>241</v>
      </c>
      <c r="C786" s="19"/>
      <c r="D786" s="19">
        <v>76336</v>
      </c>
      <c r="E786" s="19" t="s">
        <v>1224</v>
      </c>
      <c r="F786" s="93">
        <v>2000</v>
      </c>
      <c r="G786" s="19" t="s">
        <v>677</v>
      </c>
      <c r="H786" s="19"/>
      <c r="I786" s="19" t="s">
        <v>41</v>
      </c>
      <c r="J786" s="19" t="s">
        <v>550</v>
      </c>
      <c r="K786" s="19" t="s">
        <v>551</v>
      </c>
      <c r="L786" s="19" t="s">
        <v>43</v>
      </c>
      <c r="M786" s="19" t="s">
        <v>1485</v>
      </c>
      <c r="N786" s="19" t="s">
        <v>1484</v>
      </c>
      <c r="O786" s="19" t="s">
        <v>264</v>
      </c>
      <c r="P786" s="19" t="s">
        <v>51</v>
      </c>
      <c r="Q786" s="19"/>
      <c r="R786" s="19" t="s">
        <v>256</v>
      </c>
      <c r="S786" s="19" t="s">
        <v>309</v>
      </c>
      <c r="T786" s="19" t="s">
        <v>44</v>
      </c>
      <c r="U786" s="19" t="s">
        <v>44</v>
      </c>
      <c r="V786" s="19" t="s">
        <v>144</v>
      </c>
      <c r="W786" s="19" t="s">
        <v>231</v>
      </c>
      <c r="X786" s="19" t="s">
        <v>46</v>
      </c>
      <c r="Y786" s="29"/>
      <c r="Z786" s="19"/>
      <c r="AA786" s="19"/>
      <c r="AB786" s="19" t="s">
        <v>1199</v>
      </c>
      <c r="AC786" s="19" t="s">
        <v>1322</v>
      </c>
      <c r="AD786" s="19"/>
      <c r="AE786" s="19"/>
      <c r="AF786" s="19"/>
      <c r="AG786" s="19" t="s">
        <v>235</v>
      </c>
      <c r="AH786" s="19"/>
      <c r="AI786" s="19"/>
      <c r="AJ786" s="19">
        <v>2.7</v>
      </c>
      <c r="AK786" s="19" t="s">
        <v>678</v>
      </c>
      <c r="AL786" s="19"/>
      <c r="AM786" s="19" t="s">
        <v>234</v>
      </c>
      <c r="AN786" s="19" t="s">
        <v>234</v>
      </c>
      <c r="AO786" s="19" t="s">
        <v>235</v>
      </c>
      <c r="AP786" s="94"/>
      <c r="AQ786" s="19" t="s">
        <v>91</v>
      </c>
      <c r="AR786" s="19" t="s">
        <v>241</v>
      </c>
      <c r="AS786" s="19"/>
      <c r="AT786" s="65" t="str">
        <f t="shared" si="218"/>
        <v>N</v>
      </c>
      <c r="AU786" s="65" t="str">
        <f t="shared" si="213"/>
        <v>N</v>
      </c>
      <c r="AV786" s="65" t="s">
        <v>162</v>
      </c>
      <c r="AW786" s="99" t="s">
        <v>1405</v>
      </c>
      <c r="AX786" s="99"/>
      <c r="AY786" s="19"/>
      <c r="AZ786" s="96" t="str">
        <f t="shared" si="214"/>
        <v>n</v>
      </c>
      <c r="BA786" s="96" t="str">
        <f>IF(AZ786="n","n",VLOOKUP(AZ786,'Conversion factors'!$C$4:$D$24,2,FALSE))</f>
        <v>n</v>
      </c>
      <c r="BB786" s="96" t="str">
        <f t="shared" si="215"/>
        <v>n</v>
      </c>
      <c r="BC786" s="97"/>
      <c r="BD786" s="96" t="str">
        <f t="shared" si="219"/>
        <v>n</v>
      </c>
      <c r="BE786" s="96" t="str">
        <f t="shared" si="216"/>
        <v>n</v>
      </c>
      <c r="BF786" s="98" t="str">
        <f t="shared" si="220"/>
        <v/>
      </c>
      <c r="BG786" s="96" t="str">
        <f>IF(BF786="","",IF(ISNUMBER(VLOOKUP(BF786,'Conversion factors'!$B$35:$C$52,2,FALSE)),"y","n"))</f>
        <v/>
      </c>
      <c r="BH786" s="99"/>
    </row>
    <row r="787" spans="1:60" s="103" customFormat="1" ht="15.75" customHeight="1" x14ac:dyDescent="0.2">
      <c r="A787" s="18"/>
      <c r="B787" s="19">
        <v>241</v>
      </c>
      <c r="C787" s="19"/>
      <c r="D787" s="19">
        <v>76336</v>
      </c>
      <c r="E787" s="19" t="s">
        <v>1224</v>
      </c>
      <c r="F787" s="93">
        <v>2000</v>
      </c>
      <c r="G787" s="19" t="s">
        <v>677</v>
      </c>
      <c r="H787" s="19"/>
      <c r="I787" s="19" t="s">
        <v>41</v>
      </c>
      <c r="J787" s="19" t="s">
        <v>679</v>
      </c>
      <c r="K787" s="19" t="s">
        <v>551</v>
      </c>
      <c r="L787" s="19" t="s">
        <v>43</v>
      </c>
      <c r="M787" s="19" t="s">
        <v>1485</v>
      </c>
      <c r="N787" s="19" t="s">
        <v>1484</v>
      </c>
      <c r="O787" s="19" t="s">
        <v>264</v>
      </c>
      <c r="P787" s="19" t="s">
        <v>51</v>
      </c>
      <c r="Q787" s="19"/>
      <c r="R787" s="19" t="s">
        <v>256</v>
      </c>
      <c r="S787" s="19" t="s">
        <v>309</v>
      </c>
      <c r="T787" s="19" t="s">
        <v>44</v>
      </c>
      <c r="U787" s="19" t="s">
        <v>44</v>
      </c>
      <c r="V787" s="19" t="s">
        <v>144</v>
      </c>
      <c r="W787" s="19" t="s">
        <v>231</v>
      </c>
      <c r="X787" s="19" t="s">
        <v>46</v>
      </c>
      <c r="Y787" s="29"/>
      <c r="Z787" s="19"/>
      <c r="AA787" s="19"/>
      <c r="AB787" s="19" t="s">
        <v>1200</v>
      </c>
      <c r="AC787" s="19" t="s">
        <v>1322</v>
      </c>
      <c r="AD787" s="19"/>
      <c r="AE787" s="19"/>
      <c r="AF787" s="19"/>
      <c r="AG787" s="19" t="s">
        <v>235</v>
      </c>
      <c r="AH787" s="19"/>
      <c r="AI787" s="19"/>
      <c r="AJ787" s="19">
        <v>2.7</v>
      </c>
      <c r="AK787" s="19" t="s">
        <v>678</v>
      </c>
      <c r="AL787" s="19"/>
      <c r="AM787" s="19" t="s">
        <v>234</v>
      </c>
      <c r="AN787" s="19" t="s">
        <v>234</v>
      </c>
      <c r="AO787" s="19" t="s">
        <v>235</v>
      </c>
      <c r="AP787" s="94"/>
      <c r="AQ787" s="19" t="s">
        <v>91</v>
      </c>
      <c r="AR787" s="19" t="s">
        <v>241</v>
      </c>
      <c r="AS787" s="19"/>
      <c r="AT787" s="65" t="str">
        <f t="shared" si="218"/>
        <v>N</v>
      </c>
      <c r="AU787" s="65" t="str">
        <f t="shared" si="213"/>
        <v>N</v>
      </c>
      <c r="AV787" s="65" t="s">
        <v>162</v>
      </c>
      <c r="AW787" s="99" t="s">
        <v>1405</v>
      </c>
      <c r="AX787" s="99"/>
      <c r="AY787" s="19"/>
      <c r="AZ787" s="96" t="str">
        <f t="shared" si="214"/>
        <v>n</v>
      </c>
      <c r="BA787" s="96" t="str">
        <f>IF(AZ787="n","n",VLOOKUP(AZ787,'Conversion factors'!$C$4:$D$24,2,FALSE))</f>
        <v>n</v>
      </c>
      <c r="BB787" s="96" t="str">
        <f t="shared" si="215"/>
        <v>n</v>
      </c>
      <c r="BC787" s="97"/>
      <c r="BD787" s="96" t="str">
        <f t="shared" si="219"/>
        <v>n</v>
      </c>
      <c r="BE787" s="96" t="str">
        <f t="shared" si="216"/>
        <v>n</v>
      </c>
      <c r="BF787" s="98" t="str">
        <f t="shared" si="220"/>
        <v/>
      </c>
      <c r="BG787" s="96" t="str">
        <f>IF(BF787="","",IF(ISNUMBER(VLOOKUP(BF787,'Conversion factors'!$B$35:$C$52,2,FALSE)),"y","n"))</f>
        <v/>
      </c>
      <c r="BH787" s="99"/>
    </row>
    <row r="788" spans="1:60" s="103" customFormat="1" ht="15.75" customHeight="1" x14ac:dyDescent="0.2">
      <c r="A788" s="18"/>
      <c r="B788" s="19">
        <v>241</v>
      </c>
      <c r="C788" s="19"/>
      <c r="D788" s="19">
        <v>76336</v>
      </c>
      <c r="E788" s="19" t="s">
        <v>1224</v>
      </c>
      <c r="F788" s="93">
        <v>2000</v>
      </c>
      <c r="G788" s="19" t="s">
        <v>677</v>
      </c>
      <c r="H788" s="19"/>
      <c r="I788" s="19" t="s">
        <v>41</v>
      </c>
      <c r="J788" s="19" t="s">
        <v>679</v>
      </c>
      <c r="K788" s="19" t="s">
        <v>551</v>
      </c>
      <c r="L788" s="19" t="s">
        <v>43</v>
      </c>
      <c r="M788" s="19" t="s">
        <v>1485</v>
      </c>
      <c r="N788" s="19" t="s">
        <v>1484</v>
      </c>
      <c r="O788" s="19" t="s">
        <v>264</v>
      </c>
      <c r="P788" s="19" t="s">
        <v>51</v>
      </c>
      <c r="Q788" s="19"/>
      <c r="R788" s="19" t="s">
        <v>256</v>
      </c>
      <c r="S788" s="19" t="s">
        <v>309</v>
      </c>
      <c r="T788" s="19" t="s">
        <v>44</v>
      </c>
      <c r="U788" s="19" t="s">
        <v>44</v>
      </c>
      <c r="V788" s="19" t="s">
        <v>144</v>
      </c>
      <c r="W788" s="19" t="s">
        <v>231</v>
      </c>
      <c r="X788" s="19" t="s">
        <v>46</v>
      </c>
      <c r="Y788" s="29"/>
      <c r="Z788" s="19">
        <v>6500</v>
      </c>
      <c r="AA788" s="19"/>
      <c r="AB788" s="19"/>
      <c r="AC788" s="19" t="s">
        <v>1322</v>
      </c>
      <c r="AD788" s="19"/>
      <c r="AE788" s="19"/>
      <c r="AF788" s="19"/>
      <c r="AG788" s="19" t="s">
        <v>235</v>
      </c>
      <c r="AH788" s="19"/>
      <c r="AI788" s="19"/>
      <c r="AJ788" s="19">
        <v>2.7</v>
      </c>
      <c r="AK788" s="19" t="s">
        <v>678</v>
      </c>
      <c r="AL788" s="19"/>
      <c r="AM788" s="19" t="s">
        <v>234</v>
      </c>
      <c r="AN788" s="19" t="s">
        <v>234</v>
      </c>
      <c r="AO788" s="19" t="s">
        <v>235</v>
      </c>
      <c r="AP788" s="94"/>
      <c r="AQ788" s="19" t="s">
        <v>91</v>
      </c>
      <c r="AR788" s="19" t="s">
        <v>241</v>
      </c>
      <c r="AS788" s="19"/>
      <c r="AT788" s="65" t="str">
        <f t="shared" si="218"/>
        <v>N</v>
      </c>
      <c r="AU788" s="65" t="str">
        <f t="shared" si="213"/>
        <v>N</v>
      </c>
      <c r="AV788" s="65" t="s">
        <v>162</v>
      </c>
      <c r="AW788" s="99" t="s">
        <v>1405</v>
      </c>
      <c r="AX788" s="99"/>
      <c r="AY788" s="19"/>
      <c r="AZ788" s="96" t="str">
        <f t="shared" si="214"/>
        <v>n</v>
      </c>
      <c r="BA788" s="96" t="str">
        <f>IF(AZ788="n","n",VLOOKUP(AZ788,'Conversion factors'!$C$4:$D$24,2,FALSE))</f>
        <v>n</v>
      </c>
      <c r="BB788" s="96" t="str">
        <f t="shared" si="215"/>
        <v>n</v>
      </c>
      <c r="BC788" s="97"/>
      <c r="BD788" s="96" t="str">
        <f t="shared" si="219"/>
        <v>n</v>
      </c>
      <c r="BE788" s="96" t="str">
        <f t="shared" si="216"/>
        <v>n</v>
      </c>
      <c r="BF788" s="98" t="str">
        <f t="shared" si="220"/>
        <v/>
      </c>
      <c r="BG788" s="96" t="str">
        <f>IF(BF788="","",IF(ISNUMBER(VLOOKUP(BF788,'Conversion factors'!$B$35:$C$52,2,FALSE)),"y","n"))</f>
        <v/>
      </c>
      <c r="BH788" s="99"/>
    </row>
    <row r="789" spans="1:60" s="103" customFormat="1" ht="15.75" customHeight="1" x14ac:dyDescent="0.2">
      <c r="A789" s="18"/>
      <c r="B789" s="19">
        <v>319</v>
      </c>
      <c r="C789" s="19"/>
      <c r="D789" s="19">
        <v>160820</v>
      </c>
      <c r="E789" s="19" t="s">
        <v>1224</v>
      </c>
      <c r="F789" s="93">
        <v>2012</v>
      </c>
      <c r="G789" s="19" t="s">
        <v>1126</v>
      </c>
      <c r="H789" s="19"/>
      <c r="I789" s="19" t="s">
        <v>41</v>
      </c>
      <c r="J789" s="19" t="s">
        <v>1127</v>
      </c>
      <c r="K789" s="19" t="s">
        <v>1128</v>
      </c>
      <c r="L789" s="19" t="s">
        <v>43</v>
      </c>
      <c r="M789" s="19" t="s">
        <v>1486</v>
      </c>
      <c r="N789" s="19" t="s">
        <v>109</v>
      </c>
      <c r="O789" s="19" t="s">
        <v>235</v>
      </c>
      <c r="P789" s="19" t="s">
        <v>51</v>
      </c>
      <c r="Q789" s="19"/>
      <c r="R789" s="19" t="s">
        <v>81</v>
      </c>
      <c r="S789" s="19" t="s">
        <v>989</v>
      </c>
      <c r="T789" s="19" t="s">
        <v>44</v>
      </c>
      <c r="U789" s="19" t="s">
        <v>44</v>
      </c>
      <c r="V789" s="19" t="s">
        <v>85</v>
      </c>
      <c r="W789" s="19" t="s">
        <v>45</v>
      </c>
      <c r="X789" s="19" t="s">
        <v>46</v>
      </c>
      <c r="Y789" s="29"/>
      <c r="Z789" s="19" t="s">
        <v>86</v>
      </c>
      <c r="AA789" s="19"/>
      <c r="AB789" s="19"/>
      <c r="AC789" s="19" t="s">
        <v>1322</v>
      </c>
      <c r="AD789" s="19"/>
      <c r="AE789" s="19"/>
      <c r="AF789" s="19"/>
      <c r="AG789" s="19" t="s">
        <v>235</v>
      </c>
      <c r="AH789" s="19"/>
      <c r="AI789" s="19"/>
      <c r="AJ789" s="19" t="s">
        <v>234</v>
      </c>
      <c r="AK789" s="19" t="s">
        <v>234</v>
      </c>
      <c r="AL789" s="19"/>
      <c r="AM789" s="19" t="s">
        <v>234</v>
      </c>
      <c r="AN789" s="19" t="s">
        <v>234</v>
      </c>
      <c r="AO789" s="19" t="s">
        <v>235</v>
      </c>
      <c r="AP789" s="94"/>
      <c r="AQ789" s="19" t="s">
        <v>1129</v>
      </c>
      <c r="AR789" s="19" t="s">
        <v>241</v>
      </c>
      <c r="AS789" s="19"/>
      <c r="AT789" s="65" t="str">
        <f t="shared" si="218"/>
        <v>N</v>
      </c>
      <c r="AU789" s="65" t="str">
        <f t="shared" si="213"/>
        <v>N</v>
      </c>
      <c r="AV789" s="65" t="str">
        <f t="shared" ref="AV789:AV803" si="221">AU789</f>
        <v>N</v>
      </c>
      <c r="AW789" s="99"/>
      <c r="AX789" s="99"/>
      <c r="AY789" s="19"/>
      <c r="AZ789" s="96" t="str">
        <f t="shared" si="214"/>
        <v>n</v>
      </c>
      <c r="BA789" s="96" t="str">
        <f>IF(AZ789="n","n",VLOOKUP(AZ789,'Conversion factors'!$C$4:$D$24,2,FALSE))</f>
        <v>n</v>
      </c>
      <c r="BB789" s="96" t="str">
        <f t="shared" si="215"/>
        <v>n</v>
      </c>
      <c r="BC789" s="97"/>
      <c r="BD789" s="96" t="str">
        <f t="shared" si="219"/>
        <v>n</v>
      </c>
      <c r="BE789" s="96" t="str">
        <f t="shared" si="216"/>
        <v>n</v>
      </c>
      <c r="BF789" s="98" t="str">
        <f t="shared" si="220"/>
        <v/>
      </c>
      <c r="BG789" s="96" t="str">
        <f>IF(BF789="","",IF(ISNUMBER(VLOOKUP(BF789,'Conversion factors'!$B$35:$C$52,2,FALSE)),"y","n"))</f>
        <v/>
      </c>
      <c r="BH789" s="99"/>
    </row>
    <row r="790" spans="1:60" s="103" customFormat="1" ht="15.75" customHeight="1" x14ac:dyDescent="0.2">
      <c r="A790" s="18"/>
      <c r="B790" s="19">
        <v>286</v>
      </c>
      <c r="C790" s="19"/>
      <c r="D790" s="19">
        <v>101821</v>
      </c>
      <c r="E790" s="19" t="s">
        <v>1224</v>
      </c>
      <c r="F790" s="93">
        <v>2008</v>
      </c>
      <c r="G790" s="19" t="s">
        <v>1003</v>
      </c>
      <c r="H790" s="19"/>
      <c r="I790" s="19" t="s">
        <v>41</v>
      </c>
      <c r="J790" s="19" t="s">
        <v>1004</v>
      </c>
      <c r="K790" s="19" t="s">
        <v>1400</v>
      </c>
      <c r="L790" s="19" t="s">
        <v>43</v>
      </c>
      <c r="M790" s="19" t="s">
        <v>1401</v>
      </c>
      <c r="N790" s="19" t="s">
        <v>109</v>
      </c>
      <c r="O790" s="19" t="s">
        <v>264</v>
      </c>
      <c r="P790" s="19" t="s">
        <v>51</v>
      </c>
      <c r="Q790" s="19"/>
      <c r="R790" s="19" t="s">
        <v>256</v>
      </c>
      <c r="S790" s="19" t="s">
        <v>435</v>
      </c>
      <c r="T790" s="19" t="s">
        <v>454</v>
      </c>
      <c r="U790" s="19" t="s">
        <v>454</v>
      </c>
      <c r="V790" s="19" t="s">
        <v>1218</v>
      </c>
      <c r="W790" s="19" t="s">
        <v>231</v>
      </c>
      <c r="X790" s="19" t="s">
        <v>46</v>
      </c>
      <c r="Y790" s="29"/>
      <c r="Z790" s="19">
        <v>0.01</v>
      </c>
      <c r="AA790" s="19"/>
      <c r="AB790" s="19"/>
      <c r="AC790" s="19" t="s">
        <v>1322</v>
      </c>
      <c r="AD790" s="19"/>
      <c r="AE790" s="19"/>
      <c r="AF790" s="19"/>
      <c r="AG790" s="19" t="s">
        <v>235</v>
      </c>
      <c r="AH790" s="19"/>
      <c r="AI790" s="19"/>
      <c r="AJ790" s="19" t="s">
        <v>234</v>
      </c>
      <c r="AK790" s="19" t="s">
        <v>234</v>
      </c>
      <c r="AL790" s="19"/>
      <c r="AM790" s="19" t="s">
        <v>234</v>
      </c>
      <c r="AN790" s="19" t="s">
        <v>234</v>
      </c>
      <c r="AO790" s="19" t="s">
        <v>235</v>
      </c>
      <c r="AP790" s="94"/>
      <c r="AQ790" s="19" t="s">
        <v>1005</v>
      </c>
      <c r="AR790" s="19" t="s">
        <v>241</v>
      </c>
      <c r="AS790" s="19"/>
      <c r="AT790" s="65" t="str">
        <f t="shared" si="218"/>
        <v>N</v>
      </c>
      <c r="AU790" s="65" t="str">
        <f t="shared" si="213"/>
        <v>N</v>
      </c>
      <c r="AV790" s="65" t="str">
        <f t="shared" si="221"/>
        <v>N</v>
      </c>
      <c r="AW790" s="99"/>
      <c r="AX790" s="99"/>
      <c r="AY790" s="19"/>
      <c r="AZ790" s="96" t="str">
        <f t="shared" si="214"/>
        <v>n</v>
      </c>
      <c r="BA790" s="96" t="str">
        <f>IF(AZ790="n","n",VLOOKUP(AZ790,'Conversion factors'!$C$4:$D$24,2,FALSE))</f>
        <v>n</v>
      </c>
      <c r="BB790" s="96" t="str">
        <f t="shared" si="215"/>
        <v>n</v>
      </c>
      <c r="BC790" s="97"/>
      <c r="BD790" s="96" t="str">
        <f t="shared" si="219"/>
        <v>n</v>
      </c>
      <c r="BE790" s="96" t="str">
        <f t="shared" si="216"/>
        <v>n</v>
      </c>
      <c r="BF790" s="98" t="str">
        <f t="shared" si="220"/>
        <v/>
      </c>
      <c r="BG790" s="96" t="str">
        <f>IF(BF790="","",IF(ISNUMBER(VLOOKUP(BF790,'Conversion factors'!$B$35:$C$52,2,FALSE)),"y","n"))</f>
        <v/>
      </c>
      <c r="BH790" s="99"/>
    </row>
    <row r="791" spans="1:60" s="103" customFormat="1" ht="15.75" customHeight="1" x14ac:dyDescent="0.2">
      <c r="A791" s="18"/>
      <c r="B791" s="19">
        <v>286</v>
      </c>
      <c r="C791" s="19"/>
      <c r="D791" s="19">
        <v>101821</v>
      </c>
      <c r="E791" s="19" t="s">
        <v>1224</v>
      </c>
      <c r="F791" s="93">
        <v>2008</v>
      </c>
      <c r="G791" s="19" t="s">
        <v>1003</v>
      </c>
      <c r="H791" s="19"/>
      <c r="I791" s="19" t="s">
        <v>41</v>
      </c>
      <c r="J791" s="19" t="s">
        <v>1004</v>
      </c>
      <c r="K791" s="19" t="s">
        <v>1400</v>
      </c>
      <c r="L791" s="19" t="s">
        <v>43</v>
      </c>
      <c r="M791" s="19" t="s">
        <v>1401</v>
      </c>
      <c r="N791" s="19" t="s">
        <v>109</v>
      </c>
      <c r="O791" s="19" t="s">
        <v>264</v>
      </c>
      <c r="P791" s="19" t="s">
        <v>51</v>
      </c>
      <c r="Q791" s="19"/>
      <c r="R791" s="19" t="s">
        <v>256</v>
      </c>
      <c r="S791" s="19" t="s">
        <v>435</v>
      </c>
      <c r="T791" s="19" t="s">
        <v>454</v>
      </c>
      <c r="U791" s="19" t="s">
        <v>454</v>
      </c>
      <c r="V791" s="19" t="s">
        <v>1218</v>
      </c>
      <c r="W791" s="19" t="s">
        <v>231</v>
      </c>
      <c r="X791" s="19" t="s">
        <v>46</v>
      </c>
      <c r="Y791" s="29"/>
      <c r="Z791" s="19">
        <v>0.01</v>
      </c>
      <c r="AA791" s="19"/>
      <c r="AB791" s="19"/>
      <c r="AC791" s="19" t="s">
        <v>1322</v>
      </c>
      <c r="AD791" s="19"/>
      <c r="AE791" s="19"/>
      <c r="AF791" s="19"/>
      <c r="AG791" s="19" t="s">
        <v>235</v>
      </c>
      <c r="AH791" s="19"/>
      <c r="AI791" s="19"/>
      <c r="AJ791" s="19" t="s">
        <v>234</v>
      </c>
      <c r="AK791" s="19" t="s">
        <v>234</v>
      </c>
      <c r="AL791" s="19"/>
      <c r="AM791" s="19" t="s">
        <v>234</v>
      </c>
      <c r="AN791" s="19" t="s">
        <v>234</v>
      </c>
      <c r="AO791" s="19" t="s">
        <v>235</v>
      </c>
      <c r="AP791" s="94"/>
      <c r="AQ791" s="19" t="s">
        <v>1005</v>
      </c>
      <c r="AR791" s="19" t="s">
        <v>241</v>
      </c>
      <c r="AS791" s="19"/>
      <c r="AT791" s="65" t="str">
        <f t="shared" si="218"/>
        <v>N</v>
      </c>
      <c r="AU791" s="65" t="str">
        <f t="shared" si="213"/>
        <v>N</v>
      </c>
      <c r="AV791" s="65" t="str">
        <f t="shared" si="221"/>
        <v>N</v>
      </c>
      <c r="AW791" s="99"/>
      <c r="AX791" s="99"/>
      <c r="AY791" s="19"/>
      <c r="AZ791" s="96" t="str">
        <f t="shared" si="214"/>
        <v>n</v>
      </c>
      <c r="BA791" s="96" t="str">
        <f>IF(AZ791="n","n",VLOOKUP(AZ791,'Conversion factors'!$C$4:$D$24,2,FALSE))</f>
        <v>n</v>
      </c>
      <c r="BB791" s="96" t="str">
        <f t="shared" si="215"/>
        <v>n</v>
      </c>
      <c r="BC791" s="97"/>
      <c r="BD791" s="96" t="str">
        <f t="shared" si="219"/>
        <v>n</v>
      </c>
      <c r="BE791" s="96" t="str">
        <f t="shared" si="216"/>
        <v>n</v>
      </c>
      <c r="BF791" s="98" t="str">
        <f t="shared" si="220"/>
        <v/>
      </c>
      <c r="BG791" s="96" t="str">
        <f>IF(BF791="","",IF(ISNUMBER(VLOOKUP(BF791,'Conversion factors'!$B$35:$C$52,2,FALSE)),"y","n"))</f>
        <v/>
      </c>
      <c r="BH791" s="99"/>
    </row>
    <row r="792" spans="1:60" s="103" customFormat="1" ht="15.75" customHeight="1" x14ac:dyDescent="0.2">
      <c r="A792" s="18"/>
      <c r="B792" s="19">
        <v>286</v>
      </c>
      <c r="C792" s="19"/>
      <c r="D792" s="19">
        <v>101821</v>
      </c>
      <c r="E792" s="19" t="s">
        <v>1224</v>
      </c>
      <c r="F792" s="93">
        <v>2008</v>
      </c>
      <c r="G792" s="19" t="s">
        <v>1003</v>
      </c>
      <c r="H792" s="19"/>
      <c r="I792" s="19" t="s">
        <v>41</v>
      </c>
      <c r="J792" s="19" t="s">
        <v>1004</v>
      </c>
      <c r="K792" s="19" t="s">
        <v>1400</v>
      </c>
      <c r="L792" s="19" t="s">
        <v>43</v>
      </c>
      <c r="M792" s="19" t="s">
        <v>1401</v>
      </c>
      <c r="N792" s="19" t="s">
        <v>109</v>
      </c>
      <c r="O792" s="19" t="s">
        <v>264</v>
      </c>
      <c r="P792" s="19" t="s">
        <v>51</v>
      </c>
      <c r="Q792" s="19"/>
      <c r="R792" s="19" t="s">
        <v>256</v>
      </c>
      <c r="S792" s="19" t="s">
        <v>435</v>
      </c>
      <c r="T792" s="19" t="s">
        <v>454</v>
      </c>
      <c r="U792" s="19" t="s">
        <v>454</v>
      </c>
      <c r="V792" s="19" t="s">
        <v>1218</v>
      </c>
      <c r="W792" s="19" t="s">
        <v>231</v>
      </c>
      <c r="X792" s="19" t="s">
        <v>46</v>
      </c>
      <c r="Y792" s="29"/>
      <c r="Z792" s="19">
        <v>0.01</v>
      </c>
      <c r="AA792" s="19"/>
      <c r="AB792" s="19"/>
      <c r="AC792" s="19" t="s">
        <v>1322</v>
      </c>
      <c r="AD792" s="19"/>
      <c r="AE792" s="19"/>
      <c r="AF792" s="19"/>
      <c r="AG792" s="19" t="s">
        <v>235</v>
      </c>
      <c r="AH792" s="19"/>
      <c r="AI792" s="19"/>
      <c r="AJ792" s="19" t="s">
        <v>234</v>
      </c>
      <c r="AK792" s="19" t="s">
        <v>234</v>
      </c>
      <c r="AL792" s="19"/>
      <c r="AM792" s="19" t="s">
        <v>234</v>
      </c>
      <c r="AN792" s="19" t="s">
        <v>234</v>
      </c>
      <c r="AO792" s="19" t="s">
        <v>235</v>
      </c>
      <c r="AP792" s="94"/>
      <c r="AQ792" s="19" t="s">
        <v>1005</v>
      </c>
      <c r="AR792" s="19" t="s">
        <v>241</v>
      </c>
      <c r="AS792" s="19"/>
      <c r="AT792" s="65" t="str">
        <f t="shared" si="218"/>
        <v>N</v>
      </c>
      <c r="AU792" s="65" t="str">
        <f t="shared" si="213"/>
        <v>N</v>
      </c>
      <c r="AV792" s="65" t="str">
        <f t="shared" si="221"/>
        <v>N</v>
      </c>
      <c r="AW792" s="99"/>
      <c r="AX792" s="99"/>
      <c r="AY792" s="19"/>
      <c r="AZ792" s="96" t="str">
        <f t="shared" si="214"/>
        <v>n</v>
      </c>
      <c r="BA792" s="96" t="str">
        <f>IF(AZ792="n","n",VLOOKUP(AZ792,'Conversion factors'!$C$4:$D$24,2,FALSE))</f>
        <v>n</v>
      </c>
      <c r="BB792" s="96" t="str">
        <f t="shared" si="215"/>
        <v>n</v>
      </c>
      <c r="BC792" s="97"/>
      <c r="BD792" s="96" t="str">
        <f t="shared" si="219"/>
        <v>n</v>
      </c>
      <c r="BE792" s="96" t="str">
        <f t="shared" si="216"/>
        <v>n</v>
      </c>
      <c r="BF792" s="98" t="str">
        <f t="shared" si="220"/>
        <v/>
      </c>
      <c r="BG792" s="96" t="str">
        <f>IF(BF792="","",IF(ISNUMBER(VLOOKUP(BF792,'Conversion factors'!$B$35:$C$52,2,FALSE)),"y","n"))</f>
        <v/>
      </c>
      <c r="BH792" s="99"/>
    </row>
    <row r="793" spans="1:60" s="103" customFormat="1" ht="15.75" customHeight="1" x14ac:dyDescent="0.2">
      <c r="A793" s="18"/>
      <c r="B793" s="19">
        <v>286</v>
      </c>
      <c r="C793" s="19"/>
      <c r="D793" s="19">
        <v>101821</v>
      </c>
      <c r="E793" s="19" t="s">
        <v>1224</v>
      </c>
      <c r="F793" s="93">
        <v>2008</v>
      </c>
      <c r="G793" s="19" t="s">
        <v>1003</v>
      </c>
      <c r="H793" s="19"/>
      <c r="I793" s="19" t="s">
        <v>41</v>
      </c>
      <c r="J793" s="19" t="s">
        <v>1004</v>
      </c>
      <c r="K793" s="19" t="s">
        <v>1400</v>
      </c>
      <c r="L793" s="19" t="s">
        <v>43</v>
      </c>
      <c r="M793" s="19" t="s">
        <v>1401</v>
      </c>
      <c r="N793" s="19" t="s">
        <v>109</v>
      </c>
      <c r="O793" s="19" t="s">
        <v>264</v>
      </c>
      <c r="P793" s="19" t="s">
        <v>51</v>
      </c>
      <c r="Q793" s="19"/>
      <c r="R793" s="19" t="s">
        <v>256</v>
      </c>
      <c r="S793" s="19" t="s">
        <v>435</v>
      </c>
      <c r="T793" s="19" t="s">
        <v>465</v>
      </c>
      <c r="U793" s="19" t="s">
        <v>54</v>
      </c>
      <c r="V793" s="19" t="s">
        <v>1218</v>
      </c>
      <c r="W793" s="19" t="s">
        <v>231</v>
      </c>
      <c r="X793" s="19" t="s">
        <v>46</v>
      </c>
      <c r="Y793" s="29"/>
      <c r="Z793" s="19">
        <v>1E-4</v>
      </c>
      <c r="AA793" s="19"/>
      <c r="AB793" s="19"/>
      <c r="AC793" s="19" t="s">
        <v>1322</v>
      </c>
      <c r="AD793" s="19"/>
      <c r="AE793" s="19"/>
      <c r="AF793" s="19"/>
      <c r="AG793" s="19" t="s">
        <v>235</v>
      </c>
      <c r="AH793" s="19"/>
      <c r="AI793" s="19"/>
      <c r="AJ793" s="19" t="s">
        <v>234</v>
      </c>
      <c r="AK793" s="19" t="s">
        <v>234</v>
      </c>
      <c r="AL793" s="19"/>
      <c r="AM793" s="19" t="s">
        <v>234</v>
      </c>
      <c r="AN793" s="19" t="s">
        <v>234</v>
      </c>
      <c r="AO793" s="19" t="s">
        <v>235</v>
      </c>
      <c r="AP793" s="94"/>
      <c r="AQ793" s="19" t="s">
        <v>1005</v>
      </c>
      <c r="AR793" s="19" t="s">
        <v>241</v>
      </c>
      <c r="AS793" s="19"/>
      <c r="AT793" s="65" t="str">
        <f t="shared" si="218"/>
        <v>N</v>
      </c>
      <c r="AU793" s="65" t="str">
        <f t="shared" si="213"/>
        <v>N</v>
      </c>
      <c r="AV793" s="65" t="str">
        <f t="shared" si="221"/>
        <v>N</v>
      </c>
      <c r="AW793" s="99"/>
      <c r="AX793" s="99"/>
      <c r="AY793" s="19"/>
      <c r="AZ793" s="96" t="str">
        <f t="shared" si="214"/>
        <v>n</v>
      </c>
      <c r="BA793" s="96" t="str">
        <f>IF(AZ793="n","n",VLOOKUP(AZ793,'Conversion factors'!$C$4:$D$24,2,FALSE))</f>
        <v>n</v>
      </c>
      <c r="BB793" s="96" t="str">
        <f t="shared" si="215"/>
        <v>n</v>
      </c>
      <c r="BC793" s="97"/>
      <c r="BD793" s="96" t="str">
        <f t="shared" si="219"/>
        <v>n</v>
      </c>
      <c r="BE793" s="96" t="str">
        <f t="shared" si="216"/>
        <v>n</v>
      </c>
      <c r="BF793" s="98" t="str">
        <f t="shared" si="220"/>
        <v/>
      </c>
      <c r="BG793" s="96" t="str">
        <f>IF(BF793="","",IF(ISNUMBER(VLOOKUP(BF793,'Conversion factors'!$B$35:$C$52,2,FALSE)),"y","n"))</f>
        <v/>
      </c>
      <c r="BH793" s="99"/>
    </row>
    <row r="794" spans="1:60" s="103" customFormat="1" ht="15.75" customHeight="1" x14ac:dyDescent="0.2">
      <c r="A794" s="18"/>
      <c r="B794" s="19">
        <v>286</v>
      </c>
      <c r="C794" s="19"/>
      <c r="D794" s="19">
        <v>101821</v>
      </c>
      <c r="E794" s="19" t="s">
        <v>1224</v>
      </c>
      <c r="F794" s="93">
        <v>2008</v>
      </c>
      <c r="G794" s="19" t="s">
        <v>1003</v>
      </c>
      <c r="H794" s="19"/>
      <c r="I794" s="19" t="s">
        <v>41</v>
      </c>
      <c r="J794" s="19" t="s">
        <v>1004</v>
      </c>
      <c r="K794" s="19" t="s">
        <v>1400</v>
      </c>
      <c r="L794" s="19" t="s">
        <v>43</v>
      </c>
      <c r="M794" s="19" t="s">
        <v>1401</v>
      </c>
      <c r="N794" s="19" t="s">
        <v>109</v>
      </c>
      <c r="O794" s="19" t="s">
        <v>264</v>
      </c>
      <c r="P794" s="19" t="s">
        <v>51</v>
      </c>
      <c r="Q794" s="19"/>
      <c r="R794" s="19" t="s">
        <v>256</v>
      </c>
      <c r="S794" s="19" t="s">
        <v>435</v>
      </c>
      <c r="T794" s="19" t="s">
        <v>465</v>
      </c>
      <c r="U794" s="19" t="s">
        <v>54</v>
      </c>
      <c r="V794" s="19" t="s">
        <v>1218</v>
      </c>
      <c r="W794" s="19" t="s">
        <v>231</v>
      </c>
      <c r="X794" s="19" t="s">
        <v>46</v>
      </c>
      <c r="Y794" s="29"/>
      <c r="Z794" s="19">
        <v>0.01</v>
      </c>
      <c r="AA794" s="19"/>
      <c r="AB794" s="19"/>
      <c r="AC794" s="19" t="s">
        <v>1322</v>
      </c>
      <c r="AD794" s="19"/>
      <c r="AE794" s="19"/>
      <c r="AF794" s="19"/>
      <c r="AG794" s="19" t="s">
        <v>235</v>
      </c>
      <c r="AH794" s="19"/>
      <c r="AI794" s="19"/>
      <c r="AJ794" s="19" t="s">
        <v>234</v>
      </c>
      <c r="AK794" s="19" t="s">
        <v>234</v>
      </c>
      <c r="AL794" s="19"/>
      <c r="AM794" s="19" t="s">
        <v>234</v>
      </c>
      <c r="AN794" s="19" t="s">
        <v>234</v>
      </c>
      <c r="AO794" s="19" t="s">
        <v>235</v>
      </c>
      <c r="AP794" s="94"/>
      <c r="AQ794" s="19" t="s">
        <v>1005</v>
      </c>
      <c r="AR794" s="19" t="s">
        <v>241</v>
      </c>
      <c r="AS794" s="19"/>
      <c r="AT794" s="65" t="str">
        <f t="shared" si="218"/>
        <v>N</v>
      </c>
      <c r="AU794" s="65" t="str">
        <f t="shared" si="213"/>
        <v>N</v>
      </c>
      <c r="AV794" s="65" t="str">
        <f t="shared" si="221"/>
        <v>N</v>
      </c>
      <c r="AW794" s="99"/>
      <c r="AX794" s="99"/>
      <c r="AY794" s="19"/>
      <c r="AZ794" s="96" t="str">
        <f t="shared" si="214"/>
        <v>n</v>
      </c>
      <c r="BA794" s="96" t="str">
        <f>IF(AZ794="n","n",VLOOKUP(AZ794,'Conversion factors'!$C$4:$D$24,2,FALSE))</f>
        <v>n</v>
      </c>
      <c r="BB794" s="96" t="str">
        <f t="shared" si="215"/>
        <v>n</v>
      </c>
      <c r="BC794" s="97"/>
      <c r="BD794" s="96" t="str">
        <f t="shared" si="219"/>
        <v>n</v>
      </c>
      <c r="BE794" s="96" t="str">
        <f t="shared" si="216"/>
        <v>n</v>
      </c>
      <c r="BF794" s="98" t="str">
        <f t="shared" si="220"/>
        <v/>
      </c>
      <c r="BG794" s="96" t="str">
        <f>IF(BF794="","",IF(ISNUMBER(VLOOKUP(BF794,'Conversion factors'!$B$35:$C$52,2,FALSE)),"y","n"))</f>
        <v/>
      </c>
      <c r="BH794" s="99"/>
    </row>
    <row r="795" spans="1:60" s="103" customFormat="1" ht="15.75" customHeight="1" x14ac:dyDescent="0.2">
      <c r="A795" s="18"/>
      <c r="B795" s="19">
        <v>181</v>
      </c>
      <c r="C795" s="19"/>
      <c r="D795" s="19">
        <v>16945</v>
      </c>
      <c r="E795" s="19" t="s">
        <v>1224</v>
      </c>
      <c r="F795" s="93">
        <v>1994</v>
      </c>
      <c r="G795" s="19" t="s">
        <v>314</v>
      </c>
      <c r="H795" s="19"/>
      <c r="I795" s="19" t="s">
        <v>41</v>
      </c>
      <c r="J795" s="19" t="s">
        <v>323</v>
      </c>
      <c r="K795" s="19" t="s">
        <v>316</v>
      </c>
      <c r="L795" s="19" t="s">
        <v>43</v>
      </c>
      <c r="M795" s="19" t="s">
        <v>1402</v>
      </c>
      <c r="N795" s="19" t="s">
        <v>109</v>
      </c>
      <c r="O795" s="19" t="s">
        <v>235</v>
      </c>
      <c r="P795" s="19" t="s">
        <v>162</v>
      </c>
      <c r="Q795" s="19"/>
      <c r="R795" s="19" t="s">
        <v>256</v>
      </c>
      <c r="S795" s="19" t="s">
        <v>304</v>
      </c>
      <c r="T795" s="19" t="s">
        <v>44</v>
      </c>
      <c r="U795" s="19" t="s">
        <v>44</v>
      </c>
      <c r="V795" s="19" t="s">
        <v>126</v>
      </c>
      <c r="W795" s="19" t="s">
        <v>231</v>
      </c>
      <c r="X795" s="19" t="s">
        <v>46</v>
      </c>
      <c r="Y795" s="29"/>
      <c r="Z795" s="19"/>
      <c r="AA795" s="19"/>
      <c r="AB795" s="19" t="s">
        <v>324</v>
      </c>
      <c r="AC795" s="19" t="s">
        <v>1322</v>
      </c>
      <c r="AD795" s="19"/>
      <c r="AE795" s="19"/>
      <c r="AF795" s="19"/>
      <c r="AG795" s="19" t="s">
        <v>235</v>
      </c>
      <c r="AH795" s="19"/>
      <c r="AI795" s="19"/>
      <c r="AJ795" s="19" t="s">
        <v>234</v>
      </c>
      <c r="AK795" s="19" t="s">
        <v>234</v>
      </c>
      <c r="AL795" s="19"/>
      <c r="AM795" s="19" t="s">
        <v>234</v>
      </c>
      <c r="AN795" s="19" t="s">
        <v>234</v>
      </c>
      <c r="AO795" s="19" t="s">
        <v>235</v>
      </c>
      <c r="AP795" s="94"/>
      <c r="AQ795" s="19" t="s">
        <v>150</v>
      </c>
      <c r="AR795" s="19" t="s">
        <v>241</v>
      </c>
      <c r="AS795" s="19"/>
      <c r="AT795" s="65" t="str">
        <f t="shared" si="218"/>
        <v>N</v>
      </c>
      <c r="AU795" s="65" t="str">
        <f t="shared" si="213"/>
        <v>N</v>
      </c>
      <c r="AV795" s="65" t="str">
        <f t="shared" si="221"/>
        <v>N</v>
      </c>
      <c r="AW795" s="99"/>
      <c r="AX795" s="99"/>
      <c r="AY795" s="19"/>
      <c r="AZ795" s="96" t="str">
        <f t="shared" si="214"/>
        <v>n</v>
      </c>
      <c r="BA795" s="96" t="str">
        <f>IF(AZ795="n","n",VLOOKUP(AZ795,'Conversion factors'!$C$4:$D$24,2,FALSE))</f>
        <v>n</v>
      </c>
      <c r="BB795" s="96" t="str">
        <f t="shared" si="215"/>
        <v>n</v>
      </c>
      <c r="BC795" s="97"/>
      <c r="BD795" s="96" t="str">
        <f t="shared" si="219"/>
        <v>n</v>
      </c>
      <c r="BE795" s="96" t="str">
        <f t="shared" si="216"/>
        <v>n</v>
      </c>
      <c r="BF795" s="98" t="str">
        <f t="shared" si="220"/>
        <v/>
      </c>
      <c r="BG795" s="96" t="str">
        <f>IF(BF795="","",IF(ISNUMBER(VLOOKUP(BF795,'Conversion factors'!$B$35:$C$52,2,FALSE)),"y","n"))</f>
        <v/>
      </c>
      <c r="BH795" s="99"/>
    </row>
    <row r="796" spans="1:60" s="103" customFormat="1" ht="15.75" customHeight="1" x14ac:dyDescent="0.2">
      <c r="A796" s="18"/>
      <c r="B796" s="19">
        <v>181</v>
      </c>
      <c r="C796" s="19"/>
      <c r="D796" s="19">
        <v>16945</v>
      </c>
      <c r="E796" s="19" t="s">
        <v>1224</v>
      </c>
      <c r="F796" s="93">
        <v>1994</v>
      </c>
      <c r="G796" s="19" t="s">
        <v>314</v>
      </c>
      <c r="H796" s="19"/>
      <c r="I796" s="19" t="s">
        <v>41</v>
      </c>
      <c r="J796" s="19" t="s">
        <v>320</v>
      </c>
      <c r="K796" s="19" t="s">
        <v>316</v>
      </c>
      <c r="L796" s="19" t="s">
        <v>43</v>
      </c>
      <c r="M796" s="19" t="s">
        <v>1402</v>
      </c>
      <c r="N796" s="19" t="s">
        <v>109</v>
      </c>
      <c r="O796" s="19" t="s">
        <v>235</v>
      </c>
      <c r="P796" s="19" t="s">
        <v>162</v>
      </c>
      <c r="Q796" s="19"/>
      <c r="R796" s="19" t="s">
        <v>256</v>
      </c>
      <c r="S796" s="19" t="s">
        <v>304</v>
      </c>
      <c r="T796" s="19" t="s">
        <v>44</v>
      </c>
      <c r="U796" s="19" t="s">
        <v>44</v>
      </c>
      <c r="V796" s="19" t="s">
        <v>126</v>
      </c>
      <c r="W796" s="19" t="s">
        <v>231</v>
      </c>
      <c r="X796" s="19" t="s">
        <v>46</v>
      </c>
      <c r="Y796" s="29"/>
      <c r="Z796" s="19"/>
      <c r="AA796" s="19"/>
      <c r="AB796" s="19" t="s">
        <v>321</v>
      </c>
      <c r="AC796" s="19" t="s">
        <v>1322</v>
      </c>
      <c r="AD796" s="19"/>
      <c r="AE796" s="19"/>
      <c r="AF796" s="19"/>
      <c r="AG796" s="19" t="s">
        <v>235</v>
      </c>
      <c r="AH796" s="19"/>
      <c r="AI796" s="19"/>
      <c r="AJ796" s="19" t="s">
        <v>234</v>
      </c>
      <c r="AK796" s="19" t="s">
        <v>234</v>
      </c>
      <c r="AL796" s="19"/>
      <c r="AM796" s="19" t="s">
        <v>234</v>
      </c>
      <c r="AN796" s="19" t="s">
        <v>234</v>
      </c>
      <c r="AO796" s="19" t="s">
        <v>235</v>
      </c>
      <c r="AP796" s="94"/>
      <c r="AQ796" s="19" t="s">
        <v>150</v>
      </c>
      <c r="AR796" s="19" t="s">
        <v>241</v>
      </c>
      <c r="AS796" s="19"/>
      <c r="AT796" s="65" t="str">
        <f t="shared" si="218"/>
        <v>N</v>
      </c>
      <c r="AU796" s="65" t="str">
        <f t="shared" si="213"/>
        <v>N</v>
      </c>
      <c r="AV796" s="65" t="str">
        <f t="shared" si="221"/>
        <v>N</v>
      </c>
      <c r="AW796" s="99"/>
      <c r="AX796" s="99"/>
      <c r="AY796" s="19"/>
      <c r="AZ796" s="96" t="str">
        <f t="shared" si="214"/>
        <v>n</v>
      </c>
      <c r="BA796" s="96" t="str">
        <f>IF(AZ796="n","n",VLOOKUP(AZ796,'Conversion factors'!$C$4:$D$24,2,FALSE))</f>
        <v>n</v>
      </c>
      <c r="BB796" s="96" t="str">
        <f t="shared" si="215"/>
        <v>n</v>
      </c>
      <c r="BC796" s="97"/>
      <c r="BD796" s="96" t="str">
        <f t="shared" si="219"/>
        <v>n</v>
      </c>
      <c r="BE796" s="96" t="str">
        <f t="shared" si="216"/>
        <v>n</v>
      </c>
      <c r="BF796" s="98" t="str">
        <f t="shared" si="220"/>
        <v/>
      </c>
      <c r="BG796" s="96" t="str">
        <f>IF(BF796="","",IF(ISNUMBER(VLOOKUP(BF796,'Conversion factors'!$B$35:$C$52,2,FALSE)),"y","n"))</f>
        <v/>
      </c>
      <c r="BH796" s="99"/>
    </row>
    <row r="797" spans="1:60" s="103" customFormat="1" ht="15.75" customHeight="1" x14ac:dyDescent="0.2">
      <c r="A797" s="18"/>
      <c r="B797" s="19">
        <v>181</v>
      </c>
      <c r="C797" s="19"/>
      <c r="D797" s="19">
        <v>16945</v>
      </c>
      <c r="E797" s="19" t="s">
        <v>1224</v>
      </c>
      <c r="F797" s="93">
        <v>1994</v>
      </c>
      <c r="G797" s="19" t="s">
        <v>314</v>
      </c>
      <c r="H797" s="19"/>
      <c r="I797" s="19" t="s">
        <v>41</v>
      </c>
      <c r="J797" s="19" t="s">
        <v>315</v>
      </c>
      <c r="K797" s="19" t="s">
        <v>316</v>
      </c>
      <c r="L797" s="19" t="s">
        <v>43</v>
      </c>
      <c r="M797" s="19" t="s">
        <v>1402</v>
      </c>
      <c r="N797" s="19" t="s">
        <v>109</v>
      </c>
      <c r="O797" s="19" t="s">
        <v>235</v>
      </c>
      <c r="P797" s="19" t="s">
        <v>51</v>
      </c>
      <c r="Q797" s="19"/>
      <c r="R797" s="19" t="s">
        <v>256</v>
      </c>
      <c r="S797" s="19" t="s">
        <v>304</v>
      </c>
      <c r="T797" s="19" t="s">
        <v>44</v>
      </c>
      <c r="U797" s="19" t="s">
        <v>44</v>
      </c>
      <c r="V797" s="19" t="s">
        <v>126</v>
      </c>
      <c r="W797" s="19" t="s">
        <v>231</v>
      </c>
      <c r="X797" s="19" t="s">
        <v>46</v>
      </c>
      <c r="Y797" s="29"/>
      <c r="Z797" s="19"/>
      <c r="AA797" s="19"/>
      <c r="AB797" s="19" t="s">
        <v>317</v>
      </c>
      <c r="AC797" s="19" t="s">
        <v>1322</v>
      </c>
      <c r="AD797" s="19"/>
      <c r="AE797" s="19"/>
      <c r="AF797" s="19"/>
      <c r="AG797" s="19" t="s">
        <v>235</v>
      </c>
      <c r="AH797" s="19"/>
      <c r="AI797" s="19"/>
      <c r="AJ797" s="19" t="s">
        <v>234</v>
      </c>
      <c r="AK797" s="19" t="s">
        <v>234</v>
      </c>
      <c r="AL797" s="19"/>
      <c r="AM797" s="19" t="s">
        <v>234</v>
      </c>
      <c r="AN797" s="19" t="s">
        <v>234</v>
      </c>
      <c r="AO797" s="19" t="s">
        <v>235</v>
      </c>
      <c r="AP797" s="94"/>
      <c r="AQ797" s="19" t="s">
        <v>150</v>
      </c>
      <c r="AR797" s="19" t="s">
        <v>241</v>
      </c>
      <c r="AS797" s="19"/>
      <c r="AT797" s="65" t="str">
        <f t="shared" si="218"/>
        <v>N</v>
      </c>
      <c r="AU797" s="65" t="str">
        <f t="shared" si="213"/>
        <v>N</v>
      </c>
      <c r="AV797" s="65" t="str">
        <f t="shared" si="221"/>
        <v>N</v>
      </c>
      <c r="AW797" s="99"/>
      <c r="AX797" s="99"/>
      <c r="AY797" s="19"/>
      <c r="AZ797" s="96" t="str">
        <f t="shared" si="214"/>
        <v>n</v>
      </c>
      <c r="BA797" s="96" t="str">
        <f>IF(AZ797="n","n",VLOOKUP(AZ797,'Conversion factors'!$C$4:$D$24,2,FALSE))</f>
        <v>n</v>
      </c>
      <c r="BB797" s="96" t="str">
        <f t="shared" si="215"/>
        <v>n</v>
      </c>
      <c r="BC797" s="97"/>
      <c r="BD797" s="96" t="str">
        <f t="shared" si="219"/>
        <v>n</v>
      </c>
      <c r="BE797" s="96" t="str">
        <f t="shared" si="216"/>
        <v>n</v>
      </c>
      <c r="BF797" s="98" t="str">
        <f t="shared" si="220"/>
        <v/>
      </c>
      <c r="BG797" s="96" t="str">
        <f>IF(BF797="","",IF(ISNUMBER(VLOOKUP(BF797,'Conversion factors'!$B$35:$C$52,2,FALSE)),"y","n"))</f>
        <v/>
      </c>
      <c r="BH797" s="99"/>
    </row>
    <row r="798" spans="1:60" s="103" customFormat="1" ht="15.75" customHeight="1" x14ac:dyDescent="0.2">
      <c r="A798" s="18"/>
      <c r="B798" s="19">
        <v>308</v>
      </c>
      <c r="C798" s="19"/>
      <c r="D798" s="19">
        <v>115699</v>
      </c>
      <c r="E798" s="19" t="s">
        <v>1224</v>
      </c>
      <c r="F798" s="93">
        <v>2005</v>
      </c>
      <c r="G798" s="19" t="s">
        <v>1063</v>
      </c>
      <c r="H798" s="19"/>
      <c r="I798" s="19" t="s">
        <v>41</v>
      </c>
      <c r="J798" s="19" t="s">
        <v>1064</v>
      </c>
      <c r="K798" s="19" t="s">
        <v>1400</v>
      </c>
      <c r="L798" s="19" t="s">
        <v>43</v>
      </c>
      <c r="M798" s="19" t="s">
        <v>1401</v>
      </c>
      <c r="N798" s="19" t="s">
        <v>109</v>
      </c>
      <c r="O798" s="19" t="s">
        <v>235</v>
      </c>
      <c r="P798" s="19" t="s">
        <v>51</v>
      </c>
      <c r="Q798" s="19"/>
      <c r="R798" s="19" t="s">
        <v>256</v>
      </c>
      <c r="S798" s="19" t="s">
        <v>302</v>
      </c>
      <c r="T798" s="19" t="s">
        <v>110</v>
      </c>
      <c r="U798" s="19" t="s">
        <v>44</v>
      </c>
      <c r="V798" s="19" t="s">
        <v>101</v>
      </c>
      <c r="W798" s="19" t="s">
        <v>231</v>
      </c>
      <c r="X798" s="19" t="s">
        <v>46</v>
      </c>
      <c r="Y798" s="29"/>
      <c r="Z798" s="19"/>
      <c r="AA798" s="19"/>
      <c r="AB798" s="19" t="s">
        <v>381</v>
      </c>
      <c r="AC798" s="19" t="s">
        <v>1322</v>
      </c>
      <c r="AD798" s="19"/>
      <c r="AE798" s="19"/>
      <c r="AF798" s="19"/>
      <c r="AG798" s="19" t="s">
        <v>235</v>
      </c>
      <c r="AH798" s="19"/>
      <c r="AI798" s="19"/>
      <c r="AJ798" s="19" t="s">
        <v>234</v>
      </c>
      <c r="AK798" s="19" t="s">
        <v>234</v>
      </c>
      <c r="AL798" s="19"/>
      <c r="AM798" s="19" t="s">
        <v>234</v>
      </c>
      <c r="AN798" s="19" t="s">
        <v>234</v>
      </c>
      <c r="AO798" s="19" t="s">
        <v>235</v>
      </c>
      <c r="AP798" s="94"/>
      <c r="AQ798" s="19" t="s">
        <v>1065</v>
      </c>
      <c r="AR798" s="19" t="s">
        <v>241</v>
      </c>
      <c r="AS798" s="19"/>
      <c r="AT798" s="65" t="str">
        <f t="shared" si="218"/>
        <v>N</v>
      </c>
      <c r="AU798" s="65" t="str">
        <f t="shared" si="213"/>
        <v>N</v>
      </c>
      <c r="AV798" s="65" t="str">
        <f t="shared" si="221"/>
        <v>N</v>
      </c>
      <c r="AW798" s="99"/>
      <c r="AX798" s="99"/>
      <c r="AY798" s="19"/>
      <c r="AZ798" s="96" t="str">
        <f t="shared" si="214"/>
        <v>n</v>
      </c>
      <c r="BA798" s="96" t="str">
        <f>IF(AZ798="n","n",VLOOKUP(AZ798,'Conversion factors'!$C$4:$D$24,2,FALSE))</f>
        <v>n</v>
      </c>
      <c r="BB798" s="96" t="str">
        <f t="shared" si="215"/>
        <v>n</v>
      </c>
      <c r="BC798" s="97"/>
      <c r="BD798" s="96" t="str">
        <f t="shared" si="219"/>
        <v>n</v>
      </c>
      <c r="BE798" s="96" t="str">
        <f t="shared" si="216"/>
        <v>n</v>
      </c>
      <c r="BF798" s="98" t="str">
        <f t="shared" si="220"/>
        <v/>
      </c>
      <c r="BG798" s="96" t="str">
        <f>IF(BF798="","",IF(ISNUMBER(VLOOKUP(BF798,'Conversion factors'!$B$35:$C$52,2,FALSE)),"y","n"))</f>
        <v/>
      </c>
      <c r="BH798" s="99"/>
    </row>
    <row r="799" spans="1:60" s="103" customFormat="1" ht="15.75" customHeight="1" x14ac:dyDescent="0.2">
      <c r="A799" s="18"/>
      <c r="B799" s="19">
        <v>308</v>
      </c>
      <c r="C799" s="19"/>
      <c r="D799" s="19">
        <v>115699</v>
      </c>
      <c r="E799" s="19" t="s">
        <v>1224</v>
      </c>
      <c r="F799" s="93">
        <v>2005</v>
      </c>
      <c r="G799" s="19" t="s">
        <v>1063</v>
      </c>
      <c r="H799" s="19"/>
      <c r="I799" s="19" t="s">
        <v>41</v>
      </c>
      <c r="J799" s="19" t="s">
        <v>1064</v>
      </c>
      <c r="K799" s="19" t="s">
        <v>1400</v>
      </c>
      <c r="L799" s="19" t="s">
        <v>43</v>
      </c>
      <c r="M799" s="19" t="s">
        <v>1401</v>
      </c>
      <c r="N799" s="19" t="s">
        <v>109</v>
      </c>
      <c r="O799" s="19" t="s">
        <v>235</v>
      </c>
      <c r="P799" s="19" t="s">
        <v>51</v>
      </c>
      <c r="Q799" s="19"/>
      <c r="R799" s="19" t="s">
        <v>256</v>
      </c>
      <c r="S799" s="19" t="s">
        <v>302</v>
      </c>
      <c r="T799" s="19" t="s">
        <v>55</v>
      </c>
      <c r="U799" s="19" t="s">
        <v>55</v>
      </c>
      <c r="V799" s="19" t="s">
        <v>101</v>
      </c>
      <c r="W799" s="19" t="s">
        <v>231</v>
      </c>
      <c r="X799" s="19" t="s">
        <v>46</v>
      </c>
      <c r="Y799" s="29"/>
      <c r="Z799" s="19"/>
      <c r="AA799" s="19"/>
      <c r="AB799" s="19" t="s">
        <v>538</v>
      </c>
      <c r="AC799" s="19" t="s">
        <v>1322</v>
      </c>
      <c r="AD799" s="19"/>
      <c r="AE799" s="19"/>
      <c r="AF799" s="19"/>
      <c r="AG799" s="19" t="s">
        <v>235</v>
      </c>
      <c r="AH799" s="19"/>
      <c r="AI799" s="19"/>
      <c r="AJ799" s="19" t="s">
        <v>234</v>
      </c>
      <c r="AK799" s="19" t="s">
        <v>234</v>
      </c>
      <c r="AL799" s="19"/>
      <c r="AM799" s="19" t="s">
        <v>234</v>
      </c>
      <c r="AN799" s="19" t="s">
        <v>234</v>
      </c>
      <c r="AO799" s="19" t="s">
        <v>235</v>
      </c>
      <c r="AP799" s="94"/>
      <c r="AQ799" s="19" t="s">
        <v>1065</v>
      </c>
      <c r="AR799" s="19" t="s">
        <v>241</v>
      </c>
      <c r="AS799" s="19"/>
      <c r="AT799" s="65" t="str">
        <f t="shared" si="218"/>
        <v>N</v>
      </c>
      <c r="AU799" s="65" t="str">
        <f t="shared" si="213"/>
        <v>N</v>
      </c>
      <c r="AV799" s="65" t="str">
        <f t="shared" si="221"/>
        <v>N</v>
      </c>
      <c r="AW799" s="99"/>
      <c r="AX799" s="99"/>
      <c r="AY799" s="19"/>
      <c r="AZ799" s="96" t="str">
        <f t="shared" si="214"/>
        <v>n</v>
      </c>
      <c r="BA799" s="96" t="str">
        <f>IF(AZ799="n","n",VLOOKUP(AZ799,'Conversion factors'!$C$4:$D$24,2,FALSE))</f>
        <v>n</v>
      </c>
      <c r="BB799" s="96" t="str">
        <f t="shared" si="215"/>
        <v>n</v>
      </c>
      <c r="BC799" s="97"/>
      <c r="BD799" s="96" t="str">
        <f t="shared" si="219"/>
        <v>n</v>
      </c>
      <c r="BE799" s="96" t="str">
        <f t="shared" si="216"/>
        <v>n</v>
      </c>
      <c r="BF799" s="98" t="str">
        <f t="shared" si="220"/>
        <v/>
      </c>
      <c r="BG799" s="96" t="str">
        <f>IF(BF799="","",IF(ISNUMBER(VLOOKUP(BF799,'Conversion factors'!$B$35:$C$52,2,FALSE)),"y","n"))</f>
        <v/>
      </c>
      <c r="BH799" s="99"/>
    </row>
    <row r="800" spans="1:60" s="103" customFormat="1" ht="15.75" customHeight="1" x14ac:dyDescent="0.2">
      <c r="A800" s="18"/>
      <c r="B800" s="19">
        <v>308</v>
      </c>
      <c r="C800" s="19"/>
      <c r="D800" s="19">
        <v>115699</v>
      </c>
      <c r="E800" s="19" t="s">
        <v>1224</v>
      </c>
      <c r="F800" s="93">
        <v>2005</v>
      </c>
      <c r="G800" s="19" t="s">
        <v>1063</v>
      </c>
      <c r="H800" s="19"/>
      <c r="I800" s="19" t="s">
        <v>41</v>
      </c>
      <c r="J800" s="19" t="s">
        <v>1064</v>
      </c>
      <c r="K800" s="19" t="s">
        <v>1400</v>
      </c>
      <c r="L800" s="19" t="s">
        <v>43</v>
      </c>
      <c r="M800" s="19" t="s">
        <v>1401</v>
      </c>
      <c r="N800" s="19" t="s">
        <v>109</v>
      </c>
      <c r="O800" s="19" t="s">
        <v>235</v>
      </c>
      <c r="P800" s="19" t="s">
        <v>51</v>
      </c>
      <c r="Q800" s="19"/>
      <c r="R800" s="19" t="s">
        <v>256</v>
      </c>
      <c r="S800" s="19" t="s">
        <v>302</v>
      </c>
      <c r="T800" s="19" t="s">
        <v>54</v>
      </c>
      <c r="U800" s="19" t="s">
        <v>54</v>
      </c>
      <c r="V800" s="19" t="s">
        <v>101</v>
      </c>
      <c r="W800" s="19" t="s">
        <v>231</v>
      </c>
      <c r="X800" s="19" t="s">
        <v>46</v>
      </c>
      <c r="Y800" s="29"/>
      <c r="Z800" s="19"/>
      <c r="AA800" s="19"/>
      <c r="AB800" s="19" t="s">
        <v>585</v>
      </c>
      <c r="AC800" s="19" t="s">
        <v>1322</v>
      </c>
      <c r="AD800" s="19"/>
      <c r="AE800" s="19"/>
      <c r="AF800" s="19"/>
      <c r="AG800" s="19" t="s">
        <v>235</v>
      </c>
      <c r="AH800" s="19"/>
      <c r="AI800" s="19"/>
      <c r="AJ800" s="19" t="s">
        <v>234</v>
      </c>
      <c r="AK800" s="19" t="s">
        <v>234</v>
      </c>
      <c r="AL800" s="19"/>
      <c r="AM800" s="19" t="s">
        <v>234</v>
      </c>
      <c r="AN800" s="19" t="s">
        <v>234</v>
      </c>
      <c r="AO800" s="19" t="s">
        <v>235</v>
      </c>
      <c r="AP800" s="94"/>
      <c r="AQ800" s="19" t="s">
        <v>1065</v>
      </c>
      <c r="AR800" s="19" t="s">
        <v>241</v>
      </c>
      <c r="AS800" s="19"/>
      <c r="AT800" s="65" t="str">
        <f t="shared" si="218"/>
        <v>N</v>
      </c>
      <c r="AU800" s="65" t="str">
        <f t="shared" ref="AU800:AU803" si="222">IF(AT800="N","N",IF(AJ800&lt;6,"N",IF(AJ800&gt;8.5,"N","Y")))</f>
        <v>N</v>
      </c>
      <c r="AV800" s="65" t="str">
        <f t="shared" si="221"/>
        <v>N</v>
      </c>
      <c r="AW800" s="99"/>
      <c r="AX800" s="99"/>
      <c r="AY800" s="19"/>
      <c r="AZ800" s="96" t="str">
        <f t="shared" si="214"/>
        <v>n</v>
      </c>
      <c r="BA800" s="96" t="str">
        <f>IF(AZ800="n","n",VLOOKUP(AZ800,'Conversion factors'!$C$4:$D$24,2,FALSE))</f>
        <v>n</v>
      </c>
      <c r="BB800" s="96" t="str">
        <f t="shared" si="215"/>
        <v>n</v>
      </c>
      <c r="BC800" s="97"/>
      <c r="BD800" s="96" t="str">
        <f t="shared" si="219"/>
        <v>n</v>
      </c>
      <c r="BE800" s="96" t="str">
        <f t="shared" si="216"/>
        <v>n</v>
      </c>
      <c r="BF800" s="98" t="str">
        <f t="shared" si="220"/>
        <v/>
      </c>
      <c r="BG800" s="96" t="str">
        <f>IF(BF800="","",IF(ISNUMBER(VLOOKUP(BF800,'Conversion factors'!$B$35:$C$52,2,FALSE)),"y","n"))</f>
        <v/>
      </c>
      <c r="BH800" s="99"/>
    </row>
    <row r="801" spans="1:62" s="103" customFormat="1" ht="15.75" customHeight="1" x14ac:dyDescent="0.2">
      <c r="A801" s="18"/>
      <c r="B801" s="19">
        <v>192</v>
      </c>
      <c r="C801" s="19"/>
      <c r="D801" s="19">
        <v>19852</v>
      </c>
      <c r="E801" s="19" t="s">
        <v>1224</v>
      </c>
      <c r="F801" s="93">
        <v>1999</v>
      </c>
      <c r="G801" s="19" t="s">
        <v>362</v>
      </c>
      <c r="H801" s="19"/>
      <c r="I801" s="19" t="s">
        <v>41</v>
      </c>
      <c r="J801" s="19" t="s">
        <v>370</v>
      </c>
      <c r="K801" s="19" t="s">
        <v>42</v>
      </c>
      <c r="L801" s="19" t="s">
        <v>43</v>
      </c>
      <c r="M801" s="19" t="s">
        <v>1303</v>
      </c>
      <c r="N801" s="19" t="s">
        <v>109</v>
      </c>
      <c r="O801" s="19" t="s">
        <v>235</v>
      </c>
      <c r="P801" s="19" t="s">
        <v>162</v>
      </c>
      <c r="Q801" s="19"/>
      <c r="R801" s="19" t="s">
        <v>256</v>
      </c>
      <c r="S801" s="19" t="s">
        <v>309</v>
      </c>
      <c r="T801" s="19" t="s">
        <v>44</v>
      </c>
      <c r="U801" s="19" t="s">
        <v>44</v>
      </c>
      <c r="V801" s="19" t="s">
        <v>103</v>
      </c>
      <c r="W801" s="19" t="s">
        <v>231</v>
      </c>
      <c r="X801" s="19" t="s">
        <v>46</v>
      </c>
      <c r="Y801" s="29"/>
      <c r="Z801" s="19"/>
      <c r="AA801" s="19"/>
      <c r="AB801" s="19" t="s">
        <v>371</v>
      </c>
      <c r="AC801" s="19" t="s">
        <v>1322</v>
      </c>
      <c r="AD801" s="19"/>
      <c r="AE801" s="19"/>
      <c r="AF801" s="19"/>
      <c r="AG801" s="19" t="s">
        <v>235</v>
      </c>
      <c r="AH801" s="19"/>
      <c r="AI801" s="19"/>
      <c r="AJ801" s="19" t="s">
        <v>234</v>
      </c>
      <c r="AK801" s="19" t="s">
        <v>234</v>
      </c>
      <c r="AL801" s="19"/>
      <c r="AM801" s="19" t="s">
        <v>234</v>
      </c>
      <c r="AN801" s="19" t="s">
        <v>234</v>
      </c>
      <c r="AO801" s="19" t="s">
        <v>235</v>
      </c>
      <c r="AP801" s="94"/>
      <c r="AQ801" s="19" t="s">
        <v>365</v>
      </c>
      <c r="AR801" s="19" t="s">
        <v>241</v>
      </c>
      <c r="AS801" s="19"/>
      <c r="AT801" s="65" t="str">
        <f t="shared" si="218"/>
        <v>N</v>
      </c>
      <c r="AU801" s="65" t="str">
        <f t="shared" si="222"/>
        <v>N</v>
      </c>
      <c r="AV801" s="65" t="str">
        <f t="shared" si="221"/>
        <v>N</v>
      </c>
      <c r="AW801" s="99"/>
      <c r="AX801" s="99"/>
      <c r="AY801" s="19"/>
      <c r="AZ801" s="96" t="str">
        <f t="shared" ref="AZ801:AZ803" si="223">IF(AV801="N","n",T801)</f>
        <v>n</v>
      </c>
      <c r="BA801" s="96" t="str">
        <f>IF(AZ801="n","n",VLOOKUP(AZ801,'Conversion factors'!$C$4:$D$24,2,FALSE))</f>
        <v>n</v>
      </c>
      <c r="BB801" s="96" t="str">
        <f t="shared" ref="BB801:BB803" si="224">IF(BA801="n","n",AB801/BA801)</f>
        <v>n</v>
      </c>
      <c r="BC801" s="97"/>
      <c r="BD801" s="96" t="str">
        <f t="shared" si="219"/>
        <v>n</v>
      </c>
      <c r="BE801" s="96" t="str">
        <f t="shared" ref="BE801:BE803" si="225">IF(BD801="chronic","y","n")</f>
        <v>n</v>
      </c>
      <c r="BF801" s="98" t="str">
        <f t="shared" si="220"/>
        <v/>
      </c>
      <c r="BG801" s="96" t="str">
        <f>IF(BF801="","",IF(ISNUMBER(VLOOKUP(BF801,'Conversion factors'!$B$35:$C$52,2,FALSE)),"y","n"))</f>
        <v/>
      </c>
      <c r="BH801" s="99"/>
    </row>
    <row r="802" spans="1:62" s="103" customFormat="1" ht="15.75" customHeight="1" x14ac:dyDescent="0.2">
      <c r="A802" s="18"/>
      <c r="B802" s="19">
        <v>329</v>
      </c>
      <c r="C802" s="19"/>
      <c r="D802" s="19">
        <v>169502</v>
      </c>
      <c r="E802" s="19" t="s">
        <v>1224</v>
      </c>
      <c r="F802" s="93">
        <v>2013</v>
      </c>
      <c r="G802" s="19" t="s">
        <v>1186</v>
      </c>
      <c r="H802" s="19"/>
      <c r="I802" s="19" t="s">
        <v>41</v>
      </c>
      <c r="J802" s="19" t="s">
        <v>1187</v>
      </c>
      <c r="K802" s="19" t="s">
        <v>316</v>
      </c>
      <c r="L802" s="19" t="s">
        <v>43</v>
      </c>
      <c r="M802" s="19" t="s">
        <v>1402</v>
      </c>
      <c r="N802" s="19" t="s">
        <v>109</v>
      </c>
      <c r="O802" s="19" t="s">
        <v>264</v>
      </c>
      <c r="P802" s="19" t="s">
        <v>162</v>
      </c>
      <c r="Q802" s="19"/>
      <c r="R802" s="19" t="s">
        <v>256</v>
      </c>
      <c r="S802" s="19" t="s">
        <v>309</v>
      </c>
      <c r="T802" s="19" t="s">
        <v>44</v>
      </c>
      <c r="U802" s="19" t="s">
        <v>44</v>
      </c>
      <c r="V802" s="19" t="s">
        <v>444</v>
      </c>
      <c r="W802" s="19" t="s">
        <v>45</v>
      </c>
      <c r="X802" s="19" t="s">
        <v>46</v>
      </c>
      <c r="Y802" s="29"/>
      <c r="Z802" s="19"/>
      <c r="AA802" s="19"/>
      <c r="AB802" s="19" t="s">
        <v>1188</v>
      </c>
      <c r="AC802" s="19" t="s">
        <v>1322</v>
      </c>
      <c r="AD802" s="19"/>
      <c r="AE802" s="19"/>
      <c r="AF802" s="19"/>
      <c r="AG802" s="19" t="s">
        <v>235</v>
      </c>
      <c r="AH802" s="19"/>
      <c r="AI802" s="19"/>
      <c r="AJ802" s="19" t="s">
        <v>234</v>
      </c>
      <c r="AK802" s="19" t="s">
        <v>234</v>
      </c>
      <c r="AL802" s="19"/>
      <c r="AM802" s="19" t="s">
        <v>234</v>
      </c>
      <c r="AN802" s="19" t="s">
        <v>234</v>
      </c>
      <c r="AO802" s="19" t="s">
        <v>235</v>
      </c>
      <c r="AP802" s="94"/>
      <c r="AQ802" s="19" t="s">
        <v>97</v>
      </c>
      <c r="AR802" s="19" t="s">
        <v>241</v>
      </c>
      <c r="AS802" s="19"/>
      <c r="AT802" s="65" t="str">
        <f t="shared" si="218"/>
        <v>N</v>
      </c>
      <c r="AU802" s="65" t="str">
        <f t="shared" si="222"/>
        <v>N</v>
      </c>
      <c r="AV802" s="65" t="str">
        <f t="shared" si="221"/>
        <v>N</v>
      </c>
      <c r="AW802" s="99"/>
      <c r="AX802" s="99"/>
      <c r="AY802" s="19"/>
      <c r="AZ802" s="96" t="str">
        <f t="shared" si="223"/>
        <v>n</v>
      </c>
      <c r="BA802" s="96" t="str">
        <f>IF(AZ802="n","n",VLOOKUP(AZ802,'Conversion factors'!$C$4:$D$24,2,FALSE))</f>
        <v>n</v>
      </c>
      <c r="BB802" s="96" t="str">
        <f t="shared" si="224"/>
        <v>n</v>
      </c>
      <c r="BC802" s="97"/>
      <c r="BD802" s="96" t="str">
        <f t="shared" si="219"/>
        <v>n</v>
      </c>
      <c r="BE802" s="96" t="str">
        <f t="shared" si="225"/>
        <v>n</v>
      </c>
      <c r="BF802" s="98" t="str">
        <f t="shared" si="220"/>
        <v/>
      </c>
      <c r="BG802" s="96" t="str">
        <f>IF(BF802="","",IF(ISNUMBER(VLOOKUP(BF802,'Conversion factors'!$B$35:$C$52,2,FALSE)),"y","n"))</f>
        <v/>
      </c>
      <c r="BH802" s="99"/>
    </row>
    <row r="803" spans="1:62" s="103" customFormat="1" ht="15.75" customHeight="1" x14ac:dyDescent="0.2">
      <c r="A803" s="18"/>
      <c r="B803" s="19">
        <v>329</v>
      </c>
      <c r="C803" s="19"/>
      <c r="D803" s="19">
        <v>169502</v>
      </c>
      <c r="E803" s="19" t="s">
        <v>1224</v>
      </c>
      <c r="F803" s="93">
        <v>2013</v>
      </c>
      <c r="G803" s="19" t="s">
        <v>1186</v>
      </c>
      <c r="H803" s="19"/>
      <c r="I803" s="19" t="s">
        <v>41</v>
      </c>
      <c r="J803" s="19" t="s">
        <v>1187</v>
      </c>
      <c r="K803" s="19" t="s">
        <v>316</v>
      </c>
      <c r="L803" s="19" t="s">
        <v>43</v>
      </c>
      <c r="M803" s="19" t="s">
        <v>1402</v>
      </c>
      <c r="N803" s="19" t="s">
        <v>109</v>
      </c>
      <c r="O803" s="19" t="s">
        <v>264</v>
      </c>
      <c r="P803" s="19" t="s">
        <v>162</v>
      </c>
      <c r="Q803" s="19"/>
      <c r="R803" s="19" t="s">
        <v>256</v>
      </c>
      <c r="S803" s="19" t="s">
        <v>309</v>
      </c>
      <c r="T803" s="19" t="s">
        <v>44</v>
      </c>
      <c r="U803" s="19" t="s">
        <v>44</v>
      </c>
      <c r="V803" s="19" t="s">
        <v>444</v>
      </c>
      <c r="W803" s="19" t="s">
        <v>45</v>
      </c>
      <c r="X803" s="19" t="s">
        <v>46</v>
      </c>
      <c r="Y803" s="29"/>
      <c r="Z803" s="19"/>
      <c r="AA803" s="19"/>
      <c r="AB803" s="19" t="s">
        <v>1189</v>
      </c>
      <c r="AC803" s="19" t="s">
        <v>1322</v>
      </c>
      <c r="AD803" s="19"/>
      <c r="AE803" s="19"/>
      <c r="AF803" s="19"/>
      <c r="AG803" s="19" t="s">
        <v>235</v>
      </c>
      <c r="AH803" s="19"/>
      <c r="AI803" s="19"/>
      <c r="AJ803" s="19" t="s">
        <v>234</v>
      </c>
      <c r="AK803" s="19" t="s">
        <v>234</v>
      </c>
      <c r="AL803" s="19"/>
      <c r="AM803" s="19" t="s">
        <v>234</v>
      </c>
      <c r="AN803" s="19" t="s">
        <v>234</v>
      </c>
      <c r="AO803" s="19" t="s">
        <v>235</v>
      </c>
      <c r="AP803" s="94"/>
      <c r="AQ803" s="19" t="s">
        <v>97</v>
      </c>
      <c r="AR803" s="19" t="s">
        <v>241</v>
      </c>
      <c r="AS803" s="19"/>
      <c r="AT803" s="65" t="str">
        <f t="shared" si="218"/>
        <v>N</v>
      </c>
      <c r="AU803" s="65" t="str">
        <f t="shared" si="222"/>
        <v>N</v>
      </c>
      <c r="AV803" s="65" t="str">
        <f t="shared" si="221"/>
        <v>N</v>
      </c>
      <c r="AW803" s="99"/>
      <c r="AX803" s="99"/>
      <c r="AY803" s="19"/>
      <c r="AZ803" s="96" t="str">
        <f t="shared" si="223"/>
        <v>n</v>
      </c>
      <c r="BA803" s="96" t="str">
        <f>IF(AZ803="n","n",VLOOKUP(AZ803,'Conversion factors'!$C$4:$D$24,2,FALSE))</f>
        <v>n</v>
      </c>
      <c r="BB803" s="96" t="str">
        <f t="shared" si="224"/>
        <v>n</v>
      </c>
      <c r="BC803" s="97"/>
      <c r="BD803" s="96" t="str">
        <f t="shared" si="219"/>
        <v>n</v>
      </c>
      <c r="BE803" s="96" t="str">
        <f t="shared" si="225"/>
        <v>n</v>
      </c>
      <c r="BF803" s="98" t="str">
        <f t="shared" si="220"/>
        <v/>
      </c>
      <c r="BG803" s="96" t="str">
        <f>IF(BF803="","",IF(ISNUMBER(VLOOKUP(BF803,'Conversion factors'!$B$35:$C$52,2,FALSE)),"y","n"))</f>
        <v/>
      </c>
      <c r="BH803" s="99"/>
    </row>
    <row r="804" spans="1:62" s="118" customFormat="1" ht="15.75" customHeight="1" x14ac:dyDescent="0.2">
      <c r="A804" s="18"/>
      <c r="B804" s="19">
        <v>311</v>
      </c>
      <c r="C804" s="19"/>
      <c r="D804" s="19">
        <v>116817</v>
      </c>
      <c r="E804" s="19" t="s">
        <v>1224</v>
      </c>
      <c r="F804" s="93">
        <v>1998</v>
      </c>
      <c r="G804" s="19" t="s">
        <v>1075</v>
      </c>
      <c r="H804" s="19"/>
      <c r="I804" s="19" t="s">
        <v>41</v>
      </c>
      <c r="J804" s="19" t="s">
        <v>344</v>
      </c>
      <c r="K804" s="19" t="s">
        <v>42</v>
      </c>
      <c r="L804" s="19" t="s">
        <v>43</v>
      </c>
      <c r="M804" s="19" t="s">
        <v>1303</v>
      </c>
      <c r="N804" s="19" t="s">
        <v>109</v>
      </c>
      <c r="O804" s="19" t="s">
        <v>264</v>
      </c>
      <c r="P804" s="19" t="s">
        <v>53</v>
      </c>
      <c r="Q804" s="19"/>
      <c r="R804" s="19" t="s">
        <v>256</v>
      </c>
      <c r="S804" s="19" t="s">
        <v>1076</v>
      </c>
      <c r="T804" s="19" t="s">
        <v>110</v>
      </c>
      <c r="U804" s="19" t="s">
        <v>44</v>
      </c>
      <c r="V804" s="19" t="s">
        <v>103</v>
      </c>
      <c r="W804" s="19" t="s">
        <v>231</v>
      </c>
      <c r="X804" s="19" t="s">
        <v>46</v>
      </c>
      <c r="Y804" s="29"/>
      <c r="Z804" s="19"/>
      <c r="AA804" s="19"/>
      <c r="AB804" s="19" t="s">
        <v>262</v>
      </c>
      <c r="AC804" s="19" t="s">
        <v>214</v>
      </c>
      <c r="AD804" s="19"/>
      <c r="AE804" s="19"/>
      <c r="AF804" s="19"/>
      <c r="AG804" s="19" t="s">
        <v>235</v>
      </c>
      <c r="AH804" s="19"/>
      <c r="AI804" s="19"/>
      <c r="AJ804" s="19" t="s">
        <v>234</v>
      </c>
      <c r="AK804" s="19" t="s">
        <v>234</v>
      </c>
      <c r="AL804" s="19"/>
      <c r="AM804" s="19" t="s">
        <v>234</v>
      </c>
      <c r="AN804" s="19" t="s">
        <v>234</v>
      </c>
      <c r="AO804" s="19" t="s">
        <v>235</v>
      </c>
      <c r="AP804" s="94"/>
      <c r="AQ804" s="19" t="s">
        <v>150</v>
      </c>
      <c r="AR804" s="19" t="s">
        <v>241</v>
      </c>
      <c r="AS804" s="19"/>
      <c r="AT804" s="65" t="str">
        <f t="shared" ref="AT804:AT835" si="226">IF(F804&lt;1980,"N",IF(AC804="M","Y",IF(AC804="SM","Y","N")))</f>
        <v>Y</v>
      </c>
      <c r="AU804" s="65" t="str">
        <f t="shared" ref="AU804:AU835" si="227">IF(AT804="N","N",IF(AJ804&lt;6,"N",IF(AJ804&gt;8.5,"N","Y")))</f>
        <v>N</v>
      </c>
      <c r="AV804" s="65" t="str">
        <f t="shared" ref="AV804:AV835" si="228">AU804</f>
        <v>N</v>
      </c>
      <c r="AW804" s="171" t="s">
        <v>1768</v>
      </c>
      <c r="AX804" s="99"/>
      <c r="AY804" s="19"/>
      <c r="AZ804" s="96" t="str">
        <f t="shared" ref="AZ804:AZ835" si="229">IF(AV804="N","n",T804)</f>
        <v>n</v>
      </c>
      <c r="BA804" s="96" t="str">
        <f>IF(AZ804="n","n",VLOOKUP(AZ804,'Conversion factors'!$C$4:$D$24,2,FALSE))</f>
        <v>n</v>
      </c>
      <c r="BB804" s="96" t="str">
        <f t="shared" ref="BB804:BB835" si="230">IF(BA804="n","n",AB804/BA804)</f>
        <v>n</v>
      </c>
      <c r="BC804" s="172"/>
      <c r="BD804" s="96" t="str">
        <f t="shared" ref="BD804:BD835" si="231">IF(AV804="N","n",X804)</f>
        <v>n</v>
      </c>
      <c r="BE804" s="96" t="str">
        <f t="shared" ref="BE804:BE835" si="232">IF(BD804="chronic","y","n")</f>
        <v>n</v>
      </c>
      <c r="BF804" s="98" t="str">
        <f t="shared" ref="BF804:BF835" si="233">IF(BE804="n","",AZ804)</f>
        <v/>
      </c>
      <c r="BG804" s="96" t="str">
        <f>IF(BF804="","",IF(ISNUMBER(VLOOKUP(BF804,'Conversion factors'!$B$35:$C$52,2,FALSE)),"y","n"))</f>
        <v/>
      </c>
      <c r="BH804" s="171" t="s">
        <v>1525</v>
      </c>
      <c r="BI804" s="173"/>
      <c r="BJ804" s="173"/>
    </row>
    <row r="805" spans="1:62" s="103" customFormat="1" ht="15.75" customHeight="1" x14ac:dyDescent="0.2">
      <c r="A805" s="18"/>
      <c r="B805" s="19">
        <v>311</v>
      </c>
      <c r="C805" s="19"/>
      <c r="D805" s="19">
        <v>116817</v>
      </c>
      <c r="E805" s="19" t="s">
        <v>1224</v>
      </c>
      <c r="F805" s="93">
        <v>1998</v>
      </c>
      <c r="G805" s="19" t="s">
        <v>1075</v>
      </c>
      <c r="H805" s="19"/>
      <c r="I805" s="19" t="s">
        <v>41</v>
      </c>
      <c r="J805" s="19" t="s">
        <v>344</v>
      </c>
      <c r="K805" s="19" t="s">
        <v>42</v>
      </c>
      <c r="L805" s="19" t="s">
        <v>43</v>
      </c>
      <c r="M805" s="19" t="s">
        <v>1303</v>
      </c>
      <c r="N805" s="19" t="s">
        <v>109</v>
      </c>
      <c r="O805" s="19" t="s">
        <v>264</v>
      </c>
      <c r="P805" s="19" t="s">
        <v>53</v>
      </c>
      <c r="Q805" s="19"/>
      <c r="R805" s="19" t="s">
        <v>256</v>
      </c>
      <c r="S805" s="19" t="s">
        <v>1076</v>
      </c>
      <c r="T805" s="19" t="s">
        <v>110</v>
      </c>
      <c r="U805" s="19" t="s">
        <v>44</v>
      </c>
      <c r="V805" s="19" t="s">
        <v>103</v>
      </c>
      <c r="W805" s="19" t="s">
        <v>231</v>
      </c>
      <c r="X805" s="19" t="s">
        <v>46</v>
      </c>
      <c r="Y805" s="29"/>
      <c r="Z805" s="19"/>
      <c r="AA805" s="19"/>
      <c r="AB805" s="19" t="s">
        <v>594</v>
      </c>
      <c r="AC805" s="19" t="s">
        <v>214</v>
      </c>
      <c r="AD805" s="19"/>
      <c r="AE805" s="19"/>
      <c r="AF805" s="19"/>
      <c r="AG805" s="19" t="s">
        <v>235</v>
      </c>
      <c r="AH805" s="19"/>
      <c r="AI805" s="19"/>
      <c r="AJ805" s="19" t="s">
        <v>234</v>
      </c>
      <c r="AK805" s="19" t="s">
        <v>234</v>
      </c>
      <c r="AL805" s="19"/>
      <c r="AM805" s="19" t="s">
        <v>234</v>
      </c>
      <c r="AN805" s="19" t="s">
        <v>234</v>
      </c>
      <c r="AO805" s="19" t="s">
        <v>235</v>
      </c>
      <c r="AP805" s="94"/>
      <c r="AQ805" s="19" t="s">
        <v>150</v>
      </c>
      <c r="AR805" s="19" t="s">
        <v>241</v>
      </c>
      <c r="AS805" s="19"/>
      <c r="AT805" s="65" t="str">
        <f t="shared" si="226"/>
        <v>Y</v>
      </c>
      <c r="AU805" s="65" t="str">
        <f t="shared" si="227"/>
        <v>N</v>
      </c>
      <c r="AV805" s="65" t="str">
        <f t="shared" si="228"/>
        <v>N</v>
      </c>
      <c r="AW805" s="99" t="s">
        <v>1768</v>
      </c>
      <c r="AX805" s="99"/>
      <c r="AY805" s="19"/>
      <c r="AZ805" s="96" t="str">
        <f t="shared" si="229"/>
        <v>n</v>
      </c>
      <c r="BA805" s="96" t="str">
        <f>IF(AZ805="n","n",VLOOKUP(AZ805,'Conversion factors'!$C$4:$D$24,2,FALSE))</f>
        <v>n</v>
      </c>
      <c r="BB805" s="96" t="str">
        <f t="shared" si="230"/>
        <v>n</v>
      </c>
      <c r="BC805" s="97"/>
      <c r="BD805" s="96" t="str">
        <f t="shared" si="231"/>
        <v>n</v>
      </c>
      <c r="BE805" s="96" t="str">
        <f t="shared" si="232"/>
        <v>n</v>
      </c>
      <c r="BF805" s="98" t="str">
        <f t="shared" si="233"/>
        <v/>
      </c>
      <c r="BG805" s="96" t="str">
        <f>IF(BF805="","",IF(ISNUMBER(VLOOKUP(BF805,'Conversion factors'!$B$35:$C$52,2,FALSE)),"y","n"))</f>
        <v/>
      </c>
      <c r="BH805" s="99" t="s">
        <v>1525</v>
      </c>
    </row>
    <row r="806" spans="1:62" s="103" customFormat="1" ht="15.75" customHeight="1" x14ac:dyDescent="0.2">
      <c r="A806" s="18"/>
      <c r="B806" s="19">
        <v>311</v>
      </c>
      <c r="C806" s="19"/>
      <c r="D806" s="19">
        <v>116817</v>
      </c>
      <c r="E806" s="19" t="s">
        <v>1224</v>
      </c>
      <c r="F806" s="93">
        <v>1998</v>
      </c>
      <c r="G806" s="19" t="s">
        <v>1075</v>
      </c>
      <c r="H806" s="19"/>
      <c r="I806" s="19" t="s">
        <v>41</v>
      </c>
      <c r="J806" s="19" t="s">
        <v>344</v>
      </c>
      <c r="K806" s="19" t="s">
        <v>42</v>
      </c>
      <c r="L806" s="19" t="s">
        <v>43</v>
      </c>
      <c r="M806" s="19" t="s">
        <v>1303</v>
      </c>
      <c r="N806" s="19" t="s">
        <v>109</v>
      </c>
      <c r="O806" s="19" t="s">
        <v>264</v>
      </c>
      <c r="P806" s="19" t="s">
        <v>53</v>
      </c>
      <c r="Q806" s="19"/>
      <c r="R806" s="19" t="s">
        <v>256</v>
      </c>
      <c r="S806" s="19" t="s">
        <v>1076</v>
      </c>
      <c r="T806" s="19" t="s">
        <v>110</v>
      </c>
      <c r="U806" s="19" t="s">
        <v>44</v>
      </c>
      <c r="V806" s="19" t="s">
        <v>103</v>
      </c>
      <c r="W806" s="19" t="s">
        <v>231</v>
      </c>
      <c r="X806" s="19" t="s">
        <v>46</v>
      </c>
      <c r="Y806" s="29"/>
      <c r="Z806" s="19"/>
      <c r="AA806" s="19"/>
      <c r="AB806" s="19" t="s">
        <v>604</v>
      </c>
      <c r="AC806" s="19" t="s">
        <v>214</v>
      </c>
      <c r="AD806" s="19"/>
      <c r="AE806" s="19"/>
      <c r="AF806" s="19"/>
      <c r="AG806" s="19" t="s">
        <v>235</v>
      </c>
      <c r="AH806" s="19"/>
      <c r="AI806" s="19"/>
      <c r="AJ806" s="19" t="s">
        <v>234</v>
      </c>
      <c r="AK806" s="19" t="s">
        <v>234</v>
      </c>
      <c r="AL806" s="19"/>
      <c r="AM806" s="19" t="s">
        <v>234</v>
      </c>
      <c r="AN806" s="19" t="s">
        <v>234</v>
      </c>
      <c r="AO806" s="19" t="s">
        <v>235</v>
      </c>
      <c r="AP806" s="94"/>
      <c r="AQ806" s="19" t="s">
        <v>150</v>
      </c>
      <c r="AR806" s="19" t="s">
        <v>241</v>
      </c>
      <c r="AS806" s="19"/>
      <c r="AT806" s="65" t="str">
        <f t="shared" si="226"/>
        <v>Y</v>
      </c>
      <c r="AU806" s="65" t="str">
        <f t="shared" si="227"/>
        <v>N</v>
      </c>
      <c r="AV806" s="65" t="str">
        <f t="shared" si="228"/>
        <v>N</v>
      </c>
      <c r="AW806" s="99" t="s">
        <v>1768</v>
      </c>
      <c r="AX806" s="99"/>
      <c r="AY806" s="19"/>
      <c r="AZ806" s="96" t="str">
        <f t="shared" si="229"/>
        <v>n</v>
      </c>
      <c r="BA806" s="96" t="str">
        <f>IF(AZ806="n","n",VLOOKUP(AZ806,'Conversion factors'!$C$4:$D$24,2,FALSE))</f>
        <v>n</v>
      </c>
      <c r="BB806" s="96" t="str">
        <f t="shared" si="230"/>
        <v>n</v>
      </c>
      <c r="BC806" s="97"/>
      <c r="BD806" s="96" t="str">
        <f t="shared" si="231"/>
        <v>n</v>
      </c>
      <c r="BE806" s="96" t="str">
        <f t="shared" si="232"/>
        <v>n</v>
      </c>
      <c r="BF806" s="98" t="str">
        <f t="shared" si="233"/>
        <v/>
      </c>
      <c r="BG806" s="96" t="str">
        <f>IF(BF806="","",IF(ISNUMBER(VLOOKUP(BF806,'Conversion factors'!$B$35:$C$52,2,FALSE)),"y","n"))</f>
        <v/>
      </c>
      <c r="BH806" s="99" t="s">
        <v>1525</v>
      </c>
    </row>
    <row r="807" spans="1:62" s="103" customFormat="1" ht="15.75" customHeight="1" x14ac:dyDescent="0.2">
      <c r="A807" s="18"/>
      <c r="B807" s="19">
        <v>310</v>
      </c>
      <c r="C807" s="19"/>
      <c r="D807" s="19">
        <v>116292</v>
      </c>
      <c r="E807" s="19" t="s">
        <v>1224</v>
      </c>
      <c r="F807" s="93">
        <v>2009</v>
      </c>
      <c r="G807" s="19" t="s">
        <v>1073</v>
      </c>
      <c r="H807" s="19"/>
      <c r="I807" s="19" t="s">
        <v>41</v>
      </c>
      <c r="J807" s="19" t="s">
        <v>344</v>
      </c>
      <c r="K807" s="19" t="s">
        <v>42</v>
      </c>
      <c r="L807" s="19" t="s">
        <v>43</v>
      </c>
      <c r="M807" s="19" t="s">
        <v>1303</v>
      </c>
      <c r="N807" s="19" t="s">
        <v>109</v>
      </c>
      <c r="O807" s="19" t="s">
        <v>264</v>
      </c>
      <c r="P807" s="19" t="s">
        <v>53</v>
      </c>
      <c r="Q807" s="19"/>
      <c r="R807" s="19" t="s">
        <v>81</v>
      </c>
      <c r="S807" s="19" t="s">
        <v>858</v>
      </c>
      <c r="T807" s="19" t="s">
        <v>927</v>
      </c>
      <c r="U807" s="19" t="s">
        <v>927</v>
      </c>
      <c r="V807" s="19" t="s">
        <v>103</v>
      </c>
      <c r="W807" s="19" t="s">
        <v>231</v>
      </c>
      <c r="X807" s="19" t="s">
        <v>46</v>
      </c>
      <c r="Y807" s="29"/>
      <c r="Z807" s="19"/>
      <c r="AA807" s="19"/>
      <c r="AB807" s="19" t="s">
        <v>102</v>
      </c>
      <c r="AC807" s="19" t="s">
        <v>1322</v>
      </c>
      <c r="AD807" s="19"/>
      <c r="AE807" s="19">
        <v>24</v>
      </c>
      <c r="AF807" s="19"/>
      <c r="AG807" s="19" t="s">
        <v>235</v>
      </c>
      <c r="AH807" s="19"/>
      <c r="AI807" s="19"/>
      <c r="AJ807" s="19" t="s">
        <v>234</v>
      </c>
      <c r="AK807" s="19" t="s">
        <v>234</v>
      </c>
      <c r="AL807" s="19"/>
      <c r="AM807" s="19" t="s">
        <v>234</v>
      </c>
      <c r="AN807" s="19" t="s">
        <v>234</v>
      </c>
      <c r="AO807" s="19" t="s">
        <v>235</v>
      </c>
      <c r="AP807" s="94"/>
      <c r="AQ807" s="19" t="s">
        <v>150</v>
      </c>
      <c r="AR807" s="19" t="s">
        <v>241</v>
      </c>
      <c r="AS807" s="19"/>
      <c r="AT807" s="65" t="str">
        <f t="shared" si="226"/>
        <v>N</v>
      </c>
      <c r="AU807" s="65" t="str">
        <f t="shared" si="227"/>
        <v>N</v>
      </c>
      <c r="AV807" s="65" t="str">
        <f t="shared" si="228"/>
        <v>N</v>
      </c>
      <c r="AW807" s="99"/>
      <c r="AX807" s="99"/>
      <c r="AY807" s="19"/>
      <c r="AZ807" s="96" t="str">
        <f t="shared" si="229"/>
        <v>n</v>
      </c>
      <c r="BA807" s="96" t="str">
        <f>IF(AZ807="n","n",VLOOKUP(AZ807,'Conversion factors'!$C$4:$D$24,2,FALSE))</f>
        <v>n</v>
      </c>
      <c r="BB807" s="96" t="str">
        <f t="shared" si="230"/>
        <v>n</v>
      </c>
      <c r="BC807" s="97"/>
      <c r="BD807" s="96" t="str">
        <f t="shared" si="231"/>
        <v>n</v>
      </c>
      <c r="BE807" s="96" t="str">
        <f t="shared" si="232"/>
        <v>n</v>
      </c>
      <c r="BF807" s="98" t="str">
        <f t="shared" si="233"/>
        <v/>
      </c>
      <c r="BG807" s="96" t="str">
        <f>IF(BF807="","",IF(ISNUMBER(VLOOKUP(BF807,'Conversion factors'!$B$35:$C$52,2,FALSE)),"y","n"))</f>
        <v/>
      </c>
      <c r="BH807" s="99"/>
    </row>
    <row r="808" spans="1:62" s="103" customFormat="1" ht="15.75" customHeight="1" x14ac:dyDescent="0.2">
      <c r="A808" s="18"/>
      <c r="B808" s="19">
        <v>310</v>
      </c>
      <c r="C808" s="19"/>
      <c r="D808" s="19">
        <v>116292</v>
      </c>
      <c r="E808" s="19" t="s">
        <v>1224</v>
      </c>
      <c r="F808" s="93">
        <v>2009</v>
      </c>
      <c r="G808" s="19" t="s">
        <v>1073</v>
      </c>
      <c r="H808" s="19"/>
      <c r="I808" s="19" t="s">
        <v>41</v>
      </c>
      <c r="J808" s="19" t="s">
        <v>344</v>
      </c>
      <c r="K808" s="19" t="s">
        <v>42</v>
      </c>
      <c r="L808" s="19" t="s">
        <v>43</v>
      </c>
      <c r="M808" s="19" t="s">
        <v>1303</v>
      </c>
      <c r="N808" s="19" t="s">
        <v>109</v>
      </c>
      <c r="O808" s="19" t="s">
        <v>264</v>
      </c>
      <c r="P808" s="19" t="s">
        <v>53</v>
      </c>
      <c r="Q808" s="19"/>
      <c r="R808" s="19" t="s">
        <v>81</v>
      </c>
      <c r="S808" s="19" t="s">
        <v>858</v>
      </c>
      <c r="T808" s="19" t="s">
        <v>927</v>
      </c>
      <c r="U808" s="19" t="s">
        <v>927</v>
      </c>
      <c r="V808" s="19" t="s">
        <v>103</v>
      </c>
      <c r="W808" s="19" t="s">
        <v>231</v>
      </c>
      <c r="X808" s="19" t="s">
        <v>46</v>
      </c>
      <c r="Y808" s="29"/>
      <c r="Z808" s="19"/>
      <c r="AA808" s="19"/>
      <c r="AB808" s="19" t="s">
        <v>91</v>
      </c>
      <c r="AC808" s="19" t="s">
        <v>1322</v>
      </c>
      <c r="AD808" s="19"/>
      <c r="AE808" s="19">
        <v>24</v>
      </c>
      <c r="AF808" s="19"/>
      <c r="AG808" s="19" t="s">
        <v>235</v>
      </c>
      <c r="AH808" s="19"/>
      <c r="AI808" s="19"/>
      <c r="AJ808" s="19" t="s">
        <v>234</v>
      </c>
      <c r="AK808" s="19" t="s">
        <v>234</v>
      </c>
      <c r="AL808" s="19"/>
      <c r="AM808" s="19" t="s">
        <v>234</v>
      </c>
      <c r="AN808" s="19" t="s">
        <v>234</v>
      </c>
      <c r="AO808" s="19" t="s">
        <v>235</v>
      </c>
      <c r="AP808" s="94"/>
      <c r="AQ808" s="19" t="s">
        <v>150</v>
      </c>
      <c r="AR808" s="19" t="s">
        <v>241</v>
      </c>
      <c r="AS808" s="19"/>
      <c r="AT808" s="65" t="str">
        <f t="shared" si="226"/>
        <v>N</v>
      </c>
      <c r="AU808" s="65" t="str">
        <f t="shared" si="227"/>
        <v>N</v>
      </c>
      <c r="AV808" s="65" t="str">
        <f t="shared" si="228"/>
        <v>N</v>
      </c>
      <c r="AW808" s="99"/>
      <c r="AX808" s="99"/>
      <c r="AY808" s="19"/>
      <c r="AZ808" s="96" t="str">
        <f t="shared" si="229"/>
        <v>n</v>
      </c>
      <c r="BA808" s="96" t="str">
        <f>IF(AZ808="n","n",VLOOKUP(AZ808,'Conversion factors'!$C$4:$D$24,2,FALSE))</f>
        <v>n</v>
      </c>
      <c r="BB808" s="96" t="str">
        <f t="shared" si="230"/>
        <v>n</v>
      </c>
      <c r="BC808" s="97"/>
      <c r="BD808" s="96" t="str">
        <f t="shared" si="231"/>
        <v>n</v>
      </c>
      <c r="BE808" s="96" t="str">
        <f t="shared" si="232"/>
        <v>n</v>
      </c>
      <c r="BF808" s="98" t="str">
        <f t="shared" si="233"/>
        <v/>
      </c>
      <c r="BG808" s="96" t="str">
        <f>IF(BF808="","",IF(ISNUMBER(VLOOKUP(BF808,'Conversion factors'!$B$35:$C$52,2,FALSE)),"y","n"))</f>
        <v/>
      </c>
      <c r="BH808" s="99"/>
    </row>
    <row r="809" spans="1:62" s="103" customFormat="1" ht="15.75" customHeight="1" x14ac:dyDescent="0.2">
      <c r="A809" s="18"/>
      <c r="B809" s="19">
        <v>310</v>
      </c>
      <c r="C809" s="19"/>
      <c r="D809" s="19">
        <v>116292</v>
      </c>
      <c r="E809" s="19" t="s">
        <v>1224</v>
      </c>
      <c r="F809" s="93">
        <v>2009</v>
      </c>
      <c r="G809" s="19" t="s">
        <v>1073</v>
      </c>
      <c r="H809" s="19"/>
      <c r="I809" s="19" t="s">
        <v>41</v>
      </c>
      <c r="J809" s="19" t="s">
        <v>344</v>
      </c>
      <c r="K809" s="19" t="s">
        <v>42</v>
      </c>
      <c r="L809" s="19" t="s">
        <v>43</v>
      </c>
      <c r="M809" s="19" t="s">
        <v>1303</v>
      </c>
      <c r="N809" s="19" t="s">
        <v>109</v>
      </c>
      <c r="O809" s="19" t="s">
        <v>264</v>
      </c>
      <c r="P809" s="19" t="s">
        <v>53</v>
      </c>
      <c r="Q809" s="19"/>
      <c r="R809" s="19" t="s">
        <v>81</v>
      </c>
      <c r="S809" s="19" t="s">
        <v>858</v>
      </c>
      <c r="T809" s="19" t="s">
        <v>44</v>
      </c>
      <c r="U809" s="19" t="s">
        <v>44</v>
      </c>
      <c r="V809" s="19" t="s">
        <v>103</v>
      </c>
      <c r="W809" s="19" t="s">
        <v>231</v>
      </c>
      <c r="X809" s="19" t="s">
        <v>46</v>
      </c>
      <c r="Y809" s="29"/>
      <c r="Z809" s="19"/>
      <c r="AA809" s="19"/>
      <c r="AB809" s="19" t="s">
        <v>1074</v>
      </c>
      <c r="AC809" s="19" t="s">
        <v>1322</v>
      </c>
      <c r="AD809" s="19"/>
      <c r="AE809" s="19">
        <v>24</v>
      </c>
      <c r="AF809" s="19"/>
      <c r="AG809" s="19" t="s">
        <v>235</v>
      </c>
      <c r="AH809" s="19"/>
      <c r="AI809" s="19"/>
      <c r="AJ809" s="19" t="s">
        <v>234</v>
      </c>
      <c r="AK809" s="19" t="s">
        <v>234</v>
      </c>
      <c r="AL809" s="19"/>
      <c r="AM809" s="19" t="s">
        <v>234</v>
      </c>
      <c r="AN809" s="19" t="s">
        <v>234</v>
      </c>
      <c r="AO809" s="19" t="s">
        <v>235</v>
      </c>
      <c r="AP809" s="94"/>
      <c r="AQ809" s="19" t="s">
        <v>150</v>
      </c>
      <c r="AR809" s="19" t="s">
        <v>241</v>
      </c>
      <c r="AS809" s="19"/>
      <c r="AT809" s="65" t="str">
        <f t="shared" si="226"/>
        <v>N</v>
      </c>
      <c r="AU809" s="65" t="str">
        <f t="shared" si="227"/>
        <v>N</v>
      </c>
      <c r="AV809" s="65" t="str">
        <f t="shared" si="228"/>
        <v>N</v>
      </c>
      <c r="AW809" s="99"/>
      <c r="AX809" s="99"/>
      <c r="AY809" s="19"/>
      <c r="AZ809" s="96" t="str">
        <f t="shared" si="229"/>
        <v>n</v>
      </c>
      <c r="BA809" s="96" t="str">
        <f>IF(AZ809="n","n",VLOOKUP(AZ809,'Conversion factors'!$C$4:$D$24,2,FALSE))</f>
        <v>n</v>
      </c>
      <c r="BB809" s="96" t="str">
        <f t="shared" si="230"/>
        <v>n</v>
      </c>
      <c r="BC809" s="97"/>
      <c r="BD809" s="96" t="str">
        <f t="shared" si="231"/>
        <v>n</v>
      </c>
      <c r="BE809" s="96" t="str">
        <f t="shared" si="232"/>
        <v>n</v>
      </c>
      <c r="BF809" s="98" t="str">
        <f t="shared" si="233"/>
        <v/>
      </c>
      <c r="BG809" s="96" t="str">
        <f>IF(BF809="","",IF(ISNUMBER(VLOOKUP(BF809,'Conversion factors'!$B$35:$C$52,2,FALSE)),"y","n"))</f>
        <v/>
      </c>
      <c r="BH809" s="99" t="s">
        <v>1472</v>
      </c>
    </row>
    <row r="810" spans="1:62" s="103" customFormat="1" ht="15.75" customHeight="1" x14ac:dyDescent="0.2">
      <c r="A810" s="18"/>
      <c r="B810" s="19">
        <v>310</v>
      </c>
      <c r="C810" s="19"/>
      <c r="D810" s="19">
        <v>116292</v>
      </c>
      <c r="E810" s="19" t="s">
        <v>1224</v>
      </c>
      <c r="F810" s="93">
        <v>2009</v>
      </c>
      <c r="G810" s="19" t="s">
        <v>1073</v>
      </c>
      <c r="H810" s="19"/>
      <c r="I810" s="19" t="s">
        <v>41</v>
      </c>
      <c r="J810" s="19" t="s">
        <v>344</v>
      </c>
      <c r="K810" s="19" t="s">
        <v>42</v>
      </c>
      <c r="L810" s="19" t="s">
        <v>43</v>
      </c>
      <c r="M810" s="19" t="s">
        <v>1303</v>
      </c>
      <c r="N810" s="19" t="s">
        <v>109</v>
      </c>
      <c r="O810" s="19" t="s">
        <v>264</v>
      </c>
      <c r="P810" s="19" t="s">
        <v>53</v>
      </c>
      <c r="Q810" s="19"/>
      <c r="R810" s="19" t="s">
        <v>81</v>
      </c>
      <c r="S810" s="19" t="s">
        <v>858</v>
      </c>
      <c r="T810" s="19" t="s">
        <v>54</v>
      </c>
      <c r="U810" s="19" t="s">
        <v>54</v>
      </c>
      <c r="V810" s="19" t="s">
        <v>103</v>
      </c>
      <c r="W810" s="19" t="s">
        <v>231</v>
      </c>
      <c r="X810" s="19" t="s">
        <v>46</v>
      </c>
      <c r="Y810" s="29"/>
      <c r="Z810" s="19"/>
      <c r="AA810" s="19"/>
      <c r="AB810" s="19" t="s">
        <v>784</v>
      </c>
      <c r="AC810" s="19" t="s">
        <v>1322</v>
      </c>
      <c r="AD810" s="19"/>
      <c r="AE810" s="19">
        <v>24</v>
      </c>
      <c r="AF810" s="19"/>
      <c r="AG810" s="19" t="s">
        <v>235</v>
      </c>
      <c r="AH810" s="19"/>
      <c r="AI810" s="19"/>
      <c r="AJ810" s="19" t="s">
        <v>234</v>
      </c>
      <c r="AK810" s="19" t="s">
        <v>234</v>
      </c>
      <c r="AL810" s="19"/>
      <c r="AM810" s="19" t="s">
        <v>234</v>
      </c>
      <c r="AN810" s="19" t="s">
        <v>234</v>
      </c>
      <c r="AO810" s="19" t="s">
        <v>235</v>
      </c>
      <c r="AP810" s="94"/>
      <c r="AQ810" s="19" t="s">
        <v>150</v>
      </c>
      <c r="AR810" s="19" t="s">
        <v>241</v>
      </c>
      <c r="AS810" s="19"/>
      <c r="AT810" s="65" t="str">
        <f t="shared" si="226"/>
        <v>N</v>
      </c>
      <c r="AU810" s="65" t="str">
        <f t="shared" si="227"/>
        <v>N</v>
      </c>
      <c r="AV810" s="65" t="str">
        <f t="shared" si="228"/>
        <v>N</v>
      </c>
      <c r="AW810" s="99"/>
      <c r="AX810" s="99"/>
      <c r="AY810" s="19"/>
      <c r="AZ810" s="96" t="str">
        <f t="shared" si="229"/>
        <v>n</v>
      </c>
      <c r="BA810" s="96" t="str">
        <f>IF(AZ810="n","n",VLOOKUP(AZ810,'Conversion factors'!$C$4:$D$24,2,FALSE))</f>
        <v>n</v>
      </c>
      <c r="BB810" s="96" t="str">
        <f t="shared" si="230"/>
        <v>n</v>
      </c>
      <c r="BC810" s="97"/>
      <c r="BD810" s="96" t="str">
        <f t="shared" si="231"/>
        <v>n</v>
      </c>
      <c r="BE810" s="96" t="str">
        <f t="shared" si="232"/>
        <v>n</v>
      </c>
      <c r="BF810" s="98" t="str">
        <f t="shared" si="233"/>
        <v/>
      </c>
      <c r="BG810" s="96" t="str">
        <f>IF(BF810="","",IF(ISNUMBER(VLOOKUP(BF810,'Conversion factors'!$B$35:$C$52,2,FALSE)),"y","n"))</f>
        <v/>
      </c>
      <c r="BH810" s="99" t="s">
        <v>1472</v>
      </c>
    </row>
    <row r="811" spans="1:62" s="103" customFormat="1" ht="15.75" customHeight="1" x14ac:dyDescent="0.2">
      <c r="A811" s="18"/>
      <c r="B811" s="19">
        <v>310</v>
      </c>
      <c r="C811" s="19"/>
      <c r="D811" s="19">
        <v>116292</v>
      </c>
      <c r="E811" s="19" t="s">
        <v>1224</v>
      </c>
      <c r="F811" s="93">
        <v>2009</v>
      </c>
      <c r="G811" s="19" t="s">
        <v>1073</v>
      </c>
      <c r="H811" s="19"/>
      <c r="I811" s="19" t="s">
        <v>41</v>
      </c>
      <c r="J811" s="19" t="s">
        <v>344</v>
      </c>
      <c r="K811" s="19" t="s">
        <v>42</v>
      </c>
      <c r="L811" s="19" t="s">
        <v>43</v>
      </c>
      <c r="M811" s="19" t="s">
        <v>1303</v>
      </c>
      <c r="N811" s="19" t="s">
        <v>109</v>
      </c>
      <c r="O811" s="19" t="s">
        <v>264</v>
      </c>
      <c r="P811" s="19" t="s">
        <v>53</v>
      </c>
      <c r="Q811" s="19"/>
      <c r="R811" s="19" t="s">
        <v>81</v>
      </c>
      <c r="S811" s="19" t="s">
        <v>858</v>
      </c>
      <c r="T811" s="19" t="s">
        <v>54</v>
      </c>
      <c r="U811" s="19" t="s">
        <v>54</v>
      </c>
      <c r="V811" s="19" t="s">
        <v>103</v>
      </c>
      <c r="W811" s="19" t="s">
        <v>231</v>
      </c>
      <c r="X811" s="19" t="s">
        <v>46</v>
      </c>
      <c r="Y811" s="29"/>
      <c r="Z811" s="19"/>
      <c r="AA811" s="19"/>
      <c r="AB811" s="19" t="s">
        <v>97</v>
      </c>
      <c r="AC811" s="19" t="s">
        <v>1322</v>
      </c>
      <c r="AD811" s="19"/>
      <c r="AE811" s="19">
        <v>24</v>
      </c>
      <c r="AF811" s="19"/>
      <c r="AG811" s="19" t="s">
        <v>235</v>
      </c>
      <c r="AH811" s="19"/>
      <c r="AI811" s="19"/>
      <c r="AJ811" s="19" t="s">
        <v>234</v>
      </c>
      <c r="AK811" s="19" t="s">
        <v>234</v>
      </c>
      <c r="AL811" s="19"/>
      <c r="AM811" s="19" t="s">
        <v>234</v>
      </c>
      <c r="AN811" s="19" t="s">
        <v>234</v>
      </c>
      <c r="AO811" s="19" t="s">
        <v>235</v>
      </c>
      <c r="AP811" s="94"/>
      <c r="AQ811" s="19" t="s">
        <v>150</v>
      </c>
      <c r="AR811" s="19" t="s">
        <v>241</v>
      </c>
      <c r="AS811" s="19"/>
      <c r="AT811" s="65" t="str">
        <f t="shared" si="226"/>
        <v>N</v>
      </c>
      <c r="AU811" s="65" t="str">
        <f t="shared" si="227"/>
        <v>N</v>
      </c>
      <c r="AV811" s="65" t="str">
        <f t="shared" si="228"/>
        <v>N</v>
      </c>
      <c r="AW811" s="99"/>
      <c r="AX811" s="99"/>
      <c r="AY811" s="19"/>
      <c r="AZ811" s="96" t="str">
        <f t="shared" si="229"/>
        <v>n</v>
      </c>
      <c r="BA811" s="96" t="str">
        <f>IF(AZ811="n","n",VLOOKUP(AZ811,'Conversion factors'!$C$4:$D$24,2,FALSE))</f>
        <v>n</v>
      </c>
      <c r="BB811" s="96" t="str">
        <f t="shared" si="230"/>
        <v>n</v>
      </c>
      <c r="BC811" s="97"/>
      <c r="BD811" s="96" t="str">
        <f t="shared" si="231"/>
        <v>n</v>
      </c>
      <c r="BE811" s="96" t="str">
        <f t="shared" si="232"/>
        <v>n</v>
      </c>
      <c r="BF811" s="98" t="str">
        <f t="shared" si="233"/>
        <v/>
      </c>
      <c r="BG811" s="96" t="str">
        <f>IF(BF811="","",IF(ISNUMBER(VLOOKUP(BF811,'Conversion factors'!$B$35:$C$52,2,FALSE)),"y","n"))</f>
        <v/>
      </c>
      <c r="BH811" s="99" t="s">
        <v>1472</v>
      </c>
    </row>
    <row r="812" spans="1:62" s="103" customFormat="1" ht="15.75" customHeight="1" x14ac:dyDescent="0.2">
      <c r="A812" s="18"/>
      <c r="B812" s="19">
        <v>310</v>
      </c>
      <c r="C812" s="19"/>
      <c r="D812" s="19">
        <v>116292</v>
      </c>
      <c r="E812" s="19" t="s">
        <v>1224</v>
      </c>
      <c r="F812" s="93">
        <v>2009</v>
      </c>
      <c r="G812" s="19" t="s">
        <v>1073</v>
      </c>
      <c r="H812" s="19"/>
      <c r="I812" s="19" t="s">
        <v>41</v>
      </c>
      <c r="J812" s="19" t="s">
        <v>344</v>
      </c>
      <c r="K812" s="19" t="s">
        <v>42</v>
      </c>
      <c r="L812" s="19" t="s">
        <v>43</v>
      </c>
      <c r="M812" s="19" t="s">
        <v>1303</v>
      </c>
      <c r="N812" s="19" t="s">
        <v>109</v>
      </c>
      <c r="O812" s="19" t="s">
        <v>264</v>
      </c>
      <c r="P812" s="19" t="s">
        <v>53</v>
      </c>
      <c r="Q812" s="19"/>
      <c r="R812" s="19" t="s">
        <v>81</v>
      </c>
      <c r="S812" s="19" t="s">
        <v>858</v>
      </c>
      <c r="T812" s="19" t="s">
        <v>54</v>
      </c>
      <c r="U812" s="19" t="s">
        <v>54</v>
      </c>
      <c r="V812" s="19" t="s">
        <v>103</v>
      </c>
      <c r="W812" s="19" t="s">
        <v>231</v>
      </c>
      <c r="X812" s="19" t="s">
        <v>46</v>
      </c>
      <c r="Y812" s="29"/>
      <c r="Z812" s="19"/>
      <c r="AA812" s="19"/>
      <c r="AB812" s="19" t="s">
        <v>973</v>
      </c>
      <c r="AC812" s="19" t="s">
        <v>1322</v>
      </c>
      <c r="AD812" s="19"/>
      <c r="AE812" s="19">
        <v>24</v>
      </c>
      <c r="AF812" s="19"/>
      <c r="AG812" s="19" t="s">
        <v>235</v>
      </c>
      <c r="AH812" s="19"/>
      <c r="AI812" s="19"/>
      <c r="AJ812" s="19" t="s">
        <v>234</v>
      </c>
      <c r="AK812" s="19" t="s">
        <v>234</v>
      </c>
      <c r="AL812" s="19"/>
      <c r="AM812" s="19" t="s">
        <v>234</v>
      </c>
      <c r="AN812" s="19" t="s">
        <v>234</v>
      </c>
      <c r="AO812" s="19" t="s">
        <v>235</v>
      </c>
      <c r="AP812" s="94"/>
      <c r="AQ812" s="19" t="s">
        <v>150</v>
      </c>
      <c r="AR812" s="19" t="s">
        <v>241</v>
      </c>
      <c r="AS812" s="19"/>
      <c r="AT812" s="65" t="str">
        <f t="shared" si="226"/>
        <v>N</v>
      </c>
      <c r="AU812" s="65" t="str">
        <f t="shared" si="227"/>
        <v>N</v>
      </c>
      <c r="AV812" s="65" t="str">
        <f t="shared" si="228"/>
        <v>N</v>
      </c>
      <c r="AW812" s="99"/>
      <c r="AX812" s="99"/>
      <c r="AY812" s="19"/>
      <c r="AZ812" s="96" t="str">
        <f t="shared" si="229"/>
        <v>n</v>
      </c>
      <c r="BA812" s="96" t="str">
        <f>IF(AZ812="n","n",VLOOKUP(AZ812,'Conversion factors'!$C$4:$D$24,2,FALSE))</f>
        <v>n</v>
      </c>
      <c r="BB812" s="96" t="str">
        <f t="shared" si="230"/>
        <v>n</v>
      </c>
      <c r="BC812" s="97"/>
      <c r="BD812" s="96" t="str">
        <f t="shared" si="231"/>
        <v>n</v>
      </c>
      <c r="BE812" s="96" t="str">
        <f t="shared" si="232"/>
        <v>n</v>
      </c>
      <c r="BF812" s="98" t="str">
        <f t="shared" si="233"/>
        <v/>
      </c>
      <c r="BG812" s="96" t="str">
        <f>IF(BF812="","",IF(ISNUMBER(VLOOKUP(BF812,'Conversion factors'!$B$35:$C$52,2,FALSE)),"y","n"))</f>
        <v/>
      </c>
      <c r="BH812" s="99" t="s">
        <v>1472</v>
      </c>
    </row>
    <row r="813" spans="1:62" s="103" customFormat="1" ht="15.75" customHeight="1" x14ac:dyDescent="0.2">
      <c r="A813" s="18"/>
      <c r="B813" s="19">
        <v>310</v>
      </c>
      <c r="C813" s="19"/>
      <c r="D813" s="19">
        <v>116292</v>
      </c>
      <c r="E813" s="19" t="s">
        <v>1224</v>
      </c>
      <c r="F813" s="93">
        <v>2009</v>
      </c>
      <c r="G813" s="19" t="s">
        <v>1073</v>
      </c>
      <c r="H813" s="19"/>
      <c r="I813" s="19" t="s">
        <v>41</v>
      </c>
      <c r="J813" s="19" t="s">
        <v>344</v>
      </c>
      <c r="K813" s="19" t="s">
        <v>42</v>
      </c>
      <c r="L813" s="19" t="s">
        <v>43</v>
      </c>
      <c r="M813" s="19" t="s">
        <v>1303</v>
      </c>
      <c r="N813" s="19" t="s">
        <v>109</v>
      </c>
      <c r="O813" s="19" t="s">
        <v>264</v>
      </c>
      <c r="P813" s="19" t="s">
        <v>53</v>
      </c>
      <c r="Q813" s="19"/>
      <c r="R813" s="19" t="s">
        <v>81</v>
      </c>
      <c r="S813" s="19" t="s">
        <v>858</v>
      </c>
      <c r="T813" s="19" t="s">
        <v>54</v>
      </c>
      <c r="U813" s="19" t="s">
        <v>54</v>
      </c>
      <c r="V813" s="19" t="s">
        <v>103</v>
      </c>
      <c r="W813" s="19" t="s">
        <v>231</v>
      </c>
      <c r="X813" s="19" t="s">
        <v>46</v>
      </c>
      <c r="Y813" s="29"/>
      <c r="Z813" s="19"/>
      <c r="AA813" s="19"/>
      <c r="AB813" s="19" t="s">
        <v>784</v>
      </c>
      <c r="AC813" s="19" t="s">
        <v>1322</v>
      </c>
      <c r="AD813" s="19"/>
      <c r="AE813" s="19">
        <v>24</v>
      </c>
      <c r="AF813" s="19"/>
      <c r="AG813" s="19" t="s">
        <v>235</v>
      </c>
      <c r="AH813" s="19"/>
      <c r="AI813" s="19"/>
      <c r="AJ813" s="19" t="s">
        <v>234</v>
      </c>
      <c r="AK813" s="19" t="s">
        <v>234</v>
      </c>
      <c r="AL813" s="19"/>
      <c r="AM813" s="19" t="s">
        <v>234</v>
      </c>
      <c r="AN813" s="19" t="s">
        <v>234</v>
      </c>
      <c r="AO813" s="19" t="s">
        <v>235</v>
      </c>
      <c r="AP813" s="94"/>
      <c r="AQ813" s="19" t="s">
        <v>150</v>
      </c>
      <c r="AR813" s="19" t="s">
        <v>241</v>
      </c>
      <c r="AS813" s="19"/>
      <c r="AT813" s="65" t="str">
        <f t="shared" si="226"/>
        <v>N</v>
      </c>
      <c r="AU813" s="65" t="str">
        <f t="shared" si="227"/>
        <v>N</v>
      </c>
      <c r="AV813" s="65" t="str">
        <f t="shared" si="228"/>
        <v>N</v>
      </c>
      <c r="AW813" s="99"/>
      <c r="AX813" s="99"/>
      <c r="AY813" s="19"/>
      <c r="AZ813" s="96" t="str">
        <f t="shared" si="229"/>
        <v>n</v>
      </c>
      <c r="BA813" s="96" t="str">
        <f>IF(AZ813="n","n",VLOOKUP(AZ813,'Conversion factors'!$C$4:$D$24,2,FALSE))</f>
        <v>n</v>
      </c>
      <c r="BB813" s="96" t="str">
        <f t="shared" si="230"/>
        <v>n</v>
      </c>
      <c r="BC813" s="97"/>
      <c r="BD813" s="96" t="str">
        <f t="shared" si="231"/>
        <v>n</v>
      </c>
      <c r="BE813" s="96" t="str">
        <f t="shared" si="232"/>
        <v>n</v>
      </c>
      <c r="BF813" s="98" t="str">
        <f t="shared" si="233"/>
        <v/>
      </c>
      <c r="BG813" s="96" t="str">
        <f>IF(BF813="","",IF(ISNUMBER(VLOOKUP(BF813,'Conversion factors'!$B$35:$C$52,2,FALSE)),"y","n"))</f>
        <v/>
      </c>
      <c r="BH813" s="99" t="s">
        <v>1472</v>
      </c>
    </row>
    <row r="814" spans="1:62" s="103" customFormat="1" ht="15.75" customHeight="1" x14ac:dyDescent="0.2">
      <c r="A814" s="18"/>
      <c r="B814" s="19">
        <v>310</v>
      </c>
      <c r="C814" s="19"/>
      <c r="D814" s="19">
        <v>116292</v>
      </c>
      <c r="E814" s="19" t="s">
        <v>1224</v>
      </c>
      <c r="F814" s="93">
        <v>2009</v>
      </c>
      <c r="G814" s="19" t="s">
        <v>1073</v>
      </c>
      <c r="H814" s="19"/>
      <c r="I814" s="19" t="s">
        <v>41</v>
      </c>
      <c r="J814" s="19" t="s">
        <v>344</v>
      </c>
      <c r="K814" s="19" t="s">
        <v>42</v>
      </c>
      <c r="L814" s="19" t="s">
        <v>43</v>
      </c>
      <c r="M814" s="19" t="s">
        <v>1303</v>
      </c>
      <c r="N814" s="19" t="s">
        <v>109</v>
      </c>
      <c r="O814" s="19" t="s">
        <v>264</v>
      </c>
      <c r="P814" s="19" t="s">
        <v>53</v>
      </c>
      <c r="Q814" s="19"/>
      <c r="R814" s="19" t="s">
        <v>81</v>
      </c>
      <c r="S814" s="19" t="s">
        <v>858</v>
      </c>
      <c r="T814" s="19" t="s">
        <v>54</v>
      </c>
      <c r="U814" s="19" t="s">
        <v>54</v>
      </c>
      <c r="V814" s="19" t="s">
        <v>103</v>
      </c>
      <c r="W814" s="19" t="s">
        <v>231</v>
      </c>
      <c r="X814" s="19" t="s">
        <v>46</v>
      </c>
      <c r="Y814" s="29"/>
      <c r="Z814" s="19"/>
      <c r="AA814" s="19"/>
      <c r="AB814" s="19" t="s">
        <v>1057</v>
      </c>
      <c r="AC814" s="19" t="s">
        <v>1322</v>
      </c>
      <c r="AD814" s="19"/>
      <c r="AE814" s="19">
        <v>24</v>
      </c>
      <c r="AF814" s="19"/>
      <c r="AG814" s="19" t="s">
        <v>235</v>
      </c>
      <c r="AH814" s="19"/>
      <c r="AI814" s="19"/>
      <c r="AJ814" s="19" t="s">
        <v>234</v>
      </c>
      <c r="AK814" s="19" t="s">
        <v>234</v>
      </c>
      <c r="AL814" s="19"/>
      <c r="AM814" s="19" t="s">
        <v>234</v>
      </c>
      <c r="AN814" s="19" t="s">
        <v>234</v>
      </c>
      <c r="AO814" s="19" t="s">
        <v>235</v>
      </c>
      <c r="AP814" s="94"/>
      <c r="AQ814" s="19" t="s">
        <v>150</v>
      </c>
      <c r="AR814" s="19" t="s">
        <v>241</v>
      </c>
      <c r="AS814" s="19"/>
      <c r="AT814" s="65" t="str">
        <f t="shared" si="226"/>
        <v>N</v>
      </c>
      <c r="AU814" s="65" t="str">
        <f t="shared" si="227"/>
        <v>N</v>
      </c>
      <c r="AV814" s="65" t="str">
        <f t="shared" si="228"/>
        <v>N</v>
      </c>
      <c r="AW814" s="99"/>
      <c r="AX814" s="99"/>
      <c r="AY814" s="19"/>
      <c r="AZ814" s="96" t="str">
        <f t="shared" si="229"/>
        <v>n</v>
      </c>
      <c r="BA814" s="96" t="str">
        <f>IF(AZ814="n","n",VLOOKUP(AZ814,'Conversion factors'!$C$4:$D$24,2,FALSE))</f>
        <v>n</v>
      </c>
      <c r="BB814" s="96" t="str">
        <f t="shared" si="230"/>
        <v>n</v>
      </c>
      <c r="BC814" s="97"/>
      <c r="BD814" s="96" t="str">
        <f t="shared" si="231"/>
        <v>n</v>
      </c>
      <c r="BE814" s="96" t="str">
        <f t="shared" si="232"/>
        <v>n</v>
      </c>
      <c r="BF814" s="98" t="str">
        <f t="shared" si="233"/>
        <v/>
      </c>
      <c r="BG814" s="96" t="str">
        <f>IF(BF814="","",IF(ISNUMBER(VLOOKUP(BF814,'Conversion factors'!$B$35:$C$52,2,FALSE)),"y","n"))</f>
        <v/>
      </c>
      <c r="BH814" s="99" t="s">
        <v>1472</v>
      </c>
    </row>
    <row r="815" spans="1:62" s="103" customFormat="1" ht="15.75" customHeight="1" x14ac:dyDescent="0.2">
      <c r="A815" s="18"/>
      <c r="B815" s="19">
        <v>310</v>
      </c>
      <c r="C815" s="19"/>
      <c r="D815" s="19">
        <v>116292</v>
      </c>
      <c r="E815" s="19" t="s">
        <v>1224</v>
      </c>
      <c r="F815" s="93">
        <v>2009</v>
      </c>
      <c r="G815" s="19" t="s">
        <v>1073</v>
      </c>
      <c r="H815" s="19"/>
      <c r="I815" s="19" t="s">
        <v>41</v>
      </c>
      <c r="J815" s="19" t="s">
        <v>344</v>
      </c>
      <c r="K815" s="19" t="s">
        <v>42</v>
      </c>
      <c r="L815" s="19" t="s">
        <v>43</v>
      </c>
      <c r="M815" s="19" t="s">
        <v>1303</v>
      </c>
      <c r="N815" s="19" t="s">
        <v>109</v>
      </c>
      <c r="O815" s="19" t="s">
        <v>264</v>
      </c>
      <c r="P815" s="19" t="s">
        <v>53</v>
      </c>
      <c r="Q815" s="19"/>
      <c r="R815" s="19" t="s">
        <v>81</v>
      </c>
      <c r="S815" s="19" t="s">
        <v>858</v>
      </c>
      <c r="T815" s="19" t="s">
        <v>927</v>
      </c>
      <c r="U815" s="19" t="s">
        <v>927</v>
      </c>
      <c r="V815" s="19" t="s">
        <v>103</v>
      </c>
      <c r="W815" s="19" t="s">
        <v>231</v>
      </c>
      <c r="X815" s="19" t="s">
        <v>46</v>
      </c>
      <c r="Y815" s="29"/>
      <c r="Z815" s="19"/>
      <c r="AA815" s="19"/>
      <c r="AB815" s="19" t="s">
        <v>126</v>
      </c>
      <c r="AC815" s="19" t="s">
        <v>1322</v>
      </c>
      <c r="AD815" s="19"/>
      <c r="AE815" s="19">
        <v>24</v>
      </c>
      <c r="AF815" s="19"/>
      <c r="AG815" s="19" t="s">
        <v>235</v>
      </c>
      <c r="AH815" s="19"/>
      <c r="AI815" s="19"/>
      <c r="AJ815" s="19" t="s">
        <v>234</v>
      </c>
      <c r="AK815" s="19" t="s">
        <v>234</v>
      </c>
      <c r="AL815" s="19"/>
      <c r="AM815" s="19" t="s">
        <v>234</v>
      </c>
      <c r="AN815" s="19" t="s">
        <v>234</v>
      </c>
      <c r="AO815" s="19" t="s">
        <v>235</v>
      </c>
      <c r="AP815" s="94"/>
      <c r="AQ815" s="19" t="s">
        <v>150</v>
      </c>
      <c r="AR815" s="19" t="s">
        <v>241</v>
      </c>
      <c r="AS815" s="19"/>
      <c r="AT815" s="65" t="str">
        <f t="shared" si="226"/>
        <v>N</v>
      </c>
      <c r="AU815" s="65" t="str">
        <f t="shared" si="227"/>
        <v>N</v>
      </c>
      <c r="AV815" s="65" t="str">
        <f t="shared" si="228"/>
        <v>N</v>
      </c>
      <c r="AW815" s="99"/>
      <c r="AX815" s="99"/>
      <c r="AY815" s="19"/>
      <c r="AZ815" s="96" t="str">
        <f t="shared" si="229"/>
        <v>n</v>
      </c>
      <c r="BA815" s="96" t="str">
        <f>IF(AZ815="n","n",VLOOKUP(AZ815,'Conversion factors'!$C$4:$D$24,2,FALSE))</f>
        <v>n</v>
      </c>
      <c r="BB815" s="96" t="str">
        <f t="shared" si="230"/>
        <v>n</v>
      </c>
      <c r="BC815" s="97"/>
      <c r="BD815" s="96" t="str">
        <f t="shared" si="231"/>
        <v>n</v>
      </c>
      <c r="BE815" s="96" t="str">
        <f t="shared" si="232"/>
        <v>n</v>
      </c>
      <c r="BF815" s="98" t="str">
        <f t="shared" si="233"/>
        <v/>
      </c>
      <c r="BG815" s="96" t="str">
        <f>IF(BF815="","",IF(ISNUMBER(VLOOKUP(BF815,'Conversion factors'!$B$35:$C$52,2,FALSE)),"y","n"))</f>
        <v/>
      </c>
      <c r="BH815" s="99"/>
    </row>
    <row r="816" spans="1:62" s="103" customFormat="1" ht="15.75" customHeight="1" x14ac:dyDescent="0.2">
      <c r="A816" s="18"/>
      <c r="B816" s="19">
        <v>310</v>
      </c>
      <c r="C816" s="19"/>
      <c r="D816" s="19">
        <v>116292</v>
      </c>
      <c r="E816" s="19" t="s">
        <v>1224</v>
      </c>
      <c r="F816" s="93">
        <v>2009</v>
      </c>
      <c r="G816" s="19" t="s">
        <v>1073</v>
      </c>
      <c r="H816" s="19"/>
      <c r="I816" s="19" t="s">
        <v>41</v>
      </c>
      <c r="J816" s="19" t="s">
        <v>344</v>
      </c>
      <c r="K816" s="19" t="s">
        <v>42</v>
      </c>
      <c r="L816" s="19" t="s">
        <v>43</v>
      </c>
      <c r="M816" s="19" t="s">
        <v>1303</v>
      </c>
      <c r="N816" s="19" t="s">
        <v>109</v>
      </c>
      <c r="O816" s="19" t="s">
        <v>264</v>
      </c>
      <c r="P816" s="19" t="s">
        <v>53</v>
      </c>
      <c r="Q816" s="19"/>
      <c r="R816" s="19" t="s">
        <v>81</v>
      </c>
      <c r="S816" s="19" t="s">
        <v>858</v>
      </c>
      <c r="T816" s="19" t="s">
        <v>44</v>
      </c>
      <c r="U816" s="19" t="s">
        <v>44</v>
      </c>
      <c r="V816" s="19" t="s">
        <v>103</v>
      </c>
      <c r="W816" s="19" t="s">
        <v>231</v>
      </c>
      <c r="X816" s="19" t="s">
        <v>46</v>
      </c>
      <c r="Y816" s="29"/>
      <c r="Z816" s="19"/>
      <c r="AA816" s="19"/>
      <c r="AB816" s="19" t="s">
        <v>1074</v>
      </c>
      <c r="AC816" s="19" t="s">
        <v>1322</v>
      </c>
      <c r="AD816" s="19"/>
      <c r="AE816" s="19">
        <v>24</v>
      </c>
      <c r="AF816" s="19"/>
      <c r="AG816" s="19" t="s">
        <v>235</v>
      </c>
      <c r="AH816" s="19"/>
      <c r="AI816" s="19"/>
      <c r="AJ816" s="19" t="s">
        <v>234</v>
      </c>
      <c r="AK816" s="19" t="s">
        <v>234</v>
      </c>
      <c r="AL816" s="19"/>
      <c r="AM816" s="19" t="s">
        <v>234</v>
      </c>
      <c r="AN816" s="19" t="s">
        <v>234</v>
      </c>
      <c r="AO816" s="19" t="s">
        <v>235</v>
      </c>
      <c r="AP816" s="94"/>
      <c r="AQ816" s="19" t="s">
        <v>150</v>
      </c>
      <c r="AR816" s="19" t="s">
        <v>241</v>
      </c>
      <c r="AS816" s="19"/>
      <c r="AT816" s="65" t="str">
        <f t="shared" si="226"/>
        <v>N</v>
      </c>
      <c r="AU816" s="65" t="str">
        <f t="shared" si="227"/>
        <v>N</v>
      </c>
      <c r="AV816" s="65" t="str">
        <f t="shared" si="228"/>
        <v>N</v>
      </c>
      <c r="AW816" s="99"/>
      <c r="AX816" s="99"/>
      <c r="AY816" s="19"/>
      <c r="AZ816" s="96" t="str">
        <f t="shared" si="229"/>
        <v>n</v>
      </c>
      <c r="BA816" s="96" t="str">
        <f>IF(AZ816="n","n",VLOOKUP(AZ816,'Conversion factors'!$C$4:$D$24,2,FALSE))</f>
        <v>n</v>
      </c>
      <c r="BB816" s="96" t="str">
        <f t="shared" si="230"/>
        <v>n</v>
      </c>
      <c r="BC816" s="97"/>
      <c r="BD816" s="96" t="str">
        <f t="shared" si="231"/>
        <v>n</v>
      </c>
      <c r="BE816" s="96" t="str">
        <f t="shared" si="232"/>
        <v>n</v>
      </c>
      <c r="BF816" s="98" t="str">
        <f t="shared" si="233"/>
        <v/>
      </c>
      <c r="BG816" s="96" t="str">
        <f>IF(BF816="","",IF(ISNUMBER(VLOOKUP(BF816,'Conversion factors'!$B$35:$C$52,2,FALSE)),"y","n"))</f>
        <v/>
      </c>
      <c r="BH816" s="99" t="s">
        <v>1472</v>
      </c>
    </row>
    <row r="817" spans="1:61" s="103" customFormat="1" ht="15.75" customHeight="1" x14ac:dyDescent="0.2">
      <c r="A817" s="18"/>
      <c r="B817" s="19">
        <v>310</v>
      </c>
      <c r="C817" s="19"/>
      <c r="D817" s="19">
        <v>116292</v>
      </c>
      <c r="E817" s="19" t="s">
        <v>1224</v>
      </c>
      <c r="F817" s="93">
        <v>2009</v>
      </c>
      <c r="G817" s="19" t="s">
        <v>1073</v>
      </c>
      <c r="H817" s="19"/>
      <c r="I817" s="19" t="s">
        <v>41</v>
      </c>
      <c r="J817" s="19" t="s">
        <v>344</v>
      </c>
      <c r="K817" s="19" t="s">
        <v>42</v>
      </c>
      <c r="L817" s="19" t="s">
        <v>43</v>
      </c>
      <c r="M817" s="19" t="s">
        <v>1303</v>
      </c>
      <c r="N817" s="19" t="s">
        <v>109</v>
      </c>
      <c r="O817" s="19" t="s">
        <v>264</v>
      </c>
      <c r="P817" s="19" t="s">
        <v>53</v>
      </c>
      <c r="Q817" s="19"/>
      <c r="R817" s="19" t="s">
        <v>81</v>
      </c>
      <c r="S817" s="19" t="s">
        <v>858</v>
      </c>
      <c r="T817" s="19" t="s">
        <v>54</v>
      </c>
      <c r="U817" s="19" t="s">
        <v>54</v>
      </c>
      <c r="V817" s="19" t="s">
        <v>103</v>
      </c>
      <c r="W817" s="19" t="s">
        <v>231</v>
      </c>
      <c r="X817" s="19" t="s">
        <v>46</v>
      </c>
      <c r="Y817" s="29"/>
      <c r="Z817" s="19"/>
      <c r="AA817" s="19"/>
      <c r="AB817" s="19" t="s">
        <v>144</v>
      </c>
      <c r="AC817" s="19" t="s">
        <v>1322</v>
      </c>
      <c r="AD817" s="19"/>
      <c r="AE817" s="19">
        <v>24</v>
      </c>
      <c r="AF817" s="19"/>
      <c r="AG817" s="19" t="s">
        <v>235</v>
      </c>
      <c r="AH817" s="19"/>
      <c r="AI817" s="19"/>
      <c r="AJ817" s="19" t="s">
        <v>234</v>
      </c>
      <c r="AK817" s="19" t="s">
        <v>234</v>
      </c>
      <c r="AL817" s="19"/>
      <c r="AM817" s="19" t="s">
        <v>234</v>
      </c>
      <c r="AN817" s="19" t="s">
        <v>234</v>
      </c>
      <c r="AO817" s="19" t="s">
        <v>235</v>
      </c>
      <c r="AP817" s="94"/>
      <c r="AQ817" s="19" t="s">
        <v>150</v>
      </c>
      <c r="AR817" s="19" t="s">
        <v>241</v>
      </c>
      <c r="AS817" s="19"/>
      <c r="AT817" s="65" t="str">
        <f t="shared" si="226"/>
        <v>N</v>
      </c>
      <c r="AU817" s="65" t="str">
        <f t="shared" si="227"/>
        <v>N</v>
      </c>
      <c r="AV817" s="65" t="str">
        <f t="shared" si="228"/>
        <v>N</v>
      </c>
      <c r="AW817" s="99"/>
      <c r="AX817" s="99"/>
      <c r="AY817" s="19"/>
      <c r="AZ817" s="96" t="str">
        <f t="shared" si="229"/>
        <v>n</v>
      </c>
      <c r="BA817" s="96" t="str">
        <f>IF(AZ817="n","n",VLOOKUP(AZ817,'Conversion factors'!$C$4:$D$24,2,FALSE))</f>
        <v>n</v>
      </c>
      <c r="BB817" s="96" t="str">
        <f t="shared" si="230"/>
        <v>n</v>
      </c>
      <c r="BC817" s="97"/>
      <c r="BD817" s="96" t="str">
        <f t="shared" si="231"/>
        <v>n</v>
      </c>
      <c r="BE817" s="96" t="str">
        <f t="shared" si="232"/>
        <v>n</v>
      </c>
      <c r="BF817" s="98" t="str">
        <f t="shared" si="233"/>
        <v/>
      </c>
      <c r="BG817" s="96" t="str">
        <f>IF(BF817="","",IF(ISNUMBER(VLOOKUP(BF817,'Conversion factors'!$B$35:$C$52,2,FALSE)),"y","n"))</f>
        <v/>
      </c>
      <c r="BH817" s="99" t="s">
        <v>1472</v>
      </c>
    </row>
    <row r="818" spans="1:61" s="103" customFormat="1" ht="15.75" customHeight="1" x14ac:dyDescent="0.2">
      <c r="A818" s="18"/>
      <c r="B818" s="19">
        <v>315</v>
      </c>
      <c r="C818" s="19"/>
      <c r="D818" s="19">
        <v>155026</v>
      </c>
      <c r="E818" s="19" t="s">
        <v>1224</v>
      </c>
      <c r="F818" s="93">
        <v>2010</v>
      </c>
      <c r="G818" s="19" t="s">
        <v>1111</v>
      </c>
      <c r="H818" s="19"/>
      <c r="I818" s="19" t="s">
        <v>41</v>
      </c>
      <c r="J818" s="19" t="s">
        <v>344</v>
      </c>
      <c r="K818" s="19" t="s">
        <v>42</v>
      </c>
      <c r="L818" s="19" t="s">
        <v>43</v>
      </c>
      <c r="M818" s="19" t="s">
        <v>1303</v>
      </c>
      <c r="N818" s="19" t="s">
        <v>109</v>
      </c>
      <c r="O818" s="19" t="s">
        <v>264</v>
      </c>
      <c r="P818" s="19" t="s">
        <v>53</v>
      </c>
      <c r="Q818" s="19"/>
      <c r="R818" s="19" t="s">
        <v>256</v>
      </c>
      <c r="S818" s="19" t="s">
        <v>309</v>
      </c>
      <c r="T818" s="19" t="s">
        <v>44</v>
      </c>
      <c r="U818" s="19" t="s">
        <v>44</v>
      </c>
      <c r="V818" s="19" t="s">
        <v>444</v>
      </c>
      <c r="W818" s="19" t="s">
        <v>45</v>
      </c>
      <c r="X818" s="19" t="s">
        <v>46</v>
      </c>
      <c r="Y818" s="29"/>
      <c r="Z818" s="19"/>
      <c r="AA818" s="19"/>
      <c r="AB818" s="19" t="s">
        <v>1112</v>
      </c>
      <c r="AC818" s="19" t="s">
        <v>1322</v>
      </c>
      <c r="AD818" s="19"/>
      <c r="AE818" s="19"/>
      <c r="AF818" s="19"/>
      <c r="AG818" s="19" t="s">
        <v>235</v>
      </c>
      <c r="AH818" s="19"/>
      <c r="AI818" s="19"/>
      <c r="AJ818" s="19">
        <v>8</v>
      </c>
      <c r="AK818" s="19" t="s">
        <v>605</v>
      </c>
      <c r="AL818" s="19"/>
      <c r="AM818" s="19" t="s">
        <v>234</v>
      </c>
      <c r="AN818" s="19" t="s">
        <v>234</v>
      </c>
      <c r="AO818" s="19" t="s">
        <v>235</v>
      </c>
      <c r="AP818" s="94"/>
      <c r="AQ818" s="19" t="s">
        <v>102</v>
      </c>
      <c r="AR818" s="19" t="s">
        <v>241</v>
      </c>
      <c r="AS818" s="19"/>
      <c r="AT818" s="65" t="str">
        <f t="shared" si="226"/>
        <v>N</v>
      </c>
      <c r="AU818" s="65" t="str">
        <f t="shared" si="227"/>
        <v>N</v>
      </c>
      <c r="AV818" s="65" t="str">
        <f t="shared" si="228"/>
        <v>N</v>
      </c>
      <c r="AW818" s="99"/>
      <c r="AX818" s="99"/>
      <c r="AY818" s="19"/>
      <c r="AZ818" s="96" t="str">
        <f t="shared" si="229"/>
        <v>n</v>
      </c>
      <c r="BA818" s="96" t="str">
        <f>IF(AZ818="n","n",VLOOKUP(AZ818,'Conversion factors'!$C$4:$D$24,2,FALSE))</f>
        <v>n</v>
      </c>
      <c r="BB818" s="96" t="str">
        <f t="shared" si="230"/>
        <v>n</v>
      </c>
      <c r="BC818" s="97"/>
      <c r="BD818" s="96" t="str">
        <f t="shared" si="231"/>
        <v>n</v>
      </c>
      <c r="BE818" s="96" t="str">
        <f t="shared" si="232"/>
        <v>n</v>
      </c>
      <c r="BF818" s="98" t="str">
        <f t="shared" si="233"/>
        <v/>
      </c>
      <c r="BG818" s="96" t="str">
        <f>IF(BF818="","",IF(ISNUMBER(VLOOKUP(BF818,'Conversion factors'!$B$35:$C$52,2,FALSE)),"y","n"))</f>
        <v/>
      </c>
      <c r="BH818" s="99" t="s">
        <v>1525</v>
      </c>
    </row>
    <row r="819" spans="1:61" s="103" customFormat="1" ht="15.75" customHeight="1" x14ac:dyDescent="0.2">
      <c r="A819" s="18"/>
      <c r="B819" s="19">
        <v>315</v>
      </c>
      <c r="C819" s="19"/>
      <c r="D819" s="19">
        <v>155026</v>
      </c>
      <c r="E819" s="19" t="s">
        <v>1224</v>
      </c>
      <c r="F819" s="93">
        <v>2010</v>
      </c>
      <c r="G819" s="19" t="s">
        <v>1111</v>
      </c>
      <c r="H819" s="19"/>
      <c r="I819" s="19" t="s">
        <v>41</v>
      </c>
      <c r="J819" s="19" t="s">
        <v>344</v>
      </c>
      <c r="K819" s="19" t="s">
        <v>42</v>
      </c>
      <c r="L819" s="19" t="s">
        <v>43</v>
      </c>
      <c r="M819" s="19" t="s">
        <v>1303</v>
      </c>
      <c r="N819" s="19" t="s">
        <v>109</v>
      </c>
      <c r="O819" s="19" t="s">
        <v>264</v>
      </c>
      <c r="P819" s="19" t="s">
        <v>53</v>
      </c>
      <c r="Q819" s="19"/>
      <c r="R819" s="19" t="s">
        <v>256</v>
      </c>
      <c r="S819" s="19" t="s">
        <v>309</v>
      </c>
      <c r="T819" s="19" t="s">
        <v>44</v>
      </c>
      <c r="U819" s="19" t="s">
        <v>44</v>
      </c>
      <c r="V819" s="19" t="s">
        <v>444</v>
      </c>
      <c r="W819" s="19" t="s">
        <v>45</v>
      </c>
      <c r="X819" s="19" t="s">
        <v>46</v>
      </c>
      <c r="Y819" s="29"/>
      <c r="Z819" s="19"/>
      <c r="AA819" s="19"/>
      <c r="AB819" s="19" t="s">
        <v>1113</v>
      </c>
      <c r="AC819" s="19" t="s">
        <v>1322</v>
      </c>
      <c r="AD819" s="19"/>
      <c r="AE819" s="19"/>
      <c r="AF819" s="19"/>
      <c r="AG819" s="19" t="s">
        <v>235</v>
      </c>
      <c r="AH819" s="19"/>
      <c r="AI819" s="19"/>
      <c r="AJ819" s="19">
        <v>8</v>
      </c>
      <c r="AK819" s="19" t="s">
        <v>605</v>
      </c>
      <c r="AL819" s="19"/>
      <c r="AM819" s="19" t="s">
        <v>234</v>
      </c>
      <c r="AN819" s="19" t="s">
        <v>234</v>
      </c>
      <c r="AO819" s="19" t="s">
        <v>235</v>
      </c>
      <c r="AP819" s="94"/>
      <c r="AQ819" s="19" t="s">
        <v>102</v>
      </c>
      <c r="AR819" s="19" t="s">
        <v>241</v>
      </c>
      <c r="AS819" s="19"/>
      <c r="AT819" s="65" t="str">
        <f t="shared" si="226"/>
        <v>N</v>
      </c>
      <c r="AU819" s="65" t="str">
        <f t="shared" si="227"/>
        <v>N</v>
      </c>
      <c r="AV819" s="65" t="str">
        <f t="shared" si="228"/>
        <v>N</v>
      </c>
      <c r="AW819" s="99"/>
      <c r="AX819" s="99"/>
      <c r="AY819" s="19"/>
      <c r="AZ819" s="96" t="str">
        <f t="shared" si="229"/>
        <v>n</v>
      </c>
      <c r="BA819" s="96" t="str">
        <f>IF(AZ819="n","n",VLOOKUP(AZ819,'Conversion factors'!$C$4:$D$24,2,FALSE))</f>
        <v>n</v>
      </c>
      <c r="BB819" s="96" t="str">
        <f t="shared" si="230"/>
        <v>n</v>
      </c>
      <c r="BC819" s="97"/>
      <c r="BD819" s="96" t="str">
        <f t="shared" si="231"/>
        <v>n</v>
      </c>
      <c r="BE819" s="96" t="str">
        <f t="shared" si="232"/>
        <v>n</v>
      </c>
      <c r="BF819" s="98" t="str">
        <f t="shared" si="233"/>
        <v/>
      </c>
      <c r="BG819" s="96" t="str">
        <f>IF(BF819="","",IF(ISNUMBER(VLOOKUP(BF819,'Conversion factors'!$B$35:$C$52,2,FALSE)),"y","n"))</f>
        <v/>
      </c>
      <c r="BH819" s="99" t="s">
        <v>1525</v>
      </c>
    </row>
    <row r="820" spans="1:61" s="103" customFormat="1" ht="15.75" customHeight="1" x14ac:dyDescent="0.2">
      <c r="A820" s="18"/>
      <c r="B820" s="19">
        <v>190</v>
      </c>
      <c r="C820" s="19"/>
      <c r="D820" s="19">
        <v>19649</v>
      </c>
      <c r="E820" s="19" t="s">
        <v>1224</v>
      </c>
      <c r="F820" s="93">
        <v>1998</v>
      </c>
      <c r="G820" s="19" t="s">
        <v>359</v>
      </c>
      <c r="H820" s="19"/>
      <c r="I820" s="19" t="s">
        <v>41</v>
      </c>
      <c r="J820" s="19" t="s">
        <v>344</v>
      </c>
      <c r="K820" s="19" t="s">
        <v>42</v>
      </c>
      <c r="L820" s="19" t="s">
        <v>43</v>
      </c>
      <c r="M820" s="19" t="s">
        <v>1303</v>
      </c>
      <c r="N820" s="19" t="s">
        <v>109</v>
      </c>
      <c r="O820" s="19" t="s">
        <v>235</v>
      </c>
      <c r="P820" s="19" t="s">
        <v>53</v>
      </c>
      <c r="Q820" s="19"/>
      <c r="R820" s="19" t="s">
        <v>256</v>
      </c>
      <c r="S820" s="19" t="s">
        <v>302</v>
      </c>
      <c r="T820" s="19" t="s">
        <v>55</v>
      </c>
      <c r="U820" s="19" t="s">
        <v>55</v>
      </c>
      <c r="V820" s="19" t="s">
        <v>424</v>
      </c>
      <c r="W820" s="19" t="s">
        <v>231</v>
      </c>
      <c r="X820" s="19" t="s">
        <v>46</v>
      </c>
      <c r="Y820" s="29"/>
      <c r="Z820" s="19" t="s">
        <v>360</v>
      </c>
      <c r="AA820" s="19"/>
      <c r="AB820" s="19">
        <f>16*65.39</f>
        <v>1046.24</v>
      </c>
      <c r="AC820" s="19" t="s">
        <v>1322</v>
      </c>
      <c r="AD820" s="19"/>
      <c r="AE820" s="19"/>
      <c r="AF820" s="19"/>
      <c r="AG820" s="19" t="s">
        <v>235</v>
      </c>
      <c r="AH820" s="19"/>
      <c r="AI820" s="19"/>
      <c r="AJ820" s="19" t="s">
        <v>234</v>
      </c>
      <c r="AK820" s="19" t="s">
        <v>234</v>
      </c>
      <c r="AL820" s="19"/>
      <c r="AM820" s="19" t="s">
        <v>234</v>
      </c>
      <c r="AN820" s="19" t="s">
        <v>234</v>
      </c>
      <c r="AO820" s="19" t="s">
        <v>235</v>
      </c>
      <c r="AP820" s="94"/>
      <c r="AQ820" s="19" t="s">
        <v>150</v>
      </c>
      <c r="AR820" s="19" t="s">
        <v>241</v>
      </c>
      <c r="AS820" s="19"/>
      <c r="AT820" s="65" t="str">
        <f t="shared" si="226"/>
        <v>N</v>
      </c>
      <c r="AU820" s="65" t="str">
        <f t="shared" si="227"/>
        <v>N</v>
      </c>
      <c r="AV820" s="65" t="str">
        <f t="shared" si="228"/>
        <v>N</v>
      </c>
      <c r="AW820" s="99"/>
      <c r="AX820" s="99"/>
      <c r="AY820" s="19"/>
      <c r="AZ820" s="96" t="str">
        <f t="shared" si="229"/>
        <v>n</v>
      </c>
      <c r="BA820" s="96" t="str">
        <f>IF(AZ820="n","n",VLOOKUP(AZ820,'Conversion factors'!$C$4:$D$24,2,FALSE))</f>
        <v>n</v>
      </c>
      <c r="BB820" s="96" t="str">
        <f t="shared" si="230"/>
        <v>n</v>
      </c>
      <c r="BC820" s="97"/>
      <c r="BD820" s="96" t="str">
        <f t="shared" si="231"/>
        <v>n</v>
      </c>
      <c r="BE820" s="96" t="str">
        <f t="shared" si="232"/>
        <v>n</v>
      </c>
      <c r="BF820" s="98" t="str">
        <f t="shared" si="233"/>
        <v/>
      </c>
      <c r="BG820" s="96" t="str">
        <f>IF(BF820="","",IF(ISNUMBER(VLOOKUP(BF820,'Conversion factors'!$B$35:$C$52,2,FALSE)),"y","n"))</f>
        <v/>
      </c>
      <c r="BH820" s="99"/>
    </row>
    <row r="821" spans="1:61" s="103" customFormat="1" ht="15.75" customHeight="1" x14ac:dyDescent="0.2">
      <c r="A821" s="18"/>
      <c r="B821" s="19">
        <v>200</v>
      </c>
      <c r="C821" s="19"/>
      <c r="D821" s="19">
        <v>48134</v>
      </c>
      <c r="E821" s="19" t="s">
        <v>1224</v>
      </c>
      <c r="F821" s="93">
        <v>2000</v>
      </c>
      <c r="G821" s="19" t="s">
        <v>421</v>
      </c>
      <c r="H821" s="19"/>
      <c r="I821" s="19" t="s">
        <v>41</v>
      </c>
      <c r="J821" s="19" t="s">
        <v>344</v>
      </c>
      <c r="K821" s="19" t="s">
        <v>42</v>
      </c>
      <c r="L821" s="19" t="s">
        <v>43</v>
      </c>
      <c r="M821" s="19" t="s">
        <v>1303</v>
      </c>
      <c r="N821" s="19" t="s">
        <v>109</v>
      </c>
      <c r="O821" s="19" t="s">
        <v>235</v>
      </c>
      <c r="P821" s="19" t="s">
        <v>53</v>
      </c>
      <c r="Q821" s="19"/>
      <c r="R821" s="19" t="s">
        <v>256</v>
      </c>
      <c r="S821" s="19" t="s">
        <v>309</v>
      </c>
      <c r="T821" s="19" t="s">
        <v>55</v>
      </c>
      <c r="U821" s="19" t="s">
        <v>55</v>
      </c>
      <c r="V821" s="19" t="s">
        <v>444</v>
      </c>
      <c r="W821" s="19" t="s">
        <v>231</v>
      </c>
      <c r="X821" s="19" t="s">
        <v>46</v>
      </c>
      <c r="Y821" s="29"/>
      <c r="Z821" s="19"/>
      <c r="AA821" s="19"/>
      <c r="AB821" s="19" t="s">
        <v>342</v>
      </c>
      <c r="AC821" s="19" t="s">
        <v>1322</v>
      </c>
      <c r="AD821" s="19"/>
      <c r="AE821" s="19"/>
      <c r="AF821" s="19"/>
      <c r="AG821" s="19" t="s">
        <v>235</v>
      </c>
      <c r="AH821" s="19"/>
      <c r="AI821" s="19"/>
      <c r="AJ821" s="19" t="s">
        <v>234</v>
      </c>
      <c r="AK821" s="19" t="s">
        <v>234</v>
      </c>
      <c r="AL821" s="19"/>
      <c r="AM821" s="19" t="s">
        <v>234</v>
      </c>
      <c r="AN821" s="19" t="s">
        <v>234</v>
      </c>
      <c r="AO821" s="19" t="s">
        <v>235</v>
      </c>
      <c r="AP821" s="94"/>
      <c r="AQ821" s="19" t="s">
        <v>150</v>
      </c>
      <c r="AR821" s="19" t="s">
        <v>241</v>
      </c>
      <c r="AS821" s="19"/>
      <c r="AT821" s="65" t="str">
        <f t="shared" si="226"/>
        <v>N</v>
      </c>
      <c r="AU821" s="65" t="str">
        <f t="shared" si="227"/>
        <v>N</v>
      </c>
      <c r="AV821" s="65" t="str">
        <f t="shared" si="228"/>
        <v>N</v>
      </c>
      <c r="AW821" s="99"/>
      <c r="AX821" s="99"/>
      <c r="AY821" s="19"/>
      <c r="AZ821" s="96" t="str">
        <f t="shared" si="229"/>
        <v>n</v>
      </c>
      <c r="BA821" s="96" t="str">
        <f>IF(AZ821="n","n",VLOOKUP(AZ821,'Conversion factors'!$C$4:$D$24,2,FALSE))</f>
        <v>n</v>
      </c>
      <c r="BB821" s="96" t="str">
        <f t="shared" si="230"/>
        <v>n</v>
      </c>
      <c r="BC821" s="97"/>
      <c r="BD821" s="96" t="str">
        <f t="shared" si="231"/>
        <v>n</v>
      </c>
      <c r="BE821" s="96" t="str">
        <f t="shared" si="232"/>
        <v>n</v>
      </c>
      <c r="BF821" s="98" t="str">
        <f t="shared" si="233"/>
        <v/>
      </c>
      <c r="BG821" s="96" t="str">
        <f>IF(BF821="","",IF(ISNUMBER(VLOOKUP(BF821,'Conversion factors'!$B$35:$C$52,2,FALSE)),"y","n"))</f>
        <v/>
      </c>
      <c r="BH821" s="99" t="s">
        <v>1464</v>
      </c>
    </row>
    <row r="822" spans="1:61" s="103" customFormat="1" ht="15.75" customHeight="1" x14ac:dyDescent="0.2">
      <c r="A822" s="18"/>
      <c r="B822" s="19">
        <v>200</v>
      </c>
      <c r="C822" s="19"/>
      <c r="D822" s="19">
        <v>48134</v>
      </c>
      <c r="E822" s="19" t="s">
        <v>1224</v>
      </c>
      <c r="F822" s="93">
        <v>2000</v>
      </c>
      <c r="G822" s="19" t="s">
        <v>421</v>
      </c>
      <c r="H822" s="19"/>
      <c r="I822" s="19" t="s">
        <v>41</v>
      </c>
      <c r="J822" s="19" t="s">
        <v>344</v>
      </c>
      <c r="K822" s="19" t="s">
        <v>42</v>
      </c>
      <c r="L822" s="19" t="s">
        <v>43</v>
      </c>
      <c r="M822" s="19" t="s">
        <v>1303</v>
      </c>
      <c r="N822" s="19" t="s">
        <v>109</v>
      </c>
      <c r="O822" s="19" t="s">
        <v>235</v>
      </c>
      <c r="P822" s="19" t="s">
        <v>53</v>
      </c>
      <c r="Q822" s="19"/>
      <c r="R822" s="19" t="s">
        <v>256</v>
      </c>
      <c r="S822" s="19" t="s">
        <v>304</v>
      </c>
      <c r="T822" s="19" t="s">
        <v>55</v>
      </c>
      <c r="U822" s="19" t="s">
        <v>55</v>
      </c>
      <c r="V822" s="19" t="s">
        <v>444</v>
      </c>
      <c r="W822" s="19" t="s">
        <v>231</v>
      </c>
      <c r="X822" s="19" t="s">
        <v>46</v>
      </c>
      <c r="Y822" s="29"/>
      <c r="Z822" s="19"/>
      <c r="AA822" s="19"/>
      <c r="AB822" s="19" t="s">
        <v>342</v>
      </c>
      <c r="AC822" s="19" t="s">
        <v>1322</v>
      </c>
      <c r="AD822" s="19"/>
      <c r="AE822" s="19"/>
      <c r="AF822" s="19"/>
      <c r="AG822" s="19" t="s">
        <v>235</v>
      </c>
      <c r="AH822" s="19"/>
      <c r="AI822" s="19"/>
      <c r="AJ822" s="19" t="s">
        <v>234</v>
      </c>
      <c r="AK822" s="19" t="s">
        <v>234</v>
      </c>
      <c r="AL822" s="19"/>
      <c r="AM822" s="19" t="s">
        <v>234</v>
      </c>
      <c r="AN822" s="19" t="s">
        <v>234</v>
      </c>
      <c r="AO822" s="19" t="s">
        <v>235</v>
      </c>
      <c r="AP822" s="94"/>
      <c r="AQ822" s="19" t="s">
        <v>150</v>
      </c>
      <c r="AR822" s="19" t="s">
        <v>241</v>
      </c>
      <c r="AS822" s="19"/>
      <c r="AT822" s="65" t="str">
        <f t="shared" si="226"/>
        <v>N</v>
      </c>
      <c r="AU822" s="65" t="str">
        <f t="shared" si="227"/>
        <v>N</v>
      </c>
      <c r="AV822" s="65" t="str">
        <f t="shared" si="228"/>
        <v>N</v>
      </c>
      <c r="AW822" s="99"/>
      <c r="AX822" s="99"/>
      <c r="AY822" s="19"/>
      <c r="AZ822" s="96" t="str">
        <f t="shared" si="229"/>
        <v>n</v>
      </c>
      <c r="BA822" s="96" t="str">
        <f>IF(AZ822="n","n",VLOOKUP(AZ822,'Conversion factors'!$C$4:$D$24,2,FALSE))</f>
        <v>n</v>
      </c>
      <c r="BB822" s="96" t="str">
        <f t="shared" si="230"/>
        <v>n</v>
      </c>
      <c r="BC822" s="97"/>
      <c r="BD822" s="96" t="str">
        <f t="shared" si="231"/>
        <v>n</v>
      </c>
      <c r="BE822" s="96" t="str">
        <f t="shared" si="232"/>
        <v>n</v>
      </c>
      <c r="BF822" s="98" t="str">
        <f t="shared" si="233"/>
        <v/>
      </c>
      <c r="BG822" s="96" t="str">
        <f>IF(BF822="","",IF(ISNUMBER(VLOOKUP(BF822,'Conversion factors'!$B$35:$C$52,2,FALSE)),"y","n"))</f>
        <v/>
      </c>
      <c r="BH822" s="99" t="s">
        <v>1464</v>
      </c>
    </row>
    <row r="823" spans="1:61" s="103" customFormat="1" ht="15.75" customHeight="1" x14ac:dyDescent="0.2">
      <c r="A823" s="18"/>
      <c r="B823" s="19">
        <v>200</v>
      </c>
      <c r="C823" s="19"/>
      <c r="D823" s="19">
        <v>48134</v>
      </c>
      <c r="E823" s="19" t="s">
        <v>1224</v>
      </c>
      <c r="F823" s="93">
        <v>2000</v>
      </c>
      <c r="G823" s="19" t="s">
        <v>421</v>
      </c>
      <c r="H823" s="19"/>
      <c r="I823" s="19" t="s">
        <v>41</v>
      </c>
      <c r="J823" s="19" t="s">
        <v>344</v>
      </c>
      <c r="K823" s="19" t="s">
        <v>42</v>
      </c>
      <c r="L823" s="19" t="s">
        <v>43</v>
      </c>
      <c r="M823" s="19" t="s">
        <v>1303</v>
      </c>
      <c r="N823" s="19" t="s">
        <v>109</v>
      </c>
      <c r="O823" s="19" t="s">
        <v>235</v>
      </c>
      <c r="P823" s="19" t="s">
        <v>53</v>
      </c>
      <c r="Q823" s="19"/>
      <c r="R823" s="19" t="s">
        <v>256</v>
      </c>
      <c r="S823" s="19" t="s">
        <v>309</v>
      </c>
      <c r="T823" s="19" t="s">
        <v>55</v>
      </c>
      <c r="U823" s="19" t="s">
        <v>55</v>
      </c>
      <c r="V823" s="19" t="s">
        <v>444</v>
      </c>
      <c r="W823" s="19" t="s">
        <v>231</v>
      </c>
      <c r="X823" s="19" t="s">
        <v>46</v>
      </c>
      <c r="Y823" s="29"/>
      <c r="Z823" s="19"/>
      <c r="AA823" s="19"/>
      <c r="AB823" s="19" t="s">
        <v>342</v>
      </c>
      <c r="AC823" s="19" t="s">
        <v>1322</v>
      </c>
      <c r="AD823" s="19"/>
      <c r="AE823" s="19"/>
      <c r="AF823" s="19"/>
      <c r="AG823" s="19" t="s">
        <v>235</v>
      </c>
      <c r="AH823" s="19"/>
      <c r="AI823" s="19"/>
      <c r="AJ823" s="19" t="s">
        <v>234</v>
      </c>
      <c r="AK823" s="19" t="s">
        <v>234</v>
      </c>
      <c r="AL823" s="19"/>
      <c r="AM823" s="19" t="s">
        <v>234</v>
      </c>
      <c r="AN823" s="19" t="s">
        <v>234</v>
      </c>
      <c r="AO823" s="19" t="s">
        <v>235</v>
      </c>
      <c r="AP823" s="94"/>
      <c r="AQ823" s="19" t="s">
        <v>150</v>
      </c>
      <c r="AR823" s="19" t="s">
        <v>241</v>
      </c>
      <c r="AS823" s="19"/>
      <c r="AT823" s="65" t="str">
        <f t="shared" si="226"/>
        <v>N</v>
      </c>
      <c r="AU823" s="65" t="str">
        <f t="shared" si="227"/>
        <v>N</v>
      </c>
      <c r="AV823" s="65" t="str">
        <f t="shared" si="228"/>
        <v>N</v>
      </c>
      <c r="AW823" s="99"/>
      <c r="AX823" s="99"/>
      <c r="AY823" s="19"/>
      <c r="AZ823" s="96" t="str">
        <f t="shared" si="229"/>
        <v>n</v>
      </c>
      <c r="BA823" s="96" t="str">
        <f>IF(AZ823="n","n",VLOOKUP(AZ823,'Conversion factors'!$C$4:$D$24,2,FALSE))</f>
        <v>n</v>
      </c>
      <c r="BB823" s="96" t="str">
        <f t="shared" si="230"/>
        <v>n</v>
      </c>
      <c r="BC823" s="97"/>
      <c r="BD823" s="96" t="str">
        <f t="shared" si="231"/>
        <v>n</v>
      </c>
      <c r="BE823" s="96" t="str">
        <f t="shared" si="232"/>
        <v>n</v>
      </c>
      <c r="BF823" s="98" t="str">
        <f t="shared" si="233"/>
        <v/>
      </c>
      <c r="BG823" s="96" t="str">
        <f>IF(BF823="","",IF(ISNUMBER(VLOOKUP(BF823,'Conversion factors'!$B$35:$C$52,2,FALSE)),"y","n"))</f>
        <v/>
      </c>
      <c r="BH823" s="99" t="s">
        <v>1464</v>
      </c>
    </row>
    <row r="824" spans="1:61" s="103" customFormat="1" ht="15.75" customHeight="1" x14ac:dyDescent="0.2">
      <c r="A824" s="18"/>
      <c r="B824" s="19">
        <v>200</v>
      </c>
      <c r="C824" s="19"/>
      <c r="D824" s="19">
        <v>48134</v>
      </c>
      <c r="E824" s="19" t="s">
        <v>1224</v>
      </c>
      <c r="F824" s="93">
        <v>2000</v>
      </c>
      <c r="G824" s="19" t="s">
        <v>421</v>
      </c>
      <c r="H824" s="19"/>
      <c r="I824" s="19" t="s">
        <v>41</v>
      </c>
      <c r="J824" s="19" t="s">
        <v>344</v>
      </c>
      <c r="K824" s="19" t="s">
        <v>42</v>
      </c>
      <c r="L824" s="19" t="s">
        <v>43</v>
      </c>
      <c r="M824" s="19" t="s">
        <v>1303</v>
      </c>
      <c r="N824" s="19" t="s">
        <v>109</v>
      </c>
      <c r="O824" s="19" t="s">
        <v>235</v>
      </c>
      <c r="P824" s="19" t="s">
        <v>53</v>
      </c>
      <c r="Q824" s="19"/>
      <c r="R824" s="19" t="s">
        <v>256</v>
      </c>
      <c r="S824" s="19" t="s">
        <v>309</v>
      </c>
      <c r="T824" s="19" t="s">
        <v>55</v>
      </c>
      <c r="U824" s="19" t="s">
        <v>55</v>
      </c>
      <c r="V824" s="19" t="s">
        <v>444</v>
      </c>
      <c r="W824" s="19" t="s">
        <v>231</v>
      </c>
      <c r="X824" s="19" t="s">
        <v>46</v>
      </c>
      <c r="Y824" s="29"/>
      <c r="Z824" s="19"/>
      <c r="AA824" s="19"/>
      <c r="AB824" s="19" t="s">
        <v>342</v>
      </c>
      <c r="AC824" s="19" t="s">
        <v>1322</v>
      </c>
      <c r="AD824" s="19"/>
      <c r="AE824" s="19"/>
      <c r="AF824" s="19"/>
      <c r="AG824" s="19" t="s">
        <v>235</v>
      </c>
      <c r="AH824" s="19"/>
      <c r="AI824" s="19"/>
      <c r="AJ824" s="19" t="s">
        <v>234</v>
      </c>
      <c r="AK824" s="19" t="s">
        <v>234</v>
      </c>
      <c r="AL824" s="19"/>
      <c r="AM824" s="19" t="s">
        <v>234</v>
      </c>
      <c r="AN824" s="19" t="s">
        <v>234</v>
      </c>
      <c r="AO824" s="19" t="s">
        <v>235</v>
      </c>
      <c r="AP824" s="94"/>
      <c r="AQ824" s="19" t="s">
        <v>150</v>
      </c>
      <c r="AR824" s="19" t="s">
        <v>241</v>
      </c>
      <c r="AS824" s="19"/>
      <c r="AT824" s="65" t="str">
        <f t="shared" si="226"/>
        <v>N</v>
      </c>
      <c r="AU824" s="65" t="str">
        <f t="shared" si="227"/>
        <v>N</v>
      </c>
      <c r="AV824" s="65" t="str">
        <f t="shared" si="228"/>
        <v>N</v>
      </c>
      <c r="AW824" s="99"/>
      <c r="AX824" s="99"/>
      <c r="AY824" s="19"/>
      <c r="AZ824" s="96" t="str">
        <f t="shared" si="229"/>
        <v>n</v>
      </c>
      <c r="BA824" s="96" t="str">
        <f>IF(AZ824="n","n",VLOOKUP(AZ824,'Conversion factors'!$C$4:$D$24,2,FALSE))</f>
        <v>n</v>
      </c>
      <c r="BB824" s="96" t="str">
        <f t="shared" si="230"/>
        <v>n</v>
      </c>
      <c r="BC824" s="97"/>
      <c r="BD824" s="96" t="str">
        <f t="shared" si="231"/>
        <v>n</v>
      </c>
      <c r="BE824" s="96" t="str">
        <f t="shared" si="232"/>
        <v>n</v>
      </c>
      <c r="BF824" s="98" t="str">
        <f t="shared" si="233"/>
        <v/>
      </c>
      <c r="BG824" s="96" t="str">
        <f>IF(BF824="","",IF(ISNUMBER(VLOOKUP(BF824,'Conversion factors'!$B$35:$C$52,2,FALSE)),"y","n"))</f>
        <v/>
      </c>
      <c r="BH824" s="99" t="s">
        <v>1464</v>
      </c>
    </row>
    <row r="825" spans="1:61" s="103" customFormat="1" ht="15.75" customHeight="1" x14ac:dyDescent="0.2">
      <c r="A825" s="18"/>
      <c r="B825" s="19">
        <v>200</v>
      </c>
      <c r="C825" s="19"/>
      <c r="D825" s="19">
        <v>48134</v>
      </c>
      <c r="E825" s="19" t="s">
        <v>1224</v>
      </c>
      <c r="F825" s="93">
        <v>2000</v>
      </c>
      <c r="G825" s="19" t="s">
        <v>421</v>
      </c>
      <c r="H825" s="19"/>
      <c r="I825" s="19" t="s">
        <v>41</v>
      </c>
      <c r="J825" s="19" t="s">
        <v>344</v>
      </c>
      <c r="K825" s="19" t="s">
        <v>42</v>
      </c>
      <c r="L825" s="19" t="s">
        <v>43</v>
      </c>
      <c r="M825" s="19" t="s">
        <v>1303</v>
      </c>
      <c r="N825" s="19" t="s">
        <v>109</v>
      </c>
      <c r="O825" s="19" t="s">
        <v>235</v>
      </c>
      <c r="P825" s="19" t="s">
        <v>53</v>
      </c>
      <c r="Q825" s="19"/>
      <c r="R825" s="19" t="s">
        <v>256</v>
      </c>
      <c r="S825" s="19" t="s">
        <v>309</v>
      </c>
      <c r="T825" s="19" t="s">
        <v>54</v>
      </c>
      <c r="U825" s="19" t="s">
        <v>54</v>
      </c>
      <c r="V825" s="19" t="s">
        <v>444</v>
      </c>
      <c r="W825" s="19" t="s">
        <v>231</v>
      </c>
      <c r="X825" s="19" t="s">
        <v>46</v>
      </c>
      <c r="Y825" s="29"/>
      <c r="Z825" s="19"/>
      <c r="AA825" s="19"/>
      <c r="AB825" s="19" t="s">
        <v>97</v>
      </c>
      <c r="AC825" s="19" t="s">
        <v>1322</v>
      </c>
      <c r="AD825" s="19"/>
      <c r="AE825" s="19"/>
      <c r="AF825" s="19"/>
      <c r="AG825" s="19" t="s">
        <v>235</v>
      </c>
      <c r="AH825" s="19"/>
      <c r="AI825" s="19"/>
      <c r="AJ825" s="19" t="s">
        <v>234</v>
      </c>
      <c r="AK825" s="19" t="s">
        <v>234</v>
      </c>
      <c r="AL825" s="19"/>
      <c r="AM825" s="19" t="s">
        <v>234</v>
      </c>
      <c r="AN825" s="19" t="s">
        <v>234</v>
      </c>
      <c r="AO825" s="19" t="s">
        <v>235</v>
      </c>
      <c r="AP825" s="94"/>
      <c r="AQ825" s="19" t="s">
        <v>150</v>
      </c>
      <c r="AR825" s="19" t="s">
        <v>241</v>
      </c>
      <c r="AS825" s="19"/>
      <c r="AT825" s="65" t="str">
        <f t="shared" si="226"/>
        <v>N</v>
      </c>
      <c r="AU825" s="65" t="str">
        <f t="shared" si="227"/>
        <v>N</v>
      </c>
      <c r="AV825" s="65" t="str">
        <f t="shared" si="228"/>
        <v>N</v>
      </c>
      <c r="AW825" s="99"/>
      <c r="AX825" s="99"/>
      <c r="AY825" s="19"/>
      <c r="AZ825" s="96" t="str">
        <f t="shared" si="229"/>
        <v>n</v>
      </c>
      <c r="BA825" s="96" t="str">
        <f>IF(AZ825="n","n",VLOOKUP(AZ825,'Conversion factors'!$C$4:$D$24,2,FALSE))</f>
        <v>n</v>
      </c>
      <c r="BB825" s="96" t="str">
        <f t="shared" si="230"/>
        <v>n</v>
      </c>
      <c r="BC825" s="97"/>
      <c r="BD825" s="96" t="str">
        <f t="shared" si="231"/>
        <v>n</v>
      </c>
      <c r="BE825" s="96" t="str">
        <f t="shared" si="232"/>
        <v>n</v>
      </c>
      <c r="BF825" s="98" t="str">
        <f t="shared" si="233"/>
        <v/>
      </c>
      <c r="BG825" s="96" t="str">
        <f>IF(BF825="","",IF(ISNUMBER(VLOOKUP(BF825,'Conversion factors'!$B$35:$C$52,2,FALSE)),"y","n"))</f>
        <v/>
      </c>
      <c r="BH825" s="99"/>
    </row>
    <row r="826" spans="1:61" s="103" customFormat="1" ht="15.75" customHeight="1" x14ac:dyDescent="0.2">
      <c r="A826" s="18"/>
      <c r="B826" s="19">
        <v>200</v>
      </c>
      <c r="C826" s="19"/>
      <c r="D826" s="19">
        <v>48134</v>
      </c>
      <c r="E826" s="19" t="s">
        <v>1224</v>
      </c>
      <c r="F826" s="93">
        <v>2000</v>
      </c>
      <c r="G826" s="19" t="s">
        <v>421</v>
      </c>
      <c r="H826" s="19"/>
      <c r="I826" s="19" t="s">
        <v>41</v>
      </c>
      <c r="J826" s="19" t="s">
        <v>344</v>
      </c>
      <c r="K826" s="19" t="s">
        <v>42</v>
      </c>
      <c r="L826" s="19" t="s">
        <v>43</v>
      </c>
      <c r="M826" s="19" t="s">
        <v>1303</v>
      </c>
      <c r="N826" s="19" t="s">
        <v>109</v>
      </c>
      <c r="O826" s="19" t="s">
        <v>235</v>
      </c>
      <c r="P826" s="19" t="s">
        <v>53</v>
      </c>
      <c r="Q826" s="19"/>
      <c r="R826" s="19" t="s">
        <v>256</v>
      </c>
      <c r="S826" s="19" t="s">
        <v>309</v>
      </c>
      <c r="T826" s="19" t="s">
        <v>54</v>
      </c>
      <c r="U826" s="19" t="s">
        <v>54</v>
      </c>
      <c r="V826" s="19" t="s">
        <v>444</v>
      </c>
      <c r="W826" s="19" t="s">
        <v>231</v>
      </c>
      <c r="X826" s="19" t="s">
        <v>46</v>
      </c>
      <c r="Y826" s="29"/>
      <c r="Z826" s="19"/>
      <c r="AA826" s="19"/>
      <c r="AB826" s="19" t="s">
        <v>97</v>
      </c>
      <c r="AC826" s="19" t="s">
        <v>1322</v>
      </c>
      <c r="AD826" s="19"/>
      <c r="AE826" s="19"/>
      <c r="AF826" s="19"/>
      <c r="AG826" s="19" t="s">
        <v>235</v>
      </c>
      <c r="AH826" s="19"/>
      <c r="AI826" s="19"/>
      <c r="AJ826" s="19" t="s">
        <v>234</v>
      </c>
      <c r="AK826" s="19" t="s">
        <v>234</v>
      </c>
      <c r="AL826" s="19"/>
      <c r="AM826" s="19" t="s">
        <v>234</v>
      </c>
      <c r="AN826" s="19" t="s">
        <v>234</v>
      </c>
      <c r="AO826" s="19" t="s">
        <v>235</v>
      </c>
      <c r="AP826" s="94"/>
      <c r="AQ826" s="19" t="s">
        <v>150</v>
      </c>
      <c r="AR826" s="19" t="s">
        <v>241</v>
      </c>
      <c r="AS826" s="19"/>
      <c r="AT826" s="65" t="str">
        <f t="shared" si="226"/>
        <v>N</v>
      </c>
      <c r="AU826" s="65" t="str">
        <f t="shared" si="227"/>
        <v>N</v>
      </c>
      <c r="AV826" s="65" t="str">
        <f t="shared" si="228"/>
        <v>N</v>
      </c>
      <c r="AW826" s="99"/>
      <c r="AX826" s="99"/>
      <c r="AY826" s="19"/>
      <c r="AZ826" s="96" t="str">
        <f t="shared" si="229"/>
        <v>n</v>
      </c>
      <c r="BA826" s="96" t="str">
        <f>IF(AZ826="n","n",VLOOKUP(AZ826,'Conversion factors'!$C$4:$D$24,2,FALSE))</f>
        <v>n</v>
      </c>
      <c r="BB826" s="96" t="str">
        <f t="shared" si="230"/>
        <v>n</v>
      </c>
      <c r="BC826" s="97"/>
      <c r="BD826" s="96" t="str">
        <f t="shared" si="231"/>
        <v>n</v>
      </c>
      <c r="BE826" s="96" t="str">
        <f t="shared" si="232"/>
        <v>n</v>
      </c>
      <c r="BF826" s="98" t="str">
        <f t="shared" si="233"/>
        <v/>
      </c>
      <c r="BG826" s="96" t="str">
        <f>IF(BF826="","",IF(ISNUMBER(VLOOKUP(BF826,'Conversion factors'!$B$35:$C$52,2,FALSE)),"y","n"))</f>
        <v/>
      </c>
      <c r="BH826" s="99"/>
    </row>
    <row r="827" spans="1:61" s="103" customFormat="1" ht="15.75" customHeight="1" x14ac:dyDescent="0.2">
      <c r="A827" s="18"/>
      <c r="B827" s="19">
        <v>200</v>
      </c>
      <c r="C827" s="19"/>
      <c r="D827" s="19">
        <v>48134</v>
      </c>
      <c r="E827" s="19" t="s">
        <v>1224</v>
      </c>
      <c r="F827" s="93">
        <v>2000</v>
      </c>
      <c r="G827" s="19" t="s">
        <v>421</v>
      </c>
      <c r="H827" s="19"/>
      <c r="I827" s="19" t="s">
        <v>41</v>
      </c>
      <c r="J827" s="19" t="s">
        <v>344</v>
      </c>
      <c r="K827" s="19" t="s">
        <v>42</v>
      </c>
      <c r="L827" s="19" t="s">
        <v>43</v>
      </c>
      <c r="M827" s="19" t="s">
        <v>1303</v>
      </c>
      <c r="N827" s="19" t="s">
        <v>109</v>
      </c>
      <c r="O827" s="19" t="s">
        <v>235</v>
      </c>
      <c r="P827" s="19" t="s">
        <v>53</v>
      </c>
      <c r="Q827" s="19"/>
      <c r="R827" s="19" t="s">
        <v>256</v>
      </c>
      <c r="S827" s="19" t="s">
        <v>309</v>
      </c>
      <c r="T827" s="19" t="s">
        <v>54</v>
      </c>
      <c r="U827" s="19" t="s">
        <v>54</v>
      </c>
      <c r="V827" s="19" t="s">
        <v>444</v>
      </c>
      <c r="W827" s="19" t="s">
        <v>231</v>
      </c>
      <c r="X827" s="19" t="s">
        <v>46</v>
      </c>
      <c r="Y827" s="29"/>
      <c r="Z827" s="19"/>
      <c r="AA827" s="19"/>
      <c r="AB827" s="19" t="s">
        <v>97</v>
      </c>
      <c r="AC827" s="19" t="s">
        <v>1322</v>
      </c>
      <c r="AD827" s="19"/>
      <c r="AE827" s="19"/>
      <c r="AF827" s="19"/>
      <c r="AG827" s="19" t="s">
        <v>235</v>
      </c>
      <c r="AH827" s="19"/>
      <c r="AI827" s="19"/>
      <c r="AJ827" s="19" t="s">
        <v>234</v>
      </c>
      <c r="AK827" s="19" t="s">
        <v>234</v>
      </c>
      <c r="AL827" s="19"/>
      <c r="AM827" s="19" t="s">
        <v>234</v>
      </c>
      <c r="AN827" s="19" t="s">
        <v>234</v>
      </c>
      <c r="AO827" s="19" t="s">
        <v>235</v>
      </c>
      <c r="AP827" s="94"/>
      <c r="AQ827" s="19" t="s">
        <v>150</v>
      </c>
      <c r="AR827" s="19" t="s">
        <v>241</v>
      </c>
      <c r="AS827" s="19"/>
      <c r="AT827" s="65" t="str">
        <f t="shared" si="226"/>
        <v>N</v>
      </c>
      <c r="AU827" s="65" t="str">
        <f t="shared" si="227"/>
        <v>N</v>
      </c>
      <c r="AV827" s="65" t="str">
        <f t="shared" si="228"/>
        <v>N</v>
      </c>
      <c r="AW827" s="99"/>
      <c r="AX827" s="99"/>
      <c r="AY827" s="19"/>
      <c r="AZ827" s="96" t="str">
        <f t="shared" si="229"/>
        <v>n</v>
      </c>
      <c r="BA827" s="96" t="str">
        <f>IF(AZ827="n","n",VLOOKUP(AZ827,'Conversion factors'!$C$4:$D$24,2,FALSE))</f>
        <v>n</v>
      </c>
      <c r="BB827" s="96" t="str">
        <f t="shared" si="230"/>
        <v>n</v>
      </c>
      <c r="BC827" s="97"/>
      <c r="BD827" s="96" t="str">
        <f t="shared" si="231"/>
        <v>n</v>
      </c>
      <c r="BE827" s="96" t="str">
        <f t="shared" si="232"/>
        <v>n</v>
      </c>
      <c r="BF827" s="98" t="str">
        <f t="shared" si="233"/>
        <v/>
      </c>
      <c r="BG827" s="96" t="str">
        <f>IF(BF827="","",IF(ISNUMBER(VLOOKUP(BF827,'Conversion factors'!$B$35:$C$52,2,FALSE)),"y","n"))</f>
        <v/>
      </c>
      <c r="BH827" s="99"/>
    </row>
    <row r="828" spans="1:61" s="103" customFormat="1" ht="15.75" customHeight="1" x14ac:dyDescent="0.2">
      <c r="A828" s="18"/>
      <c r="B828" s="19">
        <v>200</v>
      </c>
      <c r="C828" s="19"/>
      <c r="D828" s="19">
        <v>48134</v>
      </c>
      <c r="E828" s="19" t="s">
        <v>1224</v>
      </c>
      <c r="F828" s="93">
        <v>2000</v>
      </c>
      <c r="G828" s="19" t="s">
        <v>421</v>
      </c>
      <c r="H828" s="19"/>
      <c r="I828" s="19" t="s">
        <v>41</v>
      </c>
      <c r="J828" s="19" t="s">
        <v>344</v>
      </c>
      <c r="K828" s="19" t="s">
        <v>42</v>
      </c>
      <c r="L828" s="19" t="s">
        <v>43</v>
      </c>
      <c r="M828" s="19" t="s">
        <v>1303</v>
      </c>
      <c r="N828" s="19" t="s">
        <v>109</v>
      </c>
      <c r="O828" s="19" t="s">
        <v>235</v>
      </c>
      <c r="P828" s="19" t="s">
        <v>53</v>
      </c>
      <c r="Q828" s="19"/>
      <c r="R828" s="19" t="s">
        <v>256</v>
      </c>
      <c r="S828" s="19" t="s">
        <v>304</v>
      </c>
      <c r="T828" s="19" t="s">
        <v>54</v>
      </c>
      <c r="U828" s="19" t="s">
        <v>54</v>
      </c>
      <c r="V828" s="19" t="s">
        <v>444</v>
      </c>
      <c r="W828" s="19" t="s">
        <v>231</v>
      </c>
      <c r="X828" s="19" t="s">
        <v>46</v>
      </c>
      <c r="Y828" s="29"/>
      <c r="Z828" s="19"/>
      <c r="AA828" s="19"/>
      <c r="AB828" s="19" t="s">
        <v>97</v>
      </c>
      <c r="AC828" s="19" t="s">
        <v>1322</v>
      </c>
      <c r="AD828" s="19"/>
      <c r="AE828" s="19"/>
      <c r="AF828" s="19"/>
      <c r="AG828" s="19" t="s">
        <v>235</v>
      </c>
      <c r="AH828" s="19"/>
      <c r="AI828" s="19"/>
      <c r="AJ828" s="19" t="s">
        <v>234</v>
      </c>
      <c r="AK828" s="19" t="s">
        <v>234</v>
      </c>
      <c r="AL828" s="19"/>
      <c r="AM828" s="19" t="s">
        <v>234</v>
      </c>
      <c r="AN828" s="19" t="s">
        <v>234</v>
      </c>
      <c r="AO828" s="19" t="s">
        <v>235</v>
      </c>
      <c r="AP828" s="94"/>
      <c r="AQ828" s="19" t="s">
        <v>150</v>
      </c>
      <c r="AR828" s="19" t="s">
        <v>241</v>
      </c>
      <c r="AS828" s="19"/>
      <c r="AT828" s="65" t="str">
        <f t="shared" si="226"/>
        <v>N</v>
      </c>
      <c r="AU828" s="65" t="str">
        <f t="shared" si="227"/>
        <v>N</v>
      </c>
      <c r="AV828" s="65" t="str">
        <f t="shared" si="228"/>
        <v>N</v>
      </c>
      <c r="AW828" s="99"/>
      <c r="AX828" s="99"/>
      <c r="AY828" s="19"/>
      <c r="AZ828" s="96" t="str">
        <f t="shared" si="229"/>
        <v>n</v>
      </c>
      <c r="BA828" s="96" t="str">
        <f>IF(AZ828="n","n",VLOOKUP(AZ828,'Conversion factors'!$C$4:$D$24,2,FALSE))</f>
        <v>n</v>
      </c>
      <c r="BB828" s="96" t="str">
        <f t="shared" si="230"/>
        <v>n</v>
      </c>
      <c r="BC828" s="97"/>
      <c r="BD828" s="96" t="str">
        <f t="shared" si="231"/>
        <v>n</v>
      </c>
      <c r="BE828" s="96" t="str">
        <f t="shared" si="232"/>
        <v>n</v>
      </c>
      <c r="BF828" s="98" t="str">
        <f t="shared" si="233"/>
        <v/>
      </c>
      <c r="BG828" s="96" t="str">
        <f>IF(BF828="","",IF(ISNUMBER(VLOOKUP(BF828,'Conversion factors'!$B$35:$C$52,2,FALSE)),"y","n"))</f>
        <v/>
      </c>
      <c r="BH828" s="99"/>
    </row>
    <row r="829" spans="1:61" s="103" customFormat="1" ht="15.75" customHeight="1" x14ac:dyDescent="0.2">
      <c r="A829" s="18"/>
      <c r="B829" s="19">
        <v>254</v>
      </c>
      <c r="C829" s="19"/>
      <c r="D829" s="19">
        <v>84052</v>
      </c>
      <c r="E829" s="19" t="s">
        <v>1224</v>
      </c>
      <c r="F829" s="93">
        <v>2005</v>
      </c>
      <c r="G829" s="19" t="s">
        <v>785</v>
      </c>
      <c r="H829" s="19"/>
      <c r="I829" s="19" t="s">
        <v>41</v>
      </c>
      <c r="J829" s="19" t="s">
        <v>344</v>
      </c>
      <c r="K829" s="19" t="s">
        <v>42</v>
      </c>
      <c r="L829" s="19" t="s">
        <v>43</v>
      </c>
      <c r="M829" s="19" t="s">
        <v>1303</v>
      </c>
      <c r="N829" s="19" t="s">
        <v>109</v>
      </c>
      <c r="O829" s="19" t="s">
        <v>264</v>
      </c>
      <c r="P829" s="19" t="s">
        <v>53</v>
      </c>
      <c r="Q829" s="19"/>
      <c r="R829" s="19" t="s">
        <v>256</v>
      </c>
      <c r="S829" s="19" t="s">
        <v>309</v>
      </c>
      <c r="T829" s="19" t="s">
        <v>49</v>
      </c>
      <c r="U829" s="19" t="s">
        <v>49</v>
      </c>
      <c r="V829" s="19" t="s">
        <v>103</v>
      </c>
      <c r="W829" s="19" t="s">
        <v>231</v>
      </c>
      <c r="X829" s="19" t="s">
        <v>46</v>
      </c>
      <c r="Y829" s="29"/>
      <c r="Z829" s="19"/>
      <c r="AA829" s="19"/>
      <c r="AB829" s="19" t="s">
        <v>786</v>
      </c>
      <c r="AC829" s="19" t="s">
        <v>214</v>
      </c>
      <c r="AD829" s="19"/>
      <c r="AE829" s="24">
        <v>26.995100000000001</v>
      </c>
      <c r="AF829" s="101"/>
      <c r="AG829" s="19" t="s">
        <v>235</v>
      </c>
      <c r="AH829" s="19"/>
      <c r="AI829" s="19"/>
      <c r="AJ829" s="19">
        <v>6.26</v>
      </c>
      <c r="AK829" s="19" t="s">
        <v>787</v>
      </c>
      <c r="AL829" s="19"/>
      <c r="AM829" s="19"/>
      <c r="AN829" s="19" t="s">
        <v>788</v>
      </c>
      <c r="AO829" s="19" t="s">
        <v>270</v>
      </c>
      <c r="AP829" s="94">
        <v>2.48</v>
      </c>
      <c r="AQ829" s="19" t="s">
        <v>91</v>
      </c>
      <c r="AR829" s="19" t="s">
        <v>241</v>
      </c>
      <c r="AS829" s="19"/>
      <c r="AT829" s="65" t="str">
        <f t="shared" si="226"/>
        <v>Y</v>
      </c>
      <c r="AU829" s="65" t="str">
        <f t="shared" si="227"/>
        <v>Y</v>
      </c>
      <c r="AV829" s="65" t="str">
        <f t="shared" si="228"/>
        <v>Y</v>
      </c>
      <c r="AW829" s="99"/>
      <c r="AX829" s="99" t="s">
        <v>1643</v>
      </c>
      <c r="AY829" s="19"/>
      <c r="AZ829" s="96" t="str">
        <f t="shared" si="229"/>
        <v>EC10</v>
      </c>
      <c r="BA829" s="96">
        <f>IF(AZ829="n","n",VLOOKUP(AZ829,'Conversion factors'!$C$4:$D$24,2,FALSE))</f>
        <v>1</v>
      </c>
      <c r="BB829" s="96">
        <f t="shared" si="230"/>
        <v>109</v>
      </c>
      <c r="BC829" s="97"/>
      <c r="BD829" s="96" t="str">
        <f t="shared" si="231"/>
        <v>Chronic</v>
      </c>
      <c r="BE829" s="96" t="str">
        <f t="shared" si="232"/>
        <v>y</v>
      </c>
      <c r="BF829" s="98" t="str">
        <f t="shared" si="233"/>
        <v>EC10</v>
      </c>
      <c r="BG829" s="96" t="str">
        <f>IF(BF829="","",IF(ISNUMBER(VLOOKUP(BF829,'Conversion factors'!$B$35:$C$52,2,FALSE)),"y","n"))</f>
        <v>y</v>
      </c>
      <c r="BH829" s="99"/>
      <c r="BI829" s="20" t="s">
        <v>1643</v>
      </c>
    </row>
    <row r="830" spans="1:61" s="103" customFormat="1" ht="15.75" customHeight="1" x14ac:dyDescent="0.2">
      <c r="A830" s="18"/>
      <c r="B830" s="19">
        <v>254</v>
      </c>
      <c r="C830" s="19"/>
      <c r="D830" s="19">
        <v>84052</v>
      </c>
      <c r="E830" s="19" t="s">
        <v>1224</v>
      </c>
      <c r="F830" s="93">
        <v>2005</v>
      </c>
      <c r="G830" s="19" t="s">
        <v>785</v>
      </c>
      <c r="H830" s="19"/>
      <c r="I830" s="19" t="s">
        <v>41</v>
      </c>
      <c r="J830" s="19" t="s">
        <v>344</v>
      </c>
      <c r="K830" s="19" t="s">
        <v>42</v>
      </c>
      <c r="L830" s="19" t="s">
        <v>43</v>
      </c>
      <c r="M830" s="19" t="s">
        <v>1303</v>
      </c>
      <c r="N830" s="19" t="s">
        <v>109</v>
      </c>
      <c r="O830" s="19" t="s">
        <v>264</v>
      </c>
      <c r="P830" s="19" t="s">
        <v>53</v>
      </c>
      <c r="Q830" s="19"/>
      <c r="R830" s="19" t="s">
        <v>256</v>
      </c>
      <c r="S830" s="19" t="s">
        <v>309</v>
      </c>
      <c r="T830" s="19" t="s">
        <v>49</v>
      </c>
      <c r="U830" s="19" t="s">
        <v>49</v>
      </c>
      <c r="V830" s="19" t="s">
        <v>103</v>
      </c>
      <c r="W830" s="19" t="s">
        <v>231</v>
      </c>
      <c r="X830" s="19" t="s">
        <v>46</v>
      </c>
      <c r="Y830" s="29"/>
      <c r="Z830" s="19"/>
      <c r="AA830" s="19"/>
      <c r="AB830" s="19" t="s">
        <v>790</v>
      </c>
      <c r="AC830" s="19" t="s">
        <v>214</v>
      </c>
      <c r="AD830" s="19"/>
      <c r="AE830" s="24">
        <v>26.587723999999998</v>
      </c>
      <c r="AF830" s="101"/>
      <c r="AG830" s="19" t="s">
        <v>235</v>
      </c>
      <c r="AH830" s="19"/>
      <c r="AI830" s="19"/>
      <c r="AJ830" s="19">
        <v>6.43</v>
      </c>
      <c r="AK830" s="19" t="s">
        <v>791</v>
      </c>
      <c r="AL830" s="19"/>
      <c r="AM830" s="19"/>
      <c r="AN830" s="19" t="s">
        <v>792</v>
      </c>
      <c r="AO830" s="19" t="s">
        <v>270</v>
      </c>
      <c r="AP830" s="94">
        <v>3.65</v>
      </c>
      <c r="AQ830" s="19" t="s">
        <v>91</v>
      </c>
      <c r="AR830" s="19" t="s">
        <v>241</v>
      </c>
      <c r="AS830" s="19"/>
      <c r="AT830" s="65" t="str">
        <f t="shared" si="226"/>
        <v>Y</v>
      </c>
      <c r="AU830" s="65" t="str">
        <f t="shared" si="227"/>
        <v>Y</v>
      </c>
      <c r="AV830" s="65" t="str">
        <f t="shared" si="228"/>
        <v>Y</v>
      </c>
      <c r="AW830" s="99"/>
      <c r="AX830" s="99" t="s">
        <v>1643</v>
      </c>
      <c r="AY830" s="19"/>
      <c r="AZ830" s="96" t="str">
        <f t="shared" si="229"/>
        <v>EC10</v>
      </c>
      <c r="BA830" s="96">
        <f>IF(AZ830="n","n",VLOOKUP(AZ830,'Conversion factors'!$C$4:$D$24,2,FALSE))</f>
        <v>1</v>
      </c>
      <c r="BB830" s="96">
        <f t="shared" si="230"/>
        <v>78.5</v>
      </c>
      <c r="BC830" s="97"/>
      <c r="BD830" s="96" t="str">
        <f t="shared" si="231"/>
        <v>Chronic</v>
      </c>
      <c r="BE830" s="96" t="str">
        <f t="shared" si="232"/>
        <v>y</v>
      </c>
      <c r="BF830" s="98" t="str">
        <f t="shared" si="233"/>
        <v>EC10</v>
      </c>
      <c r="BG830" s="96" t="str">
        <f>IF(BF830="","",IF(ISNUMBER(VLOOKUP(BF830,'Conversion factors'!$B$35:$C$52,2,FALSE)),"y","n"))</f>
        <v>y</v>
      </c>
      <c r="BH830" s="99"/>
      <c r="BI830" s="20" t="s">
        <v>1643</v>
      </c>
    </row>
    <row r="831" spans="1:61" s="103" customFormat="1" ht="15.75" customHeight="1" x14ac:dyDescent="0.2">
      <c r="A831" s="18"/>
      <c r="B831" s="19">
        <v>254</v>
      </c>
      <c r="C831" s="19"/>
      <c r="D831" s="19">
        <v>84052</v>
      </c>
      <c r="E831" s="19" t="s">
        <v>1224</v>
      </c>
      <c r="F831" s="93">
        <v>2005</v>
      </c>
      <c r="G831" s="19" t="s">
        <v>785</v>
      </c>
      <c r="H831" s="19"/>
      <c r="I831" s="19" t="s">
        <v>41</v>
      </c>
      <c r="J831" s="19" t="s">
        <v>344</v>
      </c>
      <c r="K831" s="19" t="s">
        <v>42</v>
      </c>
      <c r="L831" s="19" t="s">
        <v>43</v>
      </c>
      <c r="M831" s="19" t="s">
        <v>1303</v>
      </c>
      <c r="N831" s="19" t="s">
        <v>109</v>
      </c>
      <c r="O831" s="19" t="s">
        <v>264</v>
      </c>
      <c r="P831" s="19" t="s">
        <v>53</v>
      </c>
      <c r="Q831" s="19"/>
      <c r="R831" s="19" t="s">
        <v>256</v>
      </c>
      <c r="S831" s="19" t="s">
        <v>309</v>
      </c>
      <c r="T831" s="19" t="s">
        <v>49</v>
      </c>
      <c r="U831" s="19" t="s">
        <v>49</v>
      </c>
      <c r="V831" s="19" t="s">
        <v>103</v>
      </c>
      <c r="W831" s="19" t="s">
        <v>231</v>
      </c>
      <c r="X831" s="19" t="s">
        <v>46</v>
      </c>
      <c r="Y831" s="29"/>
      <c r="Z831" s="19"/>
      <c r="AA831" s="19"/>
      <c r="AB831" s="19" t="s">
        <v>333</v>
      </c>
      <c r="AC831" s="19" t="s">
        <v>214</v>
      </c>
      <c r="AD831" s="19"/>
      <c r="AE831" s="24">
        <v>7.0236900000000002</v>
      </c>
      <c r="AF831" s="101"/>
      <c r="AG831" s="19" t="s">
        <v>235</v>
      </c>
      <c r="AH831" s="19"/>
      <c r="AI831" s="19"/>
      <c r="AJ831" s="19">
        <v>5.75</v>
      </c>
      <c r="AK831" s="19" t="s">
        <v>793</v>
      </c>
      <c r="AL831" s="19"/>
      <c r="AM831" s="19" t="s">
        <v>234</v>
      </c>
      <c r="AN831" s="19" t="s">
        <v>789</v>
      </c>
      <c r="AO831" s="19" t="s">
        <v>270</v>
      </c>
      <c r="AP831" s="94">
        <v>6.7</v>
      </c>
      <c r="AQ831" s="19" t="s">
        <v>91</v>
      </c>
      <c r="AR831" s="19" t="s">
        <v>241</v>
      </c>
      <c r="AS831" s="19"/>
      <c r="AT831" s="65" t="str">
        <f t="shared" si="226"/>
        <v>Y</v>
      </c>
      <c r="AU831" s="65" t="str">
        <f t="shared" si="227"/>
        <v>N</v>
      </c>
      <c r="AV831" s="65" t="str">
        <f t="shared" si="228"/>
        <v>N</v>
      </c>
      <c r="AW831" s="99" t="s">
        <v>1405</v>
      </c>
      <c r="AX831" s="99"/>
      <c r="AY831" s="19"/>
      <c r="AZ831" s="96" t="str">
        <f t="shared" si="229"/>
        <v>n</v>
      </c>
      <c r="BA831" s="96" t="str">
        <f>IF(AZ831="n","n",VLOOKUP(AZ831,'Conversion factors'!$C$4:$D$24,2,FALSE))</f>
        <v>n</v>
      </c>
      <c r="BB831" s="96" t="str">
        <f t="shared" si="230"/>
        <v>n</v>
      </c>
      <c r="BC831" s="97"/>
      <c r="BD831" s="96" t="str">
        <f t="shared" si="231"/>
        <v>n</v>
      </c>
      <c r="BE831" s="96" t="str">
        <f t="shared" si="232"/>
        <v>n</v>
      </c>
      <c r="BF831" s="98" t="str">
        <f t="shared" si="233"/>
        <v/>
      </c>
      <c r="BG831" s="96" t="str">
        <f>IF(BF831="","",IF(ISNUMBER(VLOOKUP(BF831,'Conversion factors'!$B$35:$C$52,2,FALSE)),"y","n"))</f>
        <v/>
      </c>
      <c r="BH831" s="99"/>
    </row>
    <row r="832" spans="1:61" s="103" customFormat="1" ht="15.75" customHeight="1" x14ac:dyDescent="0.2">
      <c r="A832" s="18"/>
      <c r="B832" s="19">
        <v>254</v>
      </c>
      <c r="C832" s="19"/>
      <c r="D832" s="19">
        <v>84052</v>
      </c>
      <c r="E832" s="19" t="s">
        <v>1224</v>
      </c>
      <c r="F832" s="93">
        <v>2005</v>
      </c>
      <c r="G832" s="19" t="s">
        <v>785</v>
      </c>
      <c r="H832" s="19"/>
      <c r="I832" s="19" t="s">
        <v>41</v>
      </c>
      <c r="J832" s="19" t="s">
        <v>344</v>
      </c>
      <c r="K832" s="19" t="s">
        <v>42</v>
      </c>
      <c r="L832" s="19" t="s">
        <v>43</v>
      </c>
      <c r="M832" s="19" t="s">
        <v>1303</v>
      </c>
      <c r="N832" s="19" t="s">
        <v>109</v>
      </c>
      <c r="O832" s="19" t="s">
        <v>264</v>
      </c>
      <c r="P832" s="19" t="s">
        <v>53</v>
      </c>
      <c r="Q832" s="19"/>
      <c r="R832" s="19" t="s">
        <v>256</v>
      </c>
      <c r="S832" s="19" t="s">
        <v>309</v>
      </c>
      <c r="T832" s="19" t="s">
        <v>49</v>
      </c>
      <c r="U832" s="19" t="s">
        <v>49</v>
      </c>
      <c r="V832" s="19" t="s">
        <v>103</v>
      </c>
      <c r="W832" s="19" t="s">
        <v>231</v>
      </c>
      <c r="X832" s="19" t="s">
        <v>46</v>
      </c>
      <c r="Y832" s="29"/>
      <c r="Z832" s="19"/>
      <c r="AA832" s="19"/>
      <c r="AB832" s="19" t="s">
        <v>794</v>
      </c>
      <c r="AC832" s="19" t="s">
        <v>214</v>
      </c>
      <c r="AD832" s="19"/>
      <c r="AE832" s="24">
        <v>144.36112</v>
      </c>
      <c r="AF832" s="101"/>
      <c r="AG832" s="19" t="s">
        <v>235</v>
      </c>
      <c r="AH832" s="19"/>
      <c r="AI832" s="19"/>
      <c r="AJ832" s="19">
        <v>7.42</v>
      </c>
      <c r="AK832" s="19" t="s">
        <v>795</v>
      </c>
      <c r="AL832" s="19"/>
      <c r="AM832" s="19"/>
      <c r="AN832" s="19" t="s">
        <v>796</v>
      </c>
      <c r="AO832" s="19" t="s">
        <v>270</v>
      </c>
      <c r="AP832" s="94">
        <v>22.3</v>
      </c>
      <c r="AQ832" s="19" t="s">
        <v>91</v>
      </c>
      <c r="AR832" s="19" t="s">
        <v>241</v>
      </c>
      <c r="AS832" s="19"/>
      <c r="AT832" s="65" t="str">
        <f t="shared" si="226"/>
        <v>Y</v>
      </c>
      <c r="AU832" s="65" t="str">
        <f t="shared" si="227"/>
        <v>Y</v>
      </c>
      <c r="AV832" s="65" t="str">
        <f t="shared" si="228"/>
        <v>Y</v>
      </c>
      <c r="AW832" s="99"/>
      <c r="AX832" s="99" t="s">
        <v>1643</v>
      </c>
      <c r="AY832" s="19"/>
      <c r="AZ832" s="96" t="str">
        <f t="shared" si="229"/>
        <v>EC10</v>
      </c>
      <c r="BA832" s="96">
        <f>IF(AZ832="n","n",VLOOKUP(AZ832,'Conversion factors'!$C$4:$D$24,2,FALSE))</f>
        <v>1</v>
      </c>
      <c r="BB832" s="96">
        <f t="shared" si="230"/>
        <v>136</v>
      </c>
      <c r="BC832" s="97"/>
      <c r="BD832" s="96" t="str">
        <f t="shared" si="231"/>
        <v>Chronic</v>
      </c>
      <c r="BE832" s="96" t="str">
        <f t="shared" si="232"/>
        <v>y</v>
      </c>
      <c r="BF832" s="98" t="str">
        <f t="shared" si="233"/>
        <v>EC10</v>
      </c>
      <c r="BG832" s="96" t="str">
        <f>IF(BF832="","",IF(ISNUMBER(VLOOKUP(BF832,'Conversion factors'!$B$35:$C$52,2,FALSE)),"y","n"))</f>
        <v>y</v>
      </c>
      <c r="BH832" s="99"/>
      <c r="BI832" s="20" t="s">
        <v>1643</v>
      </c>
    </row>
    <row r="833" spans="1:61" s="103" customFormat="1" ht="15.75" customHeight="1" x14ac:dyDescent="0.2">
      <c r="A833" s="18"/>
      <c r="B833" s="19">
        <v>254</v>
      </c>
      <c r="C833" s="19"/>
      <c r="D833" s="19">
        <v>84052</v>
      </c>
      <c r="E833" s="19" t="s">
        <v>1224</v>
      </c>
      <c r="F833" s="93">
        <v>2005</v>
      </c>
      <c r="G833" s="19" t="s">
        <v>785</v>
      </c>
      <c r="H833" s="19"/>
      <c r="I833" s="19" t="s">
        <v>41</v>
      </c>
      <c r="J833" s="19" t="s">
        <v>344</v>
      </c>
      <c r="K833" s="19" t="s">
        <v>42</v>
      </c>
      <c r="L833" s="19" t="s">
        <v>43</v>
      </c>
      <c r="M833" s="19" t="s">
        <v>1303</v>
      </c>
      <c r="N833" s="19" t="s">
        <v>109</v>
      </c>
      <c r="O833" s="19" t="s">
        <v>264</v>
      </c>
      <c r="P833" s="19" t="s">
        <v>53</v>
      </c>
      <c r="Q833" s="19"/>
      <c r="R833" s="19" t="s">
        <v>256</v>
      </c>
      <c r="S833" s="19" t="s">
        <v>309</v>
      </c>
      <c r="T833" s="19" t="s">
        <v>49</v>
      </c>
      <c r="U833" s="19" t="s">
        <v>49</v>
      </c>
      <c r="V833" s="19" t="s">
        <v>103</v>
      </c>
      <c r="W833" s="19" t="s">
        <v>231</v>
      </c>
      <c r="X833" s="19" t="s">
        <v>46</v>
      </c>
      <c r="Y833" s="29"/>
      <c r="Z833" s="19"/>
      <c r="AA833" s="19"/>
      <c r="AB833" s="19" t="s">
        <v>797</v>
      </c>
      <c r="AC833" s="19" t="s">
        <v>214</v>
      </c>
      <c r="AD833" s="19"/>
      <c r="AE833" s="24">
        <v>16.380559999999999</v>
      </c>
      <c r="AF833" s="101"/>
      <c r="AG833" s="19" t="s">
        <v>235</v>
      </c>
      <c r="AH833" s="19"/>
      <c r="AI833" s="19"/>
      <c r="AJ833" s="19">
        <v>5.7</v>
      </c>
      <c r="AK833" s="19" t="s">
        <v>798</v>
      </c>
      <c r="AL833" s="19"/>
      <c r="AM833" s="19" t="s">
        <v>234</v>
      </c>
      <c r="AN833" s="19" t="s">
        <v>799</v>
      </c>
      <c r="AO833" s="19" t="s">
        <v>270</v>
      </c>
      <c r="AP833" s="94">
        <v>6.27</v>
      </c>
      <c r="AQ833" s="19" t="s">
        <v>91</v>
      </c>
      <c r="AR833" s="19" t="s">
        <v>241</v>
      </c>
      <c r="AS833" s="19"/>
      <c r="AT833" s="65" t="str">
        <f t="shared" si="226"/>
        <v>Y</v>
      </c>
      <c r="AU833" s="65" t="str">
        <f t="shared" si="227"/>
        <v>N</v>
      </c>
      <c r="AV833" s="65" t="str">
        <f t="shared" si="228"/>
        <v>N</v>
      </c>
      <c r="AW833" s="99" t="s">
        <v>1405</v>
      </c>
      <c r="AX833" s="99"/>
      <c r="AY833" s="19"/>
      <c r="AZ833" s="96" t="str">
        <f t="shared" si="229"/>
        <v>n</v>
      </c>
      <c r="BA833" s="96" t="str">
        <f>IF(AZ833="n","n",VLOOKUP(AZ833,'Conversion factors'!$C$4:$D$24,2,FALSE))</f>
        <v>n</v>
      </c>
      <c r="BB833" s="96" t="str">
        <f t="shared" si="230"/>
        <v>n</v>
      </c>
      <c r="BC833" s="97"/>
      <c r="BD833" s="96" t="str">
        <f t="shared" si="231"/>
        <v>n</v>
      </c>
      <c r="BE833" s="96" t="str">
        <f t="shared" si="232"/>
        <v>n</v>
      </c>
      <c r="BF833" s="98" t="str">
        <f t="shared" si="233"/>
        <v/>
      </c>
      <c r="BG833" s="96" t="str">
        <f>IF(BF833="","",IF(ISNUMBER(VLOOKUP(BF833,'Conversion factors'!$B$35:$C$52,2,FALSE)),"y","n"))</f>
        <v/>
      </c>
      <c r="BH833" s="99"/>
    </row>
    <row r="834" spans="1:61" s="103" customFormat="1" ht="15.75" customHeight="1" x14ac:dyDescent="0.2">
      <c r="A834" s="18"/>
      <c r="B834" s="19">
        <v>254</v>
      </c>
      <c r="C834" s="19"/>
      <c r="D834" s="19">
        <v>84052</v>
      </c>
      <c r="E834" s="19" t="s">
        <v>1224</v>
      </c>
      <c r="F834" s="93">
        <v>2005</v>
      </c>
      <c r="G834" s="19" t="s">
        <v>785</v>
      </c>
      <c r="H834" s="19"/>
      <c r="I834" s="19" t="s">
        <v>41</v>
      </c>
      <c r="J834" s="19" t="s">
        <v>344</v>
      </c>
      <c r="K834" s="19" t="s">
        <v>42</v>
      </c>
      <c r="L834" s="19" t="s">
        <v>43</v>
      </c>
      <c r="M834" s="19" t="s">
        <v>1303</v>
      </c>
      <c r="N834" s="19" t="s">
        <v>109</v>
      </c>
      <c r="O834" s="19" t="s">
        <v>264</v>
      </c>
      <c r="P834" s="19" t="s">
        <v>53</v>
      </c>
      <c r="Q834" s="19"/>
      <c r="R834" s="19" t="s">
        <v>256</v>
      </c>
      <c r="S834" s="19" t="s">
        <v>309</v>
      </c>
      <c r="T834" s="19" t="s">
        <v>49</v>
      </c>
      <c r="U834" s="19" t="s">
        <v>49</v>
      </c>
      <c r="V834" s="19" t="s">
        <v>103</v>
      </c>
      <c r="W834" s="19" t="s">
        <v>231</v>
      </c>
      <c r="X834" s="19" t="s">
        <v>46</v>
      </c>
      <c r="Y834" s="29"/>
      <c r="Z834" s="19"/>
      <c r="AA834" s="19"/>
      <c r="AB834" s="19" t="s">
        <v>615</v>
      </c>
      <c r="AC834" s="19" t="s">
        <v>214</v>
      </c>
      <c r="AD834" s="19"/>
      <c r="AE834" s="24">
        <v>14.21513</v>
      </c>
      <c r="AF834" s="101"/>
      <c r="AG834" s="19" t="s">
        <v>235</v>
      </c>
      <c r="AH834" s="19"/>
      <c r="AI834" s="19"/>
      <c r="AJ834" s="19">
        <v>5.7</v>
      </c>
      <c r="AK834" s="19" t="s">
        <v>798</v>
      </c>
      <c r="AL834" s="19"/>
      <c r="AM834" s="19" t="s">
        <v>234</v>
      </c>
      <c r="AN834" s="19" t="s">
        <v>800</v>
      </c>
      <c r="AO834" s="19" t="s">
        <v>270</v>
      </c>
      <c r="AP834" s="94">
        <v>6.28</v>
      </c>
      <c r="AQ834" s="19" t="s">
        <v>91</v>
      </c>
      <c r="AR834" s="19" t="s">
        <v>241</v>
      </c>
      <c r="AS834" s="19"/>
      <c r="AT834" s="65" t="str">
        <f t="shared" si="226"/>
        <v>Y</v>
      </c>
      <c r="AU834" s="65" t="str">
        <f t="shared" si="227"/>
        <v>N</v>
      </c>
      <c r="AV834" s="65" t="str">
        <f t="shared" si="228"/>
        <v>N</v>
      </c>
      <c r="AW834" s="99" t="s">
        <v>1405</v>
      </c>
      <c r="AX834" s="99"/>
      <c r="AY834" s="19"/>
      <c r="AZ834" s="96" t="str">
        <f t="shared" si="229"/>
        <v>n</v>
      </c>
      <c r="BA834" s="96" t="str">
        <f>IF(AZ834="n","n",VLOOKUP(AZ834,'Conversion factors'!$C$4:$D$24,2,FALSE))</f>
        <v>n</v>
      </c>
      <c r="BB834" s="96" t="str">
        <f t="shared" si="230"/>
        <v>n</v>
      </c>
      <c r="BC834" s="97"/>
      <c r="BD834" s="96" t="str">
        <f t="shared" si="231"/>
        <v>n</v>
      </c>
      <c r="BE834" s="96" t="str">
        <f t="shared" si="232"/>
        <v>n</v>
      </c>
      <c r="BF834" s="98" t="str">
        <f t="shared" si="233"/>
        <v/>
      </c>
      <c r="BG834" s="96" t="str">
        <f>IF(BF834="","",IF(ISNUMBER(VLOOKUP(BF834,'Conversion factors'!$B$35:$C$52,2,FALSE)),"y","n"))</f>
        <v/>
      </c>
      <c r="BH834" s="99"/>
    </row>
    <row r="835" spans="1:61" s="103" customFormat="1" ht="15.75" customHeight="1" x14ac:dyDescent="0.2">
      <c r="A835" s="18"/>
      <c r="B835" s="19">
        <v>254</v>
      </c>
      <c r="C835" s="19"/>
      <c r="D835" s="19">
        <v>84052</v>
      </c>
      <c r="E835" s="19" t="s">
        <v>1224</v>
      </c>
      <c r="F835" s="93">
        <v>2005</v>
      </c>
      <c r="G835" s="19" t="s">
        <v>785</v>
      </c>
      <c r="H835" s="19"/>
      <c r="I835" s="19" t="s">
        <v>41</v>
      </c>
      <c r="J835" s="19" t="s">
        <v>344</v>
      </c>
      <c r="K835" s="19" t="s">
        <v>42</v>
      </c>
      <c r="L835" s="19" t="s">
        <v>43</v>
      </c>
      <c r="M835" s="19" t="s">
        <v>1303</v>
      </c>
      <c r="N835" s="19" t="s">
        <v>109</v>
      </c>
      <c r="O835" s="19" t="s">
        <v>264</v>
      </c>
      <c r="P835" s="19" t="s">
        <v>53</v>
      </c>
      <c r="Q835" s="19"/>
      <c r="R835" s="19" t="s">
        <v>256</v>
      </c>
      <c r="S835" s="19" t="s">
        <v>309</v>
      </c>
      <c r="T835" s="19" t="s">
        <v>49</v>
      </c>
      <c r="U835" s="19" t="s">
        <v>49</v>
      </c>
      <c r="V835" s="19" t="s">
        <v>103</v>
      </c>
      <c r="W835" s="19" t="s">
        <v>231</v>
      </c>
      <c r="X835" s="19" t="s">
        <v>46</v>
      </c>
      <c r="Y835" s="29"/>
      <c r="Z835" s="19"/>
      <c r="AA835" s="19"/>
      <c r="AB835" s="19" t="s">
        <v>801</v>
      </c>
      <c r="AC835" s="19" t="s">
        <v>214</v>
      </c>
      <c r="AD835" s="19"/>
      <c r="AE835" s="24">
        <v>239.07499999999999</v>
      </c>
      <c r="AF835" s="101"/>
      <c r="AG835" s="19" t="s">
        <v>235</v>
      </c>
      <c r="AH835" s="19"/>
      <c r="AI835" s="19"/>
      <c r="AJ835" s="19">
        <v>8.01</v>
      </c>
      <c r="AK835" s="19" t="s">
        <v>802</v>
      </c>
      <c r="AL835" s="19"/>
      <c r="AM835" s="19"/>
      <c r="AN835" s="19" t="s">
        <v>803</v>
      </c>
      <c r="AO835" s="19" t="s">
        <v>270</v>
      </c>
      <c r="AP835" s="94">
        <v>5.89</v>
      </c>
      <c r="AQ835" s="19" t="s">
        <v>91</v>
      </c>
      <c r="AR835" s="19" t="s">
        <v>241</v>
      </c>
      <c r="AS835" s="19"/>
      <c r="AT835" s="65" t="str">
        <f t="shared" si="226"/>
        <v>Y</v>
      </c>
      <c r="AU835" s="65" t="str">
        <f t="shared" si="227"/>
        <v>Y</v>
      </c>
      <c r="AV835" s="65" t="str">
        <f t="shared" si="228"/>
        <v>Y</v>
      </c>
      <c r="AW835" s="99"/>
      <c r="AX835" s="99" t="s">
        <v>1643</v>
      </c>
      <c r="AY835" s="19"/>
      <c r="AZ835" s="96" t="str">
        <f t="shared" si="229"/>
        <v>EC10</v>
      </c>
      <c r="BA835" s="96">
        <f>IF(AZ835="n","n",VLOOKUP(AZ835,'Conversion factors'!$C$4:$D$24,2,FALSE))</f>
        <v>1</v>
      </c>
      <c r="BB835" s="96">
        <f t="shared" si="230"/>
        <v>27.3</v>
      </c>
      <c r="BC835" s="97"/>
      <c r="BD835" s="96" t="str">
        <f t="shared" si="231"/>
        <v>Chronic</v>
      </c>
      <c r="BE835" s="96" t="str">
        <f t="shared" si="232"/>
        <v>y</v>
      </c>
      <c r="BF835" s="98" t="str">
        <f t="shared" si="233"/>
        <v>EC10</v>
      </c>
      <c r="BG835" s="96" t="str">
        <f>IF(BF835="","",IF(ISNUMBER(VLOOKUP(BF835,'Conversion factors'!$B$35:$C$52,2,FALSE)),"y","n"))</f>
        <v>y</v>
      </c>
      <c r="BH835" s="99"/>
      <c r="BI835" s="20" t="s">
        <v>1643</v>
      </c>
    </row>
    <row r="836" spans="1:61" s="103" customFormat="1" ht="15.75" customHeight="1" x14ac:dyDescent="0.2">
      <c r="A836" s="18"/>
      <c r="B836" s="19">
        <v>254</v>
      </c>
      <c r="C836" s="19"/>
      <c r="D836" s="19">
        <v>84052</v>
      </c>
      <c r="E836" s="19" t="s">
        <v>1224</v>
      </c>
      <c r="F836" s="93">
        <v>2005</v>
      </c>
      <c r="G836" s="19" t="s">
        <v>785</v>
      </c>
      <c r="H836" s="19"/>
      <c r="I836" s="19" t="s">
        <v>41</v>
      </c>
      <c r="J836" s="19" t="s">
        <v>344</v>
      </c>
      <c r="K836" s="19" t="s">
        <v>42</v>
      </c>
      <c r="L836" s="19" t="s">
        <v>43</v>
      </c>
      <c r="M836" s="19" t="s">
        <v>1303</v>
      </c>
      <c r="N836" s="19" t="s">
        <v>109</v>
      </c>
      <c r="O836" s="19" t="s">
        <v>264</v>
      </c>
      <c r="P836" s="19" t="s">
        <v>53</v>
      </c>
      <c r="Q836" s="19"/>
      <c r="R836" s="19" t="s">
        <v>256</v>
      </c>
      <c r="S836" s="19" t="s">
        <v>309</v>
      </c>
      <c r="T836" s="19" t="s">
        <v>44</v>
      </c>
      <c r="U836" s="19" t="s">
        <v>44</v>
      </c>
      <c r="V836" s="19" t="s">
        <v>103</v>
      </c>
      <c r="W836" s="19" t="s">
        <v>231</v>
      </c>
      <c r="X836" s="19" t="s">
        <v>46</v>
      </c>
      <c r="Y836" s="29"/>
      <c r="Z836" s="19"/>
      <c r="AA836" s="19"/>
      <c r="AB836" s="19" t="s">
        <v>804</v>
      </c>
      <c r="AC836" s="19" t="s">
        <v>214</v>
      </c>
      <c r="AD836" s="19"/>
      <c r="AE836" s="24">
        <v>16.380559999999999</v>
      </c>
      <c r="AF836" s="101"/>
      <c r="AG836" s="19" t="s">
        <v>235</v>
      </c>
      <c r="AH836" s="19"/>
      <c r="AI836" s="19"/>
      <c r="AJ836" s="19">
        <v>5.7</v>
      </c>
      <c r="AK836" s="19" t="s">
        <v>798</v>
      </c>
      <c r="AL836" s="19"/>
      <c r="AM836" s="19" t="s">
        <v>234</v>
      </c>
      <c r="AN836" s="19" t="s">
        <v>799</v>
      </c>
      <c r="AO836" s="19" t="s">
        <v>270</v>
      </c>
      <c r="AP836" s="94">
        <v>6.27</v>
      </c>
      <c r="AQ836" s="19" t="s">
        <v>91</v>
      </c>
      <c r="AR836" s="19" t="s">
        <v>241</v>
      </c>
      <c r="AS836" s="19"/>
      <c r="AT836" s="65" t="str">
        <f t="shared" ref="AT836:AT867" si="234">IF(F836&lt;1980,"N",IF(AC836="M","Y",IF(AC836="SM","Y","N")))</f>
        <v>Y</v>
      </c>
      <c r="AU836" s="65" t="str">
        <f t="shared" ref="AU836:AU867" si="235">IF(AT836="N","N",IF(AJ836&lt;6,"N",IF(AJ836&gt;8.5,"N","Y")))</f>
        <v>N</v>
      </c>
      <c r="AV836" s="65" t="s">
        <v>162</v>
      </c>
      <c r="AW836" s="99" t="s">
        <v>1405</v>
      </c>
      <c r="AX836" s="99"/>
      <c r="AY836" s="19"/>
      <c r="AZ836" s="96" t="str">
        <f t="shared" ref="AZ836:AZ867" si="236">IF(AV836="N","n",T836)</f>
        <v>n</v>
      </c>
      <c r="BA836" s="96" t="str">
        <f>IF(AZ836="n","n",VLOOKUP(AZ836,'Conversion factors'!$C$4:$D$24,2,FALSE))</f>
        <v>n</v>
      </c>
      <c r="BB836" s="96" t="str">
        <f t="shared" ref="BB836:BB867" si="237">IF(BA836="n","n",AB836/BA836)</f>
        <v>n</v>
      </c>
      <c r="BC836" s="97"/>
      <c r="BD836" s="96" t="str">
        <f t="shared" ref="BD836:BD867" si="238">IF(AV836="N","n",X836)</f>
        <v>n</v>
      </c>
      <c r="BE836" s="96" t="str">
        <f t="shared" ref="BE836:BE867" si="239">IF(BD836="chronic","y","n")</f>
        <v>n</v>
      </c>
      <c r="BF836" s="98" t="str">
        <f t="shared" ref="BF836:BF867" si="240">IF(BE836="n","",AZ836)</f>
        <v/>
      </c>
      <c r="BG836" s="96" t="str">
        <f>IF(BF836="","",IF(ISNUMBER(VLOOKUP(BF836,'Conversion factors'!$B$35:$C$52,2,FALSE)),"y","n"))</f>
        <v/>
      </c>
      <c r="BH836" s="99" t="s">
        <v>1467</v>
      </c>
    </row>
    <row r="837" spans="1:61" s="103" customFormat="1" ht="15.75" customHeight="1" x14ac:dyDescent="0.2">
      <c r="A837" s="18"/>
      <c r="B837" s="19">
        <v>254</v>
      </c>
      <c r="C837" s="19"/>
      <c r="D837" s="19">
        <v>84052</v>
      </c>
      <c r="E837" s="19" t="s">
        <v>1224</v>
      </c>
      <c r="F837" s="93">
        <v>2005</v>
      </c>
      <c r="G837" s="19" t="s">
        <v>785</v>
      </c>
      <c r="H837" s="19"/>
      <c r="I837" s="19" t="s">
        <v>41</v>
      </c>
      <c r="J837" s="19" t="s">
        <v>344</v>
      </c>
      <c r="K837" s="19" t="s">
        <v>42</v>
      </c>
      <c r="L837" s="19" t="s">
        <v>43</v>
      </c>
      <c r="M837" s="19" t="s">
        <v>1303</v>
      </c>
      <c r="N837" s="19" t="s">
        <v>109</v>
      </c>
      <c r="O837" s="19" t="s">
        <v>264</v>
      </c>
      <c r="P837" s="19" t="s">
        <v>53</v>
      </c>
      <c r="Q837" s="19"/>
      <c r="R837" s="19" t="s">
        <v>256</v>
      </c>
      <c r="S837" s="19" t="s">
        <v>309</v>
      </c>
      <c r="T837" s="19" t="s">
        <v>44</v>
      </c>
      <c r="U837" s="19" t="s">
        <v>44</v>
      </c>
      <c r="V837" s="19" t="s">
        <v>103</v>
      </c>
      <c r="W837" s="19" t="s">
        <v>231</v>
      </c>
      <c r="X837" s="19" t="s">
        <v>46</v>
      </c>
      <c r="Y837" s="29"/>
      <c r="Z837" s="19"/>
      <c r="AA837" s="19"/>
      <c r="AB837" s="19" t="s">
        <v>805</v>
      </c>
      <c r="AC837" s="19" t="s">
        <v>214</v>
      </c>
      <c r="AD837" s="19"/>
      <c r="AE837" s="24">
        <v>144.36112</v>
      </c>
      <c r="AF837" s="101"/>
      <c r="AG837" s="19" t="s">
        <v>235</v>
      </c>
      <c r="AH837" s="19"/>
      <c r="AI837" s="19"/>
      <c r="AJ837" s="19">
        <v>7.42</v>
      </c>
      <c r="AK837" s="19" t="s">
        <v>795</v>
      </c>
      <c r="AL837" s="19"/>
      <c r="AM837" s="19" t="s">
        <v>234</v>
      </c>
      <c r="AN837" s="19" t="s">
        <v>796</v>
      </c>
      <c r="AO837" s="19" t="s">
        <v>270</v>
      </c>
      <c r="AP837" s="94">
        <v>22.3</v>
      </c>
      <c r="AQ837" s="19" t="s">
        <v>91</v>
      </c>
      <c r="AR837" s="19" t="s">
        <v>241</v>
      </c>
      <c r="AS837" s="19"/>
      <c r="AT837" s="65" t="str">
        <f t="shared" si="234"/>
        <v>Y</v>
      </c>
      <c r="AU837" s="65" t="str">
        <f t="shared" si="235"/>
        <v>Y</v>
      </c>
      <c r="AV837" s="65" t="s">
        <v>162</v>
      </c>
      <c r="AW837" s="99" t="s">
        <v>1406</v>
      </c>
      <c r="AX837" s="99"/>
      <c r="AY837" s="19"/>
      <c r="AZ837" s="96" t="str">
        <f t="shared" si="236"/>
        <v>n</v>
      </c>
      <c r="BA837" s="96" t="str">
        <f>IF(AZ837="n","n",VLOOKUP(AZ837,'Conversion factors'!$C$4:$D$24,2,FALSE))</f>
        <v>n</v>
      </c>
      <c r="BB837" s="96" t="str">
        <f t="shared" si="237"/>
        <v>n</v>
      </c>
      <c r="BC837" s="97"/>
      <c r="BD837" s="96" t="str">
        <f t="shared" si="238"/>
        <v>n</v>
      </c>
      <c r="BE837" s="96" t="str">
        <f t="shared" si="239"/>
        <v>n</v>
      </c>
      <c r="BF837" s="98" t="str">
        <f t="shared" si="240"/>
        <v/>
      </c>
      <c r="BG837" s="96" t="str">
        <f>IF(BF837="","",IF(ISNUMBER(VLOOKUP(BF837,'Conversion factors'!$B$35:$C$52,2,FALSE)),"y","n"))</f>
        <v/>
      </c>
      <c r="BH837" s="99" t="s">
        <v>1467</v>
      </c>
    </row>
    <row r="838" spans="1:61" s="103" customFormat="1" ht="15.75" customHeight="1" x14ac:dyDescent="0.2">
      <c r="A838" s="18"/>
      <c r="B838" s="19">
        <v>254</v>
      </c>
      <c r="C838" s="19"/>
      <c r="D838" s="19">
        <v>84052</v>
      </c>
      <c r="E838" s="19" t="s">
        <v>1224</v>
      </c>
      <c r="F838" s="93">
        <v>2005</v>
      </c>
      <c r="G838" s="19" t="s">
        <v>785</v>
      </c>
      <c r="H838" s="19"/>
      <c r="I838" s="19" t="s">
        <v>41</v>
      </c>
      <c r="J838" s="19" t="s">
        <v>344</v>
      </c>
      <c r="K838" s="19" t="s">
        <v>42</v>
      </c>
      <c r="L838" s="19" t="s">
        <v>43</v>
      </c>
      <c r="M838" s="19" t="s">
        <v>1303</v>
      </c>
      <c r="N838" s="19" t="s">
        <v>109</v>
      </c>
      <c r="O838" s="19" t="s">
        <v>264</v>
      </c>
      <c r="P838" s="19" t="s">
        <v>53</v>
      </c>
      <c r="Q838" s="19"/>
      <c r="R838" s="19" t="s">
        <v>256</v>
      </c>
      <c r="S838" s="19" t="s">
        <v>309</v>
      </c>
      <c r="T838" s="19" t="s">
        <v>44</v>
      </c>
      <c r="U838" s="19" t="s">
        <v>44</v>
      </c>
      <c r="V838" s="19" t="s">
        <v>103</v>
      </c>
      <c r="W838" s="19" t="s">
        <v>231</v>
      </c>
      <c r="X838" s="19" t="s">
        <v>46</v>
      </c>
      <c r="Y838" s="29"/>
      <c r="Z838" s="19"/>
      <c r="AA838" s="19"/>
      <c r="AB838" s="19" t="s">
        <v>806</v>
      </c>
      <c r="AC838" s="19" t="s">
        <v>214</v>
      </c>
      <c r="AD838" s="19"/>
      <c r="AE838" s="24">
        <v>239.07499999999999</v>
      </c>
      <c r="AF838" s="101"/>
      <c r="AG838" s="19" t="s">
        <v>235</v>
      </c>
      <c r="AH838" s="19"/>
      <c r="AI838" s="19"/>
      <c r="AJ838" s="19">
        <v>8.01</v>
      </c>
      <c r="AK838" s="19" t="s">
        <v>802</v>
      </c>
      <c r="AL838" s="19"/>
      <c r="AM838" s="19" t="s">
        <v>234</v>
      </c>
      <c r="AN838" s="19" t="s">
        <v>803</v>
      </c>
      <c r="AO838" s="19" t="s">
        <v>270</v>
      </c>
      <c r="AP838" s="94">
        <v>5.89</v>
      </c>
      <c r="AQ838" s="19" t="s">
        <v>91</v>
      </c>
      <c r="AR838" s="19" t="s">
        <v>241</v>
      </c>
      <c r="AS838" s="19"/>
      <c r="AT838" s="65" t="str">
        <f t="shared" si="234"/>
        <v>Y</v>
      </c>
      <c r="AU838" s="65" t="str">
        <f t="shared" si="235"/>
        <v>Y</v>
      </c>
      <c r="AV838" s="65" t="s">
        <v>162</v>
      </c>
      <c r="AW838" s="99" t="s">
        <v>1406</v>
      </c>
      <c r="AX838" s="99"/>
      <c r="AY838" s="19"/>
      <c r="AZ838" s="96" t="str">
        <f t="shared" si="236"/>
        <v>n</v>
      </c>
      <c r="BA838" s="96" t="str">
        <f>IF(AZ838="n","n",VLOOKUP(AZ838,'Conversion factors'!$C$4:$D$24,2,FALSE))</f>
        <v>n</v>
      </c>
      <c r="BB838" s="96" t="str">
        <f t="shared" si="237"/>
        <v>n</v>
      </c>
      <c r="BC838" s="97"/>
      <c r="BD838" s="96" t="str">
        <f t="shared" si="238"/>
        <v>n</v>
      </c>
      <c r="BE838" s="96" t="str">
        <f t="shared" si="239"/>
        <v>n</v>
      </c>
      <c r="BF838" s="98" t="str">
        <f t="shared" si="240"/>
        <v/>
      </c>
      <c r="BG838" s="96" t="str">
        <f>IF(BF838="","",IF(ISNUMBER(VLOOKUP(BF838,'Conversion factors'!$B$35:$C$52,2,FALSE)),"y","n"))</f>
        <v/>
      </c>
      <c r="BH838" s="99" t="s">
        <v>1467</v>
      </c>
    </row>
    <row r="839" spans="1:61" s="103" customFormat="1" ht="15.75" customHeight="1" x14ac:dyDescent="0.2">
      <c r="A839" s="18"/>
      <c r="B839" s="19">
        <v>254</v>
      </c>
      <c r="C839" s="19"/>
      <c r="D839" s="19">
        <v>84052</v>
      </c>
      <c r="E839" s="19" t="s">
        <v>1224</v>
      </c>
      <c r="F839" s="93">
        <v>2005</v>
      </c>
      <c r="G839" s="19" t="s">
        <v>785</v>
      </c>
      <c r="H839" s="19"/>
      <c r="I839" s="19" t="s">
        <v>41</v>
      </c>
      <c r="J839" s="19" t="s">
        <v>344</v>
      </c>
      <c r="K839" s="19" t="s">
        <v>42</v>
      </c>
      <c r="L839" s="19" t="s">
        <v>43</v>
      </c>
      <c r="M839" s="19" t="s">
        <v>1303</v>
      </c>
      <c r="N839" s="19" t="s">
        <v>109</v>
      </c>
      <c r="O839" s="19" t="s">
        <v>264</v>
      </c>
      <c r="P839" s="19" t="s">
        <v>53</v>
      </c>
      <c r="Q839" s="19"/>
      <c r="R839" s="19" t="s">
        <v>256</v>
      </c>
      <c r="S839" s="19" t="s">
        <v>309</v>
      </c>
      <c r="T839" s="19" t="s">
        <v>44</v>
      </c>
      <c r="U839" s="19" t="s">
        <v>44</v>
      </c>
      <c r="V839" s="19" t="s">
        <v>103</v>
      </c>
      <c r="W839" s="19" t="s">
        <v>231</v>
      </c>
      <c r="X839" s="19" t="s">
        <v>46</v>
      </c>
      <c r="Y839" s="29"/>
      <c r="Z839" s="19"/>
      <c r="AA839" s="19"/>
      <c r="AB839" s="19" t="s">
        <v>807</v>
      </c>
      <c r="AC839" s="19" t="s">
        <v>214</v>
      </c>
      <c r="AD839" s="19"/>
      <c r="AE839" s="24">
        <v>26.995100000000001</v>
      </c>
      <c r="AF839" s="101"/>
      <c r="AG839" s="19" t="s">
        <v>235</v>
      </c>
      <c r="AH839" s="19"/>
      <c r="AI839" s="19"/>
      <c r="AJ839" s="19">
        <v>6.26</v>
      </c>
      <c r="AK839" s="19" t="s">
        <v>787</v>
      </c>
      <c r="AL839" s="19"/>
      <c r="AM839" s="19" t="s">
        <v>234</v>
      </c>
      <c r="AN839" s="19" t="s">
        <v>788</v>
      </c>
      <c r="AO839" s="19" t="s">
        <v>270</v>
      </c>
      <c r="AP839" s="94">
        <v>2.48</v>
      </c>
      <c r="AQ839" s="19" t="s">
        <v>91</v>
      </c>
      <c r="AR839" s="19" t="s">
        <v>241</v>
      </c>
      <c r="AS839" s="19"/>
      <c r="AT839" s="65" t="str">
        <f t="shared" si="234"/>
        <v>Y</v>
      </c>
      <c r="AU839" s="65" t="str">
        <f t="shared" si="235"/>
        <v>Y</v>
      </c>
      <c r="AV839" s="65" t="s">
        <v>162</v>
      </c>
      <c r="AW839" s="99" t="s">
        <v>1405</v>
      </c>
      <c r="AX839" s="99"/>
      <c r="AY839" s="19"/>
      <c r="AZ839" s="96" t="str">
        <f t="shared" si="236"/>
        <v>n</v>
      </c>
      <c r="BA839" s="96" t="str">
        <f>IF(AZ839="n","n",VLOOKUP(AZ839,'Conversion factors'!$C$4:$D$24,2,FALSE))</f>
        <v>n</v>
      </c>
      <c r="BB839" s="96" t="str">
        <f t="shared" si="237"/>
        <v>n</v>
      </c>
      <c r="BC839" s="97"/>
      <c r="BD839" s="96" t="str">
        <f t="shared" si="238"/>
        <v>n</v>
      </c>
      <c r="BE839" s="96" t="str">
        <f t="shared" si="239"/>
        <v>n</v>
      </c>
      <c r="BF839" s="98" t="str">
        <f t="shared" si="240"/>
        <v/>
      </c>
      <c r="BG839" s="96" t="str">
        <f>IF(BF839="","",IF(ISNUMBER(VLOOKUP(BF839,'Conversion factors'!$B$35:$C$52,2,FALSE)),"y","n"))</f>
        <v/>
      </c>
      <c r="BH839" s="99" t="s">
        <v>1467</v>
      </c>
    </row>
    <row r="840" spans="1:61" s="103" customFormat="1" ht="15.75" customHeight="1" x14ac:dyDescent="0.2">
      <c r="A840" s="18"/>
      <c r="B840" s="19">
        <v>254</v>
      </c>
      <c r="C840" s="19"/>
      <c r="D840" s="19">
        <v>84052</v>
      </c>
      <c r="E840" s="19" t="s">
        <v>1224</v>
      </c>
      <c r="F840" s="93">
        <v>2005</v>
      </c>
      <c r="G840" s="19" t="s">
        <v>785</v>
      </c>
      <c r="H840" s="19"/>
      <c r="I840" s="19" t="s">
        <v>41</v>
      </c>
      <c r="J840" s="19" t="s">
        <v>344</v>
      </c>
      <c r="K840" s="19" t="s">
        <v>42</v>
      </c>
      <c r="L840" s="19" t="s">
        <v>43</v>
      </c>
      <c r="M840" s="19" t="s">
        <v>1303</v>
      </c>
      <c r="N840" s="19" t="s">
        <v>109</v>
      </c>
      <c r="O840" s="19" t="s">
        <v>264</v>
      </c>
      <c r="P840" s="19" t="s">
        <v>53</v>
      </c>
      <c r="Q840" s="19"/>
      <c r="R840" s="19" t="s">
        <v>256</v>
      </c>
      <c r="S840" s="19" t="s">
        <v>309</v>
      </c>
      <c r="T840" s="19" t="s">
        <v>44</v>
      </c>
      <c r="U840" s="19" t="s">
        <v>44</v>
      </c>
      <c r="V840" s="19" t="s">
        <v>103</v>
      </c>
      <c r="W840" s="19" t="s">
        <v>231</v>
      </c>
      <c r="X840" s="19" t="s">
        <v>46</v>
      </c>
      <c r="Y840" s="29"/>
      <c r="Z840" s="19"/>
      <c r="AA840" s="19"/>
      <c r="AB840" s="19" t="s">
        <v>808</v>
      </c>
      <c r="AC840" s="19" t="s">
        <v>214</v>
      </c>
      <c r="AD840" s="19"/>
      <c r="AE840" s="24">
        <v>26.587723999999998</v>
      </c>
      <c r="AF840" s="101"/>
      <c r="AG840" s="19" t="s">
        <v>235</v>
      </c>
      <c r="AH840" s="19"/>
      <c r="AI840" s="19"/>
      <c r="AJ840" s="19">
        <v>6.43</v>
      </c>
      <c r="AK840" s="19" t="s">
        <v>791</v>
      </c>
      <c r="AL840" s="19"/>
      <c r="AM840" s="19" t="s">
        <v>234</v>
      </c>
      <c r="AN840" s="19" t="s">
        <v>792</v>
      </c>
      <c r="AO840" s="19" t="s">
        <v>270</v>
      </c>
      <c r="AP840" s="94">
        <v>3.65</v>
      </c>
      <c r="AQ840" s="19" t="s">
        <v>91</v>
      </c>
      <c r="AR840" s="19" t="s">
        <v>241</v>
      </c>
      <c r="AS840" s="19"/>
      <c r="AT840" s="65" t="str">
        <f t="shared" si="234"/>
        <v>Y</v>
      </c>
      <c r="AU840" s="65" t="str">
        <f t="shared" si="235"/>
        <v>Y</v>
      </c>
      <c r="AV840" s="65" t="s">
        <v>162</v>
      </c>
      <c r="AW840" s="99" t="s">
        <v>1405</v>
      </c>
      <c r="AX840" s="99"/>
      <c r="AY840" s="19"/>
      <c r="AZ840" s="96" t="str">
        <f t="shared" si="236"/>
        <v>n</v>
      </c>
      <c r="BA840" s="96" t="str">
        <f>IF(AZ840="n","n",VLOOKUP(AZ840,'Conversion factors'!$C$4:$D$24,2,FALSE))</f>
        <v>n</v>
      </c>
      <c r="BB840" s="96" t="str">
        <f t="shared" si="237"/>
        <v>n</v>
      </c>
      <c r="BC840" s="97"/>
      <c r="BD840" s="96" t="str">
        <f t="shared" si="238"/>
        <v>n</v>
      </c>
      <c r="BE840" s="96" t="str">
        <f t="shared" si="239"/>
        <v>n</v>
      </c>
      <c r="BF840" s="98" t="str">
        <f t="shared" si="240"/>
        <v/>
      </c>
      <c r="BG840" s="96" t="str">
        <f>IF(BF840="","",IF(ISNUMBER(VLOOKUP(BF840,'Conversion factors'!$B$35:$C$52,2,FALSE)),"y","n"))</f>
        <v/>
      </c>
      <c r="BH840" s="99" t="s">
        <v>1467</v>
      </c>
    </row>
    <row r="841" spans="1:61" s="103" customFormat="1" ht="15.75" customHeight="1" x14ac:dyDescent="0.2">
      <c r="A841" s="18"/>
      <c r="B841" s="19">
        <v>254</v>
      </c>
      <c r="C841" s="19"/>
      <c r="D841" s="19">
        <v>84052</v>
      </c>
      <c r="E841" s="19" t="s">
        <v>1224</v>
      </c>
      <c r="F841" s="93">
        <v>2005</v>
      </c>
      <c r="G841" s="19" t="s">
        <v>785</v>
      </c>
      <c r="H841" s="19"/>
      <c r="I841" s="19" t="s">
        <v>41</v>
      </c>
      <c r="J841" s="19" t="s">
        <v>344</v>
      </c>
      <c r="K841" s="19" t="s">
        <v>42</v>
      </c>
      <c r="L841" s="19" t="s">
        <v>43</v>
      </c>
      <c r="M841" s="19" t="s">
        <v>1303</v>
      </c>
      <c r="N841" s="19" t="s">
        <v>109</v>
      </c>
      <c r="O841" s="19" t="s">
        <v>264</v>
      </c>
      <c r="P841" s="19" t="s">
        <v>53</v>
      </c>
      <c r="Q841" s="19"/>
      <c r="R841" s="19" t="s">
        <v>256</v>
      </c>
      <c r="S841" s="19" t="s">
        <v>309</v>
      </c>
      <c r="T841" s="19" t="s">
        <v>44</v>
      </c>
      <c r="U841" s="19" t="s">
        <v>44</v>
      </c>
      <c r="V841" s="19" t="s">
        <v>103</v>
      </c>
      <c r="W841" s="19" t="s">
        <v>231</v>
      </c>
      <c r="X841" s="19" t="s">
        <v>46</v>
      </c>
      <c r="Y841" s="29"/>
      <c r="Z841" s="19"/>
      <c r="AA841" s="19"/>
      <c r="AB841" s="19" t="s">
        <v>809</v>
      </c>
      <c r="AC841" s="19" t="s">
        <v>214</v>
      </c>
      <c r="AD841" s="19"/>
      <c r="AE841" s="24">
        <v>14.21513</v>
      </c>
      <c r="AF841" s="101"/>
      <c r="AG841" s="19" t="s">
        <v>235</v>
      </c>
      <c r="AH841" s="19"/>
      <c r="AI841" s="19"/>
      <c r="AJ841" s="19">
        <v>5.7</v>
      </c>
      <c r="AK841" s="19" t="s">
        <v>798</v>
      </c>
      <c r="AL841" s="19"/>
      <c r="AM841" s="19" t="s">
        <v>234</v>
      </c>
      <c r="AN841" s="19" t="s">
        <v>800</v>
      </c>
      <c r="AO841" s="19" t="s">
        <v>270</v>
      </c>
      <c r="AP841" s="94">
        <v>6.28</v>
      </c>
      <c r="AQ841" s="19" t="s">
        <v>91</v>
      </c>
      <c r="AR841" s="19" t="s">
        <v>241</v>
      </c>
      <c r="AS841" s="19"/>
      <c r="AT841" s="65" t="str">
        <f t="shared" si="234"/>
        <v>Y</v>
      </c>
      <c r="AU841" s="65" t="str">
        <f t="shared" si="235"/>
        <v>N</v>
      </c>
      <c r="AV841" s="65" t="s">
        <v>162</v>
      </c>
      <c r="AW841" s="99" t="s">
        <v>1405</v>
      </c>
      <c r="AX841" s="99"/>
      <c r="AY841" s="19"/>
      <c r="AZ841" s="96" t="str">
        <f t="shared" si="236"/>
        <v>n</v>
      </c>
      <c r="BA841" s="96" t="str">
        <f>IF(AZ841="n","n",VLOOKUP(AZ841,'Conversion factors'!$C$4:$D$24,2,FALSE))</f>
        <v>n</v>
      </c>
      <c r="BB841" s="96" t="str">
        <f t="shared" si="237"/>
        <v>n</v>
      </c>
      <c r="BC841" s="97"/>
      <c r="BD841" s="96" t="str">
        <f t="shared" si="238"/>
        <v>n</v>
      </c>
      <c r="BE841" s="96" t="str">
        <f t="shared" si="239"/>
        <v>n</v>
      </c>
      <c r="BF841" s="98" t="str">
        <f t="shared" si="240"/>
        <v/>
      </c>
      <c r="BG841" s="96" t="str">
        <f>IF(BF841="","",IF(ISNUMBER(VLOOKUP(BF841,'Conversion factors'!$B$35:$C$52,2,FALSE)),"y","n"))</f>
        <v/>
      </c>
      <c r="BH841" s="99" t="s">
        <v>1467</v>
      </c>
    </row>
    <row r="842" spans="1:61" s="103" customFormat="1" ht="15.75" customHeight="1" x14ac:dyDescent="0.2">
      <c r="A842" s="18"/>
      <c r="B842" s="19">
        <v>254</v>
      </c>
      <c r="C842" s="19"/>
      <c r="D842" s="19">
        <v>84052</v>
      </c>
      <c r="E842" s="19" t="s">
        <v>1224</v>
      </c>
      <c r="F842" s="93">
        <v>2005</v>
      </c>
      <c r="G842" s="19" t="s">
        <v>785</v>
      </c>
      <c r="H842" s="19"/>
      <c r="I842" s="19" t="s">
        <v>41</v>
      </c>
      <c r="J842" s="19" t="s">
        <v>344</v>
      </c>
      <c r="K842" s="19" t="s">
        <v>42</v>
      </c>
      <c r="L842" s="19" t="s">
        <v>43</v>
      </c>
      <c r="M842" s="19" t="s">
        <v>1303</v>
      </c>
      <c r="N842" s="19" t="s">
        <v>109</v>
      </c>
      <c r="O842" s="19" t="s">
        <v>264</v>
      </c>
      <c r="P842" s="19" t="s">
        <v>53</v>
      </c>
      <c r="Q842" s="19"/>
      <c r="R842" s="19" t="s">
        <v>256</v>
      </c>
      <c r="S842" s="19" t="s">
        <v>309</v>
      </c>
      <c r="T842" s="19" t="s">
        <v>44</v>
      </c>
      <c r="U842" s="19" t="s">
        <v>44</v>
      </c>
      <c r="V842" s="19" t="s">
        <v>103</v>
      </c>
      <c r="W842" s="19" t="s">
        <v>231</v>
      </c>
      <c r="X842" s="19" t="s">
        <v>46</v>
      </c>
      <c r="Y842" s="29"/>
      <c r="Z842" s="19"/>
      <c r="AA842" s="19"/>
      <c r="AB842" s="19" t="s">
        <v>810</v>
      </c>
      <c r="AC842" s="19" t="s">
        <v>214</v>
      </c>
      <c r="AD842" s="19"/>
      <c r="AE842" s="24">
        <v>7.0236900000000002</v>
      </c>
      <c r="AF842" s="101"/>
      <c r="AG842" s="19" t="s">
        <v>235</v>
      </c>
      <c r="AH842" s="19"/>
      <c r="AI842" s="19"/>
      <c r="AJ842" s="19">
        <v>5.75</v>
      </c>
      <c r="AK842" s="19" t="s">
        <v>793</v>
      </c>
      <c r="AL842" s="19"/>
      <c r="AM842" s="19" t="s">
        <v>234</v>
      </c>
      <c r="AN842" s="19" t="s">
        <v>789</v>
      </c>
      <c r="AO842" s="19" t="s">
        <v>270</v>
      </c>
      <c r="AP842" s="94">
        <v>6.7</v>
      </c>
      <c r="AQ842" s="19" t="s">
        <v>91</v>
      </c>
      <c r="AR842" s="19" t="s">
        <v>241</v>
      </c>
      <c r="AS842" s="19"/>
      <c r="AT842" s="65" t="str">
        <f t="shared" si="234"/>
        <v>Y</v>
      </c>
      <c r="AU842" s="65" t="str">
        <f t="shared" si="235"/>
        <v>N</v>
      </c>
      <c r="AV842" s="65" t="s">
        <v>162</v>
      </c>
      <c r="AW842" s="99" t="s">
        <v>1405</v>
      </c>
      <c r="AX842" s="99"/>
      <c r="AY842" s="19"/>
      <c r="AZ842" s="96" t="str">
        <f t="shared" si="236"/>
        <v>n</v>
      </c>
      <c r="BA842" s="96" t="str">
        <f>IF(AZ842="n","n",VLOOKUP(AZ842,'Conversion factors'!$C$4:$D$24,2,FALSE))</f>
        <v>n</v>
      </c>
      <c r="BB842" s="96" t="str">
        <f t="shared" si="237"/>
        <v>n</v>
      </c>
      <c r="BC842" s="97"/>
      <c r="BD842" s="96" t="str">
        <f t="shared" si="238"/>
        <v>n</v>
      </c>
      <c r="BE842" s="96" t="str">
        <f t="shared" si="239"/>
        <v>n</v>
      </c>
      <c r="BF842" s="98" t="str">
        <f t="shared" si="240"/>
        <v/>
      </c>
      <c r="BG842" s="96" t="str">
        <f>IF(BF842="","",IF(ISNUMBER(VLOOKUP(BF842,'Conversion factors'!$B$35:$C$52,2,FALSE)),"y","n"))</f>
        <v/>
      </c>
      <c r="BH842" s="99" t="s">
        <v>1467</v>
      </c>
    </row>
    <row r="843" spans="1:61" s="103" customFormat="1" ht="15.75" customHeight="1" x14ac:dyDescent="0.2">
      <c r="A843" s="18"/>
      <c r="B843" s="19">
        <v>254</v>
      </c>
      <c r="C843" s="19"/>
      <c r="D843" s="19">
        <v>84052</v>
      </c>
      <c r="E843" s="19" t="s">
        <v>1224</v>
      </c>
      <c r="F843" s="93">
        <v>2005</v>
      </c>
      <c r="G843" s="19" t="s">
        <v>785</v>
      </c>
      <c r="H843" s="19"/>
      <c r="I843" s="19" t="s">
        <v>41</v>
      </c>
      <c r="J843" s="19" t="s">
        <v>344</v>
      </c>
      <c r="K843" s="19" t="s">
        <v>42</v>
      </c>
      <c r="L843" s="19" t="s">
        <v>43</v>
      </c>
      <c r="M843" s="19" t="s">
        <v>1303</v>
      </c>
      <c r="N843" s="19" t="s">
        <v>109</v>
      </c>
      <c r="O843" s="19" t="s">
        <v>264</v>
      </c>
      <c r="P843" s="19" t="s">
        <v>53</v>
      </c>
      <c r="Q843" s="19"/>
      <c r="R843" s="19" t="s">
        <v>256</v>
      </c>
      <c r="S843" s="19" t="s">
        <v>309</v>
      </c>
      <c r="T843" s="19" t="s">
        <v>55</v>
      </c>
      <c r="U843" s="19" t="s">
        <v>55</v>
      </c>
      <c r="V843" s="19" t="s">
        <v>103</v>
      </c>
      <c r="W843" s="19" t="s">
        <v>231</v>
      </c>
      <c r="X843" s="19" t="s">
        <v>46</v>
      </c>
      <c r="Y843" s="29"/>
      <c r="Z843" s="19"/>
      <c r="AA843" s="19"/>
      <c r="AB843" s="19" t="s">
        <v>400</v>
      </c>
      <c r="AC843" s="19" t="s">
        <v>214</v>
      </c>
      <c r="AD843" s="19"/>
      <c r="AE843" s="24">
        <v>239.07499999999999</v>
      </c>
      <c r="AF843" s="101"/>
      <c r="AG843" s="19" t="s">
        <v>235</v>
      </c>
      <c r="AH843" s="19"/>
      <c r="AI843" s="19"/>
      <c r="AJ843" s="19">
        <v>8.01</v>
      </c>
      <c r="AK843" s="19" t="s">
        <v>802</v>
      </c>
      <c r="AL843" s="19"/>
      <c r="AM843" s="19" t="s">
        <v>234</v>
      </c>
      <c r="AN843" s="19" t="s">
        <v>803</v>
      </c>
      <c r="AO843" s="19" t="s">
        <v>270</v>
      </c>
      <c r="AP843" s="94">
        <v>5.89</v>
      </c>
      <c r="AQ843" s="19" t="s">
        <v>91</v>
      </c>
      <c r="AR843" s="19" t="s">
        <v>241</v>
      </c>
      <c r="AS843" s="19"/>
      <c r="AT843" s="65" t="str">
        <f t="shared" si="234"/>
        <v>Y</v>
      </c>
      <c r="AU843" s="65" t="str">
        <f t="shared" si="235"/>
        <v>Y</v>
      </c>
      <c r="AV843" s="65" t="s">
        <v>162</v>
      </c>
      <c r="AW843" s="99" t="s">
        <v>1406</v>
      </c>
      <c r="AX843" s="99"/>
      <c r="AY843" s="19"/>
      <c r="AZ843" s="96" t="str">
        <f t="shared" si="236"/>
        <v>n</v>
      </c>
      <c r="BA843" s="96" t="str">
        <f>IF(AZ843="n","n",VLOOKUP(AZ843,'Conversion factors'!$C$4:$D$24,2,FALSE))</f>
        <v>n</v>
      </c>
      <c r="BB843" s="96" t="str">
        <f t="shared" si="237"/>
        <v>n</v>
      </c>
      <c r="BC843" s="97"/>
      <c r="BD843" s="96" t="str">
        <f t="shared" si="238"/>
        <v>n</v>
      </c>
      <c r="BE843" s="96" t="str">
        <f t="shared" si="239"/>
        <v>n</v>
      </c>
      <c r="BF843" s="98" t="str">
        <f t="shared" si="240"/>
        <v/>
      </c>
      <c r="BG843" s="96" t="str">
        <f>IF(BF843="","",IF(ISNUMBER(VLOOKUP(BF843,'Conversion factors'!$B$35:$C$52,2,FALSE)),"y","n"))</f>
        <v/>
      </c>
      <c r="BH843" s="99" t="s">
        <v>1467</v>
      </c>
    </row>
    <row r="844" spans="1:61" s="103" customFormat="1" ht="15.75" customHeight="1" x14ac:dyDescent="0.2">
      <c r="A844" s="18"/>
      <c r="B844" s="19">
        <v>254</v>
      </c>
      <c r="C844" s="19"/>
      <c r="D844" s="19">
        <v>84052</v>
      </c>
      <c r="E844" s="19" t="s">
        <v>1224</v>
      </c>
      <c r="F844" s="93">
        <v>2005</v>
      </c>
      <c r="G844" s="19" t="s">
        <v>785</v>
      </c>
      <c r="H844" s="19"/>
      <c r="I844" s="19" t="s">
        <v>41</v>
      </c>
      <c r="J844" s="19" t="s">
        <v>344</v>
      </c>
      <c r="K844" s="19" t="s">
        <v>42</v>
      </c>
      <c r="L844" s="19" t="s">
        <v>43</v>
      </c>
      <c r="M844" s="19" t="s">
        <v>1303</v>
      </c>
      <c r="N844" s="19" t="s">
        <v>109</v>
      </c>
      <c r="O844" s="19" t="s">
        <v>264</v>
      </c>
      <c r="P844" s="19" t="s">
        <v>53</v>
      </c>
      <c r="Q844" s="19"/>
      <c r="R844" s="19" t="s">
        <v>256</v>
      </c>
      <c r="S844" s="19" t="s">
        <v>309</v>
      </c>
      <c r="T844" s="19" t="s">
        <v>54</v>
      </c>
      <c r="U844" s="19" t="s">
        <v>54</v>
      </c>
      <c r="V844" s="19" t="s">
        <v>103</v>
      </c>
      <c r="W844" s="19" t="s">
        <v>231</v>
      </c>
      <c r="X844" s="19" t="s">
        <v>46</v>
      </c>
      <c r="Y844" s="29"/>
      <c r="Z844" s="19"/>
      <c r="AA844" s="19"/>
      <c r="AB844" s="19" t="s">
        <v>811</v>
      </c>
      <c r="AC844" s="19" t="s">
        <v>214</v>
      </c>
      <c r="AD844" s="19"/>
      <c r="AE844" s="24">
        <v>7.0236900000000002</v>
      </c>
      <c r="AF844" s="101"/>
      <c r="AG844" s="19" t="s">
        <v>235</v>
      </c>
      <c r="AH844" s="19"/>
      <c r="AI844" s="19"/>
      <c r="AJ844" s="19">
        <v>5.75</v>
      </c>
      <c r="AK844" s="19" t="s">
        <v>793</v>
      </c>
      <c r="AL844" s="19"/>
      <c r="AM844" s="19" t="s">
        <v>234</v>
      </c>
      <c r="AN844" s="19" t="s">
        <v>789</v>
      </c>
      <c r="AO844" s="19" t="s">
        <v>270</v>
      </c>
      <c r="AP844" s="94">
        <v>6.7</v>
      </c>
      <c r="AQ844" s="19" t="s">
        <v>91</v>
      </c>
      <c r="AR844" s="19" t="s">
        <v>241</v>
      </c>
      <c r="AS844" s="19"/>
      <c r="AT844" s="65" t="str">
        <f t="shared" si="234"/>
        <v>Y</v>
      </c>
      <c r="AU844" s="65" t="str">
        <f t="shared" si="235"/>
        <v>N</v>
      </c>
      <c r="AV844" s="65" t="s">
        <v>162</v>
      </c>
      <c r="AW844" s="99" t="s">
        <v>1405</v>
      </c>
      <c r="AX844" s="99"/>
      <c r="AY844" s="19"/>
      <c r="AZ844" s="96" t="str">
        <f t="shared" si="236"/>
        <v>n</v>
      </c>
      <c r="BA844" s="96" t="str">
        <f>IF(AZ844="n","n",VLOOKUP(AZ844,'Conversion factors'!$C$4:$D$24,2,FALSE))</f>
        <v>n</v>
      </c>
      <c r="BB844" s="96" t="str">
        <f t="shared" si="237"/>
        <v>n</v>
      </c>
      <c r="BC844" s="97"/>
      <c r="BD844" s="96" t="str">
        <f t="shared" si="238"/>
        <v>n</v>
      </c>
      <c r="BE844" s="96" t="str">
        <f t="shared" si="239"/>
        <v>n</v>
      </c>
      <c r="BF844" s="98" t="str">
        <f t="shared" si="240"/>
        <v/>
      </c>
      <c r="BG844" s="96" t="str">
        <f>IF(BF844="","",IF(ISNUMBER(VLOOKUP(BF844,'Conversion factors'!$B$35:$C$52,2,FALSE)),"y","n"))</f>
        <v/>
      </c>
      <c r="BH844" s="99" t="s">
        <v>1467</v>
      </c>
    </row>
    <row r="845" spans="1:61" s="103" customFormat="1" ht="15.75" customHeight="1" x14ac:dyDescent="0.2">
      <c r="A845" s="18"/>
      <c r="B845" s="19">
        <v>254</v>
      </c>
      <c r="C845" s="19"/>
      <c r="D845" s="19">
        <v>84052</v>
      </c>
      <c r="E845" s="19" t="s">
        <v>1224</v>
      </c>
      <c r="F845" s="93">
        <v>2005</v>
      </c>
      <c r="G845" s="19" t="s">
        <v>785</v>
      </c>
      <c r="H845" s="19"/>
      <c r="I845" s="19" t="s">
        <v>41</v>
      </c>
      <c r="J845" s="19" t="s">
        <v>344</v>
      </c>
      <c r="K845" s="19" t="s">
        <v>42</v>
      </c>
      <c r="L845" s="19" t="s">
        <v>43</v>
      </c>
      <c r="M845" s="19" t="s">
        <v>1303</v>
      </c>
      <c r="N845" s="19" t="s">
        <v>109</v>
      </c>
      <c r="O845" s="19" t="s">
        <v>264</v>
      </c>
      <c r="P845" s="19" t="s">
        <v>53</v>
      </c>
      <c r="Q845" s="19"/>
      <c r="R845" s="19" t="s">
        <v>256</v>
      </c>
      <c r="S845" s="19" t="s">
        <v>309</v>
      </c>
      <c r="T845" s="19" t="s">
        <v>54</v>
      </c>
      <c r="U845" s="19" t="s">
        <v>54</v>
      </c>
      <c r="V845" s="19" t="s">
        <v>103</v>
      </c>
      <c r="W845" s="19" t="s">
        <v>231</v>
      </c>
      <c r="X845" s="19" t="s">
        <v>46</v>
      </c>
      <c r="Y845" s="29"/>
      <c r="Z845" s="19"/>
      <c r="AA845" s="19"/>
      <c r="AB845" s="19" t="s">
        <v>812</v>
      </c>
      <c r="AC845" s="19" t="s">
        <v>214</v>
      </c>
      <c r="AD845" s="19"/>
      <c r="AE845" s="24">
        <v>144.36112</v>
      </c>
      <c r="AF845" s="101"/>
      <c r="AG845" s="19" t="s">
        <v>235</v>
      </c>
      <c r="AH845" s="19"/>
      <c r="AI845" s="19"/>
      <c r="AJ845" s="19">
        <v>7.42</v>
      </c>
      <c r="AK845" s="19" t="s">
        <v>795</v>
      </c>
      <c r="AL845" s="19"/>
      <c r="AM845" s="19" t="s">
        <v>234</v>
      </c>
      <c r="AN845" s="19" t="s">
        <v>796</v>
      </c>
      <c r="AO845" s="19" t="s">
        <v>270</v>
      </c>
      <c r="AP845" s="94">
        <v>22.3</v>
      </c>
      <c r="AQ845" s="19" t="s">
        <v>91</v>
      </c>
      <c r="AR845" s="19" t="s">
        <v>241</v>
      </c>
      <c r="AS845" s="19"/>
      <c r="AT845" s="65" t="str">
        <f t="shared" si="234"/>
        <v>Y</v>
      </c>
      <c r="AU845" s="65" t="str">
        <f t="shared" si="235"/>
        <v>Y</v>
      </c>
      <c r="AV845" s="65" t="s">
        <v>162</v>
      </c>
      <c r="AW845" s="99" t="s">
        <v>1406</v>
      </c>
      <c r="AX845" s="99"/>
      <c r="AY845" s="19"/>
      <c r="AZ845" s="96" t="str">
        <f t="shared" si="236"/>
        <v>n</v>
      </c>
      <c r="BA845" s="96" t="str">
        <f>IF(AZ845="n","n",VLOOKUP(AZ845,'Conversion factors'!$C$4:$D$24,2,FALSE))</f>
        <v>n</v>
      </c>
      <c r="BB845" s="96" t="str">
        <f t="shared" si="237"/>
        <v>n</v>
      </c>
      <c r="BC845" s="97"/>
      <c r="BD845" s="96" t="str">
        <f t="shared" si="238"/>
        <v>n</v>
      </c>
      <c r="BE845" s="96" t="str">
        <f t="shared" si="239"/>
        <v>n</v>
      </c>
      <c r="BF845" s="98" t="str">
        <f t="shared" si="240"/>
        <v/>
      </c>
      <c r="BG845" s="96" t="str">
        <f>IF(BF845="","",IF(ISNUMBER(VLOOKUP(BF845,'Conversion factors'!$B$35:$C$52,2,FALSE)),"y","n"))</f>
        <v/>
      </c>
      <c r="BH845" s="99" t="s">
        <v>1467</v>
      </c>
    </row>
    <row r="846" spans="1:61" s="103" customFormat="1" ht="15.75" customHeight="1" x14ac:dyDescent="0.2">
      <c r="A846" s="18"/>
      <c r="B846" s="19">
        <v>254</v>
      </c>
      <c r="C846" s="19"/>
      <c r="D846" s="19">
        <v>84052</v>
      </c>
      <c r="E846" s="19" t="s">
        <v>1224</v>
      </c>
      <c r="F846" s="93">
        <v>2005</v>
      </c>
      <c r="G846" s="19" t="s">
        <v>785</v>
      </c>
      <c r="H846" s="19"/>
      <c r="I846" s="19" t="s">
        <v>41</v>
      </c>
      <c r="J846" s="19" t="s">
        <v>344</v>
      </c>
      <c r="K846" s="19" t="s">
        <v>42</v>
      </c>
      <c r="L846" s="19" t="s">
        <v>43</v>
      </c>
      <c r="M846" s="19" t="s">
        <v>1303</v>
      </c>
      <c r="N846" s="19" t="s">
        <v>109</v>
      </c>
      <c r="O846" s="19" t="s">
        <v>264</v>
      </c>
      <c r="P846" s="19" t="s">
        <v>53</v>
      </c>
      <c r="Q846" s="19"/>
      <c r="R846" s="19" t="s">
        <v>256</v>
      </c>
      <c r="S846" s="19" t="s">
        <v>309</v>
      </c>
      <c r="T846" s="19" t="s">
        <v>54</v>
      </c>
      <c r="U846" s="19" t="s">
        <v>54</v>
      </c>
      <c r="V846" s="19" t="s">
        <v>103</v>
      </c>
      <c r="W846" s="19" t="s">
        <v>231</v>
      </c>
      <c r="X846" s="19" t="s">
        <v>46</v>
      </c>
      <c r="Y846" s="29"/>
      <c r="Z846" s="19"/>
      <c r="AA846" s="19"/>
      <c r="AB846" s="19" t="s">
        <v>813</v>
      </c>
      <c r="AC846" s="19" t="s">
        <v>214</v>
      </c>
      <c r="AD846" s="19"/>
      <c r="AE846" s="24">
        <v>239.07499999999999</v>
      </c>
      <c r="AF846" s="101"/>
      <c r="AG846" s="19" t="s">
        <v>235</v>
      </c>
      <c r="AH846" s="19"/>
      <c r="AI846" s="19"/>
      <c r="AJ846" s="19">
        <v>8.01</v>
      </c>
      <c r="AK846" s="19" t="s">
        <v>802</v>
      </c>
      <c r="AL846" s="19"/>
      <c r="AM846" s="19" t="s">
        <v>234</v>
      </c>
      <c r="AN846" s="19" t="s">
        <v>803</v>
      </c>
      <c r="AO846" s="19" t="s">
        <v>270</v>
      </c>
      <c r="AP846" s="94">
        <v>5.89</v>
      </c>
      <c r="AQ846" s="19" t="s">
        <v>91</v>
      </c>
      <c r="AR846" s="19" t="s">
        <v>241</v>
      </c>
      <c r="AS846" s="19"/>
      <c r="AT846" s="65" t="str">
        <f t="shared" si="234"/>
        <v>Y</v>
      </c>
      <c r="AU846" s="65" t="str">
        <f t="shared" si="235"/>
        <v>Y</v>
      </c>
      <c r="AV846" s="65" t="s">
        <v>162</v>
      </c>
      <c r="AW846" s="99" t="s">
        <v>1406</v>
      </c>
      <c r="AX846" s="99"/>
      <c r="AY846" s="19"/>
      <c r="AZ846" s="96" t="str">
        <f t="shared" si="236"/>
        <v>n</v>
      </c>
      <c r="BA846" s="96" t="str">
        <f>IF(AZ846="n","n",VLOOKUP(AZ846,'Conversion factors'!$C$4:$D$24,2,FALSE))</f>
        <v>n</v>
      </c>
      <c r="BB846" s="96" t="str">
        <f t="shared" si="237"/>
        <v>n</v>
      </c>
      <c r="BC846" s="97"/>
      <c r="BD846" s="96" t="str">
        <f t="shared" si="238"/>
        <v>n</v>
      </c>
      <c r="BE846" s="96" t="str">
        <f t="shared" si="239"/>
        <v>n</v>
      </c>
      <c r="BF846" s="98" t="str">
        <f t="shared" si="240"/>
        <v/>
      </c>
      <c r="BG846" s="96" t="str">
        <f>IF(BF846="","",IF(ISNUMBER(VLOOKUP(BF846,'Conversion factors'!$B$35:$C$52,2,FALSE)),"y","n"))</f>
        <v/>
      </c>
      <c r="BH846" s="99" t="s">
        <v>1467</v>
      </c>
    </row>
    <row r="847" spans="1:61" s="103" customFormat="1" ht="15.75" customHeight="1" x14ac:dyDescent="0.2">
      <c r="A847" s="18"/>
      <c r="B847" s="19">
        <v>254</v>
      </c>
      <c r="C847" s="19"/>
      <c r="D847" s="19">
        <v>84052</v>
      </c>
      <c r="E847" s="19" t="s">
        <v>1224</v>
      </c>
      <c r="F847" s="93">
        <v>2005</v>
      </c>
      <c r="G847" s="19" t="s">
        <v>785</v>
      </c>
      <c r="H847" s="19"/>
      <c r="I847" s="19" t="s">
        <v>41</v>
      </c>
      <c r="J847" s="19" t="s">
        <v>344</v>
      </c>
      <c r="K847" s="19" t="s">
        <v>42</v>
      </c>
      <c r="L847" s="19" t="s">
        <v>43</v>
      </c>
      <c r="M847" s="19" t="s">
        <v>1303</v>
      </c>
      <c r="N847" s="19" t="s">
        <v>109</v>
      </c>
      <c r="O847" s="19" t="s">
        <v>264</v>
      </c>
      <c r="P847" s="19" t="s">
        <v>53</v>
      </c>
      <c r="Q847" s="19"/>
      <c r="R847" s="19" t="s">
        <v>256</v>
      </c>
      <c r="S847" s="19" t="s">
        <v>309</v>
      </c>
      <c r="T847" s="19" t="s">
        <v>54</v>
      </c>
      <c r="U847" s="19" t="s">
        <v>54</v>
      </c>
      <c r="V847" s="19" t="s">
        <v>103</v>
      </c>
      <c r="W847" s="19" t="s">
        <v>231</v>
      </c>
      <c r="X847" s="19" t="s">
        <v>46</v>
      </c>
      <c r="Y847" s="29"/>
      <c r="Z847" s="19"/>
      <c r="AA847" s="19"/>
      <c r="AB847" s="19" t="s">
        <v>695</v>
      </c>
      <c r="AC847" s="19" t="s">
        <v>214</v>
      </c>
      <c r="AD847" s="19"/>
      <c r="AE847" s="24">
        <v>26.995100000000001</v>
      </c>
      <c r="AF847" s="101"/>
      <c r="AG847" s="19" t="s">
        <v>235</v>
      </c>
      <c r="AH847" s="19"/>
      <c r="AI847" s="19"/>
      <c r="AJ847" s="19">
        <v>6.26</v>
      </c>
      <c r="AK847" s="19" t="s">
        <v>787</v>
      </c>
      <c r="AL847" s="19"/>
      <c r="AM847" s="19" t="s">
        <v>234</v>
      </c>
      <c r="AN847" s="19" t="s">
        <v>788</v>
      </c>
      <c r="AO847" s="19" t="s">
        <v>270</v>
      </c>
      <c r="AP847" s="94">
        <v>2.48</v>
      </c>
      <c r="AQ847" s="19" t="s">
        <v>91</v>
      </c>
      <c r="AR847" s="19" t="s">
        <v>241</v>
      </c>
      <c r="AS847" s="19"/>
      <c r="AT847" s="65" t="str">
        <f t="shared" si="234"/>
        <v>Y</v>
      </c>
      <c r="AU847" s="65" t="str">
        <f t="shared" si="235"/>
        <v>Y</v>
      </c>
      <c r="AV847" s="65" t="s">
        <v>162</v>
      </c>
      <c r="AW847" s="99" t="s">
        <v>1405</v>
      </c>
      <c r="AX847" s="99"/>
      <c r="AY847" s="19"/>
      <c r="AZ847" s="96" t="str">
        <f t="shared" si="236"/>
        <v>n</v>
      </c>
      <c r="BA847" s="96" t="str">
        <f>IF(AZ847="n","n",VLOOKUP(AZ847,'Conversion factors'!$C$4:$D$24,2,FALSE))</f>
        <v>n</v>
      </c>
      <c r="BB847" s="96" t="str">
        <f t="shared" si="237"/>
        <v>n</v>
      </c>
      <c r="BC847" s="97"/>
      <c r="BD847" s="96" t="str">
        <f t="shared" si="238"/>
        <v>n</v>
      </c>
      <c r="BE847" s="96" t="str">
        <f t="shared" si="239"/>
        <v>n</v>
      </c>
      <c r="BF847" s="98" t="str">
        <f t="shared" si="240"/>
        <v/>
      </c>
      <c r="BG847" s="96" t="str">
        <f>IF(BF847="","",IF(ISNUMBER(VLOOKUP(BF847,'Conversion factors'!$B$35:$C$52,2,FALSE)),"y","n"))</f>
        <v/>
      </c>
      <c r="BH847" s="99" t="s">
        <v>1467</v>
      </c>
    </row>
    <row r="848" spans="1:61" s="103" customFormat="1" ht="15.75" customHeight="1" x14ac:dyDescent="0.2">
      <c r="A848" s="18"/>
      <c r="B848" s="19">
        <v>254</v>
      </c>
      <c r="C848" s="19"/>
      <c r="D848" s="19">
        <v>84052</v>
      </c>
      <c r="E848" s="19" t="s">
        <v>1224</v>
      </c>
      <c r="F848" s="93">
        <v>2005</v>
      </c>
      <c r="G848" s="19" t="s">
        <v>785</v>
      </c>
      <c r="H848" s="19"/>
      <c r="I848" s="19" t="s">
        <v>41</v>
      </c>
      <c r="J848" s="19" t="s">
        <v>344</v>
      </c>
      <c r="K848" s="19" t="s">
        <v>42</v>
      </c>
      <c r="L848" s="19" t="s">
        <v>43</v>
      </c>
      <c r="M848" s="19" t="s">
        <v>1303</v>
      </c>
      <c r="N848" s="19" t="s">
        <v>109</v>
      </c>
      <c r="O848" s="19" t="s">
        <v>264</v>
      </c>
      <c r="P848" s="19" t="s">
        <v>53</v>
      </c>
      <c r="Q848" s="19"/>
      <c r="R848" s="19" t="s">
        <v>256</v>
      </c>
      <c r="S848" s="19" t="s">
        <v>309</v>
      </c>
      <c r="T848" s="19" t="s">
        <v>54</v>
      </c>
      <c r="U848" s="19" t="s">
        <v>54</v>
      </c>
      <c r="V848" s="19" t="s">
        <v>103</v>
      </c>
      <c r="W848" s="19" t="s">
        <v>231</v>
      </c>
      <c r="X848" s="19" t="s">
        <v>46</v>
      </c>
      <c r="Y848" s="29"/>
      <c r="Z848" s="19"/>
      <c r="AA848" s="19"/>
      <c r="AB848" s="19" t="s">
        <v>814</v>
      </c>
      <c r="AC848" s="19" t="s">
        <v>214</v>
      </c>
      <c r="AD848" s="19"/>
      <c r="AE848" s="24">
        <v>16.380559999999999</v>
      </c>
      <c r="AF848" s="101"/>
      <c r="AG848" s="19" t="s">
        <v>235</v>
      </c>
      <c r="AH848" s="19"/>
      <c r="AI848" s="19"/>
      <c r="AJ848" s="19">
        <v>5.7</v>
      </c>
      <c r="AK848" s="19" t="s">
        <v>798</v>
      </c>
      <c r="AL848" s="19"/>
      <c r="AM848" s="19" t="s">
        <v>234</v>
      </c>
      <c r="AN848" s="19" t="s">
        <v>799</v>
      </c>
      <c r="AO848" s="19" t="s">
        <v>270</v>
      </c>
      <c r="AP848" s="94">
        <v>6.27</v>
      </c>
      <c r="AQ848" s="19" t="s">
        <v>91</v>
      </c>
      <c r="AR848" s="19" t="s">
        <v>241</v>
      </c>
      <c r="AS848" s="19"/>
      <c r="AT848" s="65" t="str">
        <f t="shared" si="234"/>
        <v>Y</v>
      </c>
      <c r="AU848" s="65" t="str">
        <f t="shared" si="235"/>
        <v>N</v>
      </c>
      <c r="AV848" s="65" t="s">
        <v>162</v>
      </c>
      <c r="AW848" s="99" t="s">
        <v>1405</v>
      </c>
      <c r="AX848" s="99"/>
      <c r="AY848" s="19"/>
      <c r="AZ848" s="96" t="str">
        <f t="shared" si="236"/>
        <v>n</v>
      </c>
      <c r="BA848" s="96" t="str">
        <f>IF(AZ848="n","n",VLOOKUP(AZ848,'Conversion factors'!$C$4:$D$24,2,FALSE))</f>
        <v>n</v>
      </c>
      <c r="BB848" s="96" t="str">
        <f t="shared" si="237"/>
        <v>n</v>
      </c>
      <c r="BC848" s="97"/>
      <c r="BD848" s="96" t="str">
        <f t="shared" si="238"/>
        <v>n</v>
      </c>
      <c r="BE848" s="96" t="str">
        <f t="shared" si="239"/>
        <v>n</v>
      </c>
      <c r="BF848" s="98" t="str">
        <f t="shared" si="240"/>
        <v/>
      </c>
      <c r="BG848" s="96" t="str">
        <f>IF(BF848="","",IF(ISNUMBER(VLOOKUP(BF848,'Conversion factors'!$B$35:$C$52,2,FALSE)),"y","n"))</f>
        <v/>
      </c>
      <c r="BH848" s="99" t="s">
        <v>1467</v>
      </c>
    </row>
    <row r="849" spans="1:62" s="103" customFormat="1" ht="15.75" customHeight="1" x14ac:dyDescent="0.2">
      <c r="A849" s="18"/>
      <c r="B849" s="19">
        <v>254</v>
      </c>
      <c r="C849" s="19"/>
      <c r="D849" s="19">
        <v>84052</v>
      </c>
      <c r="E849" s="19" t="s">
        <v>1224</v>
      </c>
      <c r="F849" s="93">
        <v>2005</v>
      </c>
      <c r="G849" s="19" t="s">
        <v>785</v>
      </c>
      <c r="H849" s="19"/>
      <c r="I849" s="19" t="s">
        <v>41</v>
      </c>
      <c r="J849" s="19" t="s">
        <v>344</v>
      </c>
      <c r="K849" s="19" t="s">
        <v>42</v>
      </c>
      <c r="L849" s="19" t="s">
        <v>43</v>
      </c>
      <c r="M849" s="19" t="s">
        <v>1303</v>
      </c>
      <c r="N849" s="19" t="s">
        <v>109</v>
      </c>
      <c r="O849" s="19" t="s">
        <v>264</v>
      </c>
      <c r="P849" s="19" t="s">
        <v>53</v>
      </c>
      <c r="Q849" s="19"/>
      <c r="R849" s="19" t="s">
        <v>256</v>
      </c>
      <c r="S849" s="19" t="s">
        <v>309</v>
      </c>
      <c r="T849" s="19" t="s">
        <v>54</v>
      </c>
      <c r="U849" s="19" t="s">
        <v>54</v>
      </c>
      <c r="V849" s="19" t="s">
        <v>103</v>
      </c>
      <c r="W849" s="19" t="s">
        <v>231</v>
      </c>
      <c r="X849" s="19" t="s">
        <v>46</v>
      </c>
      <c r="Y849" s="29"/>
      <c r="Z849" s="19"/>
      <c r="AA849" s="19"/>
      <c r="AB849" s="19" t="s">
        <v>815</v>
      </c>
      <c r="AC849" s="19" t="s">
        <v>214</v>
      </c>
      <c r="AD849" s="19"/>
      <c r="AE849" s="24">
        <v>26.587723999999998</v>
      </c>
      <c r="AF849" s="101"/>
      <c r="AG849" s="19" t="s">
        <v>235</v>
      </c>
      <c r="AH849" s="19"/>
      <c r="AI849" s="19"/>
      <c r="AJ849" s="19">
        <v>6.43</v>
      </c>
      <c r="AK849" s="19" t="s">
        <v>791</v>
      </c>
      <c r="AL849" s="19"/>
      <c r="AM849" s="19" t="s">
        <v>234</v>
      </c>
      <c r="AN849" s="19" t="s">
        <v>792</v>
      </c>
      <c r="AO849" s="19" t="s">
        <v>270</v>
      </c>
      <c r="AP849" s="94">
        <v>3.65</v>
      </c>
      <c r="AQ849" s="19" t="s">
        <v>91</v>
      </c>
      <c r="AR849" s="19" t="s">
        <v>241</v>
      </c>
      <c r="AS849" s="19"/>
      <c r="AT849" s="65" t="str">
        <f t="shared" si="234"/>
        <v>Y</v>
      </c>
      <c r="AU849" s="65" t="str">
        <f t="shared" si="235"/>
        <v>Y</v>
      </c>
      <c r="AV849" s="65" t="s">
        <v>162</v>
      </c>
      <c r="AW849" s="99" t="s">
        <v>1405</v>
      </c>
      <c r="AX849" s="99"/>
      <c r="AY849" s="19"/>
      <c r="AZ849" s="96" t="str">
        <f t="shared" si="236"/>
        <v>n</v>
      </c>
      <c r="BA849" s="96" t="str">
        <f>IF(AZ849="n","n",VLOOKUP(AZ849,'Conversion factors'!$C$4:$D$24,2,FALSE))</f>
        <v>n</v>
      </c>
      <c r="BB849" s="96" t="str">
        <f t="shared" si="237"/>
        <v>n</v>
      </c>
      <c r="BC849" s="97"/>
      <c r="BD849" s="96" t="str">
        <f t="shared" si="238"/>
        <v>n</v>
      </c>
      <c r="BE849" s="96" t="str">
        <f t="shared" si="239"/>
        <v>n</v>
      </c>
      <c r="BF849" s="98" t="str">
        <f t="shared" si="240"/>
        <v/>
      </c>
      <c r="BG849" s="96" t="str">
        <f>IF(BF849="","",IF(ISNUMBER(VLOOKUP(BF849,'Conversion factors'!$B$35:$C$52,2,FALSE)),"y","n"))</f>
        <v/>
      </c>
      <c r="BH849" s="99" t="s">
        <v>1467</v>
      </c>
    </row>
    <row r="850" spans="1:62" s="103" customFormat="1" ht="15.75" customHeight="1" x14ac:dyDescent="0.2">
      <c r="A850" s="18"/>
      <c r="B850" s="19">
        <v>254</v>
      </c>
      <c r="C850" s="19"/>
      <c r="D850" s="19">
        <v>84052</v>
      </c>
      <c r="E850" s="19" t="s">
        <v>1224</v>
      </c>
      <c r="F850" s="93">
        <v>2005</v>
      </c>
      <c r="G850" s="19" t="s">
        <v>785</v>
      </c>
      <c r="H850" s="19"/>
      <c r="I850" s="19" t="s">
        <v>41</v>
      </c>
      <c r="J850" s="19" t="s">
        <v>344</v>
      </c>
      <c r="K850" s="19" t="s">
        <v>42</v>
      </c>
      <c r="L850" s="19" t="s">
        <v>43</v>
      </c>
      <c r="M850" s="19" t="s">
        <v>1303</v>
      </c>
      <c r="N850" s="19" t="s">
        <v>109</v>
      </c>
      <c r="O850" s="19" t="s">
        <v>264</v>
      </c>
      <c r="P850" s="19" t="s">
        <v>53</v>
      </c>
      <c r="Q850" s="19"/>
      <c r="R850" s="19" t="s">
        <v>256</v>
      </c>
      <c r="S850" s="19" t="s">
        <v>309</v>
      </c>
      <c r="T850" s="19" t="s">
        <v>54</v>
      </c>
      <c r="U850" s="19" t="s">
        <v>54</v>
      </c>
      <c r="V850" s="19" t="s">
        <v>103</v>
      </c>
      <c r="W850" s="19" t="s">
        <v>231</v>
      </c>
      <c r="X850" s="19" t="s">
        <v>46</v>
      </c>
      <c r="Y850" s="29"/>
      <c r="Z850" s="19"/>
      <c r="AA850" s="19"/>
      <c r="AB850" s="19" t="s">
        <v>816</v>
      </c>
      <c r="AC850" s="19" t="s">
        <v>214</v>
      </c>
      <c r="AD850" s="19"/>
      <c r="AE850" s="24">
        <v>14.21513</v>
      </c>
      <c r="AF850" s="101"/>
      <c r="AG850" s="19" t="s">
        <v>235</v>
      </c>
      <c r="AH850" s="19"/>
      <c r="AI850" s="19"/>
      <c r="AJ850" s="19">
        <v>5.7</v>
      </c>
      <c r="AK850" s="19" t="s">
        <v>798</v>
      </c>
      <c r="AL850" s="19"/>
      <c r="AM850" s="19" t="s">
        <v>234</v>
      </c>
      <c r="AN850" s="19" t="s">
        <v>800</v>
      </c>
      <c r="AO850" s="19" t="s">
        <v>270</v>
      </c>
      <c r="AP850" s="94">
        <v>6.28</v>
      </c>
      <c r="AQ850" s="19" t="s">
        <v>91</v>
      </c>
      <c r="AR850" s="19" t="s">
        <v>241</v>
      </c>
      <c r="AS850" s="19"/>
      <c r="AT850" s="65" t="str">
        <f t="shared" si="234"/>
        <v>Y</v>
      </c>
      <c r="AU850" s="65" t="str">
        <f t="shared" si="235"/>
        <v>N</v>
      </c>
      <c r="AV850" s="65" t="s">
        <v>162</v>
      </c>
      <c r="AW850" s="99" t="s">
        <v>1405</v>
      </c>
      <c r="AX850" s="99"/>
      <c r="AY850" s="19"/>
      <c r="AZ850" s="96" t="str">
        <f t="shared" si="236"/>
        <v>n</v>
      </c>
      <c r="BA850" s="96" t="str">
        <f>IF(AZ850="n","n",VLOOKUP(AZ850,'Conversion factors'!$C$4:$D$24,2,FALSE))</f>
        <v>n</v>
      </c>
      <c r="BB850" s="96" t="str">
        <f t="shared" si="237"/>
        <v>n</v>
      </c>
      <c r="BC850" s="97"/>
      <c r="BD850" s="96" t="str">
        <f t="shared" si="238"/>
        <v>n</v>
      </c>
      <c r="BE850" s="96" t="str">
        <f t="shared" si="239"/>
        <v>n</v>
      </c>
      <c r="BF850" s="98" t="str">
        <f t="shared" si="240"/>
        <v/>
      </c>
      <c r="BG850" s="96" t="str">
        <f>IF(BF850="","",IF(ISNUMBER(VLOOKUP(BF850,'Conversion factors'!$B$35:$C$52,2,FALSE)),"y","n"))</f>
        <v/>
      </c>
      <c r="BH850" s="99" t="s">
        <v>1467</v>
      </c>
    </row>
    <row r="851" spans="1:62" s="103" customFormat="1" ht="15.75" customHeight="1" x14ac:dyDescent="0.2">
      <c r="A851" s="18"/>
      <c r="B851" s="19">
        <v>320</v>
      </c>
      <c r="C851" s="19"/>
      <c r="D851" s="19">
        <v>161189</v>
      </c>
      <c r="E851" s="19" t="s">
        <v>1224</v>
      </c>
      <c r="F851" s="93">
        <v>1999</v>
      </c>
      <c r="G851" s="19" t="s">
        <v>1131</v>
      </c>
      <c r="H851" s="19"/>
      <c r="I851" s="19" t="s">
        <v>41</v>
      </c>
      <c r="J851" s="19" t="s">
        <v>344</v>
      </c>
      <c r="K851" s="19" t="s">
        <v>42</v>
      </c>
      <c r="L851" s="19" t="s">
        <v>43</v>
      </c>
      <c r="M851" s="19" t="s">
        <v>1303</v>
      </c>
      <c r="N851" s="19" t="s">
        <v>109</v>
      </c>
      <c r="O851" s="19" t="s">
        <v>235</v>
      </c>
      <c r="P851" s="19" t="s">
        <v>53</v>
      </c>
      <c r="Q851" s="19"/>
      <c r="R851" s="19" t="s">
        <v>256</v>
      </c>
      <c r="S851" s="19" t="s">
        <v>309</v>
      </c>
      <c r="T851" s="19" t="s">
        <v>44</v>
      </c>
      <c r="U851" s="19" t="s">
        <v>44</v>
      </c>
      <c r="V851" s="19" t="s">
        <v>103</v>
      </c>
      <c r="W851" s="19" t="s">
        <v>45</v>
      </c>
      <c r="X851" s="19" t="s">
        <v>46</v>
      </c>
      <c r="Y851" s="29"/>
      <c r="Z851" s="19"/>
      <c r="AA851" s="19"/>
      <c r="AB851" s="19" t="s">
        <v>1133</v>
      </c>
      <c r="AC851" s="19" t="s">
        <v>1322</v>
      </c>
      <c r="AD851" s="19"/>
      <c r="AE851" s="19"/>
      <c r="AF851" s="19"/>
      <c r="AG851" s="19" t="s">
        <v>235</v>
      </c>
      <c r="AH851" s="19"/>
      <c r="AI851" s="19"/>
      <c r="AJ851" s="19" t="s">
        <v>234</v>
      </c>
      <c r="AK851" s="19" t="s">
        <v>234</v>
      </c>
      <c r="AL851" s="19"/>
      <c r="AM851" s="19" t="s">
        <v>234</v>
      </c>
      <c r="AN851" s="19" t="s">
        <v>234</v>
      </c>
      <c r="AO851" s="19" t="s">
        <v>235</v>
      </c>
      <c r="AP851" s="94"/>
      <c r="AQ851" s="19" t="s">
        <v>507</v>
      </c>
      <c r="AR851" s="19" t="s">
        <v>241</v>
      </c>
      <c r="AS851" s="19"/>
      <c r="AT851" s="65" t="str">
        <f t="shared" si="234"/>
        <v>N</v>
      </c>
      <c r="AU851" s="65" t="str">
        <f t="shared" si="235"/>
        <v>N</v>
      </c>
      <c r="AV851" s="65" t="str">
        <f t="shared" ref="AV851:AV864" si="241">AU851</f>
        <v>N</v>
      </c>
      <c r="AW851" s="99"/>
      <c r="AX851" s="99"/>
      <c r="AY851" s="19"/>
      <c r="AZ851" s="96" t="str">
        <f t="shared" si="236"/>
        <v>n</v>
      </c>
      <c r="BA851" s="96" t="str">
        <f>IF(AZ851="n","n",VLOOKUP(AZ851,'Conversion factors'!$C$4:$D$24,2,FALSE))</f>
        <v>n</v>
      </c>
      <c r="BB851" s="96" t="str">
        <f t="shared" si="237"/>
        <v>n</v>
      </c>
      <c r="BC851" s="97"/>
      <c r="BD851" s="96" t="str">
        <f t="shared" si="238"/>
        <v>n</v>
      </c>
      <c r="BE851" s="96" t="str">
        <f t="shared" si="239"/>
        <v>n</v>
      </c>
      <c r="BF851" s="98" t="str">
        <f t="shared" si="240"/>
        <v/>
      </c>
      <c r="BG851" s="96" t="str">
        <f>IF(BF851="","",IF(ISNUMBER(VLOOKUP(BF851,'Conversion factors'!$B$35:$C$52,2,FALSE)),"y","n"))</f>
        <v/>
      </c>
      <c r="BH851" s="99" t="s">
        <v>1525</v>
      </c>
    </row>
    <row r="852" spans="1:62" s="103" customFormat="1" ht="15.75" customHeight="1" x14ac:dyDescent="0.2">
      <c r="A852" s="18"/>
      <c r="B852" s="19">
        <v>188</v>
      </c>
      <c r="C852" s="19"/>
      <c r="D852" s="19">
        <v>18646</v>
      </c>
      <c r="E852" s="19" t="s">
        <v>1224</v>
      </c>
      <c r="F852" s="93">
        <v>1998</v>
      </c>
      <c r="G852" s="19" t="s">
        <v>349</v>
      </c>
      <c r="H852" s="19"/>
      <c r="I852" s="19" t="s">
        <v>41</v>
      </c>
      <c r="J852" s="19" t="s">
        <v>344</v>
      </c>
      <c r="K852" s="19" t="s">
        <v>42</v>
      </c>
      <c r="L852" s="19" t="s">
        <v>43</v>
      </c>
      <c r="M852" s="19" t="s">
        <v>1303</v>
      </c>
      <c r="N852" s="19" t="s">
        <v>109</v>
      </c>
      <c r="O852" s="19" t="s">
        <v>264</v>
      </c>
      <c r="P852" s="19" t="s">
        <v>53</v>
      </c>
      <c r="Q852" s="19"/>
      <c r="R852" s="19" t="s">
        <v>256</v>
      </c>
      <c r="S852" s="19" t="s">
        <v>302</v>
      </c>
      <c r="T852" s="19" t="s">
        <v>110</v>
      </c>
      <c r="U852" s="19" t="s">
        <v>44</v>
      </c>
      <c r="V852" s="19" t="s">
        <v>103</v>
      </c>
      <c r="W852" s="19" t="s">
        <v>231</v>
      </c>
      <c r="X852" s="19" t="s">
        <v>46</v>
      </c>
      <c r="Y852" s="29"/>
      <c r="Z852" s="19" t="s">
        <v>350</v>
      </c>
      <c r="AA852" s="19"/>
      <c r="AB852" s="19">
        <f>0.5*65.39</f>
        <v>32.695</v>
      </c>
      <c r="AC852" s="19" t="s">
        <v>1322</v>
      </c>
      <c r="AD852" s="19"/>
      <c r="AE852" s="19" t="s">
        <v>351</v>
      </c>
      <c r="AF852" s="19" t="s">
        <v>351</v>
      </c>
      <c r="AG852" s="19" t="s">
        <v>235</v>
      </c>
      <c r="AH852" s="19"/>
      <c r="AI852" s="19"/>
      <c r="AJ852" s="19" t="s">
        <v>234</v>
      </c>
      <c r="AK852" s="19" t="s">
        <v>234</v>
      </c>
      <c r="AL852" s="19"/>
      <c r="AM852" s="19" t="s">
        <v>234</v>
      </c>
      <c r="AN852" s="19" t="s">
        <v>234</v>
      </c>
      <c r="AO852" s="19" t="s">
        <v>235</v>
      </c>
      <c r="AP852" s="94"/>
      <c r="AQ852" s="19" t="s">
        <v>352</v>
      </c>
      <c r="AR852" s="19" t="s">
        <v>241</v>
      </c>
      <c r="AS852" s="19"/>
      <c r="AT852" s="65" t="str">
        <f t="shared" si="234"/>
        <v>N</v>
      </c>
      <c r="AU852" s="65" t="str">
        <f t="shared" si="235"/>
        <v>N</v>
      </c>
      <c r="AV852" s="65" t="str">
        <f t="shared" si="241"/>
        <v>N</v>
      </c>
      <c r="AW852" s="99"/>
      <c r="AX852" s="99"/>
      <c r="AY852" s="19"/>
      <c r="AZ852" s="96" t="str">
        <f t="shared" si="236"/>
        <v>n</v>
      </c>
      <c r="BA852" s="96" t="str">
        <f>IF(AZ852="n","n",VLOOKUP(AZ852,'Conversion factors'!$C$4:$D$24,2,FALSE))</f>
        <v>n</v>
      </c>
      <c r="BB852" s="96" t="str">
        <f t="shared" si="237"/>
        <v>n</v>
      </c>
      <c r="BC852" s="97"/>
      <c r="BD852" s="96" t="str">
        <f t="shared" si="238"/>
        <v>n</v>
      </c>
      <c r="BE852" s="96" t="str">
        <f t="shared" si="239"/>
        <v>n</v>
      </c>
      <c r="BF852" s="98" t="str">
        <f t="shared" si="240"/>
        <v/>
      </c>
      <c r="BG852" s="96" t="str">
        <f>IF(BF852="","",IF(ISNUMBER(VLOOKUP(BF852,'Conversion factors'!$B$35:$C$52,2,FALSE)),"y","n"))</f>
        <v/>
      </c>
      <c r="BH852" s="99"/>
    </row>
    <row r="853" spans="1:62" s="103" customFormat="1" ht="15.75" customHeight="1" x14ac:dyDescent="0.2">
      <c r="A853" s="18"/>
      <c r="B853" s="19">
        <v>188</v>
      </c>
      <c r="C853" s="19"/>
      <c r="D853" s="19">
        <v>18646</v>
      </c>
      <c r="E853" s="19" t="s">
        <v>1224</v>
      </c>
      <c r="F853" s="93">
        <v>1998</v>
      </c>
      <c r="G853" s="19" t="s">
        <v>349</v>
      </c>
      <c r="H853" s="19"/>
      <c r="I853" s="19" t="s">
        <v>41</v>
      </c>
      <c r="J853" s="19" t="s">
        <v>344</v>
      </c>
      <c r="K853" s="19" t="s">
        <v>42</v>
      </c>
      <c r="L853" s="19" t="s">
        <v>43</v>
      </c>
      <c r="M853" s="19" t="s">
        <v>1303</v>
      </c>
      <c r="N853" s="19" t="s">
        <v>109</v>
      </c>
      <c r="O853" s="19" t="s">
        <v>264</v>
      </c>
      <c r="P853" s="19" t="s">
        <v>53</v>
      </c>
      <c r="Q853" s="19"/>
      <c r="R853" s="19" t="s">
        <v>256</v>
      </c>
      <c r="S853" s="19" t="s">
        <v>257</v>
      </c>
      <c r="T853" s="19" t="s">
        <v>110</v>
      </c>
      <c r="U853" s="19" t="s">
        <v>44</v>
      </c>
      <c r="V853" s="19" t="s">
        <v>103</v>
      </c>
      <c r="W853" s="19" t="s">
        <v>231</v>
      </c>
      <c r="X853" s="19" t="s">
        <v>46</v>
      </c>
      <c r="Y853" s="29"/>
      <c r="Z853" s="19" t="s">
        <v>353</v>
      </c>
      <c r="AA853" s="19"/>
      <c r="AB853" s="19">
        <f>65.39*1.05</f>
        <v>68.659500000000008</v>
      </c>
      <c r="AC853" s="19" t="s">
        <v>1322</v>
      </c>
      <c r="AD853" s="19"/>
      <c r="AE853" s="19" t="s">
        <v>351</v>
      </c>
      <c r="AF853" s="19" t="s">
        <v>351</v>
      </c>
      <c r="AG853" s="19" t="s">
        <v>235</v>
      </c>
      <c r="AH853" s="19"/>
      <c r="AI853" s="19"/>
      <c r="AJ853" s="19" t="s">
        <v>234</v>
      </c>
      <c r="AK853" s="19" t="s">
        <v>234</v>
      </c>
      <c r="AL853" s="19"/>
      <c r="AM853" s="19" t="s">
        <v>234</v>
      </c>
      <c r="AN853" s="19" t="s">
        <v>234</v>
      </c>
      <c r="AO853" s="19" t="s">
        <v>235</v>
      </c>
      <c r="AP853" s="94"/>
      <c r="AQ853" s="19" t="s">
        <v>352</v>
      </c>
      <c r="AR853" s="19" t="s">
        <v>241</v>
      </c>
      <c r="AS853" s="19"/>
      <c r="AT853" s="65" t="str">
        <f t="shared" si="234"/>
        <v>N</v>
      </c>
      <c r="AU853" s="65" t="str">
        <f t="shared" si="235"/>
        <v>N</v>
      </c>
      <c r="AV853" s="65" t="str">
        <f t="shared" si="241"/>
        <v>N</v>
      </c>
      <c r="AW853" s="99"/>
      <c r="AX853" s="99"/>
      <c r="AY853" s="19"/>
      <c r="AZ853" s="96" t="str">
        <f t="shared" si="236"/>
        <v>n</v>
      </c>
      <c r="BA853" s="96" t="str">
        <f>IF(AZ853="n","n",VLOOKUP(AZ853,'Conversion factors'!$C$4:$D$24,2,FALSE))</f>
        <v>n</v>
      </c>
      <c r="BB853" s="96" t="str">
        <f t="shared" si="237"/>
        <v>n</v>
      </c>
      <c r="BC853" s="97"/>
      <c r="BD853" s="96" t="str">
        <f t="shared" si="238"/>
        <v>n</v>
      </c>
      <c r="BE853" s="96" t="str">
        <f t="shared" si="239"/>
        <v>n</v>
      </c>
      <c r="BF853" s="98" t="str">
        <f t="shared" si="240"/>
        <v/>
      </c>
      <c r="BG853" s="96" t="str">
        <f>IF(BF853="","",IF(ISNUMBER(VLOOKUP(BF853,'Conversion factors'!$B$35:$C$52,2,FALSE)),"y","n"))</f>
        <v/>
      </c>
      <c r="BH853" s="99"/>
    </row>
    <row r="854" spans="1:62" s="103" customFormat="1" ht="15.75" customHeight="1" x14ac:dyDescent="0.2">
      <c r="A854" s="117"/>
      <c r="B854" s="19">
        <v>591</v>
      </c>
      <c r="C854" s="19"/>
      <c r="D854" s="19">
        <v>65910</v>
      </c>
      <c r="E854" s="19" t="s">
        <v>1301</v>
      </c>
      <c r="F854" s="93">
        <v>2001</v>
      </c>
      <c r="G854" s="19" t="s">
        <v>1302</v>
      </c>
      <c r="H854" s="19" t="s">
        <v>1307</v>
      </c>
      <c r="I854" s="19" t="s">
        <v>1304</v>
      </c>
      <c r="J854" s="19" t="s">
        <v>344</v>
      </c>
      <c r="K854" s="19" t="s">
        <v>42</v>
      </c>
      <c r="L854" s="99" t="s">
        <v>43</v>
      </c>
      <c r="M854" s="19" t="s">
        <v>1303</v>
      </c>
      <c r="N854" s="19" t="s">
        <v>109</v>
      </c>
      <c r="O854" s="19" t="s">
        <v>264</v>
      </c>
      <c r="P854" s="19" t="s">
        <v>53</v>
      </c>
      <c r="Q854" s="19"/>
      <c r="R854" s="19" t="s">
        <v>256</v>
      </c>
      <c r="S854" s="19" t="s">
        <v>309</v>
      </c>
      <c r="T854" s="19" t="s">
        <v>44</v>
      </c>
      <c r="U854" s="19" t="s">
        <v>44</v>
      </c>
      <c r="V854" s="19">
        <v>3</v>
      </c>
      <c r="W854" s="19" t="s">
        <v>45</v>
      </c>
      <c r="X854" s="19" t="s">
        <v>46</v>
      </c>
      <c r="Y854" s="19"/>
      <c r="Z854" s="19"/>
      <c r="AA854" s="19"/>
      <c r="AB854" s="19">
        <v>38</v>
      </c>
      <c r="AC854" s="19" t="s">
        <v>214</v>
      </c>
      <c r="AD854" s="19"/>
      <c r="AE854" s="19">
        <f>(80+96)/2</f>
        <v>88</v>
      </c>
      <c r="AF854" s="19">
        <f>(80+96)/2</f>
        <v>88</v>
      </c>
      <c r="AG854" s="19"/>
      <c r="AH854" s="19"/>
      <c r="AI854" s="19"/>
      <c r="AJ854" s="101">
        <v>7.75</v>
      </c>
      <c r="AK854" s="19" t="s">
        <v>1504</v>
      </c>
      <c r="AL854" s="19"/>
      <c r="AM854" s="19"/>
      <c r="AN854" s="19">
        <v>9</v>
      </c>
      <c r="AO854" s="19" t="s">
        <v>270</v>
      </c>
      <c r="AP854" s="94"/>
      <c r="AQ854" s="19">
        <v>24</v>
      </c>
      <c r="AR854" s="19"/>
      <c r="AS854" s="19"/>
      <c r="AT854" s="65" t="str">
        <f t="shared" si="234"/>
        <v>Y</v>
      </c>
      <c r="AU854" s="65" t="str">
        <f t="shared" si="235"/>
        <v>Y</v>
      </c>
      <c r="AV854" s="65" t="str">
        <f t="shared" si="241"/>
        <v>Y</v>
      </c>
      <c r="AW854" s="115"/>
      <c r="AX854" s="115"/>
      <c r="AY854" s="19"/>
      <c r="AZ854" s="96" t="str">
        <f t="shared" si="236"/>
        <v>EC50</v>
      </c>
      <c r="BA854" s="96">
        <f>IF(AZ854="n","n",VLOOKUP(AZ854,'Conversion factors'!$C$4:$D$24,2,FALSE))</f>
        <v>5</v>
      </c>
      <c r="BB854" s="96">
        <f t="shared" si="237"/>
        <v>7.6</v>
      </c>
      <c r="BC854" s="117"/>
      <c r="BD854" s="96" t="str">
        <f t="shared" si="238"/>
        <v>Chronic</v>
      </c>
      <c r="BE854" s="96" t="str">
        <f t="shared" si="239"/>
        <v>y</v>
      </c>
      <c r="BF854" s="98" t="str">
        <f t="shared" si="240"/>
        <v>EC50</v>
      </c>
      <c r="BG854" s="96" t="str">
        <f>IF(BF854="","",IF(ISNUMBER(VLOOKUP(BF854,'Conversion factors'!$B$35:$C$52,2,FALSE)),"y","n"))</f>
        <v>n</v>
      </c>
      <c r="BH854" s="115" t="s">
        <v>1305</v>
      </c>
      <c r="BI854" s="117"/>
      <c r="BJ854" s="117"/>
    </row>
    <row r="855" spans="1:62" s="103" customFormat="1" ht="15.75" customHeight="1" x14ac:dyDescent="0.2">
      <c r="A855" s="18"/>
      <c r="B855" s="19">
        <v>291</v>
      </c>
      <c r="C855" s="19"/>
      <c r="D855" s="19">
        <v>101878</v>
      </c>
      <c r="E855" s="19" t="s">
        <v>1224</v>
      </c>
      <c r="F855" s="93">
        <v>2007</v>
      </c>
      <c r="G855" s="19" t="s">
        <v>1014</v>
      </c>
      <c r="H855" s="19"/>
      <c r="I855" s="19" t="s">
        <v>41</v>
      </c>
      <c r="J855" s="19" t="s">
        <v>344</v>
      </c>
      <c r="K855" s="19" t="s">
        <v>42</v>
      </c>
      <c r="L855" s="99" t="s">
        <v>43</v>
      </c>
      <c r="M855" s="19" t="s">
        <v>1303</v>
      </c>
      <c r="N855" s="19" t="s">
        <v>109</v>
      </c>
      <c r="O855" s="19" t="s">
        <v>264</v>
      </c>
      <c r="P855" s="19" t="s">
        <v>53</v>
      </c>
      <c r="Q855" s="19"/>
      <c r="R855" s="19" t="s">
        <v>256</v>
      </c>
      <c r="S855" s="19" t="s">
        <v>309</v>
      </c>
      <c r="T855" s="19" t="s">
        <v>110</v>
      </c>
      <c r="U855" s="19" t="s">
        <v>44</v>
      </c>
      <c r="V855" s="19" t="s">
        <v>103</v>
      </c>
      <c r="W855" s="19" t="s">
        <v>231</v>
      </c>
      <c r="X855" s="19" t="s">
        <v>46</v>
      </c>
      <c r="Y855" s="29"/>
      <c r="Z855" s="19"/>
      <c r="AA855" s="19"/>
      <c r="AB855" s="19" t="s">
        <v>991</v>
      </c>
      <c r="AC855" s="19" t="s">
        <v>214</v>
      </c>
      <c r="AD855" s="19"/>
      <c r="AE855" s="19">
        <v>15</v>
      </c>
      <c r="AF855" s="19">
        <v>15</v>
      </c>
      <c r="AG855" s="19" t="s">
        <v>270</v>
      </c>
      <c r="AH855" s="19"/>
      <c r="AI855" s="19"/>
      <c r="AJ855" s="101">
        <v>7.5</v>
      </c>
      <c r="AK855" s="19" t="s">
        <v>544</v>
      </c>
      <c r="AL855" s="19"/>
      <c r="AM855" s="19" t="s">
        <v>234</v>
      </c>
      <c r="AN855" s="19" t="s">
        <v>1015</v>
      </c>
      <c r="AO855" s="19" t="s">
        <v>270</v>
      </c>
      <c r="AP855" s="94"/>
      <c r="AQ855" s="19" t="s">
        <v>399</v>
      </c>
      <c r="AR855" s="19" t="s">
        <v>241</v>
      </c>
      <c r="AS855" s="19"/>
      <c r="AT855" s="65" t="str">
        <f t="shared" si="234"/>
        <v>Y</v>
      </c>
      <c r="AU855" s="65" t="str">
        <f t="shared" si="235"/>
        <v>Y</v>
      </c>
      <c r="AV855" s="65" t="str">
        <f t="shared" si="241"/>
        <v>Y</v>
      </c>
      <c r="AW855" s="99"/>
      <c r="AX855" s="99"/>
      <c r="AY855" s="19"/>
      <c r="AZ855" s="96" t="str">
        <f t="shared" si="236"/>
        <v>IC50</v>
      </c>
      <c r="BA855" s="96">
        <f>IF(AZ855="n","n",VLOOKUP(AZ855,'Conversion factors'!$C$4:$D$24,2,FALSE))</f>
        <v>5</v>
      </c>
      <c r="BB855" s="96">
        <f t="shared" si="237"/>
        <v>13.6</v>
      </c>
      <c r="BC855" s="97"/>
      <c r="BD855" s="96" t="str">
        <f t="shared" si="238"/>
        <v>Chronic</v>
      </c>
      <c r="BE855" s="96" t="str">
        <f t="shared" si="239"/>
        <v>y</v>
      </c>
      <c r="BF855" s="98" t="str">
        <f t="shared" si="240"/>
        <v>IC50</v>
      </c>
      <c r="BG855" s="96" t="str">
        <f>IF(BF855="","",IF(ISNUMBER(VLOOKUP(BF855,'Conversion factors'!$B$35:$C$52,2,FALSE)),"y","n"))</f>
        <v>n</v>
      </c>
      <c r="BH855" s="99" t="s">
        <v>1525</v>
      </c>
    </row>
    <row r="856" spans="1:62" s="103" customFormat="1" ht="15.75" customHeight="1" x14ac:dyDescent="0.2">
      <c r="A856" s="18"/>
      <c r="B856" s="19">
        <v>291</v>
      </c>
      <c r="C856" s="19"/>
      <c r="D856" s="19">
        <v>101878</v>
      </c>
      <c r="E856" s="19" t="s">
        <v>1224</v>
      </c>
      <c r="F856" s="93">
        <v>2007</v>
      </c>
      <c r="G856" s="19" t="s">
        <v>1014</v>
      </c>
      <c r="H856" s="19"/>
      <c r="I856" s="19" t="s">
        <v>41</v>
      </c>
      <c r="J856" s="19" t="s">
        <v>344</v>
      </c>
      <c r="K856" s="19" t="s">
        <v>42</v>
      </c>
      <c r="L856" s="99" t="s">
        <v>43</v>
      </c>
      <c r="M856" s="19" t="s">
        <v>1303</v>
      </c>
      <c r="N856" s="19" t="s">
        <v>109</v>
      </c>
      <c r="O856" s="19" t="s">
        <v>264</v>
      </c>
      <c r="P856" s="19" t="s">
        <v>53</v>
      </c>
      <c r="Q856" s="19"/>
      <c r="R856" s="19" t="s">
        <v>256</v>
      </c>
      <c r="S856" s="19" t="s">
        <v>309</v>
      </c>
      <c r="T856" s="19" t="s">
        <v>110</v>
      </c>
      <c r="U856" s="19" t="s">
        <v>44</v>
      </c>
      <c r="V856" s="19" t="s">
        <v>103</v>
      </c>
      <c r="W856" s="19" t="s">
        <v>231</v>
      </c>
      <c r="X856" s="19" t="s">
        <v>46</v>
      </c>
      <c r="Y856" s="29"/>
      <c r="Z856" s="19"/>
      <c r="AA856" s="19"/>
      <c r="AB856" s="19" t="s">
        <v>991</v>
      </c>
      <c r="AC856" s="19" t="s">
        <v>214</v>
      </c>
      <c r="AD856" s="19"/>
      <c r="AE856" s="19">
        <v>15</v>
      </c>
      <c r="AF856" s="19">
        <v>15</v>
      </c>
      <c r="AG856" s="19" t="s">
        <v>270</v>
      </c>
      <c r="AH856" s="19"/>
      <c r="AI856" s="19"/>
      <c r="AJ856" s="101">
        <v>7.5</v>
      </c>
      <c r="AK856" s="19" t="s">
        <v>544</v>
      </c>
      <c r="AL856" s="19"/>
      <c r="AM856" s="19" t="s">
        <v>234</v>
      </c>
      <c r="AN856" s="19" t="s">
        <v>1015</v>
      </c>
      <c r="AO856" s="19" t="s">
        <v>270</v>
      </c>
      <c r="AP856" s="94"/>
      <c r="AQ856" s="19" t="s">
        <v>399</v>
      </c>
      <c r="AR856" s="19" t="s">
        <v>241</v>
      </c>
      <c r="AS856" s="19"/>
      <c r="AT856" s="65" t="str">
        <f t="shared" si="234"/>
        <v>Y</v>
      </c>
      <c r="AU856" s="65" t="str">
        <f t="shared" si="235"/>
        <v>Y</v>
      </c>
      <c r="AV856" s="65" t="str">
        <f t="shared" si="241"/>
        <v>Y</v>
      </c>
      <c r="AW856" s="99"/>
      <c r="AX856" s="99"/>
      <c r="AY856" s="19"/>
      <c r="AZ856" s="96" t="str">
        <f t="shared" si="236"/>
        <v>IC50</v>
      </c>
      <c r="BA856" s="96">
        <f>IF(AZ856="n","n",VLOOKUP(AZ856,'Conversion factors'!$C$4:$D$24,2,FALSE))</f>
        <v>5</v>
      </c>
      <c r="BB856" s="96">
        <f t="shared" si="237"/>
        <v>13.6</v>
      </c>
      <c r="BC856" s="97"/>
      <c r="BD856" s="96" t="str">
        <f t="shared" si="238"/>
        <v>Chronic</v>
      </c>
      <c r="BE856" s="96" t="str">
        <f t="shared" si="239"/>
        <v>y</v>
      </c>
      <c r="BF856" s="98" t="str">
        <f t="shared" si="240"/>
        <v>IC50</v>
      </c>
      <c r="BG856" s="96" t="str">
        <f>IF(BF856="","",IF(ISNUMBER(VLOOKUP(BF856,'Conversion factors'!$B$35:$C$52,2,FALSE)),"y","n"))</f>
        <v>n</v>
      </c>
      <c r="BH856" s="99" t="s">
        <v>1525</v>
      </c>
    </row>
    <row r="857" spans="1:62" s="103" customFormat="1" ht="15.75" customHeight="1" x14ac:dyDescent="0.2">
      <c r="A857" s="18"/>
      <c r="B857" s="19">
        <v>291</v>
      </c>
      <c r="C857" s="19"/>
      <c r="D857" s="19">
        <v>101878</v>
      </c>
      <c r="E857" s="19" t="s">
        <v>1224</v>
      </c>
      <c r="F857" s="93">
        <v>2007</v>
      </c>
      <c r="G857" s="19" t="s">
        <v>1014</v>
      </c>
      <c r="H857" s="19"/>
      <c r="I857" s="19" t="s">
        <v>41</v>
      </c>
      <c r="J857" s="19" t="s">
        <v>344</v>
      </c>
      <c r="K857" s="19" t="s">
        <v>42</v>
      </c>
      <c r="L857" s="99" t="s">
        <v>43</v>
      </c>
      <c r="M857" s="19" t="s">
        <v>1303</v>
      </c>
      <c r="N857" s="19" t="s">
        <v>109</v>
      </c>
      <c r="O857" s="19" t="s">
        <v>264</v>
      </c>
      <c r="P857" s="19" t="s">
        <v>53</v>
      </c>
      <c r="Q857" s="19"/>
      <c r="R857" s="19" t="s">
        <v>256</v>
      </c>
      <c r="S857" s="19" t="s">
        <v>309</v>
      </c>
      <c r="T857" s="19" t="s">
        <v>110</v>
      </c>
      <c r="U857" s="19" t="s">
        <v>44</v>
      </c>
      <c r="V857" s="19" t="s">
        <v>103</v>
      </c>
      <c r="W857" s="19" t="s">
        <v>231</v>
      </c>
      <c r="X857" s="19" t="s">
        <v>46</v>
      </c>
      <c r="Y857" s="29"/>
      <c r="Z857" s="19"/>
      <c r="AA857" s="19"/>
      <c r="AB857" s="19" t="s">
        <v>1016</v>
      </c>
      <c r="AC857" s="19" t="s">
        <v>214</v>
      </c>
      <c r="AD857" s="19"/>
      <c r="AE857" s="19">
        <v>15</v>
      </c>
      <c r="AF857" s="19">
        <v>15</v>
      </c>
      <c r="AG857" s="19" t="s">
        <v>270</v>
      </c>
      <c r="AH857" s="19"/>
      <c r="AI857" s="19"/>
      <c r="AJ857" s="101">
        <v>7.5</v>
      </c>
      <c r="AK857" s="19" t="s">
        <v>544</v>
      </c>
      <c r="AL857" s="19"/>
      <c r="AM857" s="19" t="s">
        <v>234</v>
      </c>
      <c r="AN857" s="19" t="s">
        <v>1015</v>
      </c>
      <c r="AO857" s="19" t="s">
        <v>270</v>
      </c>
      <c r="AP857" s="94"/>
      <c r="AQ857" s="19" t="s">
        <v>399</v>
      </c>
      <c r="AR857" s="19" t="s">
        <v>241</v>
      </c>
      <c r="AS857" s="19"/>
      <c r="AT857" s="65" t="str">
        <f t="shared" si="234"/>
        <v>Y</v>
      </c>
      <c r="AU857" s="65" t="str">
        <f t="shared" si="235"/>
        <v>Y</v>
      </c>
      <c r="AV857" s="65" t="str">
        <f t="shared" si="241"/>
        <v>Y</v>
      </c>
      <c r="AW857" s="99"/>
      <c r="AX857" s="99"/>
      <c r="AY857" s="19"/>
      <c r="AZ857" s="96" t="str">
        <f t="shared" si="236"/>
        <v>IC50</v>
      </c>
      <c r="BA857" s="96">
        <f>IF(AZ857="n","n",VLOOKUP(AZ857,'Conversion factors'!$C$4:$D$24,2,FALSE))</f>
        <v>5</v>
      </c>
      <c r="BB857" s="96">
        <f t="shared" si="237"/>
        <v>8.8000000000000007</v>
      </c>
      <c r="BC857" s="97"/>
      <c r="BD857" s="96" t="str">
        <f t="shared" si="238"/>
        <v>Chronic</v>
      </c>
      <c r="BE857" s="96" t="str">
        <f t="shared" si="239"/>
        <v>y</v>
      </c>
      <c r="BF857" s="98" t="str">
        <f t="shared" si="240"/>
        <v>IC50</v>
      </c>
      <c r="BG857" s="96" t="str">
        <f>IF(BF857="","",IF(ISNUMBER(VLOOKUP(BF857,'Conversion factors'!$B$35:$C$52,2,FALSE)),"y","n"))</f>
        <v>n</v>
      </c>
      <c r="BH857" s="99" t="s">
        <v>1525</v>
      </c>
    </row>
    <row r="858" spans="1:62" s="103" customFormat="1" ht="15.75" customHeight="1" x14ac:dyDescent="0.2">
      <c r="A858" s="18"/>
      <c r="B858" s="19">
        <v>291</v>
      </c>
      <c r="C858" s="19"/>
      <c r="D858" s="19">
        <v>101878</v>
      </c>
      <c r="E858" s="19" t="s">
        <v>1224</v>
      </c>
      <c r="F858" s="93">
        <v>2007</v>
      </c>
      <c r="G858" s="19" t="s">
        <v>1014</v>
      </c>
      <c r="H858" s="19"/>
      <c r="I858" s="19" t="s">
        <v>41</v>
      </c>
      <c r="J858" s="19" t="s">
        <v>344</v>
      </c>
      <c r="K858" s="19" t="s">
        <v>42</v>
      </c>
      <c r="L858" s="99" t="s">
        <v>43</v>
      </c>
      <c r="M858" s="19" t="s">
        <v>1303</v>
      </c>
      <c r="N858" s="19" t="s">
        <v>109</v>
      </c>
      <c r="O858" s="19" t="s">
        <v>264</v>
      </c>
      <c r="P858" s="19" t="s">
        <v>53</v>
      </c>
      <c r="Q858" s="19"/>
      <c r="R858" s="19" t="s">
        <v>256</v>
      </c>
      <c r="S858" s="19" t="s">
        <v>309</v>
      </c>
      <c r="T858" s="19" t="s">
        <v>110</v>
      </c>
      <c r="U858" s="19" t="s">
        <v>44</v>
      </c>
      <c r="V858" s="19" t="s">
        <v>103</v>
      </c>
      <c r="W858" s="19" t="s">
        <v>231</v>
      </c>
      <c r="X858" s="19" t="s">
        <v>46</v>
      </c>
      <c r="Y858" s="29"/>
      <c r="Z858" s="19"/>
      <c r="AA858" s="19"/>
      <c r="AB858" s="19" t="s">
        <v>1017</v>
      </c>
      <c r="AC858" s="19" t="s">
        <v>214</v>
      </c>
      <c r="AD858" s="19"/>
      <c r="AE858" s="19">
        <v>15</v>
      </c>
      <c r="AF858" s="19">
        <v>15</v>
      </c>
      <c r="AG858" s="19" t="s">
        <v>270</v>
      </c>
      <c r="AH858" s="19"/>
      <c r="AI858" s="19"/>
      <c r="AJ858" s="101">
        <v>7.5</v>
      </c>
      <c r="AK858" s="19" t="s">
        <v>544</v>
      </c>
      <c r="AL858" s="19"/>
      <c r="AM858" s="19" t="s">
        <v>234</v>
      </c>
      <c r="AN858" s="19" t="s">
        <v>1015</v>
      </c>
      <c r="AO858" s="19" t="s">
        <v>270</v>
      </c>
      <c r="AP858" s="94"/>
      <c r="AQ858" s="19" t="s">
        <v>399</v>
      </c>
      <c r="AR858" s="19" t="s">
        <v>241</v>
      </c>
      <c r="AS858" s="19"/>
      <c r="AT858" s="65" t="str">
        <f t="shared" si="234"/>
        <v>Y</v>
      </c>
      <c r="AU858" s="65" t="str">
        <f t="shared" si="235"/>
        <v>Y</v>
      </c>
      <c r="AV858" s="65" t="str">
        <f t="shared" si="241"/>
        <v>Y</v>
      </c>
      <c r="AW858" s="99"/>
      <c r="AX858" s="99"/>
      <c r="AY858" s="19"/>
      <c r="AZ858" s="96" t="str">
        <f t="shared" si="236"/>
        <v>IC50</v>
      </c>
      <c r="BA858" s="96">
        <f>IF(AZ858="n","n",VLOOKUP(AZ858,'Conversion factors'!$C$4:$D$24,2,FALSE))</f>
        <v>5</v>
      </c>
      <c r="BB858" s="96">
        <f t="shared" si="237"/>
        <v>9.8000000000000007</v>
      </c>
      <c r="BC858" s="97"/>
      <c r="BD858" s="96" t="str">
        <f t="shared" si="238"/>
        <v>Chronic</v>
      </c>
      <c r="BE858" s="96" t="str">
        <f t="shared" si="239"/>
        <v>y</v>
      </c>
      <c r="BF858" s="98" t="str">
        <f t="shared" si="240"/>
        <v>IC50</v>
      </c>
      <c r="BG858" s="96" t="str">
        <f>IF(BF858="","",IF(ISNUMBER(VLOOKUP(BF858,'Conversion factors'!$B$35:$C$52,2,FALSE)),"y","n"))</f>
        <v>n</v>
      </c>
      <c r="BH858" s="99" t="s">
        <v>1525</v>
      </c>
    </row>
    <row r="859" spans="1:62" s="103" customFormat="1" ht="15.75" customHeight="1" x14ac:dyDescent="0.2">
      <c r="A859" s="119"/>
      <c r="B859" s="19">
        <v>291</v>
      </c>
      <c r="C859" s="19"/>
      <c r="D859" s="19">
        <v>101878</v>
      </c>
      <c r="E859" s="19" t="s">
        <v>1224</v>
      </c>
      <c r="F859" s="93">
        <v>2007</v>
      </c>
      <c r="G859" s="19" t="s">
        <v>1014</v>
      </c>
      <c r="H859" s="19"/>
      <c r="I859" s="19" t="s">
        <v>41</v>
      </c>
      <c r="J859" s="19" t="s">
        <v>344</v>
      </c>
      <c r="K859" s="19" t="s">
        <v>42</v>
      </c>
      <c r="L859" s="99" t="s">
        <v>43</v>
      </c>
      <c r="M859" s="19" t="s">
        <v>1303</v>
      </c>
      <c r="N859" s="19" t="s">
        <v>109</v>
      </c>
      <c r="O859" s="19" t="s">
        <v>264</v>
      </c>
      <c r="P859" s="19" t="s">
        <v>53</v>
      </c>
      <c r="Q859" s="19"/>
      <c r="R859" s="19" t="s">
        <v>256</v>
      </c>
      <c r="S859" s="19" t="s">
        <v>309</v>
      </c>
      <c r="T859" s="19" t="s">
        <v>110</v>
      </c>
      <c r="U859" s="19" t="s">
        <v>44</v>
      </c>
      <c r="V859" s="19" t="s">
        <v>103</v>
      </c>
      <c r="W859" s="19" t="s">
        <v>231</v>
      </c>
      <c r="X859" s="19" t="s">
        <v>46</v>
      </c>
      <c r="Y859" s="29"/>
      <c r="Z859" s="19"/>
      <c r="AA859" s="19"/>
      <c r="AB859" s="19" t="s">
        <v>875</v>
      </c>
      <c r="AC859" s="19" t="s">
        <v>214</v>
      </c>
      <c r="AD859" s="19"/>
      <c r="AE859" s="19">
        <v>15</v>
      </c>
      <c r="AF859" s="19">
        <v>15</v>
      </c>
      <c r="AG859" s="19" t="s">
        <v>270</v>
      </c>
      <c r="AH859" s="19"/>
      <c r="AI859" s="19"/>
      <c r="AJ859" s="101">
        <v>7.5</v>
      </c>
      <c r="AK859" s="19" t="s">
        <v>544</v>
      </c>
      <c r="AL859" s="19"/>
      <c r="AM859" s="19" t="s">
        <v>234</v>
      </c>
      <c r="AN859" s="19" t="s">
        <v>1015</v>
      </c>
      <c r="AO859" s="19" t="s">
        <v>270</v>
      </c>
      <c r="AP859" s="94"/>
      <c r="AQ859" s="19" t="s">
        <v>399</v>
      </c>
      <c r="AR859" s="19" t="s">
        <v>241</v>
      </c>
      <c r="AS859" s="19"/>
      <c r="AT859" s="65" t="str">
        <f t="shared" si="234"/>
        <v>Y</v>
      </c>
      <c r="AU859" s="65" t="str">
        <f t="shared" si="235"/>
        <v>Y</v>
      </c>
      <c r="AV859" s="65" t="str">
        <f t="shared" si="241"/>
        <v>Y</v>
      </c>
      <c r="AW859" s="99"/>
      <c r="AX859" s="99"/>
      <c r="AY859" s="19"/>
      <c r="AZ859" s="96" t="str">
        <f t="shared" si="236"/>
        <v>IC50</v>
      </c>
      <c r="BA859" s="96">
        <f>IF(AZ859="n","n",VLOOKUP(AZ859,'Conversion factors'!$C$4:$D$24,2,FALSE))</f>
        <v>5</v>
      </c>
      <c r="BB859" s="96">
        <f t="shared" si="237"/>
        <v>12.6</v>
      </c>
      <c r="BC859" s="97"/>
      <c r="BD859" s="96" t="str">
        <f t="shared" si="238"/>
        <v>Chronic</v>
      </c>
      <c r="BE859" s="96" t="str">
        <f t="shared" si="239"/>
        <v>y</v>
      </c>
      <c r="BF859" s="98" t="str">
        <f t="shared" si="240"/>
        <v>IC50</v>
      </c>
      <c r="BG859" s="96" t="str">
        <f>IF(BF859="","",IF(ISNUMBER(VLOOKUP(BF859,'Conversion factors'!$B$35:$C$52,2,FALSE)),"y","n"))</f>
        <v>n</v>
      </c>
      <c r="BH859" s="99" t="s">
        <v>1525</v>
      </c>
    </row>
    <row r="860" spans="1:62" s="103" customFormat="1" ht="15.75" customHeight="1" x14ac:dyDescent="0.2">
      <c r="A860" s="119"/>
      <c r="B860" s="19">
        <v>291</v>
      </c>
      <c r="C860" s="19"/>
      <c r="D860" s="19">
        <v>101878</v>
      </c>
      <c r="E860" s="19" t="s">
        <v>1224</v>
      </c>
      <c r="F860" s="93">
        <v>2007</v>
      </c>
      <c r="G860" s="19" t="s">
        <v>1014</v>
      </c>
      <c r="H860" s="19"/>
      <c r="I860" s="19" t="s">
        <v>41</v>
      </c>
      <c r="J860" s="19" t="s">
        <v>344</v>
      </c>
      <c r="K860" s="19" t="s">
        <v>42</v>
      </c>
      <c r="L860" s="99" t="s">
        <v>43</v>
      </c>
      <c r="M860" s="19" t="s">
        <v>1303</v>
      </c>
      <c r="N860" s="19" t="s">
        <v>109</v>
      </c>
      <c r="O860" s="19" t="s">
        <v>264</v>
      </c>
      <c r="P860" s="19" t="s">
        <v>53</v>
      </c>
      <c r="Q860" s="19"/>
      <c r="R860" s="19" t="s">
        <v>256</v>
      </c>
      <c r="S860" s="19" t="s">
        <v>309</v>
      </c>
      <c r="T860" s="19" t="s">
        <v>110</v>
      </c>
      <c r="U860" s="19" t="s">
        <v>44</v>
      </c>
      <c r="V860" s="19" t="s">
        <v>103</v>
      </c>
      <c r="W860" s="19" t="s">
        <v>231</v>
      </c>
      <c r="X860" s="19" t="s">
        <v>46</v>
      </c>
      <c r="Y860" s="29"/>
      <c r="Z860" s="19"/>
      <c r="AA860" s="19"/>
      <c r="AB860" s="19" t="s">
        <v>1018</v>
      </c>
      <c r="AC860" s="19" t="s">
        <v>214</v>
      </c>
      <c r="AD860" s="19"/>
      <c r="AE860" s="19">
        <v>15</v>
      </c>
      <c r="AF860" s="19">
        <v>15</v>
      </c>
      <c r="AG860" s="19" t="s">
        <v>270</v>
      </c>
      <c r="AH860" s="19"/>
      <c r="AI860" s="19"/>
      <c r="AJ860" s="101">
        <v>7.5</v>
      </c>
      <c r="AK860" s="19" t="s">
        <v>544</v>
      </c>
      <c r="AL860" s="19"/>
      <c r="AM860" s="19" t="s">
        <v>234</v>
      </c>
      <c r="AN860" s="19" t="s">
        <v>1015</v>
      </c>
      <c r="AO860" s="19" t="s">
        <v>270</v>
      </c>
      <c r="AP860" s="94"/>
      <c r="AQ860" s="19" t="s">
        <v>399</v>
      </c>
      <c r="AR860" s="19" t="s">
        <v>241</v>
      </c>
      <c r="AS860" s="19"/>
      <c r="AT860" s="65" t="str">
        <f t="shared" si="234"/>
        <v>Y</v>
      </c>
      <c r="AU860" s="65" t="str">
        <f t="shared" si="235"/>
        <v>Y</v>
      </c>
      <c r="AV860" s="65" t="str">
        <f t="shared" si="241"/>
        <v>Y</v>
      </c>
      <c r="AW860" s="99"/>
      <c r="AX860" s="99"/>
      <c r="AY860" s="19"/>
      <c r="AZ860" s="96" t="str">
        <f t="shared" si="236"/>
        <v>IC50</v>
      </c>
      <c r="BA860" s="96">
        <f>IF(AZ860="n","n",VLOOKUP(AZ860,'Conversion factors'!$C$4:$D$24,2,FALSE))</f>
        <v>5</v>
      </c>
      <c r="BB860" s="96">
        <f t="shared" si="237"/>
        <v>9.1999999999999993</v>
      </c>
      <c r="BC860" s="97"/>
      <c r="BD860" s="96" t="str">
        <f t="shared" si="238"/>
        <v>Chronic</v>
      </c>
      <c r="BE860" s="96" t="str">
        <f t="shared" si="239"/>
        <v>y</v>
      </c>
      <c r="BF860" s="98" t="str">
        <f t="shared" si="240"/>
        <v>IC50</v>
      </c>
      <c r="BG860" s="96" t="str">
        <f>IF(BF860="","",IF(ISNUMBER(VLOOKUP(BF860,'Conversion factors'!$B$35:$C$52,2,FALSE)),"y","n"))</f>
        <v>n</v>
      </c>
      <c r="BH860" s="99" t="s">
        <v>1525</v>
      </c>
    </row>
    <row r="861" spans="1:62" s="103" customFormat="1" ht="15.75" customHeight="1" x14ac:dyDescent="0.2">
      <c r="A861" s="119"/>
      <c r="B861" s="19">
        <v>291</v>
      </c>
      <c r="C861" s="19"/>
      <c r="D861" s="19">
        <v>101878</v>
      </c>
      <c r="E861" s="19" t="s">
        <v>1224</v>
      </c>
      <c r="F861" s="93">
        <v>2007</v>
      </c>
      <c r="G861" s="19" t="s">
        <v>1014</v>
      </c>
      <c r="H861" s="19"/>
      <c r="I861" s="19" t="s">
        <v>41</v>
      </c>
      <c r="J861" s="19" t="s">
        <v>344</v>
      </c>
      <c r="K861" s="19" t="s">
        <v>42</v>
      </c>
      <c r="L861" s="99" t="s">
        <v>43</v>
      </c>
      <c r="M861" s="19" t="s">
        <v>1303</v>
      </c>
      <c r="N861" s="19" t="s">
        <v>109</v>
      </c>
      <c r="O861" s="19" t="s">
        <v>264</v>
      </c>
      <c r="P861" s="19" t="s">
        <v>53</v>
      </c>
      <c r="Q861" s="19"/>
      <c r="R861" s="19" t="s">
        <v>256</v>
      </c>
      <c r="S861" s="19" t="s">
        <v>309</v>
      </c>
      <c r="T861" s="19" t="s">
        <v>110</v>
      </c>
      <c r="U861" s="19" t="s">
        <v>44</v>
      </c>
      <c r="V861" s="19" t="s">
        <v>103</v>
      </c>
      <c r="W861" s="19" t="s">
        <v>231</v>
      </c>
      <c r="X861" s="19" t="s">
        <v>46</v>
      </c>
      <c r="Y861" s="29"/>
      <c r="Z861" s="19"/>
      <c r="AA861" s="19"/>
      <c r="AB861" s="19" t="s">
        <v>991</v>
      </c>
      <c r="AC861" s="19" t="s">
        <v>214</v>
      </c>
      <c r="AD861" s="19"/>
      <c r="AE861" s="19">
        <v>15</v>
      </c>
      <c r="AF861" s="19">
        <v>15</v>
      </c>
      <c r="AG861" s="19" t="s">
        <v>270</v>
      </c>
      <c r="AH861" s="19"/>
      <c r="AI861" s="19"/>
      <c r="AJ861" s="101">
        <v>7.5</v>
      </c>
      <c r="AK861" s="19" t="s">
        <v>544</v>
      </c>
      <c r="AL861" s="19"/>
      <c r="AM861" s="19" t="s">
        <v>234</v>
      </c>
      <c r="AN861" s="19" t="s">
        <v>1015</v>
      </c>
      <c r="AO861" s="19" t="s">
        <v>270</v>
      </c>
      <c r="AP861" s="94"/>
      <c r="AQ861" s="19" t="s">
        <v>399</v>
      </c>
      <c r="AR861" s="19" t="s">
        <v>241</v>
      </c>
      <c r="AS861" s="19"/>
      <c r="AT861" s="65" t="str">
        <f t="shared" si="234"/>
        <v>Y</v>
      </c>
      <c r="AU861" s="65" t="str">
        <f t="shared" si="235"/>
        <v>Y</v>
      </c>
      <c r="AV861" s="65" t="str">
        <f t="shared" si="241"/>
        <v>Y</v>
      </c>
      <c r="AW861" s="99"/>
      <c r="AX861" s="99"/>
      <c r="AY861" s="19"/>
      <c r="AZ861" s="96" t="str">
        <f t="shared" si="236"/>
        <v>IC50</v>
      </c>
      <c r="BA861" s="96">
        <f>IF(AZ861="n","n",VLOOKUP(AZ861,'Conversion factors'!$C$4:$D$24,2,FALSE))</f>
        <v>5</v>
      </c>
      <c r="BB861" s="96">
        <f t="shared" si="237"/>
        <v>13.6</v>
      </c>
      <c r="BC861" s="97"/>
      <c r="BD861" s="96" t="str">
        <f t="shared" si="238"/>
        <v>Chronic</v>
      </c>
      <c r="BE861" s="96" t="str">
        <f t="shared" si="239"/>
        <v>y</v>
      </c>
      <c r="BF861" s="98" t="str">
        <f t="shared" si="240"/>
        <v>IC50</v>
      </c>
      <c r="BG861" s="96" t="str">
        <f>IF(BF861="","",IF(ISNUMBER(VLOOKUP(BF861,'Conversion factors'!$B$35:$C$52,2,FALSE)),"y","n"))</f>
        <v>n</v>
      </c>
      <c r="BH861" s="99" t="s">
        <v>1525</v>
      </c>
    </row>
    <row r="862" spans="1:62" s="103" customFormat="1" ht="15.75" customHeight="1" x14ac:dyDescent="0.2">
      <c r="A862" s="119"/>
      <c r="B862" s="19">
        <v>291</v>
      </c>
      <c r="C862" s="19"/>
      <c r="D862" s="19">
        <v>101878</v>
      </c>
      <c r="E862" s="19" t="s">
        <v>1224</v>
      </c>
      <c r="F862" s="93">
        <v>2007</v>
      </c>
      <c r="G862" s="19" t="s">
        <v>1014</v>
      </c>
      <c r="H862" s="19"/>
      <c r="I862" s="19" t="s">
        <v>41</v>
      </c>
      <c r="J862" s="19" t="s">
        <v>344</v>
      </c>
      <c r="K862" s="19" t="s">
        <v>42</v>
      </c>
      <c r="L862" s="99" t="s">
        <v>43</v>
      </c>
      <c r="M862" s="19" t="s">
        <v>1303</v>
      </c>
      <c r="N862" s="19" t="s">
        <v>109</v>
      </c>
      <c r="O862" s="19" t="s">
        <v>264</v>
      </c>
      <c r="P862" s="19" t="s">
        <v>53</v>
      </c>
      <c r="Q862" s="19"/>
      <c r="R862" s="19" t="s">
        <v>256</v>
      </c>
      <c r="S862" s="19" t="s">
        <v>309</v>
      </c>
      <c r="T862" s="19" t="s">
        <v>110</v>
      </c>
      <c r="U862" s="19" t="s">
        <v>44</v>
      </c>
      <c r="V862" s="19" t="s">
        <v>103</v>
      </c>
      <c r="W862" s="19" t="s">
        <v>231</v>
      </c>
      <c r="X862" s="19" t="s">
        <v>46</v>
      </c>
      <c r="Y862" s="29"/>
      <c r="Z862" s="19"/>
      <c r="AA862" s="19"/>
      <c r="AB862" s="19" t="s">
        <v>1019</v>
      </c>
      <c r="AC862" s="19" t="s">
        <v>214</v>
      </c>
      <c r="AD862" s="19"/>
      <c r="AE862" s="19">
        <v>15</v>
      </c>
      <c r="AF862" s="19">
        <v>15</v>
      </c>
      <c r="AG862" s="19" t="s">
        <v>270</v>
      </c>
      <c r="AH862" s="19"/>
      <c r="AI862" s="19"/>
      <c r="AJ862" s="101">
        <v>7.5</v>
      </c>
      <c r="AK862" s="19" t="s">
        <v>544</v>
      </c>
      <c r="AL862" s="19"/>
      <c r="AM862" s="19" t="s">
        <v>234</v>
      </c>
      <c r="AN862" s="19" t="s">
        <v>1015</v>
      </c>
      <c r="AO862" s="19" t="s">
        <v>270</v>
      </c>
      <c r="AP862" s="94"/>
      <c r="AQ862" s="19" t="s">
        <v>399</v>
      </c>
      <c r="AR862" s="19" t="s">
        <v>241</v>
      </c>
      <c r="AS862" s="19"/>
      <c r="AT862" s="65" t="str">
        <f t="shared" si="234"/>
        <v>Y</v>
      </c>
      <c r="AU862" s="65" t="str">
        <f t="shared" si="235"/>
        <v>Y</v>
      </c>
      <c r="AV862" s="65" t="str">
        <f t="shared" si="241"/>
        <v>Y</v>
      </c>
      <c r="AW862" s="99"/>
      <c r="AX862" s="99"/>
      <c r="AY862" s="19"/>
      <c r="AZ862" s="96" t="str">
        <f t="shared" si="236"/>
        <v>IC50</v>
      </c>
      <c r="BA862" s="96">
        <f>IF(AZ862="n","n",VLOOKUP(AZ862,'Conversion factors'!$C$4:$D$24,2,FALSE))</f>
        <v>5</v>
      </c>
      <c r="BB862" s="96">
        <f t="shared" si="237"/>
        <v>12</v>
      </c>
      <c r="BC862" s="97"/>
      <c r="BD862" s="96" t="str">
        <f t="shared" si="238"/>
        <v>Chronic</v>
      </c>
      <c r="BE862" s="96" t="str">
        <f t="shared" si="239"/>
        <v>y</v>
      </c>
      <c r="BF862" s="98" t="str">
        <f t="shared" si="240"/>
        <v>IC50</v>
      </c>
      <c r="BG862" s="96" t="str">
        <f>IF(BF862="","",IF(ISNUMBER(VLOOKUP(BF862,'Conversion factors'!$B$35:$C$52,2,FALSE)),"y","n"))</f>
        <v>n</v>
      </c>
      <c r="BH862" s="99" t="s">
        <v>1525</v>
      </c>
    </row>
    <row r="863" spans="1:62" s="103" customFormat="1" ht="15.75" customHeight="1" x14ac:dyDescent="0.2">
      <c r="A863" s="18"/>
      <c r="B863" s="19">
        <v>291</v>
      </c>
      <c r="C863" s="19"/>
      <c r="D863" s="19">
        <v>101878</v>
      </c>
      <c r="E863" s="19" t="s">
        <v>1224</v>
      </c>
      <c r="F863" s="93">
        <v>2007</v>
      </c>
      <c r="G863" s="19" t="s">
        <v>1014</v>
      </c>
      <c r="H863" s="19"/>
      <c r="I863" s="19" t="s">
        <v>41</v>
      </c>
      <c r="J863" s="19" t="s">
        <v>344</v>
      </c>
      <c r="K863" s="19" t="s">
        <v>42</v>
      </c>
      <c r="L863" s="99" t="s">
        <v>43</v>
      </c>
      <c r="M863" s="19" t="s">
        <v>1303</v>
      </c>
      <c r="N863" s="19" t="s">
        <v>109</v>
      </c>
      <c r="O863" s="19" t="s">
        <v>264</v>
      </c>
      <c r="P863" s="19" t="s">
        <v>53</v>
      </c>
      <c r="Q863" s="19"/>
      <c r="R863" s="19" t="s">
        <v>256</v>
      </c>
      <c r="S863" s="19" t="s">
        <v>309</v>
      </c>
      <c r="T863" s="19" t="s">
        <v>110</v>
      </c>
      <c r="U863" s="19" t="s">
        <v>44</v>
      </c>
      <c r="V863" s="19" t="s">
        <v>103</v>
      </c>
      <c r="W863" s="19" t="s">
        <v>231</v>
      </c>
      <c r="X863" s="19" t="s">
        <v>46</v>
      </c>
      <c r="Y863" s="29"/>
      <c r="Z863" s="19"/>
      <c r="AA863" s="19"/>
      <c r="AB863" s="19" t="s">
        <v>1013</v>
      </c>
      <c r="AC863" s="19" t="s">
        <v>214</v>
      </c>
      <c r="AD863" s="19"/>
      <c r="AE863" s="19">
        <v>15</v>
      </c>
      <c r="AF863" s="19">
        <v>15</v>
      </c>
      <c r="AG863" s="19" t="s">
        <v>270</v>
      </c>
      <c r="AH863" s="19"/>
      <c r="AI863" s="19"/>
      <c r="AJ863" s="101">
        <v>7.5</v>
      </c>
      <c r="AK863" s="19" t="s">
        <v>544</v>
      </c>
      <c r="AL863" s="19"/>
      <c r="AM863" s="19" t="s">
        <v>234</v>
      </c>
      <c r="AN863" s="19" t="s">
        <v>1015</v>
      </c>
      <c r="AO863" s="19" t="s">
        <v>270</v>
      </c>
      <c r="AP863" s="94"/>
      <c r="AQ863" s="19" t="s">
        <v>399</v>
      </c>
      <c r="AR863" s="19" t="s">
        <v>241</v>
      </c>
      <c r="AS863" s="19"/>
      <c r="AT863" s="65" t="str">
        <f t="shared" si="234"/>
        <v>Y</v>
      </c>
      <c r="AU863" s="65" t="str">
        <f t="shared" si="235"/>
        <v>Y</v>
      </c>
      <c r="AV863" s="65" t="str">
        <f t="shared" si="241"/>
        <v>Y</v>
      </c>
      <c r="AW863" s="99"/>
      <c r="AX863" s="99"/>
      <c r="AY863" s="19"/>
      <c r="AZ863" s="96" t="str">
        <f t="shared" si="236"/>
        <v>IC50</v>
      </c>
      <c r="BA863" s="96">
        <f>IF(AZ863="n","n",VLOOKUP(AZ863,'Conversion factors'!$C$4:$D$24,2,FALSE))</f>
        <v>5</v>
      </c>
      <c r="BB863" s="96">
        <f t="shared" si="237"/>
        <v>12.2</v>
      </c>
      <c r="BC863" s="97"/>
      <c r="BD863" s="96" t="str">
        <f t="shared" si="238"/>
        <v>Chronic</v>
      </c>
      <c r="BE863" s="96" t="str">
        <f t="shared" si="239"/>
        <v>y</v>
      </c>
      <c r="BF863" s="98" t="str">
        <f t="shared" si="240"/>
        <v>IC50</v>
      </c>
      <c r="BG863" s="96" t="str">
        <f>IF(BF863="","",IF(ISNUMBER(VLOOKUP(BF863,'Conversion factors'!$B$35:$C$52,2,FALSE)),"y","n"))</f>
        <v>n</v>
      </c>
      <c r="BH863" s="99" t="s">
        <v>1525</v>
      </c>
    </row>
    <row r="864" spans="1:62" s="103" customFormat="1" ht="15.75" customHeight="1" x14ac:dyDescent="0.2">
      <c r="A864" s="18"/>
      <c r="B864" s="19">
        <v>291</v>
      </c>
      <c r="C864" s="19"/>
      <c r="D864" s="19">
        <v>101878</v>
      </c>
      <c r="E864" s="19" t="s">
        <v>1224</v>
      </c>
      <c r="F864" s="93">
        <v>2007</v>
      </c>
      <c r="G864" s="19" t="s">
        <v>1014</v>
      </c>
      <c r="H864" s="19"/>
      <c r="I864" s="19" t="s">
        <v>41</v>
      </c>
      <c r="J864" s="19" t="s">
        <v>344</v>
      </c>
      <c r="K864" s="19" t="s">
        <v>42</v>
      </c>
      <c r="L864" s="99" t="s">
        <v>43</v>
      </c>
      <c r="M864" s="19" t="s">
        <v>1303</v>
      </c>
      <c r="N864" s="19" t="s">
        <v>109</v>
      </c>
      <c r="O864" s="19" t="s">
        <v>264</v>
      </c>
      <c r="P864" s="19" t="s">
        <v>53</v>
      </c>
      <c r="Q864" s="19"/>
      <c r="R864" s="19" t="s">
        <v>256</v>
      </c>
      <c r="S864" s="19" t="s">
        <v>309</v>
      </c>
      <c r="T864" s="19" t="s">
        <v>110</v>
      </c>
      <c r="U864" s="19" t="s">
        <v>44</v>
      </c>
      <c r="V864" s="19" t="s">
        <v>103</v>
      </c>
      <c r="W864" s="19" t="s">
        <v>231</v>
      </c>
      <c r="X864" s="19" t="s">
        <v>46</v>
      </c>
      <c r="Y864" s="29"/>
      <c r="Z864" s="19"/>
      <c r="AA864" s="19"/>
      <c r="AB864" s="19" t="s">
        <v>1020</v>
      </c>
      <c r="AC864" s="19" t="s">
        <v>214</v>
      </c>
      <c r="AD864" s="19"/>
      <c r="AE864" s="19">
        <v>15</v>
      </c>
      <c r="AF864" s="19">
        <v>15</v>
      </c>
      <c r="AG864" s="19" t="s">
        <v>270</v>
      </c>
      <c r="AH864" s="19"/>
      <c r="AI864" s="19"/>
      <c r="AJ864" s="101">
        <v>7.5</v>
      </c>
      <c r="AK864" s="19" t="s">
        <v>544</v>
      </c>
      <c r="AL864" s="19"/>
      <c r="AM864" s="19" t="s">
        <v>234</v>
      </c>
      <c r="AN864" s="19" t="s">
        <v>1015</v>
      </c>
      <c r="AO864" s="19" t="s">
        <v>270</v>
      </c>
      <c r="AP864" s="94"/>
      <c r="AQ864" s="19" t="s">
        <v>399</v>
      </c>
      <c r="AR864" s="19" t="s">
        <v>241</v>
      </c>
      <c r="AS864" s="19"/>
      <c r="AT864" s="65" t="str">
        <f t="shared" si="234"/>
        <v>Y</v>
      </c>
      <c r="AU864" s="65" t="str">
        <f t="shared" si="235"/>
        <v>Y</v>
      </c>
      <c r="AV864" s="65" t="str">
        <f t="shared" si="241"/>
        <v>Y</v>
      </c>
      <c r="AW864" s="99"/>
      <c r="AX864" s="99"/>
      <c r="AY864" s="19"/>
      <c r="AZ864" s="96" t="str">
        <f t="shared" si="236"/>
        <v>IC50</v>
      </c>
      <c r="BA864" s="96">
        <f>IF(AZ864="n","n",VLOOKUP(AZ864,'Conversion factors'!$C$4:$D$24,2,FALSE))</f>
        <v>5</v>
      </c>
      <c r="BB864" s="96">
        <f t="shared" si="237"/>
        <v>13.8</v>
      </c>
      <c r="BC864" s="97"/>
      <c r="BD864" s="96" t="str">
        <f t="shared" si="238"/>
        <v>Chronic</v>
      </c>
      <c r="BE864" s="96" t="str">
        <f t="shared" si="239"/>
        <v>y</v>
      </c>
      <c r="BF864" s="98" t="str">
        <f t="shared" si="240"/>
        <v>IC50</v>
      </c>
      <c r="BG864" s="96" t="str">
        <f>IF(BF864="","",IF(ISNUMBER(VLOOKUP(BF864,'Conversion factors'!$B$35:$C$52,2,FALSE)),"y","n"))</f>
        <v>n</v>
      </c>
      <c r="BH864" s="99" t="s">
        <v>1525</v>
      </c>
    </row>
    <row r="865" spans="1:60" s="103" customFormat="1" ht="15.75" customHeight="1" x14ac:dyDescent="0.2">
      <c r="A865" s="18"/>
      <c r="B865" s="19">
        <v>233</v>
      </c>
      <c r="C865" s="19"/>
      <c r="D865" s="19">
        <v>71839</v>
      </c>
      <c r="E865" s="19" t="s">
        <v>1224</v>
      </c>
      <c r="F865" s="93">
        <v>2003</v>
      </c>
      <c r="G865" s="19" t="s">
        <v>599</v>
      </c>
      <c r="H865" s="19"/>
      <c r="I865" s="19" t="s">
        <v>41</v>
      </c>
      <c r="J865" s="19" t="s">
        <v>344</v>
      </c>
      <c r="K865" s="19" t="s">
        <v>42</v>
      </c>
      <c r="L865" s="19" t="s">
        <v>43</v>
      </c>
      <c r="M865" s="19" t="s">
        <v>1303</v>
      </c>
      <c r="N865" s="19" t="s">
        <v>109</v>
      </c>
      <c r="O865" s="19" t="s">
        <v>235</v>
      </c>
      <c r="P865" s="19" t="s">
        <v>53</v>
      </c>
      <c r="Q865" s="19"/>
      <c r="R865" s="19" t="s">
        <v>256</v>
      </c>
      <c r="S865" s="19" t="s">
        <v>302</v>
      </c>
      <c r="T865" s="19" t="s">
        <v>44</v>
      </c>
      <c r="U865" s="19" t="s">
        <v>44</v>
      </c>
      <c r="V865" s="19" t="s">
        <v>103</v>
      </c>
      <c r="W865" s="19" t="s">
        <v>231</v>
      </c>
      <c r="X865" s="19" t="s">
        <v>46</v>
      </c>
      <c r="Y865" s="29"/>
      <c r="Z865" s="19"/>
      <c r="AA865" s="19"/>
      <c r="AB865" s="19">
        <v>57</v>
      </c>
      <c r="AC865" s="19" t="s">
        <v>214</v>
      </c>
      <c r="AD865" s="19"/>
      <c r="AE865" s="19">
        <v>48.4</v>
      </c>
      <c r="AF865" s="19">
        <v>48.4</v>
      </c>
      <c r="AG865" s="19" t="s">
        <v>270</v>
      </c>
      <c r="AH865" s="19"/>
      <c r="AI865" s="19"/>
      <c r="AJ865" s="19">
        <v>8.1999999999999993</v>
      </c>
      <c r="AK865" s="19">
        <v>8.1999999999999993</v>
      </c>
      <c r="AL865" s="19">
        <v>180</v>
      </c>
      <c r="AM865" s="19" t="s">
        <v>234</v>
      </c>
      <c r="AN865" s="19" t="s">
        <v>234</v>
      </c>
      <c r="AO865" s="19" t="s">
        <v>235</v>
      </c>
      <c r="AP865" s="94">
        <v>0.19</v>
      </c>
      <c r="AQ865" s="19" t="s">
        <v>91</v>
      </c>
      <c r="AR865" s="19" t="s">
        <v>241</v>
      </c>
      <c r="AS865" s="19"/>
      <c r="AT865" s="65" t="str">
        <f t="shared" si="234"/>
        <v>Y</v>
      </c>
      <c r="AU865" s="65" t="str">
        <f t="shared" si="235"/>
        <v>Y</v>
      </c>
      <c r="AV865" s="65" t="s">
        <v>162</v>
      </c>
      <c r="AW865" s="99"/>
      <c r="AX865" s="99"/>
      <c r="AY865" s="19"/>
      <c r="AZ865" s="96" t="str">
        <f t="shared" si="236"/>
        <v>n</v>
      </c>
      <c r="BA865" s="96" t="str">
        <f>IF(AZ865="n","n",VLOOKUP(AZ865,'Conversion factors'!$C$4:$D$24,2,FALSE))</f>
        <v>n</v>
      </c>
      <c r="BB865" s="96" t="str">
        <f t="shared" si="237"/>
        <v>n</v>
      </c>
      <c r="BC865" s="97"/>
      <c r="BD865" s="96" t="str">
        <f t="shared" si="238"/>
        <v>n</v>
      </c>
      <c r="BE865" s="96" t="str">
        <f t="shared" si="239"/>
        <v>n</v>
      </c>
      <c r="BF865" s="98" t="str">
        <f t="shared" si="240"/>
        <v/>
      </c>
      <c r="BG865" s="96" t="str">
        <f>IF(BF865="","",IF(ISNUMBER(VLOOKUP(BF865,'Conversion factors'!$B$35:$C$52,2,FALSE)),"y","n"))</f>
        <v/>
      </c>
      <c r="BH865" s="99"/>
    </row>
    <row r="866" spans="1:60" s="103" customFormat="1" ht="15.75" customHeight="1" x14ac:dyDescent="0.2">
      <c r="A866" s="18"/>
      <c r="B866" s="19">
        <v>233</v>
      </c>
      <c r="C866" s="19"/>
      <c r="D866" s="19">
        <v>71839</v>
      </c>
      <c r="E866" s="19" t="s">
        <v>1224</v>
      </c>
      <c r="F866" s="93">
        <v>2003</v>
      </c>
      <c r="G866" s="19" t="s">
        <v>599</v>
      </c>
      <c r="H866" s="19"/>
      <c r="I866" s="19" t="s">
        <v>41</v>
      </c>
      <c r="J866" s="19" t="s">
        <v>344</v>
      </c>
      <c r="K866" s="19" t="s">
        <v>42</v>
      </c>
      <c r="L866" s="19" t="s">
        <v>43</v>
      </c>
      <c r="M866" s="19" t="s">
        <v>1303</v>
      </c>
      <c r="N866" s="19" t="s">
        <v>109</v>
      </c>
      <c r="O866" s="19" t="s">
        <v>235</v>
      </c>
      <c r="P866" s="19" t="s">
        <v>53</v>
      </c>
      <c r="Q866" s="19"/>
      <c r="R866" s="19" t="s">
        <v>256</v>
      </c>
      <c r="S866" s="19" t="s">
        <v>302</v>
      </c>
      <c r="T866" s="19" t="s">
        <v>44</v>
      </c>
      <c r="U866" s="19" t="s">
        <v>44</v>
      </c>
      <c r="V866" s="19" t="s">
        <v>103</v>
      </c>
      <c r="W866" s="19" t="s">
        <v>231</v>
      </c>
      <c r="X866" s="19" t="s">
        <v>46</v>
      </c>
      <c r="Y866" s="29"/>
      <c r="Z866" s="19"/>
      <c r="AA866" s="19"/>
      <c r="AB866" s="19">
        <v>56</v>
      </c>
      <c r="AC866" s="19" t="s">
        <v>214</v>
      </c>
      <c r="AD866" s="19"/>
      <c r="AE866" s="19">
        <v>48.4</v>
      </c>
      <c r="AF866" s="19">
        <v>48.4</v>
      </c>
      <c r="AG866" s="19" t="s">
        <v>270</v>
      </c>
      <c r="AH866" s="19"/>
      <c r="AI866" s="19"/>
      <c r="AJ866" s="19">
        <v>8.1999999999999993</v>
      </c>
      <c r="AK866" s="19" t="s">
        <v>601</v>
      </c>
      <c r="AL866" s="19">
        <v>180</v>
      </c>
      <c r="AM866" s="19" t="s">
        <v>234</v>
      </c>
      <c r="AN866" s="19" t="s">
        <v>234</v>
      </c>
      <c r="AO866" s="19" t="s">
        <v>235</v>
      </c>
      <c r="AP866" s="94">
        <v>0.19</v>
      </c>
      <c r="AQ866" s="19" t="s">
        <v>91</v>
      </c>
      <c r="AR866" s="19" t="s">
        <v>241</v>
      </c>
      <c r="AS866" s="19"/>
      <c r="AT866" s="65" t="str">
        <f t="shared" si="234"/>
        <v>Y</v>
      </c>
      <c r="AU866" s="65" t="str">
        <f t="shared" si="235"/>
        <v>Y</v>
      </c>
      <c r="AV866" s="65" t="s">
        <v>162</v>
      </c>
      <c r="AW866" s="99"/>
      <c r="AX866" s="99"/>
      <c r="AY866" s="19"/>
      <c r="AZ866" s="96" t="str">
        <f t="shared" si="236"/>
        <v>n</v>
      </c>
      <c r="BA866" s="96" t="str">
        <f>IF(AZ866="n","n",VLOOKUP(AZ866,'Conversion factors'!$C$4:$D$24,2,FALSE))</f>
        <v>n</v>
      </c>
      <c r="BB866" s="96" t="str">
        <f t="shared" si="237"/>
        <v>n</v>
      </c>
      <c r="BC866" s="97"/>
      <c r="BD866" s="96" t="str">
        <f t="shared" si="238"/>
        <v>n</v>
      </c>
      <c r="BE866" s="96" t="str">
        <f t="shared" si="239"/>
        <v>n</v>
      </c>
      <c r="BF866" s="98" t="str">
        <f t="shared" si="240"/>
        <v/>
      </c>
      <c r="BG866" s="96" t="str">
        <f>IF(BF866="","",IF(ISNUMBER(VLOOKUP(BF866,'Conversion factors'!$B$35:$C$52,2,FALSE)),"y","n"))</f>
        <v/>
      </c>
      <c r="BH866" s="99"/>
    </row>
    <row r="867" spans="1:60" s="103" customFormat="1" ht="15.75" customHeight="1" x14ac:dyDescent="0.2">
      <c r="A867" s="18"/>
      <c r="B867" s="19">
        <v>233</v>
      </c>
      <c r="C867" s="19"/>
      <c r="D867" s="19">
        <v>71839</v>
      </c>
      <c r="E867" s="19" t="s">
        <v>1224</v>
      </c>
      <c r="F867" s="93">
        <v>2003</v>
      </c>
      <c r="G867" s="19" t="s">
        <v>599</v>
      </c>
      <c r="H867" s="19"/>
      <c r="I867" s="19" t="s">
        <v>41</v>
      </c>
      <c r="J867" s="19" t="s">
        <v>344</v>
      </c>
      <c r="K867" s="19" t="s">
        <v>42</v>
      </c>
      <c r="L867" s="19" t="s">
        <v>43</v>
      </c>
      <c r="M867" s="19" t="s">
        <v>1303</v>
      </c>
      <c r="N867" s="19" t="s">
        <v>109</v>
      </c>
      <c r="O867" s="19" t="s">
        <v>235</v>
      </c>
      <c r="P867" s="19" t="s">
        <v>53</v>
      </c>
      <c r="Q867" s="19"/>
      <c r="R867" s="19" t="s">
        <v>256</v>
      </c>
      <c r="S867" s="19" t="s">
        <v>302</v>
      </c>
      <c r="T867" s="19" t="s">
        <v>44</v>
      </c>
      <c r="U867" s="19" t="s">
        <v>44</v>
      </c>
      <c r="V867" s="19" t="s">
        <v>103</v>
      </c>
      <c r="W867" s="19" t="s">
        <v>231</v>
      </c>
      <c r="X867" s="19" t="s">
        <v>46</v>
      </c>
      <c r="Y867" s="29"/>
      <c r="Z867" s="19"/>
      <c r="AA867" s="19"/>
      <c r="AB867" s="19">
        <v>39</v>
      </c>
      <c r="AC867" s="19" t="s">
        <v>214</v>
      </c>
      <c r="AD867" s="19"/>
      <c r="AE867" s="19">
        <v>99.6</v>
      </c>
      <c r="AF867" s="19">
        <v>99.6</v>
      </c>
      <c r="AG867" s="19" t="s">
        <v>270</v>
      </c>
      <c r="AH867" s="19"/>
      <c r="AI867" s="19"/>
      <c r="AJ867" s="19">
        <v>7.9</v>
      </c>
      <c r="AK867" s="19">
        <v>7.9</v>
      </c>
      <c r="AL867" s="19">
        <v>440</v>
      </c>
      <c r="AM867" s="19" t="s">
        <v>234</v>
      </c>
      <c r="AN867" s="19" t="s">
        <v>234</v>
      </c>
      <c r="AO867" s="19" t="s">
        <v>235</v>
      </c>
      <c r="AP867" s="94">
        <v>5.51</v>
      </c>
      <c r="AQ867" s="19" t="s">
        <v>91</v>
      </c>
      <c r="AR867" s="19" t="s">
        <v>241</v>
      </c>
      <c r="AS867" s="19"/>
      <c r="AT867" s="65" t="str">
        <f t="shared" si="234"/>
        <v>Y</v>
      </c>
      <c r="AU867" s="65" t="str">
        <f t="shared" si="235"/>
        <v>Y</v>
      </c>
      <c r="AV867" s="65" t="str">
        <f t="shared" ref="AV867:AV898" si="242">AU867</f>
        <v>Y</v>
      </c>
      <c r="AW867" s="99" t="s">
        <v>1406</v>
      </c>
      <c r="AX867" s="99"/>
      <c r="AY867" s="19"/>
      <c r="AZ867" s="96" t="str">
        <f t="shared" si="236"/>
        <v>EC50</v>
      </c>
      <c r="BA867" s="96">
        <f>IF(AZ867="n","n",VLOOKUP(AZ867,'Conversion factors'!$C$4:$D$24,2,FALSE))</f>
        <v>5</v>
      </c>
      <c r="BB867" s="96">
        <f t="shared" si="237"/>
        <v>7.8</v>
      </c>
      <c r="BC867" s="97"/>
      <c r="BD867" s="96" t="str">
        <f t="shared" si="238"/>
        <v>Chronic</v>
      </c>
      <c r="BE867" s="96" t="str">
        <f t="shared" si="239"/>
        <v>y</v>
      </c>
      <c r="BF867" s="98" t="str">
        <f t="shared" si="240"/>
        <v>EC50</v>
      </c>
      <c r="BG867" s="96" t="str">
        <f>IF(BF867="","",IF(ISNUMBER(VLOOKUP(BF867,'Conversion factors'!$B$35:$C$52,2,FALSE)),"y","n"))</f>
        <v>n</v>
      </c>
      <c r="BH867" s="99" t="s">
        <v>1525</v>
      </c>
    </row>
    <row r="868" spans="1:60" s="103" customFormat="1" ht="15.75" customHeight="1" x14ac:dyDescent="0.2">
      <c r="A868" s="18"/>
      <c r="B868" s="19">
        <v>233</v>
      </c>
      <c r="C868" s="19"/>
      <c r="D868" s="19">
        <v>71839</v>
      </c>
      <c r="E868" s="19" t="s">
        <v>1224</v>
      </c>
      <c r="F868" s="93">
        <v>2003</v>
      </c>
      <c r="G868" s="19" t="s">
        <v>599</v>
      </c>
      <c r="H868" s="19"/>
      <c r="I868" s="19" t="s">
        <v>41</v>
      </c>
      <c r="J868" s="19" t="s">
        <v>344</v>
      </c>
      <c r="K868" s="19" t="s">
        <v>42</v>
      </c>
      <c r="L868" s="19" t="s">
        <v>43</v>
      </c>
      <c r="M868" s="19" t="s">
        <v>1303</v>
      </c>
      <c r="N868" s="19" t="s">
        <v>109</v>
      </c>
      <c r="O868" s="19" t="s">
        <v>235</v>
      </c>
      <c r="P868" s="19" t="s">
        <v>53</v>
      </c>
      <c r="Q868" s="19"/>
      <c r="R868" s="19" t="s">
        <v>256</v>
      </c>
      <c r="S868" s="19" t="s">
        <v>302</v>
      </c>
      <c r="T868" s="19" t="s">
        <v>44</v>
      </c>
      <c r="U868" s="19" t="s">
        <v>44</v>
      </c>
      <c r="V868" s="19" t="s">
        <v>103</v>
      </c>
      <c r="W868" s="19" t="s">
        <v>231</v>
      </c>
      <c r="X868" s="19" t="s">
        <v>46</v>
      </c>
      <c r="Y868" s="29"/>
      <c r="Z868" s="19"/>
      <c r="AA868" s="19"/>
      <c r="AB868" s="19">
        <v>84</v>
      </c>
      <c r="AC868" s="19" t="s">
        <v>214</v>
      </c>
      <c r="AD868" s="19"/>
      <c r="AE868" s="19">
        <v>130</v>
      </c>
      <c r="AF868" s="19">
        <v>130</v>
      </c>
      <c r="AG868" s="19" t="s">
        <v>270</v>
      </c>
      <c r="AH868" s="19"/>
      <c r="AI868" s="19"/>
      <c r="AJ868" s="19">
        <v>7.85</v>
      </c>
      <c r="AK868" s="19">
        <v>7.85</v>
      </c>
      <c r="AL868" s="19">
        <v>506</v>
      </c>
      <c r="AM868" s="19" t="s">
        <v>234</v>
      </c>
      <c r="AN868" s="19" t="s">
        <v>234</v>
      </c>
      <c r="AO868" s="19" t="s">
        <v>235</v>
      </c>
      <c r="AP868" s="94">
        <v>3.73</v>
      </c>
      <c r="AQ868" s="19" t="s">
        <v>91</v>
      </c>
      <c r="AR868" s="19" t="s">
        <v>241</v>
      </c>
      <c r="AS868" s="19"/>
      <c r="AT868" s="65" t="str">
        <f t="shared" ref="AT868:AT899" si="243">IF(F868&lt;1980,"N",IF(AC868="M","Y",IF(AC868="SM","Y","N")))</f>
        <v>Y</v>
      </c>
      <c r="AU868" s="65" t="str">
        <f t="shared" ref="AU868:AU899" si="244">IF(AT868="N","N",IF(AJ868&lt;6,"N",IF(AJ868&gt;8.5,"N","Y")))</f>
        <v>Y</v>
      </c>
      <c r="AV868" s="65" t="str">
        <f t="shared" si="242"/>
        <v>Y</v>
      </c>
      <c r="AW868" s="99" t="s">
        <v>1406</v>
      </c>
      <c r="AX868" s="99"/>
      <c r="AY868" s="19"/>
      <c r="AZ868" s="96" t="str">
        <f t="shared" ref="AZ868:AZ899" si="245">IF(AV868="N","n",T868)</f>
        <v>EC50</v>
      </c>
      <c r="BA868" s="96">
        <f>IF(AZ868="n","n",VLOOKUP(AZ868,'Conversion factors'!$C$4:$D$24,2,FALSE))</f>
        <v>5</v>
      </c>
      <c r="BB868" s="96">
        <f t="shared" ref="BB868:BB899" si="246">IF(BA868="n","n",AB868/BA868)</f>
        <v>16.8</v>
      </c>
      <c r="BC868" s="97"/>
      <c r="BD868" s="96" t="str">
        <f t="shared" ref="BD868:BD899" si="247">IF(AV868="N","n",X868)</f>
        <v>Chronic</v>
      </c>
      <c r="BE868" s="96" t="str">
        <f t="shared" ref="BE868:BE899" si="248">IF(BD868="chronic","y","n")</f>
        <v>y</v>
      </c>
      <c r="BF868" s="98" t="str">
        <f t="shared" ref="BF868:BF899" si="249">IF(BE868="n","",AZ868)</f>
        <v>EC50</v>
      </c>
      <c r="BG868" s="96" t="str">
        <f>IF(BF868="","",IF(ISNUMBER(VLOOKUP(BF868,'Conversion factors'!$B$35:$C$52,2,FALSE)),"y","n"))</f>
        <v>n</v>
      </c>
      <c r="BH868" s="99" t="s">
        <v>1525</v>
      </c>
    </row>
    <row r="869" spans="1:60" s="103" customFormat="1" ht="15.75" customHeight="1" x14ac:dyDescent="0.2">
      <c r="A869" s="18"/>
      <c r="B869" s="19">
        <v>233</v>
      </c>
      <c r="C869" s="19"/>
      <c r="D869" s="19">
        <v>71839</v>
      </c>
      <c r="E869" s="19" t="s">
        <v>1224</v>
      </c>
      <c r="F869" s="93">
        <v>2003</v>
      </c>
      <c r="G869" s="19" t="s">
        <v>599</v>
      </c>
      <c r="H869" s="19"/>
      <c r="I869" s="19" t="s">
        <v>41</v>
      </c>
      <c r="J869" s="19" t="s">
        <v>344</v>
      </c>
      <c r="K869" s="19" t="s">
        <v>42</v>
      </c>
      <c r="L869" s="19" t="s">
        <v>43</v>
      </c>
      <c r="M869" s="19" t="s">
        <v>1303</v>
      </c>
      <c r="N869" s="19" t="s">
        <v>109</v>
      </c>
      <c r="O869" s="19" t="s">
        <v>235</v>
      </c>
      <c r="P869" s="19" t="s">
        <v>53</v>
      </c>
      <c r="Q869" s="19"/>
      <c r="R869" s="19" t="s">
        <v>256</v>
      </c>
      <c r="S869" s="19" t="s">
        <v>302</v>
      </c>
      <c r="T869" s="19" t="s">
        <v>44</v>
      </c>
      <c r="U869" s="19" t="s">
        <v>44</v>
      </c>
      <c r="V869" s="19" t="s">
        <v>103</v>
      </c>
      <c r="W869" s="19" t="s">
        <v>231</v>
      </c>
      <c r="X869" s="19" t="s">
        <v>46</v>
      </c>
      <c r="Y869" s="29"/>
      <c r="Z869" s="19"/>
      <c r="AA869" s="19"/>
      <c r="AB869" s="19">
        <v>171</v>
      </c>
      <c r="AC869" s="19" t="s">
        <v>214</v>
      </c>
      <c r="AD869" s="19"/>
      <c r="AE869" s="19">
        <v>457</v>
      </c>
      <c r="AF869" s="19">
        <v>457</v>
      </c>
      <c r="AG869" s="19" t="s">
        <v>270</v>
      </c>
      <c r="AH869" s="19"/>
      <c r="AI869" s="19"/>
      <c r="AJ869" s="19">
        <v>8</v>
      </c>
      <c r="AK869" s="19">
        <v>8</v>
      </c>
      <c r="AL869" s="19">
        <v>1230</v>
      </c>
      <c r="AM869" s="19" t="s">
        <v>234</v>
      </c>
      <c r="AN869" s="19" t="s">
        <v>234</v>
      </c>
      <c r="AO869" s="19" t="s">
        <v>235</v>
      </c>
      <c r="AP869" s="94">
        <v>4.8600000000000003</v>
      </c>
      <c r="AQ869" s="19" t="s">
        <v>91</v>
      </c>
      <c r="AR869" s="19" t="s">
        <v>241</v>
      </c>
      <c r="AS869" s="19"/>
      <c r="AT869" s="65" t="str">
        <f t="shared" si="243"/>
        <v>Y</v>
      </c>
      <c r="AU869" s="65" t="str">
        <f t="shared" si="244"/>
        <v>Y</v>
      </c>
      <c r="AV869" s="65" t="str">
        <f t="shared" si="242"/>
        <v>Y</v>
      </c>
      <c r="AW869" s="99" t="s">
        <v>1406</v>
      </c>
      <c r="AX869" s="99"/>
      <c r="AY869" s="19"/>
      <c r="AZ869" s="96" t="str">
        <f t="shared" si="245"/>
        <v>EC50</v>
      </c>
      <c r="BA869" s="96">
        <f>IF(AZ869="n","n",VLOOKUP(AZ869,'Conversion factors'!$C$4:$D$24,2,FALSE))</f>
        <v>5</v>
      </c>
      <c r="BB869" s="96">
        <f t="shared" si="246"/>
        <v>34.200000000000003</v>
      </c>
      <c r="BC869" s="97"/>
      <c r="BD869" s="96" t="str">
        <f t="shared" si="247"/>
        <v>Chronic</v>
      </c>
      <c r="BE869" s="96" t="str">
        <f t="shared" si="248"/>
        <v>y</v>
      </c>
      <c r="BF869" s="98" t="str">
        <f t="shared" si="249"/>
        <v>EC50</v>
      </c>
      <c r="BG869" s="96" t="str">
        <f>IF(BF869="","",IF(ISNUMBER(VLOOKUP(BF869,'Conversion factors'!$B$35:$C$52,2,FALSE)),"y","n"))</f>
        <v>n</v>
      </c>
      <c r="BH869" s="99" t="s">
        <v>1525</v>
      </c>
    </row>
    <row r="870" spans="1:60" s="103" customFormat="1" ht="15.75" customHeight="1" x14ac:dyDescent="0.2">
      <c r="A870" s="18"/>
      <c r="B870" s="19">
        <v>233</v>
      </c>
      <c r="C870" s="19"/>
      <c r="D870" s="19">
        <v>71839</v>
      </c>
      <c r="E870" s="19" t="s">
        <v>1224</v>
      </c>
      <c r="F870" s="93">
        <v>2003</v>
      </c>
      <c r="G870" s="19" t="s">
        <v>599</v>
      </c>
      <c r="H870" s="19"/>
      <c r="I870" s="19" t="s">
        <v>41</v>
      </c>
      <c r="J870" s="19" t="s">
        <v>344</v>
      </c>
      <c r="K870" s="19" t="s">
        <v>42</v>
      </c>
      <c r="L870" s="19" t="s">
        <v>43</v>
      </c>
      <c r="M870" s="19" t="s">
        <v>1303</v>
      </c>
      <c r="N870" s="19" t="s">
        <v>109</v>
      </c>
      <c r="O870" s="19" t="s">
        <v>235</v>
      </c>
      <c r="P870" s="19" t="s">
        <v>53</v>
      </c>
      <c r="Q870" s="19"/>
      <c r="R870" s="19" t="s">
        <v>256</v>
      </c>
      <c r="S870" s="19" t="s">
        <v>302</v>
      </c>
      <c r="T870" s="19" t="s">
        <v>44</v>
      </c>
      <c r="U870" s="19" t="s">
        <v>44</v>
      </c>
      <c r="V870" s="19" t="s">
        <v>103</v>
      </c>
      <c r="W870" s="19" t="s">
        <v>231</v>
      </c>
      <c r="X870" s="19" t="s">
        <v>46</v>
      </c>
      <c r="Y870" s="29"/>
      <c r="Z870" s="19"/>
      <c r="AA870" s="19"/>
      <c r="AB870" s="19">
        <v>67</v>
      </c>
      <c r="AC870" s="19" t="s">
        <v>214</v>
      </c>
      <c r="AD870" s="19"/>
      <c r="AE870" s="19">
        <v>363</v>
      </c>
      <c r="AF870" s="19">
        <v>363</v>
      </c>
      <c r="AG870" s="19" t="s">
        <v>270</v>
      </c>
      <c r="AH870" s="19"/>
      <c r="AI870" s="19"/>
      <c r="AJ870" s="19">
        <v>8.4499999999999993</v>
      </c>
      <c r="AK870" s="19">
        <v>8.4499999999999993</v>
      </c>
      <c r="AL870" s="19">
        <v>1200</v>
      </c>
      <c r="AM870" s="19" t="s">
        <v>234</v>
      </c>
      <c r="AN870" s="19" t="s">
        <v>234</v>
      </c>
      <c r="AO870" s="19" t="s">
        <v>235</v>
      </c>
      <c r="AP870" s="94">
        <v>4</v>
      </c>
      <c r="AQ870" s="19" t="s">
        <v>91</v>
      </c>
      <c r="AR870" s="19" t="s">
        <v>241</v>
      </c>
      <c r="AS870" s="19"/>
      <c r="AT870" s="65" t="str">
        <f t="shared" si="243"/>
        <v>Y</v>
      </c>
      <c r="AU870" s="65" t="str">
        <f t="shared" si="244"/>
        <v>Y</v>
      </c>
      <c r="AV870" s="65" t="str">
        <f t="shared" si="242"/>
        <v>Y</v>
      </c>
      <c r="AW870" s="99" t="s">
        <v>1406</v>
      </c>
      <c r="AX870" s="99"/>
      <c r="AY870" s="19"/>
      <c r="AZ870" s="96" t="str">
        <f t="shared" si="245"/>
        <v>EC50</v>
      </c>
      <c r="BA870" s="96">
        <f>IF(AZ870="n","n",VLOOKUP(AZ870,'Conversion factors'!$C$4:$D$24,2,FALSE))</f>
        <v>5</v>
      </c>
      <c r="BB870" s="96">
        <f t="shared" si="246"/>
        <v>13.4</v>
      </c>
      <c r="BC870" s="97"/>
      <c r="BD870" s="96" t="str">
        <f t="shared" si="247"/>
        <v>Chronic</v>
      </c>
      <c r="BE870" s="96" t="str">
        <f t="shared" si="248"/>
        <v>y</v>
      </c>
      <c r="BF870" s="98" t="str">
        <f t="shared" si="249"/>
        <v>EC50</v>
      </c>
      <c r="BG870" s="96" t="str">
        <f>IF(BF870="","",IF(ISNUMBER(VLOOKUP(BF870,'Conversion factors'!$B$35:$C$52,2,FALSE)),"y","n"))</f>
        <v>n</v>
      </c>
      <c r="BH870" s="99" t="s">
        <v>1525</v>
      </c>
    </row>
    <row r="871" spans="1:60" s="103" customFormat="1" ht="15.75" customHeight="1" x14ac:dyDescent="0.2">
      <c r="A871" s="18"/>
      <c r="B871" s="19">
        <v>233</v>
      </c>
      <c r="C871" s="19"/>
      <c r="D871" s="19">
        <v>71839</v>
      </c>
      <c r="E871" s="19" t="s">
        <v>1224</v>
      </c>
      <c r="F871" s="93">
        <v>2003</v>
      </c>
      <c r="G871" s="19" t="s">
        <v>599</v>
      </c>
      <c r="H871" s="19"/>
      <c r="I871" s="19" t="s">
        <v>41</v>
      </c>
      <c r="J871" s="19" t="s">
        <v>344</v>
      </c>
      <c r="K871" s="19" t="s">
        <v>42</v>
      </c>
      <c r="L871" s="19" t="s">
        <v>43</v>
      </c>
      <c r="M871" s="19" t="s">
        <v>1303</v>
      </c>
      <c r="N871" s="19" t="s">
        <v>109</v>
      </c>
      <c r="O871" s="19" t="s">
        <v>235</v>
      </c>
      <c r="P871" s="19" t="s">
        <v>53</v>
      </c>
      <c r="Q871" s="19"/>
      <c r="R871" s="19" t="s">
        <v>256</v>
      </c>
      <c r="S871" s="19" t="s">
        <v>302</v>
      </c>
      <c r="T871" s="19" t="s">
        <v>44</v>
      </c>
      <c r="U871" s="19" t="s">
        <v>44</v>
      </c>
      <c r="V871" s="19" t="s">
        <v>103</v>
      </c>
      <c r="W871" s="19" t="s">
        <v>231</v>
      </c>
      <c r="X871" s="19" t="s">
        <v>46</v>
      </c>
      <c r="Y871" s="29"/>
      <c r="Z871" s="19"/>
      <c r="AA871" s="19"/>
      <c r="AB871" s="19">
        <v>173</v>
      </c>
      <c r="AC871" s="19" t="s">
        <v>214</v>
      </c>
      <c r="AD871" s="19"/>
      <c r="AE871" s="19">
        <v>20.5</v>
      </c>
      <c r="AF871" s="19">
        <v>20.5</v>
      </c>
      <c r="AG871" s="19" t="s">
        <v>270</v>
      </c>
      <c r="AH871" s="19"/>
      <c r="AI871" s="19"/>
      <c r="AJ871" s="19">
        <v>7.7</v>
      </c>
      <c r="AK871" s="19">
        <v>7.7</v>
      </c>
      <c r="AL871" s="19">
        <v>100</v>
      </c>
      <c r="AM871" s="19" t="s">
        <v>234</v>
      </c>
      <c r="AN871" s="19" t="s">
        <v>234</v>
      </c>
      <c r="AO871" s="19" t="s">
        <v>235</v>
      </c>
      <c r="AP871" s="94">
        <v>3.56</v>
      </c>
      <c r="AQ871" s="19" t="s">
        <v>91</v>
      </c>
      <c r="AR871" s="19" t="s">
        <v>241</v>
      </c>
      <c r="AS871" s="19"/>
      <c r="AT871" s="65" t="str">
        <f t="shared" si="243"/>
        <v>Y</v>
      </c>
      <c r="AU871" s="65" t="str">
        <f t="shared" si="244"/>
        <v>Y</v>
      </c>
      <c r="AV871" s="65" t="str">
        <f t="shared" si="242"/>
        <v>Y</v>
      </c>
      <c r="AW871" s="99" t="s">
        <v>1406</v>
      </c>
      <c r="AX871" s="99"/>
      <c r="AY871" s="19"/>
      <c r="AZ871" s="96" t="str">
        <f t="shared" si="245"/>
        <v>EC50</v>
      </c>
      <c r="BA871" s="96">
        <f>IF(AZ871="n","n",VLOOKUP(AZ871,'Conversion factors'!$C$4:$D$24,2,FALSE))</f>
        <v>5</v>
      </c>
      <c r="BB871" s="96">
        <f t="shared" si="246"/>
        <v>34.6</v>
      </c>
      <c r="BC871" s="97"/>
      <c r="BD871" s="96" t="str">
        <f t="shared" si="247"/>
        <v>Chronic</v>
      </c>
      <c r="BE871" s="96" t="str">
        <f t="shared" si="248"/>
        <v>y</v>
      </c>
      <c r="BF871" s="98" t="str">
        <f t="shared" si="249"/>
        <v>EC50</v>
      </c>
      <c r="BG871" s="96" t="str">
        <f>IF(BF871="","",IF(ISNUMBER(VLOOKUP(BF871,'Conversion factors'!$B$35:$C$52,2,FALSE)),"y","n"))</f>
        <v>n</v>
      </c>
      <c r="BH871" s="99" t="s">
        <v>1525</v>
      </c>
    </row>
    <row r="872" spans="1:60" s="103" customFormat="1" ht="15.75" customHeight="1" x14ac:dyDescent="0.2">
      <c r="A872" s="18"/>
      <c r="B872" s="19">
        <v>233</v>
      </c>
      <c r="C872" s="19"/>
      <c r="D872" s="19">
        <v>71839</v>
      </c>
      <c r="E872" s="19" t="s">
        <v>1224</v>
      </c>
      <c r="F872" s="93">
        <v>2003</v>
      </c>
      <c r="G872" s="19" t="s">
        <v>599</v>
      </c>
      <c r="H872" s="19"/>
      <c r="I872" s="19" t="s">
        <v>41</v>
      </c>
      <c r="J872" s="19" t="s">
        <v>344</v>
      </c>
      <c r="K872" s="19" t="s">
        <v>42</v>
      </c>
      <c r="L872" s="19" t="s">
        <v>43</v>
      </c>
      <c r="M872" s="19" t="s">
        <v>1303</v>
      </c>
      <c r="N872" s="19" t="s">
        <v>109</v>
      </c>
      <c r="O872" s="19" t="s">
        <v>235</v>
      </c>
      <c r="P872" s="19" t="s">
        <v>53</v>
      </c>
      <c r="Q872" s="19"/>
      <c r="R872" s="19" t="s">
        <v>256</v>
      </c>
      <c r="S872" s="19" t="s">
        <v>302</v>
      </c>
      <c r="T872" s="19" t="s">
        <v>44</v>
      </c>
      <c r="U872" s="19" t="s">
        <v>44</v>
      </c>
      <c r="V872" s="19" t="s">
        <v>103</v>
      </c>
      <c r="W872" s="19" t="s">
        <v>231</v>
      </c>
      <c r="X872" s="19" t="s">
        <v>46</v>
      </c>
      <c r="Y872" s="29"/>
      <c r="Z872" s="19"/>
      <c r="AA872" s="19"/>
      <c r="AB872" s="19">
        <v>50</v>
      </c>
      <c r="AC872" s="19" t="s">
        <v>214</v>
      </c>
      <c r="AD872" s="19"/>
      <c r="AE872" s="19">
        <v>219</v>
      </c>
      <c r="AF872" s="19">
        <v>219</v>
      </c>
      <c r="AG872" s="19" t="s">
        <v>270</v>
      </c>
      <c r="AH872" s="19"/>
      <c r="AI872" s="19"/>
      <c r="AJ872" s="19">
        <v>7.95</v>
      </c>
      <c r="AK872" s="19">
        <v>7.95</v>
      </c>
      <c r="AL872" s="19">
        <v>463</v>
      </c>
      <c r="AM872" s="19" t="s">
        <v>234</v>
      </c>
      <c r="AN872" s="19" t="s">
        <v>234</v>
      </c>
      <c r="AO872" s="19" t="s">
        <v>235</v>
      </c>
      <c r="AP872" s="94">
        <v>3.5</v>
      </c>
      <c r="AQ872" s="19" t="s">
        <v>91</v>
      </c>
      <c r="AR872" s="19" t="s">
        <v>241</v>
      </c>
      <c r="AS872" s="19"/>
      <c r="AT872" s="65" t="str">
        <f t="shared" si="243"/>
        <v>Y</v>
      </c>
      <c r="AU872" s="65" t="str">
        <f t="shared" si="244"/>
        <v>Y</v>
      </c>
      <c r="AV872" s="65" t="str">
        <f t="shared" si="242"/>
        <v>Y</v>
      </c>
      <c r="AW872" s="99" t="s">
        <v>1406</v>
      </c>
      <c r="AX872" s="99"/>
      <c r="AY872" s="19"/>
      <c r="AZ872" s="96" t="str">
        <f t="shared" si="245"/>
        <v>EC50</v>
      </c>
      <c r="BA872" s="96">
        <f>IF(AZ872="n","n",VLOOKUP(AZ872,'Conversion factors'!$C$4:$D$24,2,FALSE))</f>
        <v>5</v>
      </c>
      <c r="BB872" s="96">
        <f t="shared" si="246"/>
        <v>10</v>
      </c>
      <c r="BC872" s="97"/>
      <c r="BD872" s="96" t="str">
        <f t="shared" si="247"/>
        <v>Chronic</v>
      </c>
      <c r="BE872" s="96" t="str">
        <f t="shared" si="248"/>
        <v>y</v>
      </c>
      <c r="BF872" s="98" t="str">
        <f t="shared" si="249"/>
        <v>EC50</v>
      </c>
      <c r="BG872" s="96" t="str">
        <f>IF(BF872="","",IF(ISNUMBER(VLOOKUP(BF872,'Conversion factors'!$B$35:$C$52,2,FALSE)),"y","n"))</f>
        <v>n</v>
      </c>
      <c r="BH872" s="99" t="s">
        <v>1525</v>
      </c>
    </row>
    <row r="873" spans="1:60" s="103" customFormat="1" ht="15.75" customHeight="1" x14ac:dyDescent="0.2">
      <c r="A873" s="18"/>
      <c r="B873" s="19">
        <v>233</v>
      </c>
      <c r="C873" s="19"/>
      <c r="D873" s="19">
        <v>71839</v>
      </c>
      <c r="E873" s="19" t="s">
        <v>1224</v>
      </c>
      <c r="F873" s="93">
        <v>2003</v>
      </c>
      <c r="G873" s="19" t="s">
        <v>599</v>
      </c>
      <c r="H873" s="19"/>
      <c r="I873" s="19" t="s">
        <v>41</v>
      </c>
      <c r="J873" s="19" t="s">
        <v>344</v>
      </c>
      <c r="K873" s="19" t="s">
        <v>42</v>
      </c>
      <c r="L873" s="19" t="s">
        <v>43</v>
      </c>
      <c r="M873" s="19" t="s">
        <v>1303</v>
      </c>
      <c r="N873" s="19" t="s">
        <v>109</v>
      </c>
      <c r="O873" s="19" t="s">
        <v>235</v>
      </c>
      <c r="P873" s="19" t="s">
        <v>53</v>
      </c>
      <c r="Q873" s="19"/>
      <c r="R873" s="19" t="s">
        <v>256</v>
      </c>
      <c r="S873" s="19" t="s">
        <v>302</v>
      </c>
      <c r="T873" s="19" t="s">
        <v>44</v>
      </c>
      <c r="U873" s="19" t="s">
        <v>44</v>
      </c>
      <c r="V873" s="19" t="s">
        <v>103</v>
      </c>
      <c r="W873" s="19" t="s">
        <v>231</v>
      </c>
      <c r="X873" s="19" t="s">
        <v>46</v>
      </c>
      <c r="Y873" s="29"/>
      <c r="Z873" s="19"/>
      <c r="AA873" s="19"/>
      <c r="AB873" s="19">
        <v>70</v>
      </c>
      <c r="AC873" s="19" t="s">
        <v>214</v>
      </c>
      <c r="AD873" s="19"/>
      <c r="AE873" s="19">
        <v>44</v>
      </c>
      <c r="AF873" s="19">
        <v>44</v>
      </c>
      <c r="AG873" s="19" t="s">
        <v>270</v>
      </c>
      <c r="AH873" s="19"/>
      <c r="AI873" s="19"/>
      <c r="AJ873" s="19">
        <v>7.65</v>
      </c>
      <c r="AK873" s="19">
        <v>7.65</v>
      </c>
      <c r="AL873" s="19">
        <v>109</v>
      </c>
      <c r="AM873" s="19" t="s">
        <v>234</v>
      </c>
      <c r="AN873" s="19" t="s">
        <v>234</v>
      </c>
      <c r="AO873" s="19" t="s">
        <v>235</v>
      </c>
      <c r="AP873" s="94">
        <v>6.9</v>
      </c>
      <c r="AQ873" s="19" t="s">
        <v>91</v>
      </c>
      <c r="AR873" s="19" t="s">
        <v>241</v>
      </c>
      <c r="AS873" s="19"/>
      <c r="AT873" s="65" t="str">
        <f t="shared" si="243"/>
        <v>Y</v>
      </c>
      <c r="AU873" s="65" t="str">
        <f t="shared" si="244"/>
        <v>Y</v>
      </c>
      <c r="AV873" s="65" t="str">
        <f t="shared" si="242"/>
        <v>Y</v>
      </c>
      <c r="AW873" s="99" t="s">
        <v>1406</v>
      </c>
      <c r="AX873" s="99"/>
      <c r="AY873" s="19"/>
      <c r="AZ873" s="96" t="str">
        <f t="shared" si="245"/>
        <v>EC50</v>
      </c>
      <c r="BA873" s="96">
        <f>IF(AZ873="n","n",VLOOKUP(AZ873,'Conversion factors'!$C$4:$D$24,2,FALSE))</f>
        <v>5</v>
      </c>
      <c r="BB873" s="96">
        <f t="shared" si="246"/>
        <v>14</v>
      </c>
      <c r="BC873" s="97"/>
      <c r="BD873" s="96" t="str">
        <f t="shared" si="247"/>
        <v>Chronic</v>
      </c>
      <c r="BE873" s="96" t="str">
        <f t="shared" si="248"/>
        <v>y</v>
      </c>
      <c r="BF873" s="98" t="str">
        <f t="shared" si="249"/>
        <v>EC50</v>
      </c>
      <c r="BG873" s="96" t="str">
        <f>IF(BF873="","",IF(ISNUMBER(VLOOKUP(BF873,'Conversion factors'!$B$35:$C$52,2,FALSE)),"y","n"))</f>
        <v>n</v>
      </c>
      <c r="BH873" s="99" t="s">
        <v>1525</v>
      </c>
    </row>
    <row r="874" spans="1:60" s="103" customFormat="1" ht="15.75" customHeight="1" x14ac:dyDescent="0.2">
      <c r="A874" s="18"/>
      <c r="B874" s="19">
        <v>233</v>
      </c>
      <c r="C874" s="19"/>
      <c r="D874" s="19">
        <v>71839</v>
      </c>
      <c r="E874" s="19" t="s">
        <v>1224</v>
      </c>
      <c r="F874" s="93">
        <v>2003</v>
      </c>
      <c r="G874" s="19" t="s">
        <v>599</v>
      </c>
      <c r="H874" s="19"/>
      <c r="I874" s="19" t="s">
        <v>41</v>
      </c>
      <c r="J874" s="19" t="s">
        <v>344</v>
      </c>
      <c r="K874" s="19" t="s">
        <v>42</v>
      </c>
      <c r="L874" s="19" t="s">
        <v>43</v>
      </c>
      <c r="M874" s="19" t="s">
        <v>1303</v>
      </c>
      <c r="N874" s="19" t="s">
        <v>109</v>
      </c>
      <c r="O874" s="19" t="s">
        <v>235</v>
      </c>
      <c r="P874" s="19" t="s">
        <v>53</v>
      </c>
      <c r="Q874" s="19"/>
      <c r="R874" s="19" t="s">
        <v>256</v>
      </c>
      <c r="S874" s="19" t="s">
        <v>302</v>
      </c>
      <c r="T874" s="19" t="s">
        <v>44</v>
      </c>
      <c r="U874" s="19" t="s">
        <v>44</v>
      </c>
      <c r="V874" s="19" t="s">
        <v>103</v>
      </c>
      <c r="W874" s="19" t="s">
        <v>231</v>
      </c>
      <c r="X874" s="19" t="s">
        <v>46</v>
      </c>
      <c r="Y874" s="29"/>
      <c r="Z874" s="19"/>
      <c r="AA874" s="19"/>
      <c r="AB874" s="19">
        <v>50</v>
      </c>
      <c r="AC874" s="19" t="s">
        <v>214</v>
      </c>
      <c r="AD874" s="19"/>
      <c r="AE874" s="19">
        <v>186</v>
      </c>
      <c r="AF874" s="19">
        <v>186</v>
      </c>
      <c r="AG874" s="19" t="s">
        <v>270</v>
      </c>
      <c r="AH874" s="19"/>
      <c r="AI874" s="19"/>
      <c r="AJ874" s="101">
        <v>8.15</v>
      </c>
      <c r="AK874" s="19">
        <v>8.15</v>
      </c>
      <c r="AL874" s="19">
        <v>380</v>
      </c>
      <c r="AM874" s="19" t="s">
        <v>234</v>
      </c>
      <c r="AN874" s="19" t="s">
        <v>234</v>
      </c>
      <c r="AO874" s="19" t="s">
        <v>235</v>
      </c>
      <c r="AP874" s="94">
        <v>1.6</v>
      </c>
      <c r="AQ874" s="19" t="s">
        <v>91</v>
      </c>
      <c r="AR874" s="19" t="s">
        <v>241</v>
      </c>
      <c r="AS874" s="19"/>
      <c r="AT874" s="65" t="str">
        <f t="shared" si="243"/>
        <v>Y</v>
      </c>
      <c r="AU874" s="65" t="str">
        <f t="shared" si="244"/>
        <v>Y</v>
      </c>
      <c r="AV874" s="65" t="str">
        <f t="shared" si="242"/>
        <v>Y</v>
      </c>
      <c r="AW874" s="99"/>
      <c r="AX874" s="99"/>
      <c r="AY874" s="19"/>
      <c r="AZ874" s="96" t="str">
        <f t="shared" si="245"/>
        <v>EC50</v>
      </c>
      <c r="BA874" s="96">
        <f>IF(AZ874="n","n",VLOOKUP(AZ874,'Conversion factors'!$C$4:$D$24,2,FALSE))</f>
        <v>5</v>
      </c>
      <c r="BB874" s="96">
        <f t="shared" si="246"/>
        <v>10</v>
      </c>
      <c r="BC874" s="97"/>
      <c r="BD874" s="96" t="str">
        <f t="shared" si="247"/>
        <v>Chronic</v>
      </c>
      <c r="BE874" s="96" t="str">
        <f t="shared" si="248"/>
        <v>y</v>
      </c>
      <c r="BF874" s="98" t="str">
        <f t="shared" si="249"/>
        <v>EC50</v>
      </c>
      <c r="BG874" s="96" t="str">
        <f>IF(BF874="","",IF(ISNUMBER(VLOOKUP(BF874,'Conversion factors'!$B$35:$C$52,2,FALSE)),"y","n"))</f>
        <v>n</v>
      </c>
      <c r="BH874" s="99" t="s">
        <v>1525</v>
      </c>
    </row>
    <row r="875" spans="1:60" s="103" customFormat="1" ht="15.75" customHeight="1" x14ac:dyDescent="0.2">
      <c r="A875" s="18"/>
      <c r="B875" s="19">
        <v>233</v>
      </c>
      <c r="C875" s="19"/>
      <c r="D875" s="19">
        <v>71839</v>
      </c>
      <c r="E875" s="19" t="s">
        <v>1224</v>
      </c>
      <c r="F875" s="93">
        <v>2003</v>
      </c>
      <c r="G875" s="19" t="s">
        <v>599</v>
      </c>
      <c r="H875" s="19"/>
      <c r="I875" s="19" t="s">
        <v>41</v>
      </c>
      <c r="J875" s="19" t="s">
        <v>344</v>
      </c>
      <c r="K875" s="19" t="s">
        <v>42</v>
      </c>
      <c r="L875" s="19" t="s">
        <v>43</v>
      </c>
      <c r="M875" s="19" t="s">
        <v>1303</v>
      </c>
      <c r="N875" s="19" t="s">
        <v>109</v>
      </c>
      <c r="O875" s="19" t="s">
        <v>235</v>
      </c>
      <c r="P875" s="19" t="s">
        <v>53</v>
      </c>
      <c r="Q875" s="19"/>
      <c r="R875" s="19" t="s">
        <v>256</v>
      </c>
      <c r="S875" s="19" t="s">
        <v>302</v>
      </c>
      <c r="T875" s="19" t="s">
        <v>44</v>
      </c>
      <c r="U875" s="19" t="s">
        <v>44</v>
      </c>
      <c r="V875" s="19" t="s">
        <v>103</v>
      </c>
      <c r="W875" s="19" t="s">
        <v>231</v>
      </c>
      <c r="X875" s="19" t="s">
        <v>46</v>
      </c>
      <c r="Y875" s="29"/>
      <c r="Z875" s="19"/>
      <c r="AA875" s="19"/>
      <c r="AB875" s="19">
        <v>490</v>
      </c>
      <c r="AC875" s="19" t="s">
        <v>214</v>
      </c>
      <c r="AD875" s="19"/>
      <c r="AE875" s="19">
        <v>233</v>
      </c>
      <c r="AF875" s="19">
        <v>233</v>
      </c>
      <c r="AG875" s="19" t="s">
        <v>270</v>
      </c>
      <c r="AH875" s="19"/>
      <c r="AI875" s="19"/>
      <c r="AJ875" s="101">
        <v>8.1999999999999993</v>
      </c>
      <c r="AK875" s="19">
        <v>8.1999999999999993</v>
      </c>
      <c r="AL875" s="19">
        <v>492</v>
      </c>
      <c r="AM875" s="19" t="s">
        <v>234</v>
      </c>
      <c r="AN875" s="19" t="s">
        <v>234</v>
      </c>
      <c r="AO875" s="19" t="s">
        <v>235</v>
      </c>
      <c r="AP875" s="94">
        <v>1.5</v>
      </c>
      <c r="AQ875" s="19" t="s">
        <v>91</v>
      </c>
      <c r="AR875" s="19" t="s">
        <v>241</v>
      </c>
      <c r="AS875" s="19"/>
      <c r="AT875" s="65" t="str">
        <f t="shared" si="243"/>
        <v>Y</v>
      </c>
      <c r="AU875" s="65" t="str">
        <f t="shared" si="244"/>
        <v>Y</v>
      </c>
      <c r="AV875" s="65" t="str">
        <f t="shared" si="242"/>
        <v>Y</v>
      </c>
      <c r="AW875" s="99"/>
      <c r="AX875" s="99"/>
      <c r="AY875" s="19"/>
      <c r="AZ875" s="96" t="str">
        <f t="shared" si="245"/>
        <v>EC50</v>
      </c>
      <c r="BA875" s="96">
        <f>IF(AZ875="n","n",VLOOKUP(AZ875,'Conversion factors'!$C$4:$D$24,2,FALSE))</f>
        <v>5</v>
      </c>
      <c r="BB875" s="96">
        <f t="shared" si="246"/>
        <v>98</v>
      </c>
      <c r="BC875" s="97"/>
      <c r="BD875" s="96" t="str">
        <f t="shared" si="247"/>
        <v>Chronic</v>
      </c>
      <c r="BE875" s="96" t="str">
        <f t="shared" si="248"/>
        <v>y</v>
      </c>
      <c r="BF875" s="98" t="str">
        <f t="shared" si="249"/>
        <v>EC50</v>
      </c>
      <c r="BG875" s="96" t="str">
        <f>IF(BF875="","",IF(ISNUMBER(VLOOKUP(BF875,'Conversion factors'!$B$35:$C$52,2,FALSE)),"y","n"))</f>
        <v>n</v>
      </c>
      <c r="BH875" s="99" t="s">
        <v>1525</v>
      </c>
    </row>
    <row r="876" spans="1:60" s="103" customFormat="1" ht="15.75" customHeight="1" x14ac:dyDescent="0.2">
      <c r="A876" s="18"/>
      <c r="B876" s="19">
        <v>233</v>
      </c>
      <c r="C876" s="19"/>
      <c r="D876" s="19">
        <v>71839</v>
      </c>
      <c r="E876" s="19" t="s">
        <v>1224</v>
      </c>
      <c r="F876" s="93">
        <v>2003</v>
      </c>
      <c r="G876" s="19" t="s">
        <v>599</v>
      </c>
      <c r="H876" s="19"/>
      <c r="I876" s="19" t="s">
        <v>41</v>
      </c>
      <c r="J876" s="19" t="s">
        <v>344</v>
      </c>
      <c r="K876" s="19" t="s">
        <v>42</v>
      </c>
      <c r="L876" s="19" t="s">
        <v>43</v>
      </c>
      <c r="M876" s="19" t="s">
        <v>1303</v>
      </c>
      <c r="N876" s="19" t="s">
        <v>109</v>
      </c>
      <c r="O876" s="19" t="s">
        <v>235</v>
      </c>
      <c r="P876" s="19" t="s">
        <v>53</v>
      </c>
      <c r="Q876" s="19"/>
      <c r="R876" s="19" t="s">
        <v>256</v>
      </c>
      <c r="S876" s="19" t="s">
        <v>302</v>
      </c>
      <c r="T876" s="19" t="s">
        <v>44</v>
      </c>
      <c r="U876" s="19" t="s">
        <v>44</v>
      </c>
      <c r="V876" s="19" t="s">
        <v>103</v>
      </c>
      <c r="W876" s="19" t="s">
        <v>231</v>
      </c>
      <c r="X876" s="19" t="s">
        <v>46</v>
      </c>
      <c r="Y876" s="29"/>
      <c r="Z876" s="19"/>
      <c r="AA876" s="19"/>
      <c r="AB876" s="19">
        <v>980</v>
      </c>
      <c r="AC876" s="19" t="s">
        <v>214</v>
      </c>
      <c r="AD876" s="19"/>
      <c r="AE876" s="19">
        <v>320</v>
      </c>
      <c r="AF876" s="19">
        <v>320</v>
      </c>
      <c r="AG876" s="19" t="s">
        <v>270</v>
      </c>
      <c r="AH876" s="19"/>
      <c r="AI876" s="19"/>
      <c r="AJ876" s="19">
        <v>7.95</v>
      </c>
      <c r="AK876" s="19">
        <v>7.95</v>
      </c>
      <c r="AL876" s="19">
        <v>638</v>
      </c>
      <c r="AM876" s="19" t="s">
        <v>234</v>
      </c>
      <c r="AN876" s="19" t="s">
        <v>234</v>
      </c>
      <c r="AO876" s="19" t="s">
        <v>235</v>
      </c>
      <c r="AP876" s="94">
        <v>2.7</v>
      </c>
      <c r="AQ876" s="19" t="s">
        <v>91</v>
      </c>
      <c r="AR876" s="19" t="s">
        <v>241</v>
      </c>
      <c r="AS876" s="19"/>
      <c r="AT876" s="65" t="str">
        <f t="shared" si="243"/>
        <v>Y</v>
      </c>
      <c r="AU876" s="65" t="str">
        <f t="shared" si="244"/>
        <v>Y</v>
      </c>
      <c r="AV876" s="65" t="str">
        <f t="shared" si="242"/>
        <v>Y</v>
      </c>
      <c r="AW876" s="99" t="s">
        <v>1406</v>
      </c>
      <c r="AX876" s="99"/>
      <c r="AY876" s="19"/>
      <c r="AZ876" s="96" t="str">
        <f t="shared" si="245"/>
        <v>EC50</v>
      </c>
      <c r="BA876" s="96">
        <f>IF(AZ876="n","n",VLOOKUP(AZ876,'Conversion factors'!$C$4:$D$24,2,FALSE))</f>
        <v>5</v>
      </c>
      <c r="BB876" s="96">
        <f t="shared" si="246"/>
        <v>196</v>
      </c>
      <c r="BC876" s="97"/>
      <c r="BD876" s="96" t="str">
        <f t="shared" si="247"/>
        <v>Chronic</v>
      </c>
      <c r="BE876" s="96" t="str">
        <f t="shared" si="248"/>
        <v>y</v>
      </c>
      <c r="BF876" s="98" t="str">
        <f t="shared" si="249"/>
        <v>EC50</v>
      </c>
      <c r="BG876" s="96" t="str">
        <f>IF(BF876="","",IF(ISNUMBER(VLOOKUP(BF876,'Conversion factors'!$B$35:$C$52,2,FALSE)),"y","n"))</f>
        <v>n</v>
      </c>
      <c r="BH876" s="99" t="s">
        <v>1525</v>
      </c>
    </row>
    <row r="877" spans="1:60" s="103" customFormat="1" ht="15.75" customHeight="1" x14ac:dyDescent="0.2">
      <c r="A877" s="18"/>
      <c r="B877" s="19">
        <v>233</v>
      </c>
      <c r="C877" s="19"/>
      <c r="D877" s="19">
        <v>71839</v>
      </c>
      <c r="E877" s="19" t="s">
        <v>1224</v>
      </c>
      <c r="F877" s="93">
        <v>2003</v>
      </c>
      <c r="G877" s="19" t="s">
        <v>599</v>
      </c>
      <c r="H877" s="19"/>
      <c r="I877" s="19" t="s">
        <v>41</v>
      </c>
      <c r="J877" s="19" t="s">
        <v>344</v>
      </c>
      <c r="K877" s="19" t="s">
        <v>42</v>
      </c>
      <c r="L877" s="19" t="s">
        <v>43</v>
      </c>
      <c r="M877" s="19" t="s">
        <v>1303</v>
      </c>
      <c r="N877" s="19" t="s">
        <v>109</v>
      </c>
      <c r="O877" s="19" t="s">
        <v>235</v>
      </c>
      <c r="P877" s="19" t="s">
        <v>53</v>
      </c>
      <c r="Q877" s="19"/>
      <c r="R877" s="19" t="s">
        <v>256</v>
      </c>
      <c r="S877" s="19" t="s">
        <v>302</v>
      </c>
      <c r="T877" s="19" t="s">
        <v>44</v>
      </c>
      <c r="U877" s="19" t="s">
        <v>44</v>
      </c>
      <c r="V877" s="19" t="s">
        <v>103</v>
      </c>
      <c r="W877" s="19" t="s">
        <v>231</v>
      </c>
      <c r="X877" s="19" t="s">
        <v>46</v>
      </c>
      <c r="Y877" s="29"/>
      <c r="Z877" s="19"/>
      <c r="AA877" s="19"/>
      <c r="AB877" s="19">
        <v>160</v>
      </c>
      <c r="AC877" s="19" t="s">
        <v>214</v>
      </c>
      <c r="AD877" s="19"/>
      <c r="AE877" s="19">
        <v>109</v>
      </c>
      <c r="AF877" s="19">
        <v>109</v>
      </c>
      <c r="AG877" s="19" t="s">
        <v>270</v>
      </c>
      <c r="AH877" s="19"/>
      <c r="AI877" s="19"/>
      <c r="AJ877" s="19">
        <v>7.6</v>
      </c>
      <c r="AK877" s="19">
        <v>7.6</v>
      </c>
      <c r="AL877" s="19">
        <v>273</v>
      </c>
      <c r="AM877" s="19" t="s">
        <v>234</v>
      </c>
      <c r="AN877" s="19" t="s">
        <v>234</v>
      </c>
      <c r="AO877" s="19" t="s">
        <v>235</v>
      </c>
      <c r="AP877" s="94">
        <v>4.8</v>
      </c>
      <c r="AQ877" s="19" t="s">
        <v>91</v>
      </c>
      <c r="AR877" s="19" t="s">
        <v>241</v>
      </c>
      <c r="AS877" s="19"/>
      <c r="AT877" s="65" t="str">
        <f t="shared" si="243"/>
        <v>Y</v>
      </c>
      <c r="AU877" s="65" t="str">
        <f t="shared" si="244"/>
        <v>Y</v>
      </c>
      <c r="AV877" s="65" t="str">
        <f t="shared" si="242"/>
        <v>Y</v>
      </c>
      <c r="AW877" s="99" t="s">
        <v>1406</v>
      </c>
      <c r="AX877" s="99"/>
      <c r="AY877" s="19"/>
      <c r="AZ877" s="96" t="str">
        <f t="shared" si="245"/>
        <v>EC50</v>
      </c>
      <c r="BA877" s="96">
        <f>IF(AZ877="n","n",VLOOKUP(AZ877,'Conversion factors'!$C$4:$D$24,2,FALSE))</f>
        <v>5</v>
      </c>
      <c r="BB877" s="96">
        <f t="shared" si="246"/>
        <v>32</v>
      </c>
      <c r="BC877" s="97"/>
      <c r="BD877" s="96" t="str">
        <f t="shared" si="247"/>
        <v>Chronic</v>
      </c>
      <c r="BE877" s="96" t="str">
        <f t="shared" si="248"/>
        <v>y</v>
      </c>
      <c r="BF877" s="98" t="str">
        <f t="shared" si="249"/>
        <v>EC50</v>
      </c>
      <c r="BG877" s="96" t="str">
        <f>IF(BF877="","",IF(ISNUMBER(VLOOKUP(BF877,'Conversion factors'!$B$35:$C$52,2,FALSE)),"y","n"))</f>
        <v>n</v>
      </c>
      <c r="BH877" s="99" t="s">
        <v>1525</v>
      </c>
    </row>
    <row r="878" spans="1:60" s="103" customFormat="1" ht="15.75" customHeight="1" x14ac:dyDescent="0.2">
      <c r="A878" s="18"/>
      <c r="B878" s="19">
        <v>233</v>
      </c>
      <c r="C878" s="19"/>
      <c r="D878" s="19">
        <v>71839</v>
      </c>
      <c r="E878" s="19" t="s">
        <v>1224</v>
      </c>
      <c r="F878" s="93">
        <v>2003</v>
      </c>
      <c r="G878" s="19" t="s">
        <v>599</v>
      </c>
      <c r="H878" s="19"/>
      <c r="I878" s="19" t="s">
        <v>41</v>
      </c>
      <c r="J878" s="19" t="s">
        <v>344</v>
      </c>
      <c r="K878" s="19" t="s">
        <v>42</v>
      </c>
      <c r="L878" s="19" t="s">
        <v>43</v>
      </c>
      <c r="M878" s="19" t="s">
        <v>1303</v>
      </c>
      <c r="N878" s="19" t="s">
        <v>109</v>
      </c>
      <c r="O878" s="19" t="s">
        <v>235</v>
      </c>
      <c r="P878" s="19" t="s">
        <v>53</v>
      </c>
      <c r="Q878" s="19"/>
      <c r="R878" s="19" t="s">
        <v>256</v>
      </c>
      <c r="S878" s="19" t="s">
        <v>302</v>
      </c>
      <c r="T878" s="19" t="s">
        <v>44</v>
      </c>
      <c r="U878" s="19" t="s">
        <v>44</v>
      </c>
      <c r="V878" s="19" t="s">
        <v>103</v>
      </c>
      <c r="W878" s="19" t="s">
        <v>231</v>
      </c>
      <c r="X878" s="19" t="s">
        <v>46</v>
      </c>
      <c r="Y878" s="29"/>
      <c r="Z878" s="19"/>
      <c r="AA878" s="19"/>
      <c r="AB878" s="19">
        <v>160</v>
      </c>
      <c r="AC878" s="19" t="s">
        <v>214</v>
      </c>
      <c r="AD878" s="19"/>
      <c r="AE878" s="19">
        <v>47</v>
      </c>
      <c r="AF878" s="19">
        <v>47</v>
      </c>
      <c r="AG878" s="19" t="s">
        <v>270</v>
      </c>
      <c r="AH878" s="19"/>
      <c r="AI878" s="19"/>
      <c r="AJ878" s="19">
        <v>7.55</v>
      </c>
      <c r="AK878" s="19">
        <v>7.55</v>
      </c>
      <c r="AL878" s="19">
        <v>116</v>
      </c>
      <c r="AM878" s="19" t="s">
        <v>234</v>
      </c>
      <c r="AN878" s="19" t="s">
        <v>234</v>
      </c>
      <c r="AO878" s="19" t="s">
        <v>235</v>
      </c>
      <c r="AP878" s="94">
        <v>6.1</v>
      </c>
      <c r="AQ878" s="19" t="s">
        <v>91</v>
      </c>
      <c r="AR878" s="19" t="s">
        <v>241</v>
      </c>
      <c r="AS878" s="19"/>
      <c r="AT878" s="65" t="str">
        <f t="shared" si="243"/>
        <v>Y</v>
      </c>
      <c r="AU878" s="65" t="str">
        <f t="shared" si="244"/>
        <v>Y</v>
      </c>
      <c r="AV878" s="65" t="str">
        <f t="shared" si="242"/>
        <v>Y</v>
      </c>
      <c r="AW878" s="99" t="s">
        <v>1406</v>
      </c>
      <c r="AX878" s="99"/>
      <c r="AY878" s="19"/>
      <c r="AZ878" s="96" t="str">
        <f t="shared" si="245"/>
        <v>EC50</v>
      </c>
      <c r="BA878" s="96">
        <f>IF(AZ878="n","n",VLOOKUP(AZ878,'Conversion factors'!$C$4:$D$24,2,FALSE))</f>
        <v>5</v>
      </c>
      <c r="BB878" s="96">
        <f t="shared" si="246"/>
        <v>32</v>
      </c>
      <c r="BC878" s="97"/>
      <c r="BD878" s="96" t="str">
        <f t="shared" si="247"/>
        <v>Chronic</v>
      </c>
      <c r="BE878" s="96" t="str">
        <f t="shared" si="248"/>
        <v>y</v>
      </c>
      <c r="BF878" s="98" t="str">
        <f t="shared" si="249"/>
        <v>EC50</v>
      </c>
      <c r="BG878" s="96" t="str">
        <f>IF(BF878="","",IF(ISNUMBER(VLOOKUP(BF878,'Conversion factors'!$B$35:$C$52,2,FALSE)),"y","n"))</f>
        <v>n</v>
      </c>
      <c r="BH878" s="99" t="s">
        <v>1525</v>
      </c>
    </row>
    <row r="879" spans="1:60" s="103" customFormat="1" ht="15.75" customHeight="1" x14ac:dyDescent="0.2">
      <c r="A879" s="18"/>
      <c r="B879" s="19">
        <v>233</v>
      </c>
      <c r="C879" s="19"/>
      <c r="D879" s="19">
        <v>71839</v>
      </c>
      <c r="E879" s="19" t="s">
        <v>1224</v>
      </c>
      <c r="F879" s="93">
        <v>2003</v>
      </c>
      <c r="G879" s="19" t="s">
        <v>599</v>
      </c>
      <c r="H879" s="19"/>
      <c r="I879" s="19" t="s">
        <v>41</v>
      </c>
      <c r="J879" s="19" t="s">
        <v>344</v>
      </c>
      <c r="K879" s="19" t="s">
        <v>42</v>
      </c>
      <c r="L879" s="19" t="s">
        <v>43</v>
      </c>
      <c r="M879" s="19" t="s">
        <v>1303</v>
      </c>
      <c r="N879" s="19" t="s">
        <v>109</v>
      </c>
      <c r="O879" s="19" t="s">
        <v>235</v>
      </c>
      <c r="P879" s="19" t="s">
        <v>53</v>
      </c>
      <c r="Q879" s="19"/>
      <c r="R879" s="19" t="s">
        <v>256</v>
      </c>
      <c r="S879" s="19" t="s">
        <v>302</v>
      </c>
      <c r="T879" s="19" t="s">
        <v>44</v>
      </c>
      <c r="U879" s="19" t="s">
        <v>44</v>
      </c>
      <c r="V879" s="19" t="s">
        <v>103</v>
      </c>
      <c r="W879" s="19" t="s">
        <v>231</v>
      </c>
      <c r="X879" s="19" t="s">
        <v>46</v>
      </c>
      <c r="Y879" s="29"/>
      <c r="Z879" s="19"/>
      <c r="AA879" s="19"/>
      <c r="AB879" s="19">
        <v>30</v>
      </c>
      <c r="AC879" s="19" t="s">
        <v>214</v>
      </c>
      <c r="AD879" s="19"/>
      <c r="AE879" s="19">
        <v>174</v>
      </c>
      <c r="AF879" s="19">
        <v>174</v>
      </c>
      <c r="AG879" s="19" t="s">
        <v>270</v>
      </c>
      <c r="AH879" s="19"/>
      <c r="AI879" s="19"/>
      <c r="AJ879" s="101">
        <v>8.1999999999999993</v>
      </c>
      <c r="AK879" s="19">
        <v>8.1999999999999993</v>
      </c>
      <c r="AL879" s="19">
        <v>359</v>
      </c>
      <c r="AM879" s="19" t="s">
        <v>234</v>
      </c>
      <c r="AN879" s="19" t="s">
        <v>234</v>
      </c>
      <c r="AO879" s="19" t="s">
        <v>235</v>
      </c>
      <c r="AP879" s="94">
        <v>1.7</v>
      </c>
      <c r="AQ879" s="19" t="s">
        <v>91</v>
      </c>
      <c r="AR879" s="19" t="s">
        <v>241</v>
      </c>
      <c r="AS879" s="19"/>
      <c r="AT879" s="65" t="str">
        <f t="shared" si="243"/>
        <v>Y</v>
      </c>
      <c r="AU879" s="65" t="str">
        <f t="shared" si="244"/>
        <v>Y</v>
      </c>
      <c r="AV879" s="65" t="str">
        <f t="shared" si="242"/>
        <v>Y</v>
      </c>
      <c r="AW879" s="99"/>
      <c r="AX879" s="99"/>
      <c r="AY879" s="19"/>
      <c r="AZ879" s="96" t="str">
        <f t="shared" si="245"/>
        <v>EC50</v>
      </c>
      <c r="BA879" s="96">
        <f>IF(AZ879="n","n",VLOOKUP(AZ879,'Conversion factors'!$C$4:$D$24,2,FALSE))</f>
        <v>5</v>
      </c>
      <c r="BB879" s="96">
        <f t="shared" si="246"/>
        <v>6</v>
      </c>
      <c r="BC879" s="97"/>
      <c r="BD879" s="96" t="str">
        <f t="shared" si="247"/>
        <v>Chronic</v>
      </c>
      <c r="BE879" s="96" t="str">
        <f t="shared" si="248"/>
        <v>y</v>
      </c>
      <c r="BF879" s="98" t="str">
        <f t="shared" si="249"/>
        <v>EC50</v>
      </c>
      <c r="BG879" s="96" t="str">
        <f>IF(BF879="","",IF(ISNUMBER(VLOOKUP(BF879,'Conversion factors'!$B$35:$C$52,2,FALSE)),"y","n"))</f>
        <v>n</v>
      </c>
      <c r="BH879" s="99" t="s">
        <v>1525</v>
      </c>
    </row>
    <row r="880" spans="1:60" s="103" customFormat="1" ht="15.75" customHeight="1" x14ac:dyDescent="0.2">
      <c r="A880" s="18"/>
      <c r="B880" s="19">
        <v>233</v>
      </c>
      <c r="C880" s="19"/>
      <c r="D880" s="19">
        <v>71839</v>
      </c>
      <c r="E880" s="19" t="s">
        <v>1224</v>
      </c>
      <c r="F880" s="93">
        <v>2003</v>
      </c>
      <c r="G880" s="19" t="s">
        <v>599</v>
      </c>
      <c r="H880" s="19"/>
      <c r="I880" s="19" t="s">
        <v>41</v>
      </c>
      <c r="J880" s="19" t="s">
        <v>344</v>
      </c>
      <c r="K880" s="19" t="s">
        <v>42</v>
      </c>
      <c r="L880" s="19" t="s">
        <v>43</v>
      </c>
      <c r="M880" s="19" t="s">
        <v>1303</v>
      </c>
      <c r="N880" s="19" t="s">
        <v>109</v>
      </c>
      <c r="O880" s="19" t="s">
        <v>235</v>
      </c>
      <c r="P880" s="19" t="s">
        <v>53</v>
      </c>
      <c r="Q880" s="19"/>
      <c r="R880" s="19" t="s">
        <v>256</v>
      </c>
      <c r="S880" s="19" t="s">
        <v>302</v>
      </c>
      <c r="T880" s="19" t="s">
        <v>44</v>
      </c>
      <c r="U880" s="19" t="s">
        <v>44</v>
      </c>
      <c r="V880" s="19" t="s">
        <v>103</v>
      </c>
      <c r="W880" s="19" t="s">
        <v>231</v>
      </c>
      <c r="X880" s="19" t="s">
        <v>46</v>
      </c>
      <c r="Y880" s="29"/>
      <c r="Z880" s="19"/>
      <c r="AA880" s="19"/>
      <c r="AB880" s="19">
        <v>470</v>
      </c>
      <c r="AC880" s="19" t="s">
        <v>214</v>
      </c>
      <c r="AD880" s="19"/>
      <c r="AE880" s="19">
        <v>240</v>
      </c>
      <c r="AF880" s="19">
        <v>240</v>
      </c>
      <c r="AG880" s="19" t="s">
        <v>270</v>
      </c>
      <c r="AH880" s="19"/>
      <c r="AI880" s="19"/>
      <c r="AJ880" s="101">
        <v>8</v>
      </c>
      <c r="AK880" s="19">
        <v>8</v>
      </c>
      <c r="AL880" s="19">
        <v>461</v>
      </c>
      <c r="AM880" s="19" t="s">
        <v>234</v>
      </c>
      <c r="AN880" s="19" t="s">
        <v>234</v>
      </c>
      <c r="AO880" s="19" t="s">
        <v>235</v>
      </c>
      <c r="AP880" s="94">
        <v>2</v>
      </c>
      <c r="AQ880" s="19" t="s">
        <v>91</v>
      </c>
      <c r="AR880" s="19" t="s">
        <v>241</v>
      </c>
      <c r="AS880" s="19"/>
      <c r="AT880" s="65" t="str">
        <f t="shared" si="243"/>
        <v>Y</v>
      </c>
      <c r="AU880" s="65" t="str">
        <f t="shared" si="244"/>
        <v>Y</v>
      </c>
      <c r="AV880" s="65" t="str">
        <f t="shared" si="242"/>
        <v>Y</v>
      </c>
      <c r="AW880" s="99"/>
      <c r="AX880" s="99"/>
      <c r="AY880" s="19"/>
      <c r="AZ880" s="96" t="str">
        <f t="shared" si="245"/>
        <v>EC50</v>
      </c>
      <c r="BA880" s="96">
        <f>IF(AZ880="n","n",VLOOKUP(AZ880,'Conversion factors'!$C$4:$D$24,2,FALSE))</f>
        <v>5</v>
      </c>
      <c r="BB880" s="96">
        <f t="shared" si="246"/>
        <v>94</v>
      </c>
      <c r="BC880" s="97"/>
      <c r="BD880" s="96" t="str">
        <f t="shared" si="247"/>
        <v>Chronic</v>
      </c>
      <c r="BE880" s="96" t="str">
        <f t="shared" si="248"/>
        <v>y</v>
      </c>
      <c r="BF880" s="98" t="str">
        <f t="shared" si="249"/>
        <v>EC50</v>
      </c>
      <c r="BG880" s="96" t="str">
        <f>IF(BF880="","",IF(ISNUMBER(VLOOKUP(BF880,'Conversion factors'!$B$35:$C$52,2,FALSE)),"y","n"))</f>
        <v>n</v>
      </c>
      <c r="BH880" s="99" t="s">
        <v>1525</v>
      </c>
    </row>
    <row r="881" spans="1:60" s="103" customFormat="1" ht="15.75" customHeight="1" x14ac:dyDescent="0.2">
      <c r="A881" s="18"/>
      <c r="B881" s="19">
        <v>233</v>
      </c>
      <c r="C881" s="19"/>
      <c r="D881" s="19">
        <v>71839</v>
      </c>
      <c r="E881" s="19" t="s">
        <v>1224</v>
      </c>
      <c r="F881" s="93">
        <v>2003</v>
      </c>
      <c r="G881" s="19" t="s">
        <v>599</v>
      </c>
      <c r="H881" s="19"/>
      <c r="I881" s="19" t="s">
        <v>41</v>
      </c>
      <c r="J881" s="19" t="s">
        <v>344</v>
      </c>
      <c r="K881" s="19" t="s">
        <v>42</v>
      </c>
      <c r="L881" s="19" t="s">
        <v>43</v>
      </c>
      <c r="M881" s="19" t="s">
        <v>1303</v>
      </c>
      <c r="N881" s="19" t="s">
        <v>109</v>
      </c>
      <c r="O881" s="19" t="s">
        <v>235</v>
      </c>
      <c r="P881" s="19" t="s">
        <v>53</v>
      </c>
      <c r="Q881" s="19"/>
      <c r="R881" s="19" t="s">
        <v>256</v>
      </c>
      <c r="S881" s="19" t="s">
        <v>302</v>
      </c>
      <c r="T881" s="19" t="s">
        <v>44</v>
      </c>
      <c r="U881" s="19" t="s">
        <v>44</v>
      </c>
      <c r="V881" s="19" t="s">
        <v>103</v>
      </c>
      <c r="W881" s="19" t="s">
        <v>231</v>
      </c>
      <c r="X881" s="19" t="s">
        <v>46</v>
      </c>
      <c r="Y881" s="29"/>
      <c r="Z881" s="19"/>
      <c r="AA881" s="19"/>
      <c r="AB881" s="19">
        <v>70</v>
      </c>
      <c r="AC881" s="19" t="s">
        <v>214</v>
      </c>
      <c r="AD881" s="19"/>
      <c r="AE881" s="19">
        <v>233</v>
      </c>
      <c r="AF881" s="19">
        <v>233</v>
      </c>
      <c r="AG881" s="19" t="s">
        <v>270</v>
      </c>
      <c r="AH881" s="19"/>
      <c r="AI881" s="19"/>
      <c r="AJ881" s="19">
        <v>7.95</v>
      </c>
      <c r="AK881" s="19">
        <v>7.95</v>
      </c>
      <c r="AL881" s="19">
        <v>498</v>
      </c>
      <c r="AM881" s="19" t="s">
        <v>234</v>
      </c>
      <c r="AN881" s="19" t="s">
        <v>234</v>
      </c>
      <c r="AO881" s="19" t="s">
        <v>235</v>
      </c>
      <c r="AP881" s="94">
        <v>2.9</v>
      </c>
      <c r="AQ881" s="19" t="s">
        <v>91</v>
      </c>
      <c r="AR881" s="19" t="s">
        <v>241</v>
      </c>
      <c r="AS881" s="19"/>
      <c r="AT881" s="65" t="str">
        <f t="shared" si="243"/>
        <v>Y</v>
      </c>
      <c r="AU881" s="65" t="str">
        <f t="shared" si="244"/>
        <v>Y</v>
      </c>
      <c r="AV881" s="65" t="str">
        <f t="shared" si="242"/>
        <v>Y</v>
      </c>
      <c r="AW881" s="99" t="s">
        <v>1406</v>
      </c>
      <c r="AX881" s="99"/>
      <c r="AY881" s="19"/>
      <c r="AZ881" s="96" t="str">
        <f t="shared" si="245"/>
        <v>EC50</v>
      </c>
      <c r="BA881" s="96">
        <f>IF(AZ881="n","n",VLOOKUP(AZ881,'Conversion factors'!$C$4:$D$24,2,FALSE))</f>
        <v>5</v>
      </c>
      <c r="BB881" s="96">
        <f t="shared" si="246"/>
        <v>14</v>
      </c>
      <c r="BC881" s="97"/>
      <c r="BD881" s="96" t="str">
        <f t="shared" si="247"/>
        <v>Chronic</v>
      </c>
      <c r="BE881" s="96" t="str">
        <f t="shared" si="248"/>
        <v>y</v>
      </c>
      <c r="BF881" s="98" t="str">
        <f t="shared" si="249"/>
        <v>EC50</v>
      </c>
      <c r="BG881" s="96" t="str">
        <f>IF(BF881="","",IF(ISNUMBER(VLOOKUP(BF881,'Conversion factors'!$B$35:$C$52,2,FALSE)),"y","n"))</f>
        <v>n</v>
      </c>
      <c r="BH881" s="99" t="s">
        <v>1525</v>
      </c>
    </row>
    <row r="882" spans="1:60" s="103" customFormat="1" ht="15.75" customHeight="1" x14ac:dyDescent="0.2">
      <c r="A882" s="18"/>
      <c r="B882" s="19">
        <v>223</v>
      </c>
      <c r="C882" s="19"/>
      <c r="D882" s="19">
        <v>65745</v>
      </c>
      <c r="E882" s="19" t="s">
        <v>1224</v>
      </c>
      <c r="F882" s="93">
        <v>2002</v>
      </c>
      <c r="G882" s="19" t="s">
        <v>542</v>
      </c>
      <c r="H882" s="19"/>
      <c r="I882" s="19" t="s">
        <v>41</v>
      </c>
      <c r="J882" s="19" t="s">
        <v>344</v>
      </c>
      <c r="K882" s="19" t="s">
        <v>42</v>
      </c>
      <c r="L882" s="19" t="s">
        <v>43</v>
      </c>
      <c r="M882" s="19" t="s">
        <v>1303</v>
      </c>
      <c r="N882" s="19" t="s">
        <v>109</v>
      </c>
      <c r="O882" s="19" t="s">
        <v>235</v>
      </c>
      <c r="P882" s="19" t="s">
        <v>53</v>
      </c>
      <c r="Q882" s="19"/>
      <c r="R882" s="19" t="s">
        <v>256</v>
      </c>
      <c r="S882" s="19" t="s">
        <v>302</v>
      </c>
      <c r="T882" s="19" t="s">
        <v>44</v>
      </c>
      <c r="U882" s="19" t="s">
        <v>44</v>
      </c>
      <c r="V882" s="19" t="s">
        <v>103</v>
      </c>
      <c r="W882" s="19" t="s">
        <v>231</v>
      </c>
      <c r="X882" s="19" t="s">
        <v>46</v>
      </c>
      <c r="Y882" s="29"/>
      <c r="Z882" s="19"/>
      <c r="AA882" s="19"/>
      <c r="AB882" s="24">
        <v>224</v>
      </c>
      <c r="AC882" s="19" t="s">
        <v>214</v>
      </c>
      <c r="AD882" s="19"/>
      <c r="AE882" s="19">
        <v>24.4</v>
      </c>
      <c r="AF882" s="19"/>
      <c r="AG882" s="19" t="s">
        <v>235</v>
      </c>
      <c r="AH882" s="19"/>
      <c r="AI882" s="19"/>
      <c r="AJ882" s="19">
        <v>5.6</v>
      </c>
      <c r="AK882" s="19">
        <v>5.6</v>
      </c>
      <c r="AL882" s="19"/>
      <c r="AM882" s="19" t="s">
        <v>234</v>
      </c>
      <c r="AN882" s="19" t="s">
        <v>234</v>
      </c>
      <c r="AO882" s="19" t="s">
        <v>235</v>
      </c>
      <c r="AP882" s="94"/>
      <c r="AQ882" s="19" t="s">
        <v>97</v>
      </c>
      <c r="AR882" s="19" t="s">
        <v>241</v>
      </c>
      <c r="AS882" s="19"/>
      <c r="AT882" s="65" t="str">
        <f t="shared" si="243"/>
        <v>Y</v>
      </c>
      <c r="AU882" s="65" t="str">
        <f t="shared" si="244"/>
        <v>N</v>
      </c>
      <c r="AV882" s="65" t="str">
        <f t="shared" si="242"/>
        <v>N</v>
      </c>
      <c r="AW882" s="99"/>
      <c r="AX882" s="99"/>
      <c r="AY882" s="19"/>
      <c r="AZ882" s="96" t="str">
        <f t="shared" si="245"/>
        <v>n</v>
      </c>
      <c r="BA882" s="96" t="str">
        <f>IF(AZ882="n","n",VLOOKUP(AZ882,'Conversion factors'!$C$4:$D$24,2,FALSE))</f>
        <v>n</v>
      </c>
      <c r="BB882" s="96" t="str">
        <f t="shared" si="246"/>
        <v>n</v>
      </c>
      <c r="BC882" s="97"/>
      <c r="BD882" s="96" t="str">
        <f t="shared" si="247"/>
        <v>n</v>
      </c>
      <c r="BE882" s="96" t="str">
        <f t="shared" si="248"/>
        <v>n</v>
      </c>
      <c r="BF882" s="98" t="str">
        <f t="shared" si="249"/>
        <v/>
      </c>
      <c r="BG882" s="96" t="str">
        <f>IF(BF882="","",IF(ISNUMBER(VLOOKUP(BF882,'Conversion factors'!$B$35:$C$52,2,FALSE)),"y","n"))</f>
        <v/>
      </c>
      <c r="BH882" s="99"/>
    </row>
    <row r="883" spans="1:60" s="103" customFormat="1" ht="15.75" customHeight="1" x14ac:dyDescent="0.2">
      <c r="A883" s="18"/>
      <c r="B883" s="19">
        <v>223</v>
      </c>
      <c r="C883" s="19"/>
      <c r="D883" s="19">
        <v>65745</v>
      </c>
      <c r="E883" s="19" t="s">
        <v>1224</v>
      </c>
      <c r="F883" s="93">
        <v>2002</v>
      </c>
      <c r="G883" s="19" t="s">
        <v>542</v>
      </c>
      <c r="H883" s="19"/>
      <c r="I883" s="19" t="s">
        <v>41</v>
      </c>
      <c r="J883" s="19" t="s">
        <v>344</v>
      </c>
      <c r="K883" s="19" t="s">
        <v>42</v>
      </c>
      <c r="L883" s="19" t="s">
        <v>43</v>
      </c>
      <c r="M883" s="19" t="s">
        <v>1303</v>
      </c>
      <c r="N883" s="19" t="s">
        <v>109</v>
      </c>
      <c r="O883" s="19" t="s">
        <v>235</v>
      </c>
      <c r="P883" s="19" t="s">
        <v>53</v>
      </c>
      <c r="Q883" s="19"/>
      <c r="R883" s="19" t="s">
        <v>256</v>
      </c>
      <c r="S883" s="19" t="s">
        <v>302</v>
      </c>
      <c r="T883" s="19" t="s">
        <v>44</v>
      </c>
      <c r="U883" s="19" t="s">
        <v>44</v>
      </c>
      <c r="V883" s="19" t="s">
        <v>103</v>
      </c>
      <c r="W883" s="19" t="s">
        <v>231</v>
      </c>
      <c r="X883" s="19" t="s">
        <v>46</v>
      </c>
      <c r="Y883" s="29"/>
      <c r="Z883" s="19"/>
      <c r="AA883" s="19"/>
      <c r="AB883" s="24">
        <v>119</v>
      </c>
      <c r="AC883" s="19" t="s">
        <v>214</v>
      </c>
      <c r="AD883" s="19"/>
      <c r="AE883" s="19">
        <v>24.4</v>
      </c>
      <c r="AF883" s="19"/>
      <c r="AG883" s="19" t="s">
        <v>235</v>
      </c>
      <c r="AH883" s="19"/>
      <c r="AI883" s="19"/>
      <c r="AJ883" s="19">
        <v>6.2</v>
      </c>
      <c r="AK883" s="19">
        <v>6.2</v>
      </c>
      <c r="AL883" s="19"/>
      <c r="AM883" s="19" t="s">
        <v>234</v>
      </c>
      <c r="AN883" s="19" t="s">
        <v>234</v>
      </c>
      <c r="AO883" s="19" t="s">
        <v>235</v>
      </c>
      <c r="AP883" s="94"/>
      <c r="AQ883" s="19" t="s">
        <v>97</v>
      </c>
      <c r="AR883" s="19" t="s">
        <v>241</v>
      </c>
      <c r="AS883" s="19"/>
      <c r="AT883" s="65" t="str">
        <f t="shared" si="243"/>
        <v>Y</v>
      </c>
      <c r="AU883" s="65" t="str">
        <f t="shared" si="244"/>
        <v>Y</v>
      </c>
      <c r="AV883" s="65" t="str">
        <f t="shared" si="242"/>
        <v>Y</v>
      </c>
      <c r="AW883" s="99"/>
      <c r="AX883" s="99"/>
      <c r="AY883" s="19"/>
      <c r="AZ883" s="96" t="str">
        <f t="shared" si="245"/>
        <v>EC50</v>
      </c>
      <c r="BA883" s="96">
        <f>IF(AZ883="n","n",VLOOKUP(AZ883,'Conversion factors'!$C$4:$D$24,2,FALSE))</f>
        <v>5</v>
      </c>
      <c r="BB883" s="96">
        <f t="shared" si="246"/>
        <v>23.8</v>
      </c>
      <c r="BC883" s="97"/>
      <c r="BD883" s="96" t="str">
        <f t="shared" si="247"/>
        <v>Chronic</v>
      </c>
      <c r="BE883" s="96" t="str">
        <f t="shared" si="248"/>
        <v>y</v>
      </c>
      <c r="BF883" s="98" t="str">
        <f t="shared" si="249"/>
        <v>EC50</v>
      </c>
      <c r="BG883" s="96" t="str">
        <f>IF(BF883="","",IF(ISNUMBER(VLOOKUP(BF883,'Conversion factors'!$B$35:$C$52,2,FALSE)),"y","n"))</f>
        <v>n</v>
      </c>
      <c r="BH883" s="99"/>
    </row>
    <row r="884" spans="1:60" s="103" customFormat="1" ht="15.75" customHeight="1" x14ac:dyDescent="0.2">
      <c r="A884" s="18"/>
      <c r="B884" s="19">
        <v>223</v>
      </c>
      <c r="C884" s="19"/>
      <c r="D884" s="19">
        <v>65745</v>
      </c>
      <c r="E884" s="19" t="s">
        <v>1224</v>
      </c>
      <c r="F884" s="93">
        <v>2002</v>
      </c>
      <c r="G884" s="19" t="s">
        <v>542</v>
      </c>
      <c r="H884" s="19"/>
      <c r="I884" s="19" t="s">
        <v>41</v>
      </c>
      <c r="J884" s="19" t="s">
        <v>344</v>
      </c>
      <c r="K884" s="19" t="s">
        <v>42</v>
      </c>
      <c r="L884" s="19" t="s">
        <v>43</v>
      </c>
      <c r="M884" s="19" t="s">
        <v>1303</v>
      </c>
      <c r="N884" s="19" t="s">
        <v>109</v>
      </c>
      <c r="O884" s="19" t="s">
        <v>235</v>
      </c>
      <c r="P884" s="19" t="s">
        <v>53</v>
      </c>
      <c r="Q884" s="19"/>
      <c r="R884" s="19" t="s">
        <v>256</v>
      </c>
      <c r="S884" s="19" t="s">
        <v>302</v>
      </c>
      <c r="T884" s="19" t="s">
        <v>44</v>
      </c>
      <c r="U884" s="19" t="s">
        <v>44</v>
      </c>
      <c r="V884" s="19" t="s">
        <v>103</v>
      </c>
      <c r="W884" s="19" t="s">
        <v>231</v>
      </c>
      <c r="X884" s="19" t="s">
        <v>46</v>
      </c>
      <c r="Y884" s="29"/>
      <c r="Z884" s="19"/>
      <c r="AA884" s="19"/>
      <c r="AB884" s="24">
        <v>94.8</v>
      </c>
      <c r="AC884" s="19" t="s">
        <v>214</v>
      </c>
      <c r="AD884" s="19"/>
      <c r="AE884" s="19">
        <v>24.4</v>
      </c>
      <c r="AF884" s="19"/>
      <c r="AG884" s="19" t="s">
        <v>235</v>
      </c>
      <c r="AH884" s="19"/>
      <c r="AI884" s="19"/>
      <c r="AJ884" s="101">
        <v>6.8</v>
      </c>
      <c r="AK884" s="19">
        <v>6.8</v>
      </c>
      <c r="AL884" s="19"/>
      <c r="AM884" s="19" t="s">
        <v>234</v>
      </c>
      <c r="AN884" s="19" t="s">
        <v>234</v>
      </c>
      <c r="AO884" s="19" t="s">
        <v>235</v>
      </c>
      <c r="AP884" s="94"/>
      <c r="AQ884" s="19" t="s">
        <v>97</v>
      </c>
      <c r="AR884" s="19" t="s">
        <v>241</v>
      </c>
      <c r="AS884" s="19"/>
      <c r="AT884" s="65" t="str">
        <f t="shared" si="243"/>
        <v>Y</v>
      </c>
      <c r="AU884" s="65" t="str">
        <f t="shared" si="244"/>
        <v>Y</v>
      </c>
      <c r="AV884" s="65" t="str">
        <f t="shared" si="242"/>
        <v>Y</v>
      </c>
      <c r="AW884" s="99" t="s">
        <v>1519</v>
      </c>
      <c r="AX884" s="99"/>
      <c r="AY884" s="19"/>
      <c r="AZ884" s="96" t="str">
        <f t="shared" si="245"/>
        <v>EC50</v>
      </c>
      <c r="BA884" s="96">
        <f>IF(AZ884="n","n",VLOOKUP(AZ884,'Conversion factors'!$C$4:$D$24,2,FALSE))</f>
        <v>5</v>
      </c>
      <c r="BB884" s="96">
        <f t="shared" si="246"/>
        <v>18.96</v>
      </c>
      <c r="BC884" s="97"/>
      <c r="BD884" s="96" t="str">
        <f t="shared" si="247"/>
        <v>Chronic</v>
      </c>
      <c r="BE884" s="96" t="str">
        <f t="shared" si="248"/>
        <v>y</v>
      </c>
      <c r="BF884" s="98" t="str">
        <f t="shared" si="249"/>
        <v>EC50</v>
      </c>
      <c r="BG884" s="96" t="str">
        <f>IF(BF884="","",IF(ISNUMBER(VLOOKUP(BF884,'Conversion factors'!$B$35:$C$52,2,FALSE)),"y","n"))</f>
        <v>n</v>
      </c>
      <c r="BH884" s="99"/>
    </row>
    <row r="885" spans="1:60" s="103" customFormat="1" ht="15.75" customHeight="1" x14ac:dyDescent="0.2">
      <c r="A885" s="18"/>
      <c r="B885" s="19">
        <v>223</v>
      </c>
      <c r="C885" s="19"/>
      <c r="D885" s="19">
        <v>65745</v>
      </c>
      <c r="E885" s="19" t="s">
        <v>1224</v>
      </c>
      <c r="F885" s="93">
        <v>2002</v>
      </c>
      <c r="G885" s="19" t="s">
        <v>542</v>
      </c>
      <c r="H885" s="19"/>
      <c r="I885" s="19" t="s">
        <v>41</v>
      </c>
      <c r="J885" s="19" t="s">
        <v>344</v>
      </c>
      <c r="K885" s="19" t="s">
        <v>42</v>
      </c>
      <c r="L885" s="19" t="s">
        <v>43</v>
      </c>
      <c r="M885" s="19" t="s">
        <v>1303</v>
      </c>
      <c r="N885" s="19" t="s">
        <v>109</v>
      </c>
      <c r="O885" s="19" t="s">
        <v>235</v>
      </c>
      <c r="P885" s="19" t="s">
        <v>53</v>
      </c>
      <c r="Q885" s="19"/>
      <c r="R885" s="19" t="s">
        <v>256</v>
      </c>
      <c r="S885" s="19" t="s">
        <v>302</v>
      </c>
      <c r="T885" s="19" t="s">
        <v>44</v>
      </c>
      <c r="U885" s="19" t="s">
        <v>44</v>
      </c>
      <c r="V885" s="19" t="s">
        <v>103</v>
      </c>
      <c r="W885" s="19" t="s">
        <v>231</v>
      </c>
      <c r="X885" s="19" t="s">
        <v>46</v>
      </c>
      <c r="Y885" s="29"/>
      <c r="Z885" s="19"/>
      <c r="AA885" s="19"/>
      <c r="AB885" s="24">
        <v>47.5</v>
      </c>
      <c r="AC885" s="19" t="s">
        <v>214</v>
      </c>
      <c r="AD885" s="19"/>
      <c r="AE885" s="19">
        <v>24.4</v>
      </c>
      <c r="AF885" s="19"/>
      <c r="AG885" s="19" t="s">
        <v>235</v>
      </c>
      <c r="AH885" s="19"/>
      <c r="AI885" s="19"/>
      <c r="AJ885" s="19">
        <v>7.1</v>
      </c>
      <c r="AK885" s="19">
        <v>7.1</v>
      </c>
      <c r="AL885" s="19"/>
      <c r="AM885" s="19" t="s">
        <v>234</v>
      </c>
      <c r="AN885" s="19" t="s">
        <v>234</v>
      </c>
      <c r="AO885" s="19" t="s">
        <v>235</v>
      </c>
      <c r="AP885" s="94"/>
      <c r="AQ885" s="19" t="s">
        <v>97</v>
      </c>
      <c r="AR885" s="19" t="s">
        <v>241</v>
      </c>
      <c r="AS885" s="19"/>
      <c r="AT885" s="65" t="str">
        <f t="shared" si="243"/>
        <v>Y</v>
      </c>
      <c r="AU885" s="65" t="str">
        <f t="shared" si="244"/>
        <v>Y</v>
      </c>
      <c r="AV885" s="65" t="str">
        <f t="shared" si="242"/>
        <v>Y</v>
      </c>
      <c r="AW885" s="99" t="s">
        <v>1519</v>
      </c>
      <c r="AX885" s="99"/>
      <c r="AY885" s="19"/>
      <c r="AZ885" s="96" t="str">
        <f t="shared" si="245"/>
        <v>EC50</v>
      </c>
      <c r="BA885" s="96">
        <f>IF(AZ885="n","n",VLOOKUP(AZ885,'Conversion factors'!$C$4:$D$24,2,FALSE))</f>
        <v>5</v>
      </c>
      <c r="BB885" s="96">
        <f t="shared" si="246"/>
        <v>9.5</v>
      </c>
      <c r="BC885" s="97"/>
      <c r="BD885" s="96" t="str">
        <f t="shared" si="247"/>
        <v>Chronic</v>
      </c>
      <c r="BE885" s="96" t="str">
        <f t="shared" si="248"/>
        <v>y</v>
      </c>
      <c r="BF885" s="98" t="str">
        <f t="shared" si="249"/>
        <v>EC50</v>
      </c>
      <c r="BG885" s="96" t="str">
        <f>IF(BF885="","",IF(ISNUMBER(VLOOKUP(BF885,'Conversion factors'!$B$35:$C$52,2,FALSE)),"y","n"))</f>
        <v>n</v>
      </c>
      <c r="BH885" s="99"/>
    </row>
    <row r="886" spans="1:60" s="103" customFormat="1" ht="15.75" customHeight="1" x14ac:dyDescent="0.2">
      <c r="A886" s="18"/>
      <c r="B886" s="19">
        <v>223</v>
      </c>
      <c r="C886" s="19"/>
      <c r="D886" s="19">
        <v>65745</v>
      </c>
      <c r="E886" s="19" t="s">
        <v>1224</v>
      </c>
      <c r="F886" s="93">
        <v>2002</v>
      </c>
      <c r="G886" s="19" t="s">
        <v>542</v>
      </c>
      <c r="H886" s="19"/>
      <c r="I886" s="19" t="s">
        <v>41</v>
      </c>
      <c r="J886" s="19" t="s">
        <v>344</v>
      </c>
      <c r="K886" s="19" t="s">
        <v>42</v>
      </c>
      <c r="L886" s="19" t="s">
        <v>43</v>
      </c>
      <c r="M886" s="19" t="s">
        <v>1303</v>
      </c>
      <c r="N886" s="19" t="s">
        <v>109</v>
      </c>
      <c r="O886" s="19" t="s">
        <v>235</v>
      </c>
      <c r="P886" s="19" t="s">
        <v>53</v>
      </c>
      <c r="Q886" s="19"/>
      <c r="R886" s="19" t="s">
        <v>256</v>
      </c>
      <c r="S886" s="19" t="s">
        <v>302</v>
      </c>
      <c r="T886" s="19" t="s">
        <v>44</v>
      </c>
      <c r="U886" s="19" t="s">
        <v>44</v>
      </c>
      <c r="V886" s="19" t="s">
        <v>103</v>
      </c>
      <c r="W886" s="19" t="s">
        <v>231</v>
      </c>
      <c r="X886" s="19" t="s">
        <v>46</v>
      </c>
      <c r="Y886" s="29"/>
      <c r="Z886" s="19"/>
      <c r="AA886" s="19"/>
      <c r="AB886" s="24">
        <v>26.4</v>
      </c>
      <c r="AC886" s="19" t="s">
        <v>214</v>
      </c>
      <c r="AD886" s="19"/>
      <c r="AE886" s="19">
        <v>24.4</v>
      </c>
      <c r="AF886" s="19"/>
      <c r="AG886" s="19" t="s">
        <v>235</v>
      </c>
      <c r="AH886" s="19"/>
      <c r="AI886" s="19"/>
      <c r="AJ886" s="101">
        <v>7.3</v>
      </c>
      <c r="AK886" s="19">
        <v>7.3</v>
      </c>
      <c r="AL886" s="19"/>
      <c r="AM886" s="19" t="s">
        <v>234</v>
      </c>
      <c r="AN886" s="19" t="s">
        <v>234</v>
      </c>
      <c r="AO886" s="19" t="s">
        <v>235</v>
      </c>
      <c r="AP886" s="94"/>
      <c r="AQ886" s="19" t="s">
        <v>97</v>
      </c>
      <c r="AR886" s="19" t="s">
        <v>241</v>
      </c>
      <c r="AS886" s="19"/>
      <c r="AT886" s="65" t="str">
        <f t="shared" si="243"/>
        <v>Y</v>
      </c>
      <c r="AU886" s="65" t="str">
        <f t="shared" si="244"/>
        <v>Y</v>
      </c>
      <c r="AV886" s="65" t="str">
        <f t="shared" si="242"/>
        <v>Y</v>
      </c>
      <c r="AW886" s="99" t="s">
        <v>1519</v>
      </c>
      <c r="AX886" s="99"/>
      <c r="AY886" s="19"/>
      <c r="AZ886" s="96" t="str">
        <f t="shared" si="245"/>
        <v>EC50</v>
      </c>
      <c r="BA886" s="96">
        <f>IF(AZ886="n","n",VLOOKUP(AZ886,'Conversion factors'!$C$4:$D$24,2,FALSE))</f>
        <v>5</v>
      </c>
      <c r="BB886" s="96">
        <f t="shared" si="246"/>
        <v>5.2799999999999994</v>
      </c>
      <c r="BC886" s="97"/>
      <c r="BD886" s="96" t="str">
        <f t="shared" si="247"/>
        <v>Chronic</v>
      </c>
      <c r="BE886" s="96" t="str">
        <f t="shared" si="248"/>
        <v>y</v>
      </c>
      <c r="BF886" s="98" t="str">
        <f t="shared" si="249"/>
        <v>EC50</v>
      </c>
      <c r="BG886" s="96" t="str">
        <f>IF(BF886="","",IF(ISNUMBER(VLOOKUP(BF886,'Conversion factors'!$B$35:$C$52,2,FALSE)),"y","n"))</f>
        <v>n</v>
      </c>
      <c r="BH886" s="99"/>
    </row>
    <row r="887" spans="1:60" s="103" customFormat="1" ht="15.75" customHeight="1" x14ac:dyDescent="0.2">
      <c r="A887" s="18"/>
      <c r="B887" s="19">
        <v>223</v>
      </c>
      <c r="C887" s="19"/>
      <c r="D887" s="19">
        <v>65745</v>
      </c>
      <c r="E887" s="19" t="s">
        <v>1224</v>
      </c>
      <c r="F887" s="93">
        <v>2002</v>
      </c>
      <c r="G887" s="19" t="s">
        <v>542</v>
      </c>
      <c r="H887" s="19"/>
      <c r="I887" s="19" t="s">
        <v>41</v>
      </c>
      <c r="J887" s="19" t="s">
        <v>344</v>
      </c>
      <c r="K887" s="19" t="s">
        <v>42</v>
      </c>
      <c r="L887" s="19" t="s">
        <v>43</v>
      </c>
      <c r="M887" s="19" t="s">
        <v>1303</v>
      </c>
      <c r="N887" s="19" t="s">
        <v>109</v>
      </c>
      <c r="O887" s="19" t="s">
        <v>235</v>
      </c>
      <c r="P887" s="19" t="s">
        <v>53</v>
      </c>
      <c r="Q887" s="19"/>
      <c r="R887" s="19" t="s">
        <v>256</v>
      </c>
      <c r="S887" s="19" t="s">
        <v>302</v>
      </c>
      <c r="T887" s="19" t="s">
        <v>44</v>
      </c>
      <c r="U887" s="19" t="s">
        <v>44</v>
      </c>
      <c r="V887" s="19" t="s">
        <v>103</v>
      </c>
      <c r="W887" s="19" t="s">
        <v>231</v>
      </c>
      <c r="X887" s="19" t="s">
        <v>46</v>
      </c>
      <c r="Y887" s="29"/>
      <c r="Z887" s="19"/>
      <c r="AA887" s="19"/>
      <c r="AB887" s="24">
        <v>26.4</v>
      </c>
      <c r="AC887" s="19" t="s">
        <v>214</v>
      </c>
      <c r="AD887" s="19"/>
      <c r="AE887" s="19">
        <v>24.4</v>
      </c>
      <c r="AF887" s="19"/>
      <c r="AG887" s="19" t="s">
        <v>235</v>
      </c>
      <c r="AH887" s="19"/>
      <c r="AI887" s="19"/>
      <c r="AJ887" s="101">
        <v>7.4</v>
      </c>
      <c r="AK887" s="19">
        <v>7.4</v>
      </c>
      <c r="AL887" s="19"/>
      <c r="AM887" s="19" t="s">
        <v>234</v>
      </c>
      <c r="AN887" s="19" t="s">
        <v>234</v>
      </c>
      <c r="AO887" s="19" t="s">
        <v>235</v>
      </c>
      <c r="AP887" s="94"/>
      <c r="AQ887" s="19" t="s">
        <v>97</v>
      </c>
      <c r="AR887" s="19" t="s">
        <v>241</v>
      </c>
      <c r="AS887" s="19"/>
      <c r="AT887" s="65" t="str">
        <f t="shared" si="243"/>
        <v>Y</v>
      </c>
      <c r="AU887" s="65" t="str">
        <f t="shared" si="244"/>
        <v>Y</v>
      </c>
      <c r="AV887" s="65" t="str">
        <f t="shared" si="242"/>
        <v>Y</v>
      </c>
      <c r="AW887" s="99" t="s">
        <v>1519</v>
      </c>
      <c r="AX887" s="99"/>
      <c r="AY887" s="19"/>
      <c r="AZ887" s="96" t="str">
        <f t="shared" si="245"/>
        <v>EC50</v>
      </c>
      <c r="BA887" s="96">
        <f>IF(AZ887="n","n",VLOOKUP(AZ887,'Conversion factors'!$C$4:$D$24,2,FALSE))</f>
        <v>5</v>
      </c>
      <c r="BB887" s="96">
        <f t="shared" si="246"/>
        <v>5.2799999999999994</v>
      </c>
      <c r="BC887" s="97"/>
      <c r="BD887" s="96" t="str">
        <f t="shared" si="247"/>
        <v>Chronic</v>
      </c>
      <c r="BE887" s="96" t="str">
        <f t="shared" si="248"/>
        <v>y</v>
      </c>
      <c r="BF887" s="98" t="str">
        <f t="shared" si="249"/>
        <v>EC50</v>
      </c>
      <c r="BG887" s="96" t="str">
        <f>IF(BF887="","",IF(ISNUMBER(VLOOKUP(BF887,'Conversion factors'!$B$35:$C$52,2,FALSE)),"y","n"))</f>
        <v>n</v>
      </c>
      <c r="BH887" s="99"/>
    </row>
    <row r="888" spans="1:60" s="103" customFormat="1" ht="15.75" customHeight="1" x14ac:dyDescent="0.2">
      <c r="A888" s="18"/>
      <c r="B888" s="19">
        <v>223</v>
      </c>
      <c r="C888" s="19"/>
      <c r="D888" s="19">
        <v>65745</v>
      </c>
      <c r="E888" s="19" t="s">
        <v>1224</v>
      </c>
      <c r="F888" s="93">
        <v>2002</v>
      </c>
      <c r="G888" s="19" t="s">
        <v>542</v>
      </c>
      <c r="H888" s="19"/>
      <c r="I888" s="19" t="s">
        <v>41</v>
      </c>
      <c r="J888" s="19" t="s">
        <v>344</v>
      </c>
      <c r="K888" s="19" t="s">
        <v>42</v>
      </c>
      <c r="L888" s="19" t="s">
        <v>43</v>
      </c>
      <c r="M888" s="19" t="s">
        <v>1303</v>
      </c>
      <c r="N888" s="19" t="s">
        <v>109</v>
      </c>
      <c r="O888" s="19" t="s">
        <v>235</v>
      </c>
      <c r="P888" s="19" t="s">
        <v>53</v>
      </c>
      <c r="Q888" s="19"/>
      <c r="R888" s="19" t="s">
        <v>256</v>
      </c>
      <c r="S888" s="19" t="s">
        <v>302</v>
      </c>
      <c r="T888" s="19" t="s">
        <v>44</v>
      </c>
      <c r="U888" s="19" t="s">
        <v>44</v>
      </c>
      <c r="V888" s="19" t="s">
        <v>103</v>
      </c>
      <c r="W888" s="19" t="s">
        <v>231</v>
      </c>
      <c r="X888" s="19" t="s">
        <v>46</v>
      </c>
      <c r="Y888" s="29"/>
      <c r="Z888" s="19"/>
      <c r="AA888" s="19"/>
      <c r="AB888" s="24">
        <v>10.5</v>
      </c>
      <c r="AC888" s="19" t="s">
        <v>214</v>
      </c>
      <c r="AD888" s="19"/>
      <c r="AE888" s="19">
        <v>37.200000000000003</v>
      </c>
      <c r="AF888" s="19"/>
      <c r="AG888" s="19" t="s">
        <v>235</v>
      </c>
      <c r="AH888" s="19"/>
      <c r="AI888" s="19"/>
      <c r="AJ888" s="101">
        <v>7.5</v>
      </c>
      <c r="AK888" s="19">
        <v>7.5</v>
      </c>
      <c r="AL888" s="19"/>
      <c r="AM888" s="19" t="s">
        <v>234</v>
      </c>
      <c r="AN888" s="19" t="s">
        <v>234</v>
      </c>
      <c r="AO888" s="19" t="s">
        <v>235</v>
      </c>
      <c r="AP888" s="94"/>
      <c r="AQ888" s="19" t="s">
        <v>97</v>
      </c>
      <c r="AR888" s="19" t="s">
        <v>241</v>
      </c>
      <c r="AS888" s="19"/>
      <c r="AT888" s="65" t="str">
        <f t="shared" si="243"/>
        <v>Y</v>
      </c>
      <c r="AU888" s="65" t="str">
        <f t="shared" si="244"/>
        <v>Y</v>
      </c>
      <c r="AV888" s="65" t="str">
        <f t="shared" si="242"/>
        <v>Y</v>
      </c>
      <c r="AW888" s="99" t="s">
        <v>1519</v>
      </c>
      <c r="AX888" s="99"/>
      <c r="AY888" s="19"/>
      <c r="AZ888" s="96" t="str">
        <f t="shared" si="245"/>
        <v>EC50</v>
      </c>
      <c r="BA888" s="96">
        <f>IF(AZ888="n","n",VLOOKUP(AZ888,'Conversion factors'!$C$4:$D$24,2,FALSE))</f>
        <v>5</v>
      </c>
      <c r="BB888" s="96">
        <f t="shared" si="246"/>
        <v>2.1</v>
      </c>
      <c r="BC888" s="97"/>
      <c r="BD888" s="96" t="str">
        <f t="shared" si="247"/>
        <v>Chronic</v>
      </c>
      <c r="BE888" s="96" t="str">
        <f t="shared" si="248"/>
        <v>y</v>
      </c>
      <c r="BF888" s="98" t="str">
        <f t="shared" si="249"/>
        <v>EC50</v>
      </c>
      <c r="BG888" s="96" t="str">
        <f>IF(BF888="","",IF(ISNUMBER(VLOOKUP(BF888,'Conversion factors'!$B$35:$C$52,2,FALSE)),"y","n"))</f>
        <v>n</v>
      </c>
      <c r="BH888" s="99"/>
    </row>
    <row r="889" spans="1:60" s="103" customFormat="1" ht="15.75" customHeight="1" x14ac:dyDescent="0.2">
      <c r="A889" s="18"/>
      <c r="B889" s="19">
        <v>223</v>
      </c>
      <c r="C889" s="19"/>
      <c r="D889" s="19">
        <v>65745</v>
      </c>
      <c r="E889" s="19" t="s">
        <v>1224</v>
      </c>
      <c r="F889" s="93">
        <v>2002</v>
      </c>
      <c r="G889" s="19" t="s">
        <v>542</v>
      </c>
      <c r="H889" s="19"/>
      <c r="I889" s="19" t="s">
        <v>41</v>
      </c>
      <c r="J889" s="19" t="s">
        <v>344</v>
      </c>
      <c r="K889" s="19" t="s">
        <v>42</v>
      </c>
      <c r="L889" s="19" t="s">
        <v>43</v>
      </c>
      <c r="M889" s="19" t="s">
        <v>1303</v>
      </c>
      <c r="N889" s="19" t="s">
        <v>109</v>
      </c>
      <c r="O889" s="19" t="s">
        <v>235</v>
      </c>
      <c r="P889" s="19" t="s">
        <v>53</v>
      </c>
      <c r="Q889" s="19"/>
      <c r="R889" s="19" t="s">
        <v>256</v>
      </c>
      <c r="S889" s="19" t="s">
        <v>302</v>
      </c>
      <c r="T889" s="19" t="s">
        <v>44</v>
      </c>
      <c r="U889" s="19" t="s">
        <v>44</v>
      </c>
      <c r="V889" s="19" t="s">
        <v>103</v>
      </c>
      <c r="W889" s="19" t="s">
        <v>231</v>
      </c>
      <c r="X889" s="19" t="s">
        <v>46</v>
      </c>
      <c r="Y889" s="29"/>
      <c r="Z889" s="19"/>
      <c r="AA889" s="19"/>
      <c r="AB889" s="24">
        <v>10.9</v>
      </c>
      <c r="AC889" s="19" t="s">
        <v>214</v>
      </c>
      <c r="AD889" s="19"/>
      <c r="AE889" s="19">
        <v>62.3</v>
      </c>
      <c r="AF889" s="19"/>
      <c r="AG889" s="19" t="s">
        <v>235</v>
      </c>
      <c r="AH889" s="19"/>
      <c r="AI889" s="19"/>
      <c r="AJ889" s="101">
        <v>7.5</v>
      </c>
      <c r="AK889" s="19">
        <v>7.5</v>
      </c>
      <c r="AL889" s="19"/>
      <c r="AM889" s="19" t="s">
        <v>234</v>
      </c>
      <c r="AN889" s="19" t="s">
        <v>234</v>
      </c>
      <c r="AO889" s="19" t="s">
        <v>235</v>
      </c>
      <c r="AP889" s="94"/>
      <c r="AQ889" s="19" t="s">
        <v>97</v>
      </c>
      <c r="AR889" s="19" t="s">
        <v>241</v>
      </c>
      <c r="AS889" s="19"/>
      <c r="AT889" s="65" t="str">
        <f t="shared" si="243"/>
        <v>Y</v>
      </c>
      <c r="AU889" s="65" t="str">
        <f t="shared" si="244"/>
        <v>Y</v>
      </c>
      <c r="AV889" s="65" t="str">
        <f t="shared" si="242"/>
        <v>Y</v>
      </c>
      <c r="AW889" s="99" t="s">
        <v>1519</v>
      </c>
      <c r="AX889" s="99"/>
      <c r="AY889" s="19"/>
      <c r="AZ889" s="96" t="str">
        <f t="shared" si="245"/>
        <v>EC50</v>
      </c>
      <c r="BA889" s="96">
        <f>IF(AZ889="n","n",VLOOKUP(AZ889,'Conversion factors'!$C$4:$D$24,2,FALSE))</f>
        <v>5</v>
      </c>
      <c r="BB889" s="96">
        <f t="shared" si="246"/>
        <v>2.1800000000000002</v>
      </c>
      <c r="BC889" s="97"/>
      <c r="BD889" s="96" t="str">
        <f t="shared" si="247"/>
        <v>Chronic</v>
      </c>
      <c r="BE889" s="96" t="str">
        <f t="shared" si="248"/>
        <v>y</v>
      </c>
      <c r="BF889" s="98" t="str">
        <f t="shared" si="249"/>
        <v>EC50</v>
      </c>
      <c r="BG889" s="96" t="str">
        <f>IF(BF889="","",IF(ISNUMBER(VLOOKUP(BF889,'Conversion factors'!$B$35:$C$52,2,FALSE)),"y","n"))</f>
        <v>n</v>
      </c>
      <c r="BH889" s="99"/>
    </row>
    <row r="890" spans="1:60" s="103" customFormat="1" ht="15.75" customHeight="1" x14ac:dyDescent="0.2">
      <c r="A890" s="18"/>
      <c r="B890" s="19">
        <v>223</v>
      </c>
      <c r="C890" s="19"/>
      <c r="D890" s="19">
        <v>65745</v>
      </c>
      <c r="E890" s="19" t="s">
        <v>1224</v>
      </c>
      <c r="F890" s="93">
        <v>2002</v>
      </c>
      <c r="G890" s="19" t="s">
        <v>542</v>
      </c>
      <c r="H890" s="19"/>
      <c r="I890" s="19" t="s">
        <v>41</v>
      </c>
      <c r="J890" s="19" t="s">
        <v>344</v>
      </c>
      <c r="K890" s="19" t="s">
        <v>42</v>
      </c>
      <c r="L890" s="19" t="s">
        <v>43</v>
      </c>
      <c r="M890" s="19" t="s">
        <v>1303</v>
      </c>
      <c r="N890" s="19" t="s">
        <v>109</v>
      </c>
      <c r="O890" s="19" t="s">
        <v>235</v>
      </c>
      <c r="P890" s="19" t="s">
        <v>53</v>
      </c>
      <c r="Q890" s="19"/>
      <c r="R890" s="19" t="s">
        <v>256</v>
      </c>
      <c r="S890" s="19" t="s">
        <v>302</v>
      </c>
      <c r="T890" s="19" t="s">
        <v>44</v>
      </c>
      <c r="U890" s="19" t="s">
        <v>44</v>
      </c>
      <c r="V890" s="19" t="s">
        <v>103</v>
      </c>
      <c r="W890" s="19" t="s">
        <v>231</v>
      </c>
      <c r="X890" s="19" t="s">
        <v>46</v>
      </c>
      <c r="Y890" s="29"/>
      <c r="Z890" s="19"/>
      <c r="AA890" s="19"/>
      <c r="AB890" s="24">
        <v>11.1</v>
      </c>
      <c r="AC890" s="19" t="s">
        <v>214</v>
      </c>
      <c r="AD890" s="19"/>
      <c r="AE890" s="19">
        <v>62.3</v>
      </c>
      <c r="AF890" s="19"/>
      <c r="AG890" s="19" t="s">
        <v>235</v>
      </c>
      <c r="AH890" s="19"/>
      <c r="AI890" s="19"/>
      <c r="AJ890" s="101">
        <v>7.5</v>
      </c>
      <c r="AK890" s="19">
        <v>7.5</v>
      </c>
      <c r="AL890" s="19"/>
      <c r="AM890" s="19" t="s">
        <v>234</v>
      </c>
      <c r="AN890" s="19" t="s">
        <v>234</v>
      </c>
      <c r="AO890" s="19" t="s">
        <v>235</v>
      </c>
      <c r="AP890" s="94"/>
      <c r="AQ890" s="19" t="s">
        <v>97</v>
      </c>
      <c r="AR890" s="19" t="s">
        <v>241</v>
      </c>
      <c r="AS890" s="19"/>
      <c r="AT890" s="65" t="str">
        <f t="shared" si="243"/>
        <v>Y</v>
      </c>
      <c r="AU890" s="65" t="str">
        <f t="shared" si="244"/>
        <v>Y</v>
      </c>
      <c r="AV890" s="65" t="str">
        <f t="shared" si="242"/>
        <v>Y</v>
      </c>
      <c r="AW890" s="99" t="s">
        <v>1519</v>
      </c>
      <c r="AX890" s="99"/>
      <c r="AY890" s="19"/>
      <c r="AZ890" s="96" t="str">
        <f t="shared" si="245"/>
        <v>EC50</v>
      </c>
      <c r="BA890" s="96">
        <f>IF(AZ890="n","n",VLOOKUP(AZ890,'Conversion factors'!$C$4:$D$24,2,FALSE))</f>
        <v>5</v>
      </c>
      <c r="BB890" s="96">
        <f t="shared" si="246"/>
        <v>2.2199999999999998</v>
      </c>
      <c r="BC890" s="97"/>
      <c r="BD890" s="96" t="str">
        <f t="shared" si="247"/>
        <v>Chronic</v>
      </c>
      <c r="BE890" s="96" t="str">
        <f t="shared" si="248"/>
        <v>y</v>
      </c>
      <c r="BF890" s="98" t="str">
        <f t="shared" si="249"/>
        <v>EC50</v>
      </c>
      <c r="BG890" s="96" t="str">
        <f>IF(BF890="","",IF(ISNUMBER(VLOOKUP(BF890,'Conversion factors'!$B$35:$C$52,2,FALSE)),"y","n"))</f>
        <v>n</v>
      </c>
      <c r="BH890" s="99"/>
    </row>
    <row r="891" spans="1:60" s="103" customFormat="1" ht="15.75" customHeight="1" x14ac:dyDescent="0.2">
      <c r="A891" s="18"/>
      <c r="B891" s="19">
        <v>223</v>
      </c>
      <c r="C891" s="19"/>
      <c r="D891" s="19">
        <v>65745</v>
      </c>
      <c r="E891" s="19" t="s">
        <v>1224</v>
      </c>
      <c r="F891" s="93">
        <v>2002</v>
      </c>
      <c r="G891" s="19" t="s">
        <v>542</v>
      </c>
      <c r="H891" s="19"/>
      <c r="I891" s="19" t="s">
        <v>41</v>
      </c>
      <c r="J891" s="19" t="s">
        <v>344</v>
      </c>
      <c r="K891" s="19" t="s">
        <v>42</v>
      </c>
      <c r="L891" s="19" t="s">
        <v>43</v>
      </c>
      <c r="M891" s="19" t="s">
        <v>1303</v>
      </c>
      <c r="N891" s="19" t="s">
        <v>109</v>
      </c>
      <c r="O891" s="19" t="s">
        <v>235</v>
      </c>
      <c r="P891" s="19" t="s">
        <v>53</v>
      </c>
      <c r="Q891" s="19"/>
      <c r="R891" s="19" t="s">
        <v>256</v>
      </c>
      <c r="S891" s="19" t="s">
        <v>302</v>
      </c>
      <c r="T891" s="19" t="s">
        <v>44</v>
      </c>
      <c r="U891" s="19" t="s">
        <v>44</v>
      </c>
      <c r="V891" s="19" t="s">
        <v>103</v>
      </c>
      <c r="W891" s="19" t="s">
        <v>231</v>
      </c>
      <c r="X891" s="19" t="s">
        <v>46</v>
      </c>
      <c r="Y891" s="29"/>
      <c r="Z891" s="19"/>
      <c r="AA891" s="19"/>
      <c r="AB891" s="24">
        <v>14.9</v>
      </c>
      <c r="AC891" s="19" t="s">
        <v>214</v>
      </c>
      <c r="AD891" s="19"/>
      <c r="AE891" s="19">
        <v>112.3</v>
      </c>
      <c r="AF891" s="19"/>
      <c r="AG891" s="19" t="s">
        <v>235</v>
      </c>
      <c r="AH891" s="19"/>
      <c r="AI891" s="19"/>
      <c r="AJ891" s="101">
        <v>7.5</v>
      </c>
      <c r="AK891" s="19">
        <v>7.5</v>
      </c>
      <c r="AL891" s="19"/>
      <c r="AM891" s="19" t="s">
        <v>234</v>
      </c>
      <c r="AN891" s="19" t="s">
        <v>234</v>
      </c>
      <c r="AO891" s="19" t="s">
        <v>235</v>
      </c>
      <c r="AP891" s="94"/>
      <c r="AQ891" s="19" t="s">
        <v>97</v>
      </c>
      <c r="AR891" s="19" t="s">
        <v>241</v>
      </c>
      <c r="AS891" s="19"/>
      <c r="AT891" s="65" t="str">
        <f t="shared" si="243"/>
        <v>Y</v>
      </c>
      <c r="AU891" s="65" t="str">
        <f t="shared" si="244"/>
        <v>Y</v>
      </c>
      <c r="AV891" s="65" t="str">
        <f t="shared" si="242"/>
        <v>Y</v>
      </c>
      <c r="AW891" s="99" t="s">
        <v>1519</v>
      </c>
      <c r="AX891" s="99"/>
      <c r="AY891" s="19"/>
      <c r="AZ891" s="96" t="str">
        <f t="shared" si="245"/>
        <v>EC50</v>
      </c>
      <c r="BA891" s="96">
        <f>IF(AZ891="n","n",VLOOKUP(AZ891,'Conversion factors'!$C$4:$D$24,2,FALSE))</f>
        <v>5</v>
      </c>
      <c r="BB891" s="96">
        <f t="shared" si="246"/>
        <v>2.98</v>
      </c>
      <c r="BC891" s="97"/>
      <c r="BD891" s="96" t="str">
        <f t="shared" si="247"/>
        <v>Chronic</v>
      </c>
      <c r="BE891" s="96" t="str">
        <f t="shared" si="248"/>
        <v>y</v>
      </c>
      <c r="BF891" s="98" t="str">
        <f t="shared" si="249"/>
        <v>EC50</v>
      </c>
      <c r="BG891" s="96" t="str">
        <f>IF(BF891="","",IF(ISNUMBER(VLOOKUP(BF891,'Conversion factors'!$B$35:$C$52,2,FALSE)),"y","n"))</f>
        <v>n</v>
      </c>
      <c r="BH891" s="99"/>
    </row>
    <row r="892" spans="1:60" s="103" customFormat="1" ht="15.75" customHeight="1" x14ac:dyDescent="0.2">
      <c r="A892" s="18"/>
      <c r="B892" s="19">
        <v>223</v>
      </c>
      <c r="C892" s="19"/>
      <c r="D892" s="19">
        <v>65745</v>
      </c>
      <c r="E892" s="19" t="s">
        <v>1224</v>
      </c>
      <c r="F892" s="93">
        <v>2002</v>
      </c>
      <c r="G892" s="19" t="s">
        <v>542</v>
      </c>
      <c r="H892" s="19"/>
      <c r="I892" s="19" t="s">
        <v>41</v>
      </c>
      <c r="J892" s="19" t="s">
        <v>344</v>
      </c>
      <c r="K892" s="19" t="s">
        <v>42</v>
      </c>
      <c r="L892" s="19" t="s">
        <v>43</v>
      </c>
      <c r="M892" s="19" t="s">
        <v>1303</v>
      </c>
      <c r="N892" s="19" t="s">
        <v>109</v>
      </c>
      <c r="O892" s="19" t="s">
        <v>235</v>
      </c>
      <c r="P892" s="19" t="s">
        <v>53</v>
      </c>
      <c r="Q892" s="19"/>
      <c r="R892" s="19" t="s">
        <v>256</v>
      </c>
      <c r="S892" s="19" t="s">
        <v>302</v>
      </c>
      <c r="T892" s="19" t="s">
        <v>44</v>
      </c>
      <c r="U892" s="19" t="s">
        <v>44</v>
      </c>
      <c r="V892" s="19" t="s">
        <v>103</v>
      </c>
      <c r="W892" s="19" t="s">
        <v>231</v>
      </c>
      <c r="X892" s="19" t="s">
        <v>46</v>
      </c>
      <c r="Y892" s="29"/>
      <c r="Z892" s="19"/>
      <c r="AA892" s="19"/>
      <c r="AB892" s="24">
        <v>15.4</v>
      </c>
      <c r="AC892" s="19" t="s">
        <v>214</v>
      </c>
      <c r="AD892" s="19"/>
      <c r="AE892" s="19">
        <v>162.30000000000001</v>
      </c>
      <c r="AF892" s="19"/>
      <c r="AG892" s="19" t="s">
        <v>235</v>
      </c>
      <c r="AH892" s="19"/>
      <c r="AI892" s="19"/>
      <c r="AJ892" s="101">
        <v>7.5</v>
      </c>
      <c r="AK892" s="19">
        <v>7.5</v>
      </c>
      <c r="AL892" s="19"/>
      <c r="AM892" s="19" t="s">
        <v>234</v>
      </c>
      <c r="AN892" s="19" t="s">
        <v>234</v>
      </c>
      <c r="AO892" s="19" t="s">
        <v>235</v>
      </c>
      <c r="AP892" s="94"/>
      <c r="AQ892" s="19" t="s">
        <v>97</v>
      </c>
      <c r="AR892" s="19" t="s">
        <v>241</v>
      </c>
      <c r="AS892" s="19"/>
      <c r="AT892" s="65" t="str">
        <f t="shared" si="243"/>
        <v>Y</v>
      </c>
      <c r="AU892" s="65" t="str">
        <f t="shared" si="244"/>
        <v>Y</v>
      </c>
      <c r="AV892" s="65" t="str">
        <f t="shared" si="242"/>
        <v>Y</v>
      </c>
      <c r="AW892" s="99" t="s">
        <v>1519</v>
      </c>
      <c r="AX892" s="99"/>
      <c r="AY892" s="19"/>
      <c r="AZ892" s="96" t="str">
        <f t="shared" si="245"/>
        <v>EC50</v>
      </c>
      <c r="BA892" s="96">
        <f>IF(AZ892="n","n",VLOOKUP(AZ892,'Conversion factors'!$C$4:$D$24,2,FALSE))</f>
        <v>5</v>
      </c>
      <c r="BB892" s="96">
        <f t="shared" si="246"/>
        <v>3.08</v>
      </c>
      <c r="BC892" s="97"/>
      <c r="BD892" s="96" t="str">
        <f t="shared" si="247"/>
        <v>Chronic</v>
      </c>
      <c r="BE892" s="96" t="str">
        <f t="shared" si="248"/>
        <v>y</v>
      </c>
      <c r="BF892" s="98" t="str">
        <f t="shared" si="249"/>
        <v>EC50</v>
      </c>
      <c r="BG892" s="96" t="str">
        <f>IF(BF892="","",IF(ISNUMBER(VLOOKUP(BF892,'Conversion factors'!$B$35:$C$52,2,FALSE)),"y","n"))</f>
        <v>n</v>
      </c>
      <c r="BH892" s="99"/>
    </row>
    <row r="893" spans="1:60" s="103" customFormat="1" ht="15.75" customHeight="1" x14ac:dyDescent="0.2">
      <c r="A893" s="18"/>
      <c r="B893" s="19">
        <v>223</v>
      </c>
      <c r="C893" s="19"/>
      <c r="D893" s="19">
        <v>65745</v>
      </c>
      <c r="E893" s="19" t="s">
        <v>1224</v>
      </c>
      <c r="F893" s="93">
        <v>2002</v>
      </c>
      <c r="G893" s="19" t="s">
        <v>542</v>
      </c>
      <c r="H893" s="19"/>
      <c r="I893" s="19" t="s">
        <v>41</v>
      </c>
      <c r="J893" s="19" t="s">
        <v>344</v>
      </c>
      <c r="K893" s="19" t="s">
        <v>42</v>
      </c>
      <c r="L893" s="19" t="s">
        <v>43</v>
      </c>
      <c r="M893" s="19" t="s">
        <v>1303</v>
      </c>
      <c r="N893" s="19" t="s">
        <v>109</v>
      </c>
      <c r="O893" s="19" t="s">
        <v>235</v>
      </c>
      <c r="P893" s="19" t="s">
        <v>53</v>
      </c>
      <c r="Q893" s="19"/>
      <c r="R893" s="19" t="s">
        <v>256</v>
      </c>
      <c r="S893" s="19" t="s">
        <v>302</v>
      </c>
      <c r="T893" s="19" t="s">
        <v>44</v>
      </c>
      <c r="U893" s="19" t="s">
        <v>44</v>
      </c>
      <c r="V893" s="19" t="s">
        <v>103</v>
      </c>
      <c r="W893" s="19" t="s">
        <v>231</v>
      </c>
      <c r="X893" s="19" t="s">
        <v>46</v>
      </c>
      <c r="Y893" s="29"/>
      <c r="Z893" s="19"/>
      <c r="AA893" s="19"/>
      <c r="AB893" s="24">
        <v>17.5</v>
      </c>
      <c r="AC893" s="19" t="s">
        <v>214</v>
      </c>
      <c r="AD893" s="19"/>
      <c r="AE893" s="19">
        <v>212.4</v>
      </c>
      <c r="AF893" s="19"/>
      <c r="AG893" s="19" t="s">
        <v>235</v>
      </c>
      <c r="AH893" s="19"/>
      <c r="AI893" s="19"/>
      <c r="AJ893" s="101">
        <v>7.5</v>
      </c>
      <c r="AK893" s="19">
        <v>7.5</v>
      </c>
      <c r="AL893" s="19"/>
      <c r="AM893" s="19" t="s">
        <v>234</v>
      </c>
      <c r="AN893" s="19" t="s">
        <v>234</v>
      </c>
      <c r="AO893" s="19" t="s">
        <v>235</v>
      </c>
      <c r="AP893" s="94"/>
      <c r="AQ893" s="19" t="s">
        <v>97</v>
      </c>
      <c r="AR893" s="19" t="s">
        <v>241</v>
      </c>
      <c r="AS893" s="19"/>
      <c r="AT893" s="65" t="str">
        <f t="shared" si="243"/>
        <v>Y</v>
      </c>
      <c r="AU893" s="65" t="str">
        <f t="shared" si="244"/>
        <v>Y</v>
      </c>
      <c r="AV893" s="65" t="str">
        <f t="shared" si="242"/>
        <v>Y</v>
      </c>
      <c r="AW893" s="99" t="s">
        <v>1519</v>
      </c>
      <c r="AX893" s="99"/>
      <c r="AY893" s="19"/>
      <c r="AZ893" s="96" t="str">
        <f t="shared" si="245"/>
        <v>EC50</v>
      </c>
      <c r="BA893" s="96">
        <f>IF(AZ893="n","n",VLOOKUP(AZ893,'Conversion factors'!$C$4:$D$24,2,FALSE))</f>
        <v>5</v>
      </c>
      <c r="BB893" s="96">
        <f t="shared" si="246"/>
        <v>3.5</v>
      </c>
      <c r="BC893" s="97"/>
      <c r="BD893" s="96" t="str">
        <f t="shared" si="247"/>
        <v>Chronic</v>
      </c>
      <c r="BE893" s="96" t="str">
        <f t="shared" si="248"/>
        <v>y</v>
      </c>
      <c r="BF893" s="98" t="str">
        <f t="shared" si="249"/>
        <v>EC50</v>
      </c>
      <c r="BG893" s="96" t="str">
        <f>IF(BF893="","",IF(ISNUMBER(VLOOKUP(BF893,'Conversion factors'!$B$35:$C$52,2,FALSE)),"y","n"))</f>
        <v>n</v>
      </c>
      <c r="BH893" s="99"/>
    </row>
    <row r="894" spans="1:60" s="103" customFormat="1" ht="15.75" customHeight="1" x14ac:dyDescent="0.2">
      <c r="A894" s="18"/>
      <c r="B894" s="19">
        <v>223</v>
      </c>
      <c r="C894" s="19"/>
      <c r="D894" s="19">
        <v>65745</v>
      </c>
      <c r="E894" s="19" t="s">
        <v>1224</v>
      </c>
      <c r="F894" s="93">
        <v>2002</v>
      </c>
      <c r="G894" s="19" t="s">
        <v>542</v>
      </c>
      <c r="H894" s="19"/>
      <c r="I894" s="19" t="s">
        <v>41</v>
      </c>
      <c r="J894" s="19" t="s">
        <v>344</v>
      </c>
      <c r="K894" s="19" t="s">
        <v>42</v>
      </c>
      <c r="L894" s="19" t="s">
        <v>43</v>
      </c>
      <c r="M894" s="19" t="s">
        <v>1303</v>
      </c>
      <c r="N894" s="19" t="s">
        <v>109</v>
      </c>
      <c r="O894" s="19" t="s">
        <v>235</v>
      </c>
      <c r="P894" s="19" t="s">
        <v>53</v>
      </c>
      <c r="Q894" s="19"/>
      <c r="R894" s="19" t="s">
        <v>256</v>
      </c>
      <c r="S894" s="19" t="s">
        <v>302</v>
      </c>
      <c r="T894" s="19" t="s">
        <v>44</v>
      </c>
      <c r="U894" s="19" t="s">
        <v>44</v>
      </c>
      <c r="V894" s="19" t="s">
        <v>103</v>
      </c>
      <c r="W894" s="19" t="s">
        <v>231</v>
      </c>
      <c r="X894" s="19" t="s">
        <v>46</v>
      </c>
      <c r="Y894" s="29"/>
      <c r="Z894" s="19"/>
      <c r="AA894" s="19"/>
      <c r="AB894" s="24">
        <v>27.9</v>
      </c>
      <c r="AC894" s="19" t="s">
        <v>214</v>
      </c>
      <c r="AD894" s="19"/>
      <c r="AE894" s="19">
        <v>112.3</v>
      </c>
      <c r="AF894" s="19"/>
      <c r="AG894" s="19" t="s">
        <v>235</v>
      </c>
      <c r="AH894" s="19"/>
      <c r="AI894" s="19"/>
      <c r="AJ894" s="101">
        <v>7.5</v>
      </c>
      <c r="AK894" s="19">
        <v>7.5</v>
      </c>
      <c r="AL894" s="19"/>
      <c r="AM894" s="19" t="s">
        <v>234</v>
      </c>
      <c r="AN894" s="19" t="s">
        <v>234</v>
      </c>
      <c r="AO894" s="19" t="s">
        <v>235</v>
      </c>
      <c r="AP894" s="94"/>
      <c r="AQ894" s="19" t="s">
        <v>97</v>
      </c>
      <c r="AR894" s="19" t="s">
        <v>241</v>
      </c>
      <c r="AS894" s="19"/>
      <c r="AT894" s="65" t="str">
        <f t="shared" si="243"/>
        <v>Y</v>
      </c>
      <c r="AU894" s="65" t="str">
        <f t="shared" si="244"/>
        <v>Y</v>
      </c>
      <c r="AV894" s="65" t="str">
        <f t="shared" si="242"/>
        <v>Y</v>
      </c>
      <c r="AW894" s="99" t="s">
        <v>1519</v>
      </c>
      <c r="AX894" s="99"/>
      <c r="AY894" s="19"/>
      <c r="AZ894" s="96" t="str">
        <f t="shared" si="245"/>
        <v>EC50</v>
      </c>
      <c r="BA894" s="96">
        <f>IF(AZ894="n","n",VLOOKUP(AZ894,'Conversion factors'!$C$4:$D$24,2,FALSE))</f>
        <v>5</v>
      </c>
      <c r="BB894" s="96">
        <f t="shared" si="246"/>
        <v>5.58</v>
      </c>
      <c r="BC894" s="97"/>
      <c r="BD894" s="96" t="str">
        <f t="shared" si="247"/>
        <v>Chronic</v>
      </c>
      <c r="BE894" s="96" t="str">
        <f t="shared" si="248"/>
        <v>y</v>
      </c>
      <c r="BF894" s="98" t="str">
        <f t="shared" si="249"/>
        <v>EC50</v>
      </c>
      <c r="BG894" s="96" t="str">
        <f>IF(BF894="","",IF(ISNUMBER(VLOOKUP(BF894,'Conversion factors'!$B$35:$C$52,2,FALSE)),"y","n"))</f>
        <v>n</v>
      </c>
      <c r="BH894" s="99"/>
    </row>
    <row r="895" spans="1:60" s="103" customFormat="1" ht="15.75" customHeight="1" x14ac:dyDescent="0.2">
      <c r="A895" s="18"/>
      <c r="B895" s="19">
        <v>223</v>
      </c>
      <c r="C895" s="19"/>
      <c r="D895" s="19">
        <v>65745</v>
      </c>
      <c r="E895" s="19" t="s">
        <v>1224</v>
      </c>
      <c r="F895" s="93">
        <v>2002</v>
      </c>
      <c r="G895" s="19" t="s">
        <v>542</v>
      </c>
      <c r="H895" s="19"/>
      <c r="I895" s="19" t="s">
        <v>41</v>
      </c>
      <c r="J895" s="19" t="s">
        <v>344</v>
      </c>
      <c r="K895" s="19" t="s">
        <v>42</v>
      </c>
      <c r="L895" s="19" t="s">
        <v>43</v>
      </c>
      <c r="M895" s="19" t="s">
        <v>1303</v>
      </c>
      <c r="N895" s="19" t="s">
        <v>109</v>
      </c>
      <c r="O895" s="19" t="s">
        <v>235</v>
      </c>
      <c r="P895" s="19" t="s">
        <v>53</v>
      </c>
      <c r="Q895" s="19"/>
      <c r="R895" s="19" t="s">
        <v>256</v>
      </c>
      <c r="S895" s="19" t="s">
        <v>302</v>
      </c>
      <c r="T895" s="19" t="s">
        <v>44</v>
      </c>
      <c r="U895" s="19" t="s">
        <v>44</v>
      </c>
      <c r="V895" s="19" t="s">
        <v>103</v>
      </c>
      <c r="W895" s="19" t="s">
        <v>231</v>
      </c>
      <c r="X895" s="19" t="s">
        <v>46</v>
      </c>
      <c r="Y895" s="29"/>
      <c r="Z895" s="19"/>
      <c r="AA895" s="19"/>
      <c r="AB895" s="24">
        <v>33.200000000000003</v>
      </c>
      <c r="AC895" s="19" t="s">
        <v>214</v>
      </c>
      <c r="AD895" s="19"/>
      <c r="AE895" s="19">
        <v>162.30000000000001</v>
      </c>
      <c r="AF895" s="19"/>
      <c r="AG895" s="19" t="s">
        <v>235</v>
      </c>
      <c r="AH895" s="19"/>
      <c r="AI895" s="19"/>
      <c r="AJ895" s="101">
        <v>7.5</v>
      </c>
      <c r="AK895" s="19">
        <v>7.5</v>
      </c>
      <c r="AL895" s="19"/>
      <c r="AM895" s="19" t="s">
        <v>234</v>
      </c>
      <c r="AN895" s="19" t="s">
        <v>234</v>
      </c>
      <c r="AO895" s="19" t="s">
        <v>235</v>
      </c>
      <c r="AP895" s="94"/>
      <c r="AQ895" s="19" t="s">
        <v>97</v>
      </c>
      <c r="AR895" s="19" t="s">
        <v>241</v>
      </c>
      <c r="AS895" s="19"/>
      <c r="AT895" s="65" t="str">
        <f t="shared" si="243"/>
        <v>Y</v>
      </c>
      <c r="AU895" s="65" t="str">
        <f t="shared" si="244"/>
        <v>Y</v>
      </c>
      <c r="AV895" s="65" t="str">
        <f t="shared" si="242"/>
        <v>Y</v>
      </c>
      <c r="AW895" s="99" t="s">
        <v>1519</v>
      </c>
      <c r="AX895" s="99"/>
      <c r="AY895" s="19"/>
      <c r="AZ895" s="96" t="str">
        <f t="shared" si="245"/>
        <v>EC50</v>
      </c>
      <c r="BA895" s="96">
        <f>IF(AZ895="n","n",VLOOKUP(AZ895,'Conversion factors'!$C$4:$D$24,2,FALSE))</f>
        <v>5</v>
      </c>
      <c r="BB895" s="96">
        <f t="shared" si="246"/>
        <v>6.6400000000000006</v>
      </c>
      <c r="BC895" s="97"/>
      <c r="BD895" s="96" t="str">
        <f t="shared" si="247"/>
        <v>Chronic</v>
      </c>
      <c r="BE895" s="96" t="str">
        <f t="shared" si="248"/>
        <v>y</v>
      </c>
      <c r="BF895" s="98" t="str">
        <f t="shared" si="249"/>
        <v>EC50</v>
      </c>
      <c r="BG895" s="96" t="str">
        <f>IF(BF895="","",IF(ISNUMBER(VLOOKUP(BF895,'Conversion factors'!$B$35:$C$52,2,FALSE)),"y","n"))</f>
        <v>n</v>
      </c>
      <c r="BH895" s="99"/>
    </row>
    <row r="896" spans="1:60" s="103" customFormat="1" ht="15.75" customHeight="1" x14ac:dyDescent="0.2">
      <c r="A896" s="18"/>
      <c r="B896" s="19">
        <v>223</v>
      </c>
      <c r="C896" s="19"/>
      <c r="D896" s="19">
        <v>65745</v>
      </c>
      <c r="E896" s="19" t="s">
        <v>1224</v>
      </c>
      <c r="F896" s="93">
        <v>2002</v>
      </c>
      <c r="G896" s="19" t="s">
        <v>542</v>
      </c>
      <c r="H896" s="19"/>
      <c r="I896" s="19" t="s">
        <v>41</v>
      </c>
      <c r="J896" s="19" t="s">
        <v>344</v>
      </c>
      <c r="K896" s="19" t="s">
        <v>42</v>
      </c>
      <c r="L896" s="19" t="s">
        <v>43</v>
      </c>
      <c r="M896" s="19" t="s">
        <v>1303</v>
      </c>
      <c r="N896" s="19" t="s">
        <v>109</v>
      </c>
      <c r="O896" s="19" t="s">
        <v>235</v>
      </c>
      <c r="P896" s="19" t="s">
        <v>53</v>
      </c>
      <c r="Q896" s="19"/>
      <c r="R896" s="19" t="s">
        <v>256</v>
      </c>
      <c r="S896" s="19" t="s">
        <v>302</v>
      </c>
      <c r="T896" s="19" t="s">
        <v>44</v>
      </c>
      <c r="U896" s="19" t="s">
        <v>44</v>
      </c>
      <c r="V896" s="19" t="s">
        <v>103</v>
      </c>
      <c r="W896" s="19" t="s">
        <v>231</v>
      </c>
      <c r="X896" s="19" t="s">
        <v>46</v>
      </c>
      <c r="Y896" s="29"/>
      <c r="Z896" s="19"/>
      <c r="AA896" s="19"/>
      <c r="AB896" s="24">
        <v>34.4</v>
      </c>
      <c r="AC896" s="19" t="s">
        <v>214</v>
      </c>
      <c r="AD896" s="19"/>
      <c r="AE896" s="19">
        <v>212.4</v>
      </c>
      <c r="AF896" s="19"/>
      <c r="AG896" s="19" t="s">
        <v>235</v>
      </c>
      <c r="AH896" s="19"/>
      <c r="AI896" s="19"/>
      <c r="AJ896" s="101">
        <v>7.5</v>
      </c>
      <c r="AK896" s="19">
        <v>7.5</v>
      </c>
      <c r="AL896" s="19"/>
      <c r="AM896" s="19" t="s">
        <v>234</v>
      </c>
      <c r="AN896" s="19" t="s">
        <v>234</v>
      </c>
      <c r="AO896" s="19" t="s">
        <v>235</v>
      </c>
      <c r="AP896" s="94"/>
      <c r="AQ896" s="19" t="s">
        <v>97</v>
      </c>
      <c r="AR896" s="19" t="s">
        <v>241</v>
      </c>
      <c r="AS896" s="19"/>
      <c r="AT896" s="65" t="str">
        <f t="shared" si="243"/>
        <v>Y</v>
      </c>
      <c r="AU896" s="65" t="str">
        <f t="shared" si="244"/>
        <v>Y</v>
      </c>
      <c r="AV896" s="65" t="str">
        <f t="shared" si="242"/>
        <v>Y</v>
      </c>
      <c r="AW896" s="99" t="s">
        <v>1519</v>
      </c>
      <c r="AX896" s="99"/>
      <c r="AY896" s="19"/>
      <c r="AZ896" s="96" t="str">
        <f t="shared" si="245"/>
        <v>EC50</v>
      </c>
      <c r="BA896" s="96">
        <f>IF(AZ896="n","n",VLOOKUP(AZ896,'Conversion factors'!$C$4:$D$24,2,FALSE))</f>
        <v>5</v>
      </c>
      <c r="BB896" s="96">
        <f t="shared" si="246"/>
        <v>6.88</v>
      </c>
      <c r="BC896" s="97"/>
      <c r="BD896" s="96" t="str">
        <f t="shared" si="247"/>
        <v>Chronic</v>
      </c>
      <c r="BE896" s="96" t="str">
        <f t="shared" si="248"/>
        <v>y</v>
      </c>
      <c r="BF896" s="98" t="str">
        <f t="shared" si="249"/>
        <v>EC50</v>
      </c>
      <c r="BG896" s="96" t="str">
        <f>IF(BF896="","",IF(ISNUMBER(VLOOKUP(BF896,'Conversion factors'!$B$35:$C$52,2,FALSE)),"y","n"))</f>
        <v>n</v>
      </c>
      <c r="BH896" s="99"/>
    </row>
    <row r="897" spans="1:60" s="103" customFormat="1" ht="15.75" customHeight="1" x14ac:dyDescent="0.2">
      <c r="A897" s="18"/>
      <c r="B897" s="19">
        <v>223</v>
      </c>
      <c r="C897" s="19"/>
      <c r="D897" s="19">
        <v>65745</v>
      </c>
      <c r="E897" s="19" t="s">
        <v>1224</v>
      </c>
      <c r="F897" s="93">
        <v>2002</v>
      </c>
      <c r="G897" s="19" t="s">
        <v>542</v>
      </c>
      <c r="H897" s="19"/>
      <c r="I897" s="19" t="s">
        <v>41</v>
      </c>
      <c r="J897" s="19" t="s">
        <v>344</v>
      </c>
      <c r="K897" s="19" t="s">
        <v>42</v>
      </c>
      <c r="L897" s="19" t="s">
        <v>43</v>
      </c>
      <c r="M897" s="19" t="s">
        <v>1303</v>
      </c>
      <c r="N897" s="19" t="s">
        <v>109</v>
      </c>
      <c r="O897" s="19" t="s">
        <v>235</v>
      </c>
      <c r="P897" s="19" t="s">
        <v>53</v>
      </c>
      <c r="Q897" s="19"/>
      <c r="R897" s="19" t="s">
        <v>256</v>
      </c>
      <c r="S897" s="19" t="s">
        <v>302</v>
      </c>
      <c r="T897" s="19" t="s">
        <v>44</v>
      </c>
      <c r="U897" s="19" t="s">
        <v>44</v>
      </c>
      <c r="V897" s="19" t="s">
        <v>103</v>
      </c>
      <c r="W897" s="19" t="s">
        <v>231</v>
      </c>
      <c r="X897" s="19" t="s">
        <v>46</v>
      </c>
      <c r="Y897" s="29"/>
      <c r="Z897" s="19"/>
      <c r="AA897" s="19"/>
      <c r="AB897" s="24">
        <v>54.9</v>
      </c>
      <c r="AC897" s="19" t="s">
        <v>214</v>
      </c>
      <c r="AD897" s="19"/>
      <c r="AE897" s="19">
        <v>262.39999999999998</v>
      </c>
      <c r="AF897" s="19"/>
      <c r="AG897" s="19" t="s">
        <v>235</v>
      </c>
      <c r="AH897" s="19"/>
      <c r="AI897" s="19"/>
      <c r="AJ897" s="101">
        <v>7.5</v>
      </c>
      <c r="AK897" s="19">
        <v>7.5</v>
      </c>
      <c r="AL897" s="19"/>
      <c r="AM897" s="19" t="s">
        <v>234</v>
      </c>
      <c r="AN897" s="19" t="s">
        <v>234</v>
      </c>
      <c r="AO897" s="19" t="s">
        <v>235</v>
      </c>
      <c r="AP897" s="94"/>
      <c r="AQ897" s="19" t="s">
        <v>97</v>
      </c>
      <c r="AR897" s="19" t="s">
        <v>241</v>
      </c>
      <c r="AS897" s="19"/>
      <c r="AT897" s="65" t="str">
        <f t="shared" si="243"/>
        <v>Y</v>
      </c>
      <c r="AU897" s="65" t="str">
        <f t="shared" si="244"/>
        <v>Y</v>
      </c>
      <c r="AV897" s="65" t="str">
        <f t="shared" si="242"/>
        <v>Y</v>
      </c>
      <c r="AW897" s="99" t="s">
        <v>1519</v>
      </c>
      <c r="AX897" s="99"/>
      <c r="AY897" s="19"/>
      <c r="AZ897" s="96" t="str">
        <f t="shared" si="245"/>
        <v>EC50</v>
      </c>
      <c r="BA897" s="96">
        <f>IF(AZ897="n","n",VLOOKUP(AZ897,'Conversion factors'!$C$4:$D$24,2,FALSE))</f>
        <v>5</v>
      </c>
      <c r="BB897" s="96">
        <f t="shared" si="246"/>
        <v>10.98</v>
      </c>
      <c r="BC897" s="97"/>
      <c r="BD897" s="96" t="str">
        <f t="shared" si="247"/>
        <v>Chronic</v>
      </c>
      <c r="BE897" s="96" t="str">
        <f t="shared" si="248"/>
        <v>y</v>
      </c>
      <c r="BF897" s="98" t="str">
        <f t="shared" si="249"/>
        <v>EC50</v>
      </c>
      <c r="BG897" s="96" t="str">
        <f>IF(BF897="","",IF(ISNUMBER(VLOOKUP(BF897,'Conversion factors'!$B$35:$C$52,2,FALSE)),"y","n"))</f>
        <v>n</v>
      </c>
      <c r="BH897" s="99"/>
    </row>
    <row r="898" spans="1:60" s="103" customFormat="1" ht="15.75" customHeight="1" x14ac:dyDescent="0.2">
      <c r="A898" s="18"/>
      <c r="B898" s="19">
        <v>223</v>
      </c>
      <c r="C898" s="19"/>
      <c r="D898" s="19">
        <v>65745</v>
      </c>
      <c r="E898" s="19" t="s">
        <v>1224</v>
      </c>
      <c r="F898" s="93">
        <v>2002</v>
      </c>
      <c r="G898" s="19" t="s">
        <v>542</v>
      </c>
      <c r="H898" s="19"/>
      <c r="I898" s="19" t="s">
        <v>41</v>
      </c>
      <c r="J898" s="19" t="s">
        <v>344</v>
      </c>
      <c r="K898" s="19" t="s">
        <v>42</v>
      </c>
      <c r="L898" s="19" t="s">
        <v>43</v>
      </c>
      <c r="M898" s="19" t="s">
        <v>1303</v>
      </c>
      <c r="N898" s="19" t="s">
        <v>109</v>
      </c>
      <c r="O898" s="19" t="s">
        <v>235</v>
      </c>
      <c r="P898" s="19" t="s">
        <v>53</v>
      </c>
      <c r="Q898" s="19"/>
      <c r="R898" s="19" t="s">
        <v>256</v>
      </c>
      <c r="S898" s="19" t="s">
        <v>302</v>
      </c>
      <c r="T898" s="19" t="s">
        <v>44</v>
      </c>
      <c r="U898" s="19" t="s">
        <v>44</v>
      </c>
      <c r="V898" s="19" t="s">
        <v>103</v>
      </c>
      <c r="W898" s="19" t="s">
        <v>231</v>
      </c>
      <c r="X898" s="19" t="s">
        <v>46</v>
      </c>
      <c r="Y898" s="29"/>
      <c r="Z898" s="19"/>
      <c r="AA898" s="19"/>
      <c r="AB898" s="24">
        <v>8.44</v>
      </c>
      <c r="AC898" s="19" t="s">
        <v>214</v>
      </c>
      <c r="AD898" s="19"/>
      <c r="AE898" s="19">
        <v>37.200000000000003</v>
      </c>
      <c r="AF898" s="19"/>
      <c r="AG898" s="19" t="s">
        <v>235</v>
      </c>
      <c r="AH898" s="19"/>
      <c r="AI898" s="19"/>
      <c r="AJ898" s="101">
        <v>7.5</v>
      </c>
      <c r="AK898" s="19">
        <v>7.5</v>
      </c>
      <c r="AL898" s="19"/>
      <c r="AM898" s="19" t="s">
        <v>234</v>
      </c>
      <c r="AN898" s="19" t="s">
        <v>234</v>
      </c>
      <c r="AO898" s="19" t="s">
        <v>235</v>
      </c>
      <c r="AP898" s="94"/>
      <c r="AQ898" s="19" t="s">
        <v>97</v>
      </c>
      <c r="AR898" s="19" t="s">
        <v>241</v>
      </c>
      <c r="AS898" s="19"/>
      <c r="AT898" s="65" t="str">
        <f t="shared" si="243"/>
        <v>Y</v>
      </c>
      <c r="AU898" s="65" t="str">
        <f t="shared" si="244"/>
        <v>Y</v>
      </c>
      <c r="AV898" s="65" t="str">
        <f t="shared" si="242"/>
        <v>Y</v>
      </c>
      <c r="AW898" s="99" t="s">
        <v>1519</v>
      </c>
      <c r="AX898" s="99"/>
      <c r="AY898" s="19"/>
      <c r="AZ898" s="96" t="str">
        <f t="shared" si="245"/>
        <v>EC50</v>
      </c>
      <c r="BA898" s="96">
        <f>IF(AZ898="n","n",VLOOKUP(AZ898,'Conversion factors'!$C$4:$D$24,2,FALSE))</f>
        <v>5</v>
      </c>
      <c r="BB898" s="96">
        <f t="shared" si="246"/>
        <v>1.6879999999999999</v>
      </c>
      <c r="BC898" s="97"/>
      <c r="BD898" s="96" t="str">
        <f t="shared" si="247"/>
        <v>Chronic</v>
      </c>
      <c r="BE898" s="96" t="str">
        <f t="shared" si="248"/>
        <v>y</v>
      </c>
      <c r="BF898" s="98" t="str">
        <f t="shared" si="249"/>
        <v>EC50</v>
      </c>
      <c r="BG898" s="96" t="str">
        <f>IF(BF898="","",IF(ISNUMBER(VLOOKUP(BF898,'Conversion factors'!$B$35:$C$52,2,FALSE)),"y","n"))</f>
        <v>n</v>
      </c>
      <c r="BH898" s="99"/>
    </row>
    <row r="899" spans="1:60" s="103" customFormat="1" ht="15.75" customHeight="1" x14ac:dyDescent="0.2">
      <c r="A899" s="18"/>
      <c r="B899" s="19">
        <v>223</v>
      </c>
      <c r="C899" s="19"/>
      <c r="D899" s="19">
        <v>65745</v>
      </c>
      <c r="E899" s="19" t="s">
        <v>1224</v>
      </c>
      <c r="F899" s="93">
        <v>2002</v>
      </c>
      <c r="G899" s="19" t="s">
        <v>542</v>
      </c>
      <c r="H899" s="19"/>
      <c r="I899" s="19" t="s">
        <v>41</v>
      </c>
      <c r="J899" s="19" t="s">
        <v>344</v>
      </c>
      <c r="K899" s="19" t="s">
        <v>42</v>
      </c>
      <c r="L899" s="19" t="s">
        <v>43</v>
      </c>
      <c r="M899" s="19" t="s">
        <v>1303</v>
      </c>
      <c r="N899" s="19" t="s">
        <v>109</v>
      </c>
      <c r="O899" s="19" t="s">
        <v>235</v>
      </c>
      <c r="P899" s="19" t="s">
        <v>53</v>
      </c>
      <c r="Q899" s="19"/>
      <c r="R899" s="19" t="s">
        <v>256</v>
      </c>
      <c r="S899" s="19" t="s">
        <v>302</v>
      </c>
      <c r="T899" s="19" t="s">
        <v>44</v>
      </c>
      <c r="U899" s="19" t="s">
        <v>44</v>
      </c>
      <c r="V899" s="19" t="s">
        <v>103</v>
      </c>
      <c r="W899" s="19" t="s">
        <v>231</v>
      </c>
      <c r="X899" s="19" t="s">
        <v>46</v>
      </c>
      <c r="Y899" s="29"/>
      <c r="Z899" s="19"/>
      <c r="AA899" s="19"/>
      <c r="AB899" s="24">
        <v>29</v>
      </c>
      <c r="AC899" s="19" t="s">
        <v>214</v>
      </c>
      <c r="AD899" s="19"/>
      <c r="AE899" s="19">
        <v>24.4</v>
      </c>
      <c r="AF899" s="19"/>
      <c r="AG899" s="19" t="s">
        <v>235</v>
      </c>
      <c r="AH899" s="19"/>
      <c r="AI899" s="19"/>
      <c r="AJ899" s="101">
        <v>7.6</v>
      </c>
      <c r="AK899" s="19">
        <v>7.6</v>
      </c>
      <c r="AL899" s="19"/>
      <c r="AM899" s="19" t="s">
        <v>234</v>
      </c>
      <c r="AN899" s="19" t="s">
        <v>234</v>
      </c>
      <c r="AO899" s="19" t="s">
        <v>235</v>
      </c>
      <c r="AP899" s="94"/>
      <c r="AQ899" s="19" t="s">
        <v>97</v>
      </c>
      <c r="AR899" s="19" t="s">
        <v>241</v>
      </c>
      <c r="AS899" s="19"/>
      <c r="AT899" s="65" t="str">
        <f t="shared" si="243"/>
        <v>Y</v>
      </c>
      <c r="AU899" s="65" t="str">
        <f t="shared" si="244"/>
        <v>Y</v>
      </c>
      <c r="AV899" s="65" t="str">
        <f t="shared" ref="AV899:AV930" si="250">AU899</f>
        <v>Y</v>
      </c>
      <c r="AW899" s="99" t="s">
        <v>1519</v>
      </c>
      <c r="AX899" s="99"/>
      <c r="AY899" s="19"/>
      <c r="AZ899" s="96" t="str">
        <f t="shared" si="245"/>
        <v>EC50</v>
      </c>
      <c r="BA899" s="96">
        <f>IF(AZ899="n","n",VLOOKUP(AZ899,'Conversion factors'!$C$4:$D$24,2,FALSE))</f>
        <v>5</v>
      </c>
      <c r="BB899" s="96">
        <f t="shared" si="246"/>
        <v>5.8</v>
      </c>
      <c r="BC899" s="97"/>
      <c r="BD899" s="96" t="str">
        <f t="shared" si="247"/>
        <v>Chronic</v>
      </c>
      <c r="BE899" s="96" t="str">
        <f t="shared" si="248"/>
        <v>y</v>
      </c>
      <c r="BF899" s="98" t="str">
        <f t="shared" si="249"/>
        <v>EC50</v>
      </c>
      <c r="BG899" s="96" t="str">
        <f>IF(BF899="","",IF(ISNUMBER(VLOOKUP(BF899,'Conversion factors'!$B$35:$C$52,2,FALSE)),"y","n"))</f>
        <v>n</v>
      </c>
      <c r="BH899" s="99"/>
    </row>
    <row r="900" spans="1:60" s="103" customFormat="1" ht="15.75" customHeight="1" x14ac:dyDescent="0.2">
      <c r="A900" s="18"/>
      <c r="B900" s="19">
        <v>223</v>
      </c>
      <c r="C900" s="19"/>
      <c r="D900" s="19">
        <v>65745</v>
      </c>
      <c r="E900" s="19" t="s">
        <v>1224</v>
      </c>
      <c r="F900" s="93">
        <v>2002</v>
      </c>
      <c r="G900" s="19" t="s">
        <v>542</v>
      </c>
      <c r="H900" s="19"/>
      <c r="I900" s="19" t="s">
        <v>41</v>
      </c>
      <c r="J900" s="19" t="s">
        <v>344</v>
      </c>
      <c r="K900" s="19" t="s">
        <v>42</v>
      </c>
      <c r="L900" s="19" t="s">
        <v>43</v>
      </c>
      <c r="M900" s="19" t="s">
        <v>1303</v>
      </c>
      <c r="N900" s="19" t="s">
        <v>109</v>
      </c>
      <c r="O900" s="19" t="s">
        <v>235</v>
      </c>
      <c r="P900" s="19" t="s">
        <v>53</v>
      </c>
      <c r="Q900" s="19"/>
      <c r="R900" s="19" t="s">
        <v>256</v>
      </c>
      <c r="S900" s="19" t="s">
        <v>302</v>
      </c>
      <c r="T900" s="19" t="s">
        <v>44</v>
      </c>
      <c r="U900" s="19" t="s">
        <v>44</v>
      </c>
      <c r="V900" s="19" t="s">
        <v>103</v>
      </c>
      <c r="W900" s="19" t="s">
        <v>231</v>
      </c>
      <c r="X900" s="19" t="s">
        <v>46</v>
      </c>
      <c r="Y900" s="29"/>
      <c r="Z900" s="19"/>
      <c r="AA900" s="19"/>
      <c r="AB900" s="24">
        <v>21.1</v>
      </c>
      <c r="AC900" s="19" t="s">
        <v>214</v>
      </c>
      <c r="AD900" s="19"/>
      <c r="AE900" s="19">
        <v>24.4</v>
      </c>
      <c r="AF900" s="19"/>
      <c r="AG900" s="19" t="s">
        <v>235</v>
      </c>
      <c r="AH900" s="19"/>
      <c r="AI900" s="19"/>
      <c r="AJ900" s="101">
        <v>7.65</v>
      </c>
      <c r="AK900" s="19">
        <v>7.65</v>
      </c>
      <c r="AL900" s="19"/>
      <c r="AM900" s="19" t="s">
        <v>234</v>
      </c>
      <c r="AN900" s="19" t="s">
        <v>234</v>
      </c>
      <c r="AO900" s="19" t="s">
        <v>235</v>
      </c>
      <c r="AP900" s="94"/>
      <c r="AQ900" s="19" t="s">
        <v>97</v>
      </c>
      <c r="AR900" s="19" t="s">
        <v>241</v>
      </c>
      <c r="AS900" s="19"/>
      <c r="AT900" s="65" t="str">
        <f t="shared" ref="AT900:AT931" si="251">IF(F900&lt;1980,"N",IF(AC900="M","Y",IF(AC900="SM","Y","N")))</f>
        <v>Y</v>
      </c>
      <c r="AU900" s="65" t="str">
        <f t="shared" ref="AU900:AU931" si="252">IF(AT900="N","N",IF(AJ900&lt;6,"N",IF(AJ900&gt;8.5,"N","Y")))</f>
        <v>Y</v>
      </c>
      <c r="AV900" s="65" t="str">
        <f t="shared" si="250"/>
        <v>Y</v>
      </c>
      <c r="AW900" s="99" t="s">
        <v>1519</v>
      </c>
      <c r="AX900" s="99"/>
      <c r="AY900" s="19"/>
      <c r="AZ900" s="96" t="str">
        <f t="shared" ref="AZ900:AZ931" si="253">IF(AV900="N","n",T900)</f>
        <v>EC50</v>
      </c>
      <c r="BA900" s="96">
        <f>IF(AZ900="n","n",VLOOKUP(AZ900,'Conversion factors'!$C$4:$D$24,2,FALSE))</f>
        <v>5</v>
      </c>
      <c r="BB900" s="96">
        <f t="shared" ref="BB900:BB931" si="254">IF(BA900="n","n",AB900/BA900)</f>
        <v>4.2200000000000006</v>
      </c>
      <c r="BC900" s="97"/>
      <c r="BD900" s="96" t="str">
        <f t="shared" ref="BD900:BD931" si="255">IF(AV900="N","n",X900)</f>
        <v>Chronic</v>
      </c>
      <c r="BE900" s="96" t="str">
        <f t="shared" ref="BE900:BE931" si="256">IF(BD900="chronic","y","n")</f>
        <v>y</v>
      </c>
      <c r="BF900" s="98" t="str">
        <f t="shared" ref="BF900:BF931" si="257">IF(BE900="n","",AZ900)</f>
        <v>EC50</v>
      </c>
      <c r="BG900" s="96" t="str">
        <f>IF(BF900="","",IF(ISNUMBER(VLOOKUP(BF900,'Conversion factors'!$B$35:$C$52,2,FALSE)),"y","n"))</f>
        <v>n</v>
      </c>
      <c r="BH900" s="99"/>
    </row>
    <row r="901" spans="1:60" s="103" customFormat="1" ht="15.75" customHeight="1" x14ac:dyDescent="0.2">
      <c r="A901" s="18"/>
      <c r="B901" s="19">
        <v>223</v>
      </c>
      <c r="C901" s="19"/>
      <c r="D901" s="19">
        <v>65745</v>
      </c>
      <c r="E901" s="19" t="s">
        <v>1224</v>
      </c>
      <c r="F901" s="93">
        <v>2002</v>
      </c>
      <c r="G901" s="19" t="s">
        <v>542</v>
      </c>
      <c r="H901" s="19"/>
      <c r="I901" s="19" t="s">
        <v>41</v>
      </c>
      <c r="J901" s="19" t="s">
        <v>344</v>
      </c>
      <c r="K901" s="19" t="s">
        <v>42</v>
      </c>
      <c r="L901" s="19" t="s">
        <v>43</v>
      </c>
      <c r="M901" s="19" t="s">
        <v>1303</v>
      </c>
      <c r="N901" s="19" t="s">
        <v>109</v>
      </c>
      <c r="O901" s="19" t="s">
        <v>235</v>
      </c>
      <c r="P901" s="19" t="s">
        <v>53</v>
      </c>
      <c r="Q901" s="19"/>
      <c r="R901" s="19" t="s">
        <v>256</v>
      </c>
      <c r="S901" s="19" t="s">
        <v>302</v>
      </c>
      <c r="T901" s="19" t="s">
        <v>44</v>
      </c>
      <c r="U901" s="19" t="s">
        <v>44</v>
      </c>
      <c r="V901" s="19" t="s">
        <v>103</v>
      </c>
      <c r="W901" s="19" t="s">
        <v>231</v>
      </c>
      <c r="X901" s="19" t="s">
        <v>46</v>
      </c>
      <c r="Y901" s="29"/>
      <c r="Z901" s="19"/>
      <c r="AA901" s="19"/>
      <c r="AB901" s="24">
        <v>15.8</v>
      </c>
      <c r="AC901" s="19" t="s">
        <v>214</v>
      </c>
      <c r="AD901" s="19"/>
      <c r="AE901" s="19">
        <v>24.4</v>
      </c>
      <c r="AF901" s="19"/>
      <c r="AG901" s="19" t="s">
        <v>235</v>
      </c>
      <c r="AH901" s="19"/>
      <c r="AI901" s="19"/>
      <c r="AJ901" s="101">
        <v>7.7</v>
      </c>
      <c r="AK901" s="19">
        <v>7.7</v>
      </c>
      <c r="AL901" s="19"/>
      <c r="AM901" s="19" t="s">
        <v>234</v>
      </c>
      <c r="AN901" s="19" t="s">
        <v>234</v>
      </c>
      <c r="AO901" s="19" t="s">
        <v>235</v>
      </c>
      <c r="AP901" s="94"/>
      <c r="AQ901" s="19" t="s">
        <v>97</v>
      </c>
      <c r="AR901" s="19" t="s">
        <v>241</v>
      </c>
      <c r="AS901" s="19"/>
      <c r="AT901" s="65" t="str">
        <f t="shared" si="251"/>
        <v>Y</v>
      </c>
      <c r="AU901" s="65" t="str">
        <f t="shared" si="252"/>
        <v>Y</v>
      </c>
      <c r="AV901" s="65" t="str">
        <f t="shared" si="250"/>
        <v>Y</v>
      </c>
      <c r="AW901" s="99" t="s">
        <v>1519</v>
      </c>
      <c r="AX901" s="99"/>
      <c r="AY901" s="19"/>
      <c r="AZ901" s="96" t="str">
        <f t="shared" si="253"/>
        <v>EC50</v>
      </c>
      <c r="BA901" s="96">
        <f>IF(AZ901="n","n",VLOOKUP(AZ901,'Conversion factors'!$C$4:$D$24,2,FALSE))</f>
        <v>5</v>
      </c>
      <c r="BB901" s="96">
        <f t="shared" si="254"/>
        <v>3.16</v>
      </c>
      <c r="BC901" s="97"/>
      <c r="BD901" s="96" t="str">
        <f t="shared" si="255"/>
        <v>Chronic</v>
      </c>
      <c r="BE901" s="96" t="str">
        <f t="shared" si="256"/>
        <v>y</v>
      </c>
      <c r="BF901" s="98" t="str">
        <f t="shared" si="257"/>
        <v>EC50</v>
      </c>
      <c r="BG901" s="96" t="str">
        <f>IF(BF901="","",IF(ISNUMBER(VLOOKUP(BF901,'Conversion factors'!$B$35:$C$52,2,FALSE)),"y","n"))</f>
        <v>n</v>
      </c>
      <c r="BH901" s="99"/>
    </row>
    <row r="902" spans="1:60" s="103" customFormat="1" ht="15.75" customHeight="1" x14ac:dyDescent="0.2">
      <c r="A902" s="18"/>
      <c r="B902" s="19">
        <v>223</v>
      </c>
      <c r="C902" s="19"/>
      <c r="D902" s="19">
        <v>65745</v>
      </c>
      <c r="E902" s="19" t="s">
        <v>1224</v>
      </c>
      <c r="F902" s="93">
        <v>2002</v>
      </c>
      <c r="G902" s="19" t="s">
        <v>542</v>
      </c>
      <c r="H902" s="19"/>
      <c r="I902" s="19" t="s">
        <v>41</v>
      </c>
      <c r="J902" s="19" t="s">
        <v>344</v>
      </c>
      <c r="K902" s="19" t="s">
        <v>42</v>
      </c>
      <c r="L902" s="19" t="s">
        <v>43</v>
      </c>
      <c r="M902" s="19" t="s">
        <v>1303</v>
      </c>
      <c r="N902" s="19" t="s">
        <v>109</v>
      </c>
      <c r="O902" s="19" t="s">
        <v>235</v>
      </c>
      <c r="P902" s="19" t="s">
        <v>53</v>
      </c>
      <c r="Q902" s="19"/>
      <c r="R902" s="19" t="s">
        <v>256</v>
      </c>
      <c r="S902" s="19" t="s">
        <v>302</v>
      </c>
      <c r="T902" s="19" t="s">
        <v>44</v>
      </c>
      <c r="U902" s="19" t="s">
        <v>44</v>
      </c>
      <c r="V902" s="19" t="s">
        <v>103</v>
      </c>
      <c r="W902" s="19" t="s">
        <v>231</v>
      </c>
      <c r="X902" s="19" t="s">
        <v>46</v>
      </c>
      <c r="Y902" s="29"/>
      <c r="Z902" s="19"/>
      <c r="AA902" s="19"/>
      <c r="AB902" s="24">
        <v>10.5</v>
      </c>
      <c r="AC902" s="19" t="s">
        <v>214</v>
      </c>
      <c r="AD902" s="19"/>
      <c r="AE902" s="19">
        <v>24.4</v>
      </c>
      <c r="AF902" s="19"/>
      <c r="AG902" s="19" t="s">
        <v>235</v>
      </c>
      <c r="AH902" s="19"/>
      <c r="AI902" s="19"/>
      <c r="AJ902" s="101">
        <v>7.8</v>
      </c>
      <c r="AK902" s="19">
        <v>7.8</v>
      </c>
      <c r="AL902" s="19"/>
      <c r="AM902" s="19" t="s">
        <v>234</v>
      </c>
      <c r="AN902" s="19" t="s">
        <v>234</v>
      </c>
      <c r="AO902" s="19" t="s">
        <v>235</v>
      </c>
      <c r="AP902" s="94"/>
      <c r="AQ902" s="19" t="s">
        <v>97</v>
      </c>
      <c r="AR902" s="19" t="s">
        <v>241</v>
      </c>
      <c r="AS902" s="19"/>
      <c r="AT902" s="65" t="str">
        <f t="shared" si="251"/>
        <v>Y</v>
      </c>
      <c r="AU902" s="65" t="str">
        <f t="shared" si="252"/>
        <v>Y</v>
      </c>
      <c r="AV902" s="65" t="str">
        <f t="shared" si="250"/>
        <v>Y</v>
      </c>
      <c r="AW902" s="99" t="s">
        <v>1519</v>
      </c>
      <c r="AX902" s="99"/>
      <c r="AY902" s="19"/>
      <c r="AZ902" s="96" t="str">
        <f t="shared" si="253"/>
        <v>EC50</v>
      </c>
      <c r="BA902" s="96">
        <f>IF(AZ902="n","n",VLOOKUP(AZ902,'Conversion factors'!$C$4:$D$24,2,FALSE))</f>
        <v>5</v>
      </c>
      <c r="BB902" s="96">
        <f t="shared" si="254"/>
        <v>2.1</v>
      </c>
      <c r="BC902" s="97"/>
      <c r="BD902" s="96" t="str">
        <f t="shared" si="255"/>
        <v>Chronic</v>
      </c>
      <c r="BE902" s="96" t="str">
        <f t="shared" si="256"/>
        <v>y</v>
      </c>
      <c r="BF902" s="98" t="str">
        <f t="shared" si="257"/>
        <v>EC50</v>
      </c>
      <c r="BG902" s="96" t="str">
        <f>IF(BF902="","",IF(ISNUMBER(VLOOKUP(BF902,'Conversion factors'!$B$35:$C$52,2,FALSE)),"y","n"))</f>
        <v>n</v>
      </c>
      <c r="BH902" s="99"/>
    </row>
    <row r="903" spans="1:60" s="103" customFormat="1" ht="15.75" customHeight="1" x14ac:dyDescent="0.2">
      <c r="A903" s="18"/>
      <c r="B903" s="19">
        <v>252</v>
      </c>
      <c r="C903" s="19"/>
      <c r="D903" s="19">
        <v>84045</v>
      </c>
      <c r="E903" s="19" t="s">
        <v>1224</v>
      </c>
      <c r="F903" s="93">
        <v>2004</v>
      </c>
      <c r="G903" s="19" t="s">
        <v>705</v>
      </c>
      <c r="H903" s="19"/>
      <c r="I903" s="19" t="s">
        <v>41</v>
      </c>
      <c r="J903" s="19" t="s">
        <v>344</v>
      </c>
      <c r="K903" s="19" t="s">
        <v>42</v>
      </c>
      <c r="L903" s="19" t="s">
        <v>43</v>
      </c>
      <c r="M903" s="19" t="s">
        <v>1303</v>
      </c>
      <c r="N903" s="19" t="s">
        <v>109</v>
      </c>
      <c r="O903" s="19" t="s">
        <v>264</v>
      </c>
      <c r="P903" s="19" t="s">
        <v>53</v>
      </c>
      <c r="Q903" s="19"/>
      <c r="R903" s="19" t="s">
        <v>256</v>
      </c>
      <c r="S903" s="19" t="s">
        <v>304</v>
      </c>
      <c r="T903" s="19" t="s">
        <v>110</v>
      </c>
      <c r="U903" s="19" t="s">
        <v>44</v>
      </c>
      <c r="V903" s="19" t="s">
        <v>103</v>
      </c>
      <c r="W903" s="19" t="s">
        <v>231</v>
      </c>
      <c r="X903" s="19" t="s">
        <v>46</v>
      </c>
      <c r="Y903" s="29"/>
      <c r="Z903" s="19"/>
      <c r="AA903" s="19"/>
      <c r="AB903" s="19" t="s">
        <v>706</v>
      </c>
      <c r="AC903" s="19" t="s">
        <v>1322</v>
      </c>
      <c r="AD903" s="19"/>
      <c r="AE903" s="19"/>
      <c r="AF903" s="19"/>
      <c r="AG903" s="19" t="s">
        <v>235</v>
      </c>
      <c r="AH903" s="19"/>
      <c r="AI903" s="19"/>
      <c r="AJ903" s="19">
        <v>7.45</v>
      </c>
      <c r="AK903" s="19" t="s">
        <v>707</v>
      </c>
      <c r="AL903" s="19"/>
      <c r="AM903" s="19" t="s">
        <v>234</v>
      </c>
      <c r="AN903" s="19" t="s">
        <v>234</v>
      </c>
      <c r="AO903" s="19" t="s">
        <v>235</v>
      </c>
      <c r="AP903" s="94"/>
      <c r="AQ903" s="19" t="s">
        <v>150</v>
      </c>
      <c r="AR903" s="19" t="s">
        <v>241</v>
      </c>
      <c r="AS903" s="19"/>
      <c r="AT903" s="65" t="str">
        <f t="shared" si="251"/>
        <v>N</v>
      </c>
      <c r="AU903" s="65" t="str">
        <f t="shared" si="252"/>
        <v>N</v>
      </c>
      <c r="AV903" s="65" t="str">
        <f t="shared" si="250"/>
        <v>N</v>
      </c>
      <c r="AW903" s="99"/>
      <c r="AX903" s="99"/>
      <c r="AY903" s="19"/>
      <c r="AZ903" s="96" t="str">
        <f t="shared" si="253"/>
        <v>n</v>
      </c>
      <c r="BA903" s="96" t="str">
        <f>IF(AZ903="n","n",VLOOKUP(AZ903,'Conversion factors'!$C$4:$D$24,2,FALSE))</f>
        <v>n</v>
      </c>
      <c r="BB903" s="96" t="str">
        <f t="shared" si="254"/>
        <v>n</v>
      </c>
      <c r="BC903" s="97"/>
      <c r="BD903" s="96" t="str">
        <f t="shared" si="255"/>
        <v>n</v>
      </c>
      <c r="BE903" s="96" t="str">
        <f t="shared" si="256"/>
        <v>n</v>
      </c>
      <c r="BF903" s="98" t="str">
        <f t="shared" si="257"/>
        <v/>
      </c>
      <c r="BG903" s="96" t="str">
        <f>IF(BF903="","",IF(ISNUMBER(VLOOKUP(BF903,'Conversion factors'!$B$35:$C$52,2,FALSE)),"y","n"))</f>
        <v/>
      </c>
      <c r="BH903" s="99" t="s">
        <v>1525</v>
      </c>
    </row>
    <row r="904" spans="1:60" s="103" customFormat="1" ht="15.75" customHeight="1" x14ac:dyDescent="0.2">
      <c r="A904" s="18"/>
      <c r="B904" s="19">
        <v>252</v>
      </c>
      <c r="C904" s="19"/>
      <c r="D904" s="19">
        <v>84045</v>
      </c>
      <c r="E904" s="19" t="s">
        <v>1224</v>
      </c>
      <c r="F904" s="93">
        <v>2004</v>
      </c>
      <c r="G904" s="19" t="s">
        <v>705</v>
      </c>
      <c r="H904" s="19"/>
      <c r="I904" s="19" t="s">
        <v>41</v>
      </c>
      <c r="J904" s="19" t="s">
        <v>344</v>
      </c>
      <c r="K904" s="19" t="s">
        <v>42</v>
      </c>
      <c r="L904" s="19" t="s">
        <v>43</v>
      </c>
      <c r="M904" s="19" t="s">
        <v>1303</v>
      </c>
      <c r="N904" s="19" t="s">
        <v>109</v>
      </c>
      <c r="O904" s="19" t="s">
        <v>264</v>
      </c>
      <c r="P904" s="19" t="s">
        <v>53</v>
      </c>
      <c r="Q904" s="19"/>
      <c r="R904" s="19" t="s">
        <v>256</v>
      </c>
      <c r="S904" s="19" t="s">
        <v>304</v>
      </c>
      <c r="T904" s="19" t="s">
        <v>110</v>
      </c>
      <c r="U904" s="19" t="s">
        <v>44</v>
      </c>
      <c r="V904" s="19" t="s">
        <v>103</v>
      </c>
      <c r="W904" s="19" t="s">
        <v>231</v>
      </c>
      <c r="X904" s="19" t="s">
        <v>46</v>
      </c>
      <c r="Y904" s="29"/>
      <c r="Z904" s="19"/>
      <c r="AA904" s="19"/>
      <c r="AB904" s="19" t="s">
        <v>708</v>
      </c>
      <c r="AC904" s="19" t="s">
        <v>1322</v>
      </c>
      <c r="AD904" s="19"/>
      <c r="AE904" s="19"/>
      <c r="AF904" s="19"/>
      <c r="AG904" s="19" t="s">
        <v>235</v>
      </c>
      <c r="AH904" s="19"/>
      <c r="AI904" s="19"/>
      <c r="AJ904" s="19">
        <v>7.45</v>
      </c>
      <c r="AK904" s="19" t="s">
        <v>707</v>
      </c>
      <c r="AL904" s="19"/>
      <c r="AM904" s="19" t="s">
        <v>234</v>
      </c>
      <c r="AN904" s="19" t="s">
        <v>234</v>
      </c>
      <c r="AO904" s="19" t="s">
        <v>235</v>
      </c>
      <c r="AP904" s="94"/>
      <c r="AQ904" s="19" t="s">
        <v>150</v>
      </c>
      <c r="AR904" s="19" t="s">
        <v>241</v>
      </c>
      <c r="AS904" s="19"/>
      <c r="AT904" s="65" t="str">
        <f t="shared" si="251"/>
        <v>N</v>
      </c>
      <c r="AU904" s="65" t="str">
        <f t="shared" si="252"/>
        <v>N</v>
      </c>
      <c r="AV904" s="65" t="str">
        <f t="shared" si="250"/>
        <v>N</v>
      </c>
      <c r="AW904" s="99"/>
      <c r="AX904" s="99"/>
      <c r="AY904" s="19"/>
      <c r="AZ904" s="96" t="str">
        <f t="shared" si="253"/>
        <v>n</v>
      </c>
      <c r="BA904" s="96" t="str">
        <f>IF(AZ904="n","n",VLOOKUP(AZ904,'Conversion factors'!$C$4:$D$24,2,FALSE))</f>
        <v>n</v>
      </c>
      <c r="BB904" s="96" t="str">
        <f t="shared" si="254"/>
        <v>n</v>
      </c>
      <c r="BC904" s="97"/>
      <c r="BD904" s="96" t="str">
        <f t="shared" si="255"/>
        <v>n</v>
      </c>
      <c r="BE904" s="96" t="str">
        <f t="shared" si="256"/>
        <v>n</v>
      </c>
      <c r="BF904" s="98" t="str">
        <f t="shared" si="257"/>
        <v/>
      </c>
      <c r="BG904" s="96" t="str">
        <f>IF(BF904="","",IF(ISNUMBER(VLOOKUP(BF904,'Conversion factors'!$B$35:$C$52,2,FALSE)),"y","n"))</f>
        <v/>
      </c>
      <c r="BH904" s="99" t="s">
        <v>1525</v>
      </c>
    </row>
    <row r="905" spans="1:60" s="103" customFormat="1" ht="15.75" customHeight="1" x14ac:dyDescent="0.2">
      <c r="A905" s="18"/>
      <c r="B905" s="19">
        <v>252</v>
      </c>
      <c r="C905" s="19"/>
      <c r="D905" s="19">
        <v>84045</v>
      </c>
      <c r="E905" s="19" t="s">
        <v>1224</v>
      </c>
      <c r="F905" s="93">
        <v>2004</v>
      </c>
      <c r="G905" s="19" t="s">
        <v>705</v>
      </c>
      <c r="H905" s="19"/>
      <c r="I905" s="19" t="s">
        <v>41</v>
      </c>
      <c r="J905" s="19" t="s">
        <v>344</v>
      </c>
      <c r="K905" s="19" t="s">
        <v>42</v>
      </c>
      <c r="L905" s="19" t="s">
        <v>43</v>
      </c>
      <c r="M905" s="19" t="s">
        <v>1303</v>
      </c>
      <c r="N905" s="19" t="s">
        <v>109</v>
      </c>
      <c r="O905" s="19" t="s">
        <v>264</v>
      </c>
      <c r="P905" s="19" t="s">
        <v>53</v>
      </c>
      <c r="Q905" s="19"/>
      <c r="R905" s="19" t="s">
        <v>256</v>
      </c>
      <c r="S905" s="19" t="s">
        <v>304</v>
      </c>
      <c r="T905" s="19" t="s">
        <v>110</v>
      </c>
      <c r="U905" s="19" t="s">
        <v>44</v>
      </c>
      <c r="V905" s="19" t="s">
        <v>103</v>
      </c>
      <c r="W905" s="19" t="s">
        <v>231</v>
      </c>
      <c r="X905" s="19" t="s">
        <v>46</v>
      </c>
      <c r="Y905" s="29"/>
      <c r="Z905" s="19"/>
      <c r="AA905" s="19"/>
      <c r="AB905" s="19" t="s">
        <v>709</v>
      </c>
      <c r="AC905" s="19" t="s">
        <v>1322</v>
      </c>
      <c r="AD905" s="19"/>
      <c r="AE905" s="19"/>
      <c r="AF905" s="19"/>
      <c r="AG905" s="19" t="s">
        <v>235</v>
      </c>
      <c r="AH905" s="19"/>
      <c r="AI905" s="19"/>
      <c r="AJ905" s="19">
        <v>7.45</v>
      </c>
      <c r="AK905" s="19" t="s">
        <v>707</v>
      </c>
      <c r="AL905" s="19"/>
      <c r="AM905" s="19" t="s">
        <v>234</v>
      </c>
      <c r="AN905" s="19" t="s">
        <v>234</v>
      </c>
      <c r="AO905" s="19" t="s">
        <v>235</v>
      </c>
      <c r="AP905" s="94"/>
      <c r="AQ905" s="19" t="s">
        <v>150</v>
      </c>
      <c r="AR905" s="19" t="s">
        <v>241</v>
      </c>
      <c r="AS905" s="19"/>
      <c r="AT905" s="65" t="str">
        <f t="shared" si="251"/>
        <v>N</v>
      </c>
      <c r="AU905" s="65" t="str">
        <f t="shared" si="252"/>
        <v>N</v>
      </c>
      <c r="AV905" s="65" t="str">
        <f t="shared" si="250"/>
        <v>N</v>
      </c>
      <c r="AW905" s="99"/>
      <c r="AX905" s="99"/>
      <c r="AY905" s="19"/>
      <c r="AZ905" s="96" t="str">
        <f t="shared" si="253"/>
        <v>n</v>
      </c>
      <c r="BA905" s="96" t="str">
        <f>IF(AZ905="n","n",VLOOKUP(AZ905,'Conversion factors'!$C$4:$D$24,2,FALSE))</f>
        <v>n</v>
      </c>
      <c r="BB905" s="96" t="str">
        <f t="shared" si="254"/>
        <v>n</v>
      </c>
      <c r="BC905" s="97"/>
      <c r="BD905" s="96" t="str">
        <f t="shared" si="255"/>
        <v>n</v>
      </c>
      <c r="BE905" s="96" t="str">
        <f t="shared" si="256"/>
        <v>n</v>
      </c>
      <c r="BF905" s="98" t="str">
        <f t="shared" si="257"/>
        <v/>
      </c>
      <c r="BG905" s="96" t="str">
        <f>IF(BF905="","",IF(ISNUMBER(VLOOKUP(BF905,'Conversion factors'!$B$35:$C$52,2,FALSE)),"y","n"))</f>
        <v/>
      </c>
      <c r="BH905" s="99" t="s">
        <v>1525</v>
      </c>
    </row>
    <row r="906" spans="1:60" s="103" customFormat="1" ht="15.75" customHeight="1" x14ac:dyDescent="0.2">
      <c r="A906" s="18"/>
      <c r="B906" s="19">
        <v>252</v>
      </c>
      <c r="C906" s="19"/>
      <c r="D906" s="19">
        <v>84045</v>
      </c>
      <c r="E906" s="19" t="s">
        <v>1224</v>
      </c>
      <c r="F906" s="93">
        <v>2004</v>
      </c>
      <c r="G906" s="19" t="s">
        <v>705</v>
      </c>
      <c r="H906" s="19"/>
      <c r="I906" s="19" t="s">
        <v>41</v>
      </c>
      <c r="J906" s="19" t="s">
        <v>344</v>
      </c>
      <c r="K906" s="19" t="s">
        <v>42</v>
      </c>
      <c r="L906" s="19" t="s">
        <v>43</v>
      </c>
      <c r="M906" s="19" t="s">
        <v>1303</v>
      </c>
      <c r="N906" s="19" t="s">
        <v>109</v>
      </c>
      <c r="O906" s="19" t="s">
        <v>264</v>
      </c>
      <c r="P906" s="19" t="s">
        <v>53</v>
      </c>
      <c r="Q906" s="19"/>
      <c r="R906" s="19" t="s">
        <v>256</v>
      </c>
      <c r="S906" s="19" t="s">
        <v>304</v>
      </c>
      <c r="T906" s="19" t="s">
        <v>110</v>
      </c>
      <c r="U906" s="19" t="s">
        <v>44</v>
      </c>
      <c r="V906" s="19" t="s">
        <v>103</v>
      </c>
      <c r="W906" s="19" t="s">
        <v>231</v>
      </c>
      <c r="X906" s="19" t="s">
        <v>46</v>
      </c>
      <c r="Y906" s="29"/>
      <c r="Z906" s="19"/>
      <c r="AA906" s="19"/>
      <c r="AB906" s="19" t="s">
        <v>710</v>
      </c>
      <c r="AC906" s="19" t="s">
        <v>1322</v>
      </c>
      <c r="AD906" s="19"/>
      <c r="AE906" s="19"/>
      <c r="AF906" s="19"/>
      <c r="AG906" s="19" t="s">
        <v>235</v>
      </c>
      <c r="AH906" s="19"/>
      <c r="AI906" s="19"/>
      <c r="AJ906" s="19">
        <v>7.45</v>
      </c>
      <c r="AK906" s="19" t="s">
        <v>707</v>
      </c>
      <c r="AL906" s="19"/>
      <c r="AM906" s="19" t="s">
        <v>234</v>
      </c>
      <c r="AN906" s="19" t="s">
        <v>234</v>
      </c>
      <c r="AO906" s="19" t="s">
        <v>235</v>
      </c>
      <c r="AP906" s="94"/>
      <c r="AQ906" s="19" t="s">
        <v>150</v>
      </c>
      <c r="AR906" s="19" t="s">
        <v>241</v>
      </c>
      <c r="AS906" s="19"/>
      <c r="AT906" s="65" t="str">
        <f t="shared" si="251"/>
        <v>N</v>
      </c>
      <c r="AU906" s="65" t="str">
        <f t="shared" si="252"/>
        <v>N</v>
      </c>
      <c r="AV906" s="65" t="str">
        <f t="shared" si="250"/>
        <v>N</v>
      </c>
      <c r="AW906" s="99"/>
      <c r="AX906" s="99"/>
      <c r="AY906" s="19"/>
      <c r="AZ906" s="96" t="str">
        <f t="shared" si="253"/>
        <v>n</v>
      </c>
      <c r="BA906" s="96" t="str">
        <f>IF(AZ906="n","n",VLOOKUP(AZ906,'Conversion factors'!$C$4:$D$24,2,FALSE))</f>
        <v>n</v>
      </c>
      <c r="BB906" s="96" t="str">
        <f t="shared" si="254"/>
        <v>n</v>
      </c>
      <c r="BC906" s="97"/>
      <c r="BD906" s="96" t="str">
        <f t="shared" si="255"/>
        <v>n</v>
      </c>
      <c r="BE906" s="96" t="str">
        <f t="shared" si="256"/>
        <v>n</v>
      </c>
      <c r="BF906" s="98" t="str">
        <f t="shared" si="257"/>
        <v/>
      </c>
      <c r="BG906" s="96" t="str">
        <f>IF(BF906="","",IF(ISNUMBER(VLOOKUP(BF906,'Conversion factors'!$B$35:$C$52,2,FALSE)),"y","n"))</f>
        <v/>
      </c>
      <c r="BH906" s="99" t="s">
        <v>1525</v>
      </c>
    </row>
    <row r="907" spans="1:60" s="103" customFormat="1" ht="15.75" customHeight="1" x14ac:dyDescent="0.2">
      <c r="A907" s="18"/>
      <c r="B907" s="19">
        <v>216</v>
      </c>
      <c r="C907" s="19"/>
      <c r="D907" s="19">
        <v>61964</v>
      </c>
      <c r="E907" s="19" t="s">
        <v>1224</v>
      </c>
      <c r="F907" s="93">
        <v>2001</v>
      </c>
      <c r="G907" s="19" t="s">
        <v>512</v>
      </c>
      <c r="H907" s="19"/>
      <c r="I907" s="19" t="s">
        <v>41</v>
      </c>
      <c r="J907" s="19" t="s">
        <v>344</v>
      </c>
      <c r="K907" s="19" t="s">
        <v>42</v>
      </c>
      <c r="L907" s="19" t="s">
        <v>43</v>
      </c>
      <c r="M907" s="19" t="s">
        <v>1303</v>
      </c>
      <c r="N907" s="19" t="s">
        <v>109</v>
      </c>
      <c r="O907" s="19" t="s">
        <v>264</v>
      </c>
      <c r="P907" s="19" t="s">
        <v>53</v>
      </c>
      <c r="Q907" s="19"/>
      <c r="R907" s="19" t="s">
        <v>256</v>
      </c>
      <c r="S907" s="19" t="s">
        <v>309</v>
      </c>
      <c r="T907" s="19" t="s">
        <v>44</v>
      </c>
      <c r="U907" s="19" t="s">
        <v>44</v>
      </c>
      <c r="V907" s="19" t="s">
        <v>103</v>
      </c>
      <c r="W907" s="19" t="s">
        <v>231</v>
      </c>
      <c r="X907" s="19" t="s">
        <v>46</v>
      </c>
      <c r="Y907" s="29"/>
      <c r="Z907" s="19"/>
      <c r="AA907" s="19"/>
      <c r="AB907" s="19" t="s">
        <v>514</v>
      </c>
      <c r="AC907" s="19" t="s">
        <v>214</v>
      </c>
      <c r="AD907" s="19"/>
      <c r="AE907" s="19"/>
      <c r="AF907" s="19"/>
      <c r="AG907" s="19" t="s">
        <v>235</v>
      </c>
      <c r="AH907" s="19"/>
      <c r="AI907" s="19"/>
      <c r="AJ907" s="19" t="s">
        <v>234</v>
      </c>
      <c r="AK907" s="19" t="s">
        <v>234</v>
      </c>
      <c r="AL907" s="19"/>
      <c r="AM907" s="19" t="s">
        <v>234</v>
      </c>
      <c r="AN907" s="19" t="s">
        <v>234</v>
      </c>
      <c r="AO907" s="19" t="s">
        <v>235</v>
      </c>
      <c r="AP907" s="94"/>
      <c r="AQ907" s="19" t="s">
        <v>234</v>
      </c>
      <c r="AR907" s="19" t="s">
        <v>241</v>
      </c>
      <c r="AS907" s="19"/>
      <c r="AT907" s="65" t="str">
        <f t="shared" si="251"/>
        <v>Y</v>
      </c>
      <c r="AU907" s="65" t="str">
        <f t="shared" si="252"/>
        <v>N</v>
      </c>
      <c r="AV907" s="65" t="str">
        <f t="shared" si="250"/>
        <v>N</v>
      </c>
      <c r="AW907" s="99"/>
      <c r="AX907" s="99"/>
      <c r="AY907" s="19"/>
      <c r="AZ907" s="96" t="str">
        <f t="shared" si="253"/>
        <v>n</v>
      </c>
      <c r="BA907" s="96" t="str">
        <f>IF(AZ907="n","n",VLOOKUP(AZ907,'Conversion factors'!$C$4:$D$24,2,FALSE))</f>
        <v>n</v>
      </c>
      <c r="BB907" s="96" t="str">
        <f t="shared" si="254"/>
        <v>n</v>
      </c>
      <c r="BC907" s="97"/>
      <c r="BD907" s="96" t="str">
        <f t="shared" si="255"/>
        <v>n</v>
      </c>
      <c r="BE907" s="96" t="str">
        <f t="shared" si="256"/>
        <v>n</v>
      </c>
      <c r="BF907" s="98" t="str">
        <f t="shared" si="257"/>
        <v/>
      </c>
      <c r="BG907" s="96" t="str">
        <f>IF(BF907="","",IF(ISNUMBER(VLOOKUP(BF907,'Conversion factors'!$B$35:$C$52,2,FALSE)),"y","n"))</f>
        <v/>
      </c>
      <c r="BH907" s="99"/>
    </row>
    <row r="908" spans="1:60" s="103" customFormat="1" ht="15.75" customHeight="1" x14ac:dyDescent="0.2">
      <c r="A908" s="18"/>
      <c r="B908" s="19">
        <v>216</v>
      </c>
      <c r="C908" s="19"/>
      <c r="D908" s="19">
        <v>61964</v>
      </c>
      <c r="E908" s="19" t="s">
        <v>1224</v>
      </c>
      <c r="F908" s="93">
        <v>2001</v>
      </c>
      <c r="G908" s="19" t="s">
        <v>512</v>
      </c>
      <c r="H908" s="19"/>
      <c r="I908" s="19" t="s">
        <v>41</v>
      </c>
      <c r="J908" s="19" t="s">
        <v>344</v>
      </c>
      <c r="K908" s="19" t="s">
        <v>42</v>
      </c>
      <c r="L908" s="19" t="s">
        <v>43</v>
      </c>
      <c r="M908" s="19" t="s">
        <v>1303</v>
      </c>
      <c r="N908" s="19" t="s">
        <v>109</v>
      </c>
      <c r="O908" s="19" t="s">
        <v>264</v>
      </c>
      <c r="P908" s="19" t="s">
        <v>53</v>
      </c>
      <c r="Q908" s="19"/>
      <c r="R908" s="19" t="s">
        <v>256</v>
      </c>
      <c r="S908" s="19" t="s">
        <v>302</v>
      </c>
      <c r="T908" s="19" t="s">
        <v>44</v>
      </c>
      <c r="U908" s="19" t="s">
        <v>44</v>
      </c>
      <c r="V908" s="19" t="s">
        <v>103</v>
      </c>
      <c r="W908" s="19" t="s">
        <v>231</v>
      </c>
      <c r="X908" s="19" t="s">
        <v>46</v>
      </c>
      <c r="Y908" s="29"/>
      <c r="Z908" s="19"/>
      <c r="AA908" s="19"/>
      <c r="AB908" s="19" t="s">
        <v>515</v>
      </c>
      <c r="AC908" s="19" t="s">
        <v>214</v>
      </c>
      <c r="AD908" s="19"/>
      <c r="AE908" s="19"/>
      <c r="AF908" s="19"/>
      <c r="AG908" s="19" t="s">
        <v>235</v>
      </c>
      <c r="AH908" s="19"/>
      <c r="AI908" s="19"/>
      <c r="AJ908" s="19" t="s">
        <v>234</v>
      </c>
      <c r="AK908" s="19" t="s">
        <v>234</v>
      </c>
      <c r="AL908" s="19"/>
      <c r="AM908" s="19" t="s">
        <v>234</v>
      </c>
      <c r="AN908" s="19" t="s">
        <v>234</v>
      </c>
      <c r="AO908" s="19" t="s">
        <v>235</v>
      </c>
      <c r="AP908" s="94"/>
      <c r="AQ908" s="19" t="s">
        <v>234</v>
      </c>
      <c r="AR908" s="19" t="s">
        <v>241</v>
      </c>
      <c r="AS908" s="19"/>
      <c r="AT908" s="65" t="str">
        <f t="shared" si="251"/>
        <v>Y</v>
      </c>
      <c r="AU908" s="65" t="str">
        <f t="shared" si="252"/>
        <v>N</v>
      </c>
      <c r="AV908" s="65" t="str">
        <f t="shared" si="250"/>
        <v>N</v>
      </c>
      <c r="AW908" s="99"/>
      <c r="AX908" s="99"/>
      <c r="AY908" s="19"/>
      <c r="AZ908" s="96" t="str">
        <f t="shared" si="253"/>
        <v>n</v>
      </c>
      <c r="BA908" s="96" t="str">
        <f>IF(AZ908="n","n",VLOOKUP(AZ908,'Conversion factors'!$C$4:$D$24,2,FALSE))</f>
        <v>n</v>
      </c>
      <c r="BB908" s="96" t="str">
        <f t="shared" si="254"/>
        <v>n</v>
      </c>
      <c r="BC908" s="97"/>
      <c r="BD908" s="96" t="str">
        <f t="shared" si="255"/>
        <v>n</v>
      </c>
      <c r="BE908" s="96" t="str">
        <f t="shared" si="256"/>
        <v>n</v>
      </c>
      <c r="BF908" s="98" t="str">
        <f t="shared" si="257"/>
        <v/>
      </c>
      <c r="BG908" s="96" t="str">
        <f>IF(BF908="","",IF(ISNUMBER(VLOOKUP(BF908,'Conversion factors'!$B$35:$C$52,2,FALSE)),"y","n"))</f>
        <v/>
      </c>
      <c r="BH908" s="99"/>
    </row>
    <row r="909" spans="1:60" s="103" customFormat="1" ht="15.75" customHeight="1" x14ac:dyDescent="0.2">
      <c r="A909" s="18"/>
      <c r="B909" s="19">
        <v>283</v>
      </c>
      <c r="C909" s="19"/>
      <c r="D909" s="19">
        <v>101817</v>
      </c>
      <c r="E909" s="19" t="s">
        <v>1224</v>
      </c>
      <c r="F909" s="93">
        <v>2008</v>
      </c>
      <c r="G909" s="19" t="s">
        <v>995</v>
      </c>
      <c r="H909" s="19"/>
      <c r="I909" s="19" t="s">
        <v>41</v>
      </c>
      <c r="J909" s="19" t="s">
        <v>344</v>
      </c>
      <c r="K909" s="19" t="s">
        <v>42</v>
      </c>
      <c r="L909" s="19" t="s">
        <v>43</v>
      </c>
      <c r="M909" s="19" t="s">
        <v>1303</v>
      </c>
      <c r="N909" s="19" t="s">
        <v>109</v>
      </c>
      <c r="O909" s="19" t="s">
        <v>264</v>
      </c>
      <c r="P909" s="19" t="s">
        <v>53</v>
      </c>
      <c r="Q909" s="19"/>
      <c r="R909" s="19" t="s">
        <v>256</v>
      </c>
      <c r="S909" s="19" t="s">
        <v>309</v>
      </c>
      <c r="T909" s="19" t="s">
        <v>44</v>
      </c>
      <c r="U909" s="19" t="s">
        <v>44</v>
      </c>
      <c r="V909" s="19" t="s">
        <v>103</v>
      </c>
      <c r="W909" s="19" t="s">
        <v>231</v>
      </c>
      <c r="X909" s="19" t="s">
        <v>46</v>
      </c>
      <c r="Y909" s="29"/>
      <c r="Z909" s="19"/>
      <c r="AA909" s="19"/>
      <c r="AB909" s="19" t="s">
        <v>381</v>
      </c>
      <c r="AC909" s="19" t="s">
        <v>1322</v>
      </c>
      <c r="AD909" s="19"/>
      <c r="AE909" s="19"/>
      <c r="AF909" s="19"/>
      <c r="AG909" s="19" t="s">
        <v>235</v>
      </c>
      <c r="AH909" s="19"/>
      <c r="AI909" s="19"/>
      <c r="AJ909" s="19" t="s">
        <v>234</v>
      </c>
      <c r="AK909" s="19" t="s">
        <v>234</v>
      </c>
      <c r="AL909" s="19"/>
      <c r="AM909" s="19" t="s">
        <v>234</v>
      </c>
      <c r="AN909" s="19" t="s">
        <v>234</v>
      </c>
      <c r="AO909" s="19" t="s">
        <v>235</v>
      </c>
      <c r="AP909" s="94"/>
      <c r="AQ909" s="19" t="s">
        <v>91</v>
      </c>
      <c r="AR909" s="19" t="s">
        <v>241</v>
      </c>
      <c r="AS909" s="19"/>
      <c r="AT909" s="65" t="str">
        <f t="shared" si="251"/>
        <v>N</v>
      </c>
      <c r="AU909" s="65" t="str">
        <f t="shared" si="252"/>
        <v>N</v>
      </c>
      <c r="AV909" s="65" t="str">
        <f t="shared" si="250"/>
        <v>N</v>
      </c>
      <c r="AW909" s="99"/>
      <c r="AX909" s="99"/>
      <c r="AY909" s="19"/>
      <c r="AZ909" s="96" t="str">
        <f t="shared" si="253"/>
        <v>n</v>
      </c>
      <c r="BA909" s="96" t="str">
        <f>IF(AZ909="n","n",VLOOKUP(AZ909,'Conversion factors'!$C$4:$D$24,2,FALSE))</f>
        <v>n</v>
      </c>
      <c r="BB909" s="96" t="str">
        <f t="shared" si="254"/>
        <v>n</v>
      </c>
      <c r="BC909" s="97"/>
      <c r="BD909" s="96" t="str">
        <f t="shared" si="255"/>
        <v>n</v>
      </c>
      <c r="BE909" s="96" t="str">
        <f t="shared" si="256"/>
        <v>n</v>
      </c>
      <c r="BF909" s="98" t="str">
        <f t="shared" si="257"/>
        <v/>
      </c>
      <c r="BG909" s="96" t="str">
        <f>IF(BF909="","",IF(ISNUMBER(VLOOKUP(BF909,'Conversion factors'!$B$35:$C$52,2,FALSE)),"y","n"))</f>
        <v/>
      </c>
      <c r="BH909" s="99" t="s">
        <v>1525</v>
      </c>
    </row>
    <row r="910" spans="1:60" s="103" customFormat="1" ht="15.75" customHeight="1" x14ac:dyDescent="0.2">
      <c r="A910" s="18"/>
      <c r="B910" s="19">
        <v>283</v>
      </c>
      <c r="C910" s="19"/>
      <c r="D910" s="19">
        <v>101817</v>
      </c>
      <c r="E910" s="19" t="s">
        <v>1224</v>
      </c>
      <c r="F910" s="93">
        <v>2008</v>
      </c>
      <c r="G910" s="19" t="s">
        <v>995</v>
      </c>
      <c r="H910" s="19"/>
      <c r="I910" s="19" t="s">
        <v>41</v>
      </c>
      <c r="J910" s="19" t="s">
        <v>344</v>
      </c>
      <c r="K910" s="19" t="s">
        <v>42</v>
      </c>
      <c r="L910" s="19" t="s">
        <v>43</v>
      </c>
      <c r="M910" s="19" t="s">
        <v>1303</v>
      </c>
      <c r="N910" s="19" t="s">
        <v>109</v>
      </c>
      <c r="O910" s="19" t="s">
        <v>264</v>
      </c>
      <c r="P910" s="19" t="s">
        <v>53</v>
      </c>
      <c r="Q910" s="19"/>
      <c r="R910" s="19" t="s">
        <v>256</v>
      </c>
      <c r="S910" s="19" t="s">
        <v>309</v>
      </c>
      <c r="T910" s="19" t="s">
        <v>44</v>
      </c>
      <c r="U910" s="19" t="s">
        <v>44</v>
      </c>
      <c r="V910" s="19" t="s">
        <v>103</v>
      </c>
      <c r="W910" s="19" t="s">
        <v>231</v>
      </c>
      <c r="X910" s="19" t="s">
        <v>46</v>
      </c>
      <c r="Y910" s="29"/>
      <c r="Z910" s="19"/>
      <c r="AA910" s="19"/>
      <c r="AB910" s="19" t="s">
        <v>535</v>
      </c>
      <c r="AC910" s="19" t="s">
        <v>1322</v>
      </c>
      <c r="AD910" s="19"/>
      <c r="AE910" s="19"/>
      <c r="AF910" s="19"/>
      <c r="AG910" s="19" t="s">
        <v>235</v>
      </c>
      <c r="AH910" s="19"/>
      <c r="AI910" s="19"/>
      <c r="AJ910" s="19" t="s">
        <v>234</v>
      </c>
      <c r="AK910" s="19" t="s">
        <v>234</v>
      </c>
      <c r="AL910" s="19"/>
      <c r="AM910" s="19" t="s">
        <v>234</v>
      </c>
      <c r="AN910" s="19" t="s">
        <v>234</v>
      </c>
      <c r="AO910" s="19" t="s">
        <v>235</v>
      </c>
      <c r="AP910" s="94"/>
      <c r="AQ910" s="19" t="s">
        <v>91</v>
      </c>
      <c r="AR910" s="19" t="s">
        <v>241</v>
      </c>
      <c r="AS910" s="19"/>
      <c r="AT910" s="65" t="str">
        <f t="shared" si="251"/>
        <v>N</v>
      </c>
      <c r="AU910" s="65" t="str">
        <f t="shared" si="252"/>
        <v>N</v>
      </c>
      <c r="AV910" s="65" t="str">
        <f t="shared" si="250"/>
        <v>N</v>
      </c>
      <c r="AW910" s="99"/>
      <c r="AX910" s="99"/>
      <c r="AY910" s="19"/>
      <c r="AZ910" s="96" t="str">
        <f t="shared" si="253"/>
        <v>n</v>
      </c>
      <c r="BA910" s="96" t="str">
        <f>IF(AZ910="n","n",VLOOKUP(AZ910,'Conversion factors'!$C$4:$D$24,2,FALSE))</f>
        <v>n</v>
      </c>
      <c r="BB910" s="96" t="str">
        <f t="shared" si="254"/>
        <v>n</v>
      </c>
      <c r="BC910" s="97"/>
      <c r="BD910" s="96" t="str">
        <f t="shared" si="255"/>
        <v>n</v>
      </c>
      <c r="BE910" s="96" t="str">
        <f t="shared" si="256"/>
        <v>n</v>
      </c>
      <c r="BF910" s="98" t="str">
        <f t="shared" si="257"/>
        <v/>
      </c>
      <c r="BG910" s="96" t="str">
        <f>IF(BF910="","",IF(ISNUMBER(VLOOKUP(BF910,'Conversion factors'!$B$35:$C$52,2,FALSE)),"y","n"))</f>
        <v/>
      </c>
      <c r="BH910" s="99" t="s">
        <v>1525</v>
      </c>
    </row>
    <row r="911" spans="1:60" s="103" customFormat="1" ht="15.75" customHeight="1" x14ac:dyDescent="0.2">
      <c r="A911" s="18"/>
      <c r="B911" s="19">
        <v>202</v>
      </c>
      <c r="C911" s="19"/>
      <c r="D911" s="19">
        <v>52981</v>
      </c>
      <c r="E911" s="19" t="s">
        <v>1224</v>
      </c>
      <c r="F911" s="93">
        <v>1998</v>
      </c>
      <c r="G911" s="19" t="s">
        <v>426</v>
      </c>
      <c r="H911" s="19"/>
      <c r="I911" s="19" t="s">
        <v>41</v>
      </c>
      <c r="J911" s="19" t="s">
        <v>344</v>
      </c>
      <c r="K911" s="19" t="s">
        <v>42</v>
      </c>
      <c r="L911" s="19" t="s">
        <v>43</v>
      </c>
      <c r="M911" s="19" t="s">
        <v>1303</v>
      </c>
      <c r="N911" s="19" t="s">
        <v>109</v>
      </c>
      <c r="O911" s="19" t="s">
        <v>235</v>
      </c>
      <c r="P911" s="19" t="s">
        <v>53</v>
      </c>
      <c r="Q911" s="19"/>
      <c r="R911" s="19" t="s">
        <v>256</v>
      </c>
      <c r="S911" s="19" t="s">
        <v>304</v>
      </c>
      <c r="T911" s="19" t="s">
        <v>44</v>
      </c>
      <c r="U911" s="19" t="s">
        <v>44</v>
      </c>
      <c r="V911" s="19" t="s">
        <v>619</v>
      </c>
      <c r="W911" s="19" t="s">
        <v>231</v>
      </c>
      <c r="X911" s="19" t="s">
        <v>46</v>
      </c>
      <c r="Y911" s="29"/>
      <c r="Z911" s="19"/>
      <c r="AA911" s="19"/>
      <c r="AB911" s="19" t="s">
        <v>427</v>
      </c>
      <c r="AC911" s="19" t="s">
        <v>1322</v>
      </c>
      <c r="AD911" s="19"/>
      <c r="AE911" s="19"/>
      <c r="AF911" s="19"/>
      <c r="AG911" s="19" t="s">
        <v>235</v>
      </c>
      <c r="AH911" s="19"/>
      <c r="AI911" s="19"/>
      <c r="AJ911" s="19">
        <f>MEDIAN(7.8,8.8)</f>
        <v>8.3000000000000007</v>
      </c>
      <c r="AK911" s="19" t="s">
        <v>1501</v>
      </c>
      <c r="AL911" s="19"/>
      <c r="AM911" s="19" t="s">
        <v>234</v>
      </c>
      <c r="AN911" s="19" t="s">
        <v>428</v>
      </c>
      <c r="AO911" s="19" t="s">
        <v>429</v>
      </c>
      <c r="AP911" s="94" t="s">
        <v>1495</v>
      </c>
      <c r="AQ911" s="19" t="s">
        <v>150</v>
      </c>
      <c r="AR911" s="19" t="s">
        <v>241</v>
      </c>
      <c r="AS911" s="19"/>
      <c r="AT911" s="65" t="str">
        <f t="shared" si="251"/>
        <v>N</v>
      </c>
      <c r="AU911" s="65" t="str">
        <f t="shared" si="252"/>
        <v>N</v>
      </c>
      <c r="AV911" s="65" t="str">
        <f t="shared" si="250"/>
        <v>N</v>
      </c>
      <c r="AW911" s="99"/>
      <c r="AX911" s="99"/>
      <c r="AY911" s="19"/>
      <c r="AZ911" s="96" t="str">
        <f t="shared" si="253"/>
        <v>n</v>
      </c>
      <c r="BA911" s="96" t="str">
        <f>IF(AZ911="n","n",VLOOKUP(AZ911,'Conversion factors'!$C$4:$D$24,2,FALSE))</f>
        <v>n</v>
      </c>
      <c r="BB911" s="96" t="str">
        <f t="shared" si="254"/>
        <v>n</v>
      </c>
      <c r="BC911" s="97"/>
      <c r="BD911" s="96" t="str">
        <f t="shared" si="255"/>
        <v>n</v>
      </c>
      <c r="BE911" s="96" t="str">
        <f t="shared" si="256"/>
        <v>n</v>
      </c>
      <c r="BF911" s="98" t="str">
        <f t="shared" si="257"/>
        <v/>
      </c>
      <c r="BG911" s="96" t="str">
        <f>IF(BF911="","",IF(ISNUMBER(VLOOKUP(BF911,'Conversion factors'!$B$35:$C$52,2,FALSE)),"y","n"))</f>
        <v/>
      </c>
      <c r="BH911" s="99"/>
    </row>
    <row r="912" spans="1:60" s="103" customFormat="1" ht="15.75" customHeight="1" x14ac:dyDescent="0.2">
      <c r="A912" s="18"/>
      <c r="B912" s="19">
        <v>192</v>
      </c>
      <c r="C912" s="19"/>
      <c r="D912" s="19">
        <v>19852</v>
      </c>
      <c r="E912" s="19" t="s">
        <v>1224</v>
      </c>
      <c r="F912" s="93">
        <v>1999</v>
      </c>
      <c r="G912" s="19" t="s">
        <v>362</v>
      </c>
      <c r="H912" s="19"/>
      <c r="I912" s="19" t="s">
        <v>41</v>
      </c>
      <c r="J912" s="19" t="s">
        <v>344</v>
      </c>
      <c r="K912" s="19" t="s">
        <v>42</v>
      </c>
      <c r="L912" s="19" t="s">
        <v>43</v>
      </c>
      <c r="M912" s="19" t="s">
        <v>1303</v>
      </c>
      <c r="N912" s="19" t="s">
        <v>109</v>
      </c>
      <c r="O912" s="19" t="s">
        <v>235</v>
      </c>
      <c r="P912" s="19" t="s">
        <v>53</v>
      </c>
      <c r="Q912" s="19"/>
      <c r="R912" s="19" t="s">
        <v>256</v>
      </c>
      <c r="S912" s="19" t="s">
        <v>309</v>
      </c>
      <c r="T912" s="19" t="s">
        <v>44</v>
      </c>
      <c r="U912" s="19" t="s">
        <v>44</v>
      </c>
      <c r="V912" s="19" t="s">
        <v>103</v>
      </c>
      <c r="W912" s="19" t="s">
        <v>231</v>
      </c>
      <c r="X912" s="19" t="s">
        <v>46</v>
      </c>
      <c r="Y912" s="29"/>
      <c r="Z912" s="19"/>
      <c r="AA912" s="19"/>
      <c r="AB912" s="19" t="s">
        <v>374</v>
      </c>
      <c r="AC912" s="19" t="s">
        <v>1322</v>
      </c>
      <c r="AD912" s="19"/>
      <c r="AE912" s="19"/>
      <c r="AF912" s="19"/>
      <c r="AG912" s="19" t="s">
        <v>235</v>
      </c>
      <c r="AH912" s="19"/>
      <c r="AI912" s="19"/>
      <c r="AJ912" s="19" t="s">
        <v>234</v>
      </c>
      <c r="AK912" s="19" t="s">
        <v>234</v>
      </c>
      <c r="AL912" s="19"/>
      <c r="AM912" s="19" t="s">
        <v>234</v>
      </c>
      <c r="AN912" s="19" t="s">
        <v>234</v>
      </c>
      <c r="AO912" s="19" t="s">
        <v>235</v>
      </c>
      <c r="AP912" s="94"/>
      <c r="AQ912" s="19" t="s">
        <v>365</v>
      </c>
      <c r="AR912" s="19" t="s">
        <v>241</v>
      </c>
      <c r="AS912" s="19"/>
      <c r="AT912" s="65" t="str">
        <f t="shared" si="251"/>
        <v>N</v>
      </c>
      <c r="AU912" s="65" t="str">
        <f t="shared" si="252"/>
        <v>N</v>
      </c>
      <c r="AV912" s="65" t="str">
        <f t="shared" si="250"/>
        <v>N</v>
      </c>
      <c r="AW912" s="99"/>
      <c r="AX912" s="99"/>
      <c r="AY912" s="19"/>
      <c r="AZ912" s="96" t="str">
        <f t="shared" si="253"/>
        <v>n</v>
      </c>
      <c r="BA912" s="96" t="str">
        <f>IF(AZ912="n","n",VLOOKUP(AZ912,'Conversion factors'!$C$4:$D$24,2,FALSE))</f>
        <v>n</v>
      </c>
      <c r="BB912" s="96" t="str">
        <f t="shared" si="254"/>
        <v>n</v>
      </c>
      <c r="BC912" s="97"/>
      <c r="BD912" s="96" t="str">
        <f t="shared" si="255"/>
        <v>n</v>
      </c>
      <c r="BE912" s="96" t="str">
        <f t="shared" si="256"/>
        <v>n</v>
      </c>
      <c r="BF912" s="98" t="str">
        <f t="shared" si="257"/>
        <v/>
      </c>
      <c r="BG912" s="96" t="str">
        <f>IF(BF912="","",IF(ISNUMBER(VLOOKUP(BF912,'Conversion factors'!$B$35:$C$52,2,FALSE)),"y","n"))</f>
        <v/>
      </c>
      <c r="BH912" s="99"/>
    </row>
    <row r="913" spans="1:60" s="103" customFormat="1" ht="15.75" customHeight="1" x14ac:dyDescent="0.2">
      <c r="A913" s="18"/>
      <c r="B913" s="19">
        <v>214</v>
      </c>
      <c r="C913" s="19"/>
      <c r="D913" s="19">
        <v>61447</v>
      </c>
      <c r="E913" s="19" t="s">
        <v>1224</v>
      </c>
      <c r="F913" s="93">
        <v>1999</v>
      </c>
      <c r="G913" s="19" t="s">
        <v>508</v>
      </c>
      <c r="H913" s="19"/>
      <c r="I913" s="19" t="s">
        <v>41</v>
      </c>
      <c r="J913" s="19" t="s">
        <v>344</v>
      </c>
      <c r="K913" s="19" t="s">
        <v>42</v>
      </c>
      <c r="L913" s="19" t="s">
        <v>43</v>
      </c>
      <c r="M913" s="19" t="s">
        <v>1303</v>
      </c>
      <c r="N913" s="19" t="s">
        <v>109</v>
      </c>
      <c r="O913" s="19" t="s">
        <v>235</v>
      </c>
      <c r="P913" s="19" t="s">
        <v>53</v>
      </c>
      <c r="Q913" s="19"/>
      <c r="R913" s="19" t="s">
        <v>256</v>
      </c>
      <c r="S913" s="19" t="s">
        <v>302</v>
      </c>
      <c r="T913" s="19" t="s">
        <v>44</v>
      </c>
      <c r="U913" s="19" t="s">
        <v>44</v>
      </c>
      <c r="V913" s="19" t="s">
        <v>619</v>
      </c>
      <c r="W913" s="19" t="s">
        <v>45</v>
      </c>
      <c r="X913" s="19" t="s">
        <v>46</v>
      </c>
      <c r="Y913" s="29"/>
      <c r="Z913" s="19"/>
      <c r="AA913" s="19"/>
      <c r="AB913" s="19" t="s">
        <v>101</v>
      </c>
      <c r="AC913" s="19" t="s">
        <v>1322</v>
      </c>
      <c r="AD913" s="19"/>
      <c r="AE913" s="19"/>
      <c r="AF913" s="19"/>
      <c r="AG913" s="19" t="s">
        <v>235</v>
      </c>
      <c r="AH913" s="19"/>
      <c r="AI913" s="19"/>
      <c r="AJ913" s="19" t="s">
        <v>234</v>
      </c>
      <c r="AK913" s="19" t="s">
        <v>234</v>
      </c>
      <c r="AL913" s="19"/>
      <c r="AM913" s="19" t="s">
        <v>234</v>
      </c>
      <c r="AN913" s="19" t="s">
        <v>234</v>
      </c>
      <c r="AO913" s="19" t="s">
        <v>235</v>
      </c>
      <c r="AP913" s="94"/>
      <c r="AQ913" s="19" t="s">
        <v>102</v>
      </c>
      <c r="AR913" s="19" t="s">
        <v>241</v>
      </c>
      <c r="AS913" s="19"/>
      <c r="AT913" s="65" t="str">
        <f t="shared" si="251"/>
        <v>N</v>
      </c>
      <c r="AU913" s="65" t="str">
        <f t="shared" si="252"/>
        <v>N</v>
      </c>
      <c r="AV913" s="65" t="str">
        <f t="shared" si="250"/>
        <v>N</v>
      </c>
      <c r="AW913" s="99"/>
      <c r="AX913" s="99"/>
      <c r="AY913" s="19"/>
      <c r="AZ913" s="96" t="str">
        <f t="shared" si="253"/>
        <v>n</v>
      </c>
      <c r="BA913" s="96" t="str">
        <f>IF(AZ913="n","n",VLOOKUP(AZ913,'Conversion factors'!$C$4:$D$24,2,FALSE))</f>
        <v>n</v>
      </c>
      <c r="BB913" s="96" t="str">
        <f t="shared" si="254"/>
        <v>n</v>
      </c>
      <c r="BC913" s="97"/>
      <c r="BD913" s="96" t="str">
        <f t="shared" si="255"/>
        <v>n</v>
      </c>
      <c r="BE913" s="96" t="str">
        <f t="shared" si="256"/>
        <v>n</v>
      </c>
      <c r="BF913" s="98" t="str">
        <f t="shared" si="257"/>
        <v/>
      </c>
      <c r="BG913" s="96" t="str">
        <f>IF(BF913="","",IF(ISNUMBER(VLOOKUP(BF913,'Conversion factors'!$B$35:$C$52,2,FALSE)),"y","n"))</f>
        <v/>
      </c>
      <c r="BH913" s="99"/>
    </row>
    <row r="914" spans="1:60" s="103" customFormat="1" ht="15.75" customHeight="1" x14ac:dyDescent="0.2">
      <c r="A914" s="18"/>
      <c r="B914" s="19">
        <v>196</v>
      </c>
      <c r="C914" s="19"/>
      <c r="D914" s="19">
        <v>45196</v>
      </c>
      <c r="E914" s="19" t="s">
        <v>1224</v>
      </c>
      <c r="F914" s="93">
        <v>1992</v>
      </c>
      <c r="G914" s="19" t="s">
        <v>397</v>
      </c>
      <c r="H914" s="19"/>
      <c r="I914" s="19" t="s">
        <v>41</v>
      </c>
      <c r="J914" s="19" t="s">
        <v>344</v>
      </c>
      <c r="K914" s="19" t="s">
        <v>42</v>
      </c>
      <c r="L914" s="19" t="s">
        <v>43</v>
      </c>
      <c r="M914" s="19" t="s">
        <v>1303</v>
      </c>
      <c r="N914" s="19" t="s">
        <v>109</v>
      </c>
      <c r="O914" s="19" t="s">
        <v>235</v>
      </c>
      <c r="P914" s="19" t="s">
        <v>53</v>
      </c>
      <c r="Q914" s="19"/>
      <c r="R914" s="19" t="s">
        <v>256</v>
      </c>
      <c r="S914" s="19" t="s">
        <v>304</v>
      </c>
      <c r="T914" s="19" t="s">
        <v>44</v>
      </c>
      <c r="U914" s="19" t="s">
        <v>44</v>
      </c>
      <c r="V914" s="19" t="s">
        <v>444</v>
      </c>
      <c r="W914" s="19" t="s">
        <v>231</v>
      </c>
      <c r="X914" s="19" t="s">
        <v>46</v>
      </c>
      <c r="Y914" s="29"/>
      <c r="Z914" s="19"/>
      <c r="AA914" s="19"/>
      <c r="AB914" s="19" t="s">
        <v>398</v>
      </c>
      <c r="AC914" s="19" t="s">
        <v>1322</v>
      </c>
      <c r="AD914" s="19"/>
      <c r="AE914" s="19"/>
      <c r="AF914" s="19"/>
      <c r="AG914" s="19" t="s">
        <v>235</v>
      </c>
      <c r="AH914" s="19"/>
      <c r="AI914" s="19"/>
      <c r="AJ914" s="19" t="s">
        <v>234</v>
      </c>
      <c r="AK914" s="19" t="s">
        <v>234</v>
      </c>
      <c r="AL914" s="19"/>
      <c r="AM914" s="19" t="s">
        <v>234</v>
      </c>
      <c r="AN914" s="19" t="s">
        <v>234</v>
      </c>
      <c r="AO914" s="19" t="s">
        <v>235</v>
      </c>
      <c r="AP914" s="94"/>
      <c r="AQ914" s="19" t="s">
        <v>399</v>
      </c>
      <c r="AR914" s="19" t="s">
        <v>241</v>
      </c>
      <c r="AS914" s="19"/>
      <c r="AT914" s="65" t="str">
        <f t="shared" si="251"/>
        <v>N</v>
      </c>
      <c r="AU914" s="65" t="str">
        <f t="shared" si="252"/>
        <v>N</v>
      </c>
      <c r="AV914" s="65" t="str">
        <f t="shared" si="250"/>
        <v>N</v>
      </c>
      <c r="AW914" s="99"/>
      <c r="AX914" s="99"/>
      <c r="AY914" s="19"/>
      <c r="AZ914" s="96" t="str">
        <f t="shared" si="253"/>
        <v>n</v>
      </c>
      <c r="BA914" s="96" t="str">
        <f>IF(AZ914="n","n",VLOOKUP(AZ914,'Conversion factors'!$C$4:$D$24,2,FALSE))</f>
        <v>n</v>
      </c>
      <c r="BB914" s="96" t="str">
        <f t="shared" si="254"/>
        <v>n</v>
      </c>
      <c r="BC914" s="97"/>
      <c r="BD914" s="96" t="str">
        <f t="shared" si="255"/>
        <v>n</v>
      </c>
      <c r="BE914" s="96" t="str">
        <f t="shared" si="256"/>
        <v>n</v>
      </c>
      <c r="BF914" s="98" t="str">
        <f t="shared" si="257"/>
        <v/>
      </c>
      <c r="BG914" s="96" t="str">
        <f>IF(BF914="","",IF(ISNUMBER(VLOOKUP(BF914,'Conversion factors'!$B$35:$C$52,2,FALSE)),"y","n"))</f>
        <v/>
      </c>
      <c r="BH914" s="99"/>
    </row>
    <row r="915" spans="1:60" s="103" customFormat="1" ht="15.75" customHeight="1" x14ac:dyDescent="0.2">
      <c r="A915" s="18"/>
      <c r="B915" s="19">
        <v>196</v>
      </c>
      <c r="C915" s="19"/>
      <c r="D915" s="19">
        <v>45196</v>
      </c>
      <c r="E915" s="19" t="s">
        <v>1224</v>
      </c>
      <c r="F915" s="93">
        <v>1992</v>
      </c>
      <c r="G915" s="19" t="s">
        <v>397</v>
      </c>
      <c r="H915" s="19"/>
      <c r="I915" s="19" t="s">
        <v>41</v>
      </c>
      <c r="J915" s="19" t="s">
        <v>344</v>
      </c>
      <c r="K915" s="19" t="s">
        <v>42</v>
      </c>
      <c r="L915" s="19" t="s">
        <v>43</v>
      </c>
      <c r="M915" s="19" t="s">
        <v>1303</v>
      </c>
      <c r="N915" s="19" t="s">
        <v>109</v>
      </c>
      <c r="O915" s="19" t="s">
        <v>235</v>
      </c>
      <c r="P915" s="19" t="s">
        <v>53</v>
      </c>
      <c r="Q915" s="19"/>
      <c r="R915" s="19" t="s">
        <v>256</v>
      </c>
      <c r="S915" s="19" t="s">
        <v>304</v>
      </c>
      <c r="T915" s="19" t="s">
        <v>44</v>
      </c>
      <c r="U915" s="19" t="s">
        <v>44</v>
      </c>
      <c r="V915" s="19" t="s">
        <v>444</v>
      </c>
      <c r="W915" s="19" t="s">
        <v>231</v>
      </c>
      <c r="X915" s="19" t="s">
        <v>46</v>
      </c>
      <c r="Y915" s="29"/>
      <c r="Z915" s="19"/>
      <c r="AA915" s="19"/>
      <c r="AB915" s="19" t="s">
        <v>400</v>
      </c>
      <c r="AC915" s="19" t="s">
        <v>1322</v>
      </c>
      <c r="AD915" s="19"/>
      <c r="AE915" s="19"/>
      <c r="AF915" s="19"/>
      <c r="AG915" s="19" t="s">
        <v>235</v>
      </c>
      <c r="AH915" s="19"/>
      <c r="AI915" s="19"/>
      <c r="AJ915" s="19" t="s">
        <v>234</v>
      </c>
      <c r="AK915" s="19" t="s">
        <v>234</v>
      </c>
      <c r="AL915" s="19"/>
      <c r="AM915" s="19" t="s">
        <v>234</v>
      </c>
      <c r="AN915" s="19" t="s">
        <v>234</v>
      </c>
      <c r="AO915" s="19" t="s">
        <v>235</v>
      </c>
      <c r="AP915" s="94"/>
      <c r="AQ915" s="19" t="s">
        <v>399</v>
      </c>
      <c r="AR915" s="19" t="s">
        <v>241</v>
      </c>
      <c r="AS915" s="19"/>
      <c r="AT915" s="65" t="str">
        <f t="shared" si="251"/>
        <v>N</v>
      </c>
      <c r="AU915" s="65" t="str">
        <f t="shared" si="252"/>
        <v>N</v>
      </c>
      <c r="AV915" s="65" t="str">
        <f t="shared" si="250"/>
        <v>N</v>
      </c>
      <c r="AW915" s="99"/>
      <c r="AX915" s="99"/>
      <c r="AY915" s="19"/>
      <c r="AZ915" s="96" t="str">
        <f t="shared" si="253"/>
        <v>n</v>
      </c>
      <c r="BA915" s="96" t="str">
        <f>IF(AZ915="n","n",VLOOKUP(AZ915,'Conversion factors'!$C$4:$D$24,2,FALSE))</f>
        <v>n</v>
      </c>
      <c r="BB915" s="96" t="str">
        <f t="shared" si="254"/>
        <v>n</v>
      </c>
      <c r="BC915" s="97"/>
      <c r="BD915" s="96" t="str">
        <f t="shared" si="255"/>
        <v>n</v>
      </c>
      <c r="BE915" s="96" t="str">
        <f t="shared" si="256"/>
        <v>n</v>
      </c>
      <c r="BF915" s="98" t="str">
        <f t="shared" si="257"/>
        <v/>
      </c>
      <c r="BG915" s="96" t="str">
        <f>IF(BF915="","",IF(ISNUMBER(VLOOKUP(BF915,'Conversion factors'!$B$35:$C$52,2,FALSE)),"y","n"))</f>
        <v/>
      </c>
      <c r="BH915" s="99"/>
    </row>
    <row r="916" spans="1:60" s="103" customFormat="1" ht="15.75" customHeight="1" x14ac:dyDescent="0.2">
      <c r="A916" s="18"/>
      <c r="B916" s="19">
        <v>204</v>
      </c>
      <c r="C916" s="19"/>
      <c r="D916" s="19">
        <v>54608</v>
      </c>
      <c r="E916" s="19" t="s">
        <v>1224</v>
      </c>
      <c r="F916" s="93">
        <v>1998</v>
      </c>
      <c r="G916" s="19" t="s">
        <v>443</v>
      </c>
      <c r="H916" s="19"/>
      <c r="I916" s="19" t="s">
        <v>41</v>
      </c>
      <c r="J916" s="19" t="s">
        <v>344</v>
      </c>
      <c r="K916" s="19" t="s">
        <v>42</v>
      </c>
      <c r="L916" s="19" t="s">
        <v>43</v>
      </c>
      <c r="M916" s="19" t="s">
        <v>1303</v>
      </c>
      <c r="N916" s="19" t="s">
        <v>109</v>
      </c>
      <c r="O916" s="19" t="s">
        <v>264</v>
      </c>
      <c r="P916" s="19" t="s">
        <v>53</v>
      </c>
      <c r="Q916" s="19"/>
      <c r="R916" s="19" t="s">
        <v>256</v>
      </c>
      <c r="S916" s="19" t="s">
        <v>304</v>
      </c>
      <c r="T916" s="19" t="s">
        <v>44</v>
      </c>
      <c r="U916" s="19" t="s">
        <v>44</v>
      </c>
      <c r="V916" s="19" t="s">
        <v>444</v>
      </c>
      <c r="W916" s="19" t="s">
        <v>45</v>
      </c>
      <c r="X916" s="19" t="s">
        <v>46</v>
      </c>
      <c r="Y916" s="29"/>
      <c r="Z916" s="19" t="s">
        <v>445</v>
      </c>
      <c r="AA916" s="19"/>
      <c r="AB916" s="19"/>
      <c r="AC916" s="19" t="s">
        <v>1322</v>
      </c>
      <c r="AD916" s="19"/>
      <c r="AE916" s="19"/>
      <c r="AF916" s="19"/>
      <c r="AG916" s="19" t="s">
        <v>235</v>
      </c>
      <c r="AH916" s="19"/>
      <c r="AI916" s="19"/>
      <c r="AJ916" s="19" t="s">
        <v>234</v>
      </c>
      <c r="AK916" s="19" t="s">
        <v>234</v>
      </c>
      <c r="AL916" s="19"/>
      <c r="AM916" s="19" t="s">
        <v>234</v>
      </c>
      <c r="AN916" s="19" t="s">
        <v>234</v>
      </c>
      <c r="AO916" s="19" t="s">
        <v>235</v>
      </c>
      <c r="AP916" s="94"/>
      <c r="AQ916" s="19" t="s">
        <v>102</v>
      </c>
      <c r="AR916" s="19" t="s">
        <v>241</v>
      </c>
      <c r="AS916" s="19"/>
      <c r="AT916" s="65" t="str">
        <f t="shared" si="251"/>
        <v>N</v>
      </c>
      <c r="AU916" s="65" t="str">
        <f t="shared" si="252"/>
        <v>N</v>
      </c>
      <c r="AV916" s="65" t="str">
        <f t="shared" si="250"/>
        <v>N</v>
      </c>
      <c r="AW916" s="99"/>
      <c r="AX916" s="99"/>
      <c r="AY916" s="19"/>
      <c r="AZ916" s="96" t="str">
        <f t="shared" si="253"/>
        <v>n</v>
      </c>
      <c r="BA916" s="96" t="str">
        <f>IF(AZ916="n","n",VLOOKUP(AZ916,'Conversion factors'!$C$4:$D$24,2,FALSE))</f>
        <v>n</v>
      </c>
      <c r="BB916" s="96" t="str">
        <f t="shared" si="254"/>
        <v>n</v>
      </c>
      <c r="BC916" s="97"/>
      <c r="BD916" s="96" t="str">
        <f t="shared" si="255"/>
        <v>n</v>
      </c>
      <c r="BE916" s="96" t="str">
        <f t="shared" si="256"/>
        <v>n</v>
      </c>
      <c r="BF916" s="98" t="str">
        <f t="shared" si="257"/>
        <v/>
      </c>
      <c r="BG916" s="96" t="str">
        <f>IF(BF916="","",IF(ISNUMBER(VLOOKUP(BF916,'Conversion factors'!$B$35:$C$52,2,FALSE)),"y","n"))</f>
        <v/>
      </c>
      <c r="BH916" s="99"/>
    </row>
    <row r="917" spans="1:60" s="103" customFormat="1" ht="15.75" customHeight="1" x14ac:dyDescent="0.2">
      <c r="A917" s="18"/>
      <c r="B917" s="19">
        <v>186</v>
      </c>
      <c r="C917" s="19"/>
      <c r="D917" s="19">
        <v>18392</v>
      </c>
      <c r="E917" s="19" t="s">
        <v>1224</v>
      </c>
      <c r="F917" s="93">
        <v>1997</v>
      </c>
      <c r="G917" s="19" t="s">
        <v>343</v>
      </c>
      <c r="H917" s="19"/>
      <c r="I917" s="19" t="s">
        <v>41</v>
      </c>
      <c r="J917" s="19" t="s">
        <v>344</v>
      </c>
      <c r="K917" s="19" t="s">
        <v>42</v>
      </c>
      <c r="L917" s="19" t="s">
        <v>43</v>
      </c>
      <c r="M917" s="19" t="s">
        <v>1303</v>
      </c>
      <c r="N917" s="19" t="s">
        <v>109</v>
      </c>
      <c r="O917" s="19" t="s">
        <v>235</v>
      </c>
      <c r="P917" s="19" t="s">
        <v>53</v>
      </c>
      <c r="Q917" s="19"/>
      <c r="R917" s="19" t="s">
        <v>256</v>
      </c>
      <c r="S917" s="19" t="s">
        <v>302</v>
      </c>
      <c r="T917" s="19" t="s">
        <v>346</v>
      </c>
      <c r="U917" s="19" t="s">
        <v>346</v>
      </c>
      <c r="V917" s="19" t="s">
        <v>444</v>
      </c>
      <c r="W917" s="19" t="s">
        <v>231</v>
      </c>
      <c r="X917" s="19" t="s">
        <v>46</v>
      </c>
      <c r="Y917" s="29"/>
      <c r="Z917" s="19"/>
      <c r="AA917" s="19"/>
      <c r="AB917" s="19" t="s">
        <v>347</v>
      </c>
      <c r="AC917" s="19" t="s">
        <v>1322</v>
      </c>
      <c r="AD917" s="19"/>
      <c r="AE917" s="19"/>
      <c r="AF917" s="19"/>
      <c r="AG917" s="19" t="s">
        <v>235</v>
      </c>
      <c r="AH917" s="19"/>
      <c r="AI917" s="19"/>
      <c r="AJ917" s="19" t="s">
        <v>234</v>
      </c>
      <c r="AK917" s="19" t="s">
        <v>234</v>
      </c>
      <c r="AL917" s="19"/>
      <c r="AM917" s="19" t="s">
        <v>234</v>
      </c>
      <c r="AN917" s="19" t="s">
        <v>234</v>
      </c>
      <c r="AO917" s="19" t="s">
        <v>235</v>
      </c>
      <c r="AP917" s="94"/>
      <c r="AQ917" s="19" t="s">
        <v>234</v>
      </c>
      <c r="AR917" s="19" t="s">
        <v>241</v>
      </c>
      <c r="AS917" s="19"/>
      <c r="AT917" s="65" t="str">
        <f t="shared" si="251"/>
        <v>N</v>
      </c>
      <c r="AU917" s="65" t="str">
        <f t="shared" si="252"/>
        <v>N</v>
      </c>
      <c r="AV917" s="65" t="str">
        <f t="shared" si="250"/>
        <v>N</v>
      </c>
      <c r="AW917" s="99"/>
      <c r="AX917" s="99"/>
      <c r="AY917" s="19"/>
      <c r="AZ917" s="96" t="str">
        <f t="shared" si="253"/>
        <v>n</v>
      </c>
      <c r="BA917" s="96" t="str">
        <f>IF(AZ917="n","n",VLOOKUP(AZ917,'Conversion factors'!$C$4:$D$24,2,FALSE))</f>
        <v>n</v>
      </c>
      <c r="BB917" s="96" t="str">
        <f t="shared" si="254"/>
        <v>n</v>
      </c>
      <c r="BC917" s="97"/>
      <c r="BD917" s="96" t="str">
        <f t="shared" si="255"/>
        <v>n</v>
      </c>
      <c r="BE917" s="96" t="str">
        <f t="shared" si="256"/>
        <v>n</v>
      </c>
      <c r="BF917" s="98" t="str">
        <f t="shared" si="257"/>
        <v/>
      </c>
      <c r="BG917" s="96" t="str">
        <f>IF(BF917="","",IF(ISNUMBER(VLOOKUP(BF917,'Conversion factors'!$B$35:$C$52,2,FALSE)),"y","n"))</f>
        <v/>
      </c>
      <c r="BH917" s="99" t="s">
        <v>1471</v>
      </c>
    </row>
    <row r="918" spans="1:60" s="103" customFormat="1" ht="15.75" customHeight="1" x14ac:dyDescent="0.2">
      <c r="A918" s="18"/>
      <c r="B918" s="19">
        <v>186</v>
      </c>
      <c r="C918" s="19"/>
      <c r="D918" s="19">
        <v>18392</v>
      </c>
      <c r="E918" s="19" t="s">
        <v>1224</v>
      </c>
      <c r="F918" s="93">
        <v>1997</v>
      </c>
      <c r="G918" s="19" t="s">
        <v>343</v>
      </c>
      <c r="H918" s="19"/>
      <c r="I918" s="19" t="s">
        <v>41</v>
      </c>
      <c r="J918" s="19" t="s">
        <v>344</v>
      </c>
      <c r="K918" s="19" t="s">
        <v>42</v>
      </c>
      <c r="L918" s="19" t="s">
        <v>43</v>
      </c>
      <c r="M918" s="19" t="s">
        <v>1303</v>
      </c>
      <c r="N918" s="19" t="s">
        <v>109</v>
      </c>
      <c r="O918" s="19" t="s">
        <v>235</v>
      </c>
      <c r="P918" s="19" t="s">
        <v>53</v>
      </c>
      <c r="Q918" s="19"/>
      <c r="R918" s="19" t="s">
        <v>256</v>
      </c>
      <c r="S918" s="19" t="s">
        <v>302</v>
      </c>
      <c r="T918" s="19" t="s">
        <v>55</v>
      </c>
      <c r="U918" s="19" t="s">
        <v>55</v>
      </c>
      <c r="V918" s="19" t="s">
        <v>444</v>
      </c>
      <c r="W918" s="19" t="s">
        <v>231</v>
      </c>
      <c r="X918" s="19" t="s">
        <v>46</v>
      </c>
      <c r="Y918" s="29"/>
      <c r="Z918" s="19"/>
      <c r="AA918" s="19"/>
      <c r="AB918" s="19" t="s">
        <v>348</v>
      </c>
      <c r="AC918" s="19" t="s">
        <v>1322</v>
      </c>
      <c r="AD918" s="19"/>
      <c r="AE918" s="19"/>
      <c r="AF918" s="19"/>
      <c r="AG918" s="19" t="s">
        <v>235</v>
      </c>
      <c r="AH918" s="19"/>
      <c r="AI918" s="19"/>
      <c r="AJ918" s="19" t="s">
        <v>234</v>
      </c>
      <c r="AK918" s="19" t="s">
        <v>234</v>
      </c>
      <c r="AL918" s="19"/>
      <c r="AM918" s="19" t="s">
        <v>234</v>
      </c>
      <c r="AN918" s="19" t="s">
        <v>234</v>
      </c>
      <c r="AO918" s="19" t="s">
        <v>235</v>
      </c>
      <c r="AP918" s="94"/>
      <c r="AQ918" s="19" t="s">
        <v>234</v>
      </c>
      <c r="AR918" s="19" t="s">
        <v>241</v>
      </c>
      <c r="AS918" s="19"/>
      <c r="AT918" s="65" t="str">
        <f t="shared" si="251"/>
        <v>N</v>
      </c>
      <c r="AU918" s="65" t="str">
        <f t="shared" si="252"/>
        <v>N</v>
      </c>
      <c r="AV918" s="65" t="str">
        <f t="shared" si="250"/>
        <v>N</v>
      </c>
      <c r="AW918" s="99"/>
      <c r="AX918" s="99"/>
      <c r="AY918" s="19"/>
      <c r="AZ918" s="96" t="str">
        <f t="shared" si="253"/>
        <v>n</v>
      </c>
      <c r="BA918" s="96" t="str">
        <f>IF(AZ918="n","n",VLOOKUP(AZ918,'Conversion factors'!$C$4:$D$24,2,FALSE))</f>
        <v>n</v>
      </c>
      <c r="BB918" s="96" t="str">
        <f t="shared" si="254"/>
        <v>n</v>
      </c>
      <c r="BC918" s="97"/>
      <c r="BD918" s="96" t="str">
        <f t="shared" si="255"/>
        <v>n</v>
      </c>
      <c r="BE918" s="96" t="str">
        <f t="shared" si="256"/>
        <v>n</v>
      </c>
      <c r="BF918" s="98" t="str">
        <f t="shared" si="257"/>
        <v/>
      </c>
      <c r="BG918" s="96" t="str">
        <f>IF(BF918="","",IF(ISNUMBER(VLOOKUP(BF918,'Conversion factors'!$B$35:$C$52,2,FALSE)),"y","n"))</f>
        <v/>
      </c>
      <c r="BH918" s="99"/>
    </row>
    <row r="919" spans="1:60" ht="15.75" customHeight="1" x14ac:dyDescent="0.2">
      <c r="A919" s="20">
        <v>1447</v>
      </c>
      <c r="B919" s="20">
        <v>1447</v>
      </c>
      <c r="C919" s="20">
        <v>1447</v>
      </c>
      <c r="D919" s="20" t="s">
        <v>1526</v>
      </c>
      <c r="E919" s="20" t="s">
        <v>1526</v>
      </c>
      <c r="F919" s="20">
        <v>2015</v>
      </c>
      <c r="G919" s="20" t="s">
        <v>1527</v>
      </c>
      <c r="J919" s="19" t="s">
        <v>344</v>
      </c>
      <c r="K919" s="20" t="s">
        <v>42</v>
      </c>
      <c r="L919" s="19" t="s">
        <v>43</v>
      </c>
      <c r="M919" s="20" t="s">
        <v>1303</v>
      </c>
      <c r="N919" s="19" t="s">
        <v>109</v>
      </c>
      <c r="O919" s="20" t="s">
        <v>264</v>
      </c>
      <c r="P919" s="19" t="s">
        <v>53</v>
      </c>
      <c r="R919" s="20" t="s">
        <v>256</v>
      </c>
      <c r="S919" s="20" t="s">
        <v>309</v>
      </c>
      <c r="T919" s="20" t="s">
        <v>49</v>
      </c>
      <c r="U919" s="20" t="s">
        <v>49</v>
      </c>
      <c r="V919" s="20">
        <v>2</v>
      </c>
      <c r="W919" s="19" t="s">
        <v>45</v>
      </c>
      <c r="X919" s="19" t="s">
        <v>46</v>
      </c>
      <c r="AB919" s="20">
        <v>86</v>
      </c>
      <c r="AC919" s="20" t="s">
        <v>214</v>
      </c>
      <c r="AE919" s="20">
        <v>75.2</v>
      </c>
      <c r="AJ919" s="20">
        <v>6.98</v>
      </c>
      <c r="AK919" s="20">
        <v>6.98</v>
      </c>
      <c r="AP919" s="20">
        <v>9.5</v>
      </c>
      <c r="AQ919" s="20">
        <v>25</v>
      </c>
      <c r="AT919" s="65" t="str">
        <f t="shared" si="251"/>
        <v>Y</v>
      </c>
      <c r="AU919" s="65" t="str">
        <f t="shared" si="252"/>
        <v>Y</v>
      </c>
      <c r="AV919" s="65" t="str">
        <f t="shared" si="250"/>
        <v>Y</v>
      </c>
      <c r="AW919" s="99"/>
      <c r="AX919" s="99"/>
      <c r="AZ919" s="96" t="str">
        <f t="shared" si="253"/>
        <v>EC10</v>
      </c>
      <c r="BA919" s="96">
        <f>IF(AZ919="n","n",VLOOKUP(AZ919,'Conversion factors'!$C$4:$D$24,2,FALSE))</f>
        <v>1</v>
      </c>
      <c r="BB919" s="96">
        <f t="shared" si="254"/>
        <v>86</v>
      </c>
      <c r="BC919" s="97"/>
      <c r="BD919" s="96" t="str">
        <f t="shared" si="255"/>
        <v>Chronic</v>
      </c>
      <c r="BE919" s="96" t="str">
        <f t="shared" si="256"/>
        <v>y</v>
      </c>
      <c r="BF919" s="98" t="str">
        <f t="shared" si="257"/>
        <v>EC10</v>
      </c>
      <c r="BG919" s="96" t="str">
        <f>IF(BF919="","",IF(ISNUMBER(VLOOKUP(BF919,'Conversion factors'!$B$35:$C$52,2,FALSE)),"y","n"))</f>
        <v>y</v>
      </c>
      <c r="BH919" s="99"/>
    </row>
    <row r="920" spans="1:60" ht="15.75" customHeight="1" x14ac:dyDescent="0.2">
      <c r="A920" s="20">
        <v>1447</v>
      </c>
      <c r="B920" s="20">
        <v>1447</v>
      </c>
      <c r="C920" s="20">
        <v>1447</v>
      </c>
      <c r="D920" s="20" t="s">
        <v>1526</v>
      </c>
      <c r="E920" s="20" t="s">
        <v>1526</v>
      </c>
      <c r="F920" s="20">
        <v>2015</v>
      </c>
      <c r="G920" s="20" t="s">
        <v>1527</v>
      </c>
      <c r="J920" s="19" t="s">
        <v>344</v>
      </c>
      <c r="K920" s="20" t="s">
        <v>42</v>
      </c>
      <c r="L920" s="19" t="s">
        <v>43</v>
      </c>
      <c r="M920" s="20" t="s">
        <v>1303</v>
      </c>
      <c r="N920" s="19" t="s">
        <v>109</v>
      </c>
      <c r="O920" s="20" t="s">
        <v>264</v>
      </c>
      <c r="P920" s="19" t="s">
        <v>53</v>
      </c>
      <c r="R920" s="20" t="s">
        <v>256</v>
      </c>
      <c r="S920" s="20" t="s">
        <v>309</v>
      </c>
      <c r="T920" s="20" t="s">
        <v>49</v>
      </c>
      <c r="U920" s="20" t="s">
        <v>49</v>
      </c>
      <c r="V920" s="20">
        <v>2</v>
      </c>
      <c r="W920" s="19" t="s">
        <v>45</v>
      </c>
      <c r="X920" s="19" t="s">
        <v>46</v>
      </c>
      <c r="AB920" s="20">
        <v>36</v>
      </c>
      <c r="AC920" s="20" t="s">
        <v>214</v>
      </c>
      <c r="AE920" s="20">
        <v>45</v>
      </c>
      <c r="AJ920" s="20">
        <v>7.26</v>
      </c>
      <c r="AK920" s="20">
        <v>7.26</v>
      </c>
      <c r="AP920" s="20">
        <v>12</v>
      </c>
      <c r="AQ920" s="20">
        <v>25</v>
      </c>
      <c r="AT920" s="65" t="str">
        <f t="shared" si="251"/>
        <v>Y</v>
      </c>
      <c r="AU920" s="65" t="str">
        <f t="shared" si="252"/>
        <v>Y</v>
      </c>
      <c r="AV920" s="65" t="str">
        <f t="shared" si="250"/>
        <v>Y</v>
      </c>
      <c r="AW920" s="99"/>
      <c r="AX920" s="99"/>
      <c r="AZ920" s="96" t="str">
        <f t="shared" si="253"/>
        <v>EC10</v>
      </c>
      <c r="BA920" s="96">
        <f>IF(AZ920="n","n",VLOOKUP(AZ920,'Conversion factors'!$C$4:$D$24,2,FALSE))</f>
        <v>1</v>
      </c>
      <c r="BB920" s="96">
        <f t="shared" si="254"/>
        <v>36</v>
      </c>
      <c r="BC920" s="97"/>
      <c r="BD920" s="96" t="str">
        <f t="shared" si="255"/>
        <v>Chronic</v>
      </c>
      <c r="BE920" s="96" t="str">
        <f t="shared" si="256"/>
        <v>y</v>
      </c>
      <c r="BF920" s="98" t="str">
        <f t="shared" si="257"/>
        <v>EC10</v>
      </c>
      <c r="BG920" s="96" t="str">
        <f>IF(BF920="","",IF(ISNUMBER(VLOOKUP(BF920,'Conversion factors'!$B$35:$C$52,2,FALSE)),"y","n"))</f>
        <v>y</v>
      </c>
      <c r="BH920" s="99"/>
    </row>
    <row r="921" spans="1:60" ht="15.75" customHeight="1" x14ac:dyDescent="0.2">
      <c r="A921" s="20">
        <v>1447</v>
      </c>
      <c r="B921" s="20">
        <v>1447</v>
      </c>
      <c r="C921" s="20">
        <v>1447</v>
      </c>
      <c r="D921" s="20" t="s">
        <v>1526</v>
      </c>
      <c r="E921" s="20" t="s">
        <v>1526</v>
      </c>
      <c r="F921" s="20">
        <v>2015</v>
      </c>
      <c r="G921" s="20" t="s">
        <v>1527</v>
      </c>
      <c r="J921" s="19" t="s">
        <v>344</v>
      </c>
      <c r="K921" s="20" t="s">
        <v>42</v>
      </c>
      <c r="L921" s="19" t="s">
        <v>43</v>
      </c>
      <c r="M921" s="20" t="s">
        <v>1303</v>
      </c>
      <c r="N921" s="19" t="s">
        <v>109</v>
      </c>
      <c r="O921" s="20" t="s">
        <v>264</v>
      </c>
      <c r="P921" s="19" t="s">
        <v>53</v>
      </c>
      <c r="R921" s="20" t="s">
        <v>256</v>
      </c>
      <c r="S921" s="20" t="s">
        <v>309</v>
      </c>
      <c r="T921" s="20" t="s">
        <v>49</v>
      </c>
      <c r="U921" s="20" t="s">
        <v>49</v>
      </c>
      <c r="V921" s="20">
        <v>2</v>
      </c>
      <c r="W921" s="19" t="s">
        <v>45</v>
      </c>
      <c r="X921" s="19" t="s">
        <v>46</v>
      </c>
      <c r="AB921" s="20">
        <v>116</v>
      </c>
      <c r="AC921" s="20" t="s">
        <v>214</v>
      </c>
      <c r="AE921" s="20">
        <v>21.5</v>
      </c>
      <c r="AJ921" s="20">
        <v>6.26</v>
      </c>
      <c r="AK921" s="20">
        <v>6.26</v>
      </c>
      <c r="AP921" s="20">
        <v>4.0999999999999996</v>
      </c>
      <c r="AQ921" s="20">
        <v>25</v>
      </c>
      <c r="AT921" s="65" t="str">
        <f t="shared" si="251"/>
        <v>Y</v>
      </c>
      <c r="AU921" s="65" t="str">
        <f t="shared" si="252"/>
        <v>Y</v>
      </c>
      <c r="AV921" s="65" t="str">
        <f t="shared" si="250"/>
        <v>Y</v>
      </c>
      <c r="AW921" s="99"/>
      <c r="AX921" s="99"/>
      <c r="AZ921" s="96" t="str">
        <f t="shared" si="253"/>
        <v>EC10</v>
      </c>
      <c r="BA921" s="96">
        <f>IF(AZ921="n","n",VLOOKUP(AZ921,'Conversion factors'!$C$4:$D$24,2,FALSE))</f>
        <v>1</v>
      </c>
      <c r="BB921" s="96">
        <f t="shared" si="254"/>
        <v>116</v>
      </c>
      <c r="BC921" s="97"/>
      <c r="BD921" s="96" t="str">
        <f t="shared" si="255"/>
        <v>Chronic</v>
      </c>
      <c r="BE921" s="96" t="str">
        <f t="shared" si="256"/>
        <v>y</v>
      </c>
      <c r="BF921" s="98" t="str">
        <f t="shared" si="257"/>
        <v>EC10</v>
      </c>
      <c r="BG921" s="96" t="str">
        <f>IF(BF921="","",IF(ISNUMBER(VLOOKUP(BF921,'Conversion factors'!$B$35:$C$52,2,FALSE)),"y","n"))</f>
        <v>y</v>
      </c>
      <c r="BH921" s="99"/>
    </row>
    <row r="922" spans="1:60" ht="15.75" customHeight="1" x14ac:dyDescent="0.2">
      <c r="A922" s="20">
        <v>1447</v>
      </c>
      <c r="B922" s="20">
        <v>1447</v>
      </c>
      <c r="C922" s="20">
        <v>1447</v>
      </c>
      <c r="D922" s="20" t="s">
        <v>1526</v>
      </c>
      <c r="E922" s="20" t="s">
        <v>1526</v>
      </c>
      <c r="F922" s="20">
        <v>2015</v>
      </c>
      <c r="G922" s="20" t="s">
        <v>1527</v>
      </c>
      <c r="J922" s="19" t="s">
        <v>344</v>
      </c>
      <c r="K922" s="20" t="s">
        <v>42</v>
      </c>
      <c r="L922" s="19" t="s">
        <v>43</v>
      </c>
      <c r="M922" s="20" t="s">
        <v>1303</v>
      </c>
      <c r="N922" s="19" t="s">
        <v>109</v>
      </c>
      <c r="O922" s="20" t="s">
        <v>264</v>
      </c>
      <c r="P922" s="19" t="s">
        <v>53</v>
      </c>
      <c r="R922" s="20" t="s">
        <v>256</v>
      </c>
      <c r="S922" s="20" t="s">
        <v>309</v>
      </c>
      <c r="T922" s="20" t="s">
        <v>49</v>
      </c>
      <c r="U922" s="20" t="s">
        <v>49</v>
      </c>
      <c r="V922" s="20">
        <v>2</v>
      </c>
      <c r="W922" s="19" t="s">
        <v>45</v>
      </c>
      <c r="X922" s="19" t="s">
        <v>46</v>
      </c>
      <c r="AB922" s="20">
        <v>17</v>
      </c>
      <c r="AC922" s="20" t="s">
        <v>214</v>
      </c>
      <c r="AE922" s="20">
        <v>70.5</v>
      </c>
      <c r="AJ922" s="20">
        <v>8.5399999999999991</v>
      </c>
      <c r="AK922" s="20">
        <v>8.5399999999999991</v>
      </c>
      <c r="AP922" s="20">
        <v>9</v>
      </c>
      <c r="AQ922" s="20">
        <v>25</v>
      </c>
      <c r="AT922" s="65" t="str">
        <f t="shared" si="251"/>
        <v>Y</v>
      </c>
      <c r="AU922" s="65" t="str">
        <f t="shared" si="252"/>
        <v>N</v>
      </c>
      <c r="AV922" s="65" t="str">
        <f t="shared" si="250"/>
        <v>N</v>
      </c>
      <c r="AW922" s="99"/>
      <c r="AX922" s="99"/>
      <c r="AZ922" s="96" t="str">
        <f t="shared" si="253"/>
        <v>n</v>
      </c>
      <c r="BA922" s="96" t="str">
        <f>IF(AZ922="n","n",VLOOKUP(AZ922,'Conversion factors'!$C$4:$D$24,2,FALSE))</f>
        <v>n</v>
      </c>
      <c r="BB922" s="96" t="str">
        <f t="shared" si="254"/>
        <v>n</v>
      </c>
      <c r="BC922" s="97"/>
      <c r="BD922" s="96" t="str">
        <f t="shared" si="255"/>
        <v>n</v>
      </c>
      <c r="BE922" s="96" t="str">
        <f t="shared" si="256"/>
        <v>n</v>
      </c>
      <c r="BF922" s="98" t="str">
        <f t="shared" si="257"/>
        <v/>
      </c>
      <c r="BG922" s="96" t="str">
        <f>IF(BF922="","",IF(ISNUMBER(VLOOKUP(BF922,'Conversion factors'!$B$35:$C$52,2,FALSE)),"y","n"))</f>
        <v/>
      </c>
      <c r="BH922" s="99"/>
    </row>
    <row r="923" spans="1:60" ht="15.75" customHeight="1" x14ac:dyDescent="0.2">
      <c r="A923" s="20">
        <v>1447</v>
      </c>
      <c r="B923" s="20">
        <v>1447</v>
      </c>
      <c r="C923" s="20">
        <v>1447</v>
      </c>
      <c r="D923" s="20" t="s">
        <v>1526</v>
      </c>
      <c r="E923" s="20" t="s">
        <v>1526</v>
      </c>
      <c r="F923" s="20">
        <v>2015</v>
      </c>
      <c r="G923" s="20" t="s">
        <v>1527</v>
      </c>
      <c r="J923" s="19" t="s">
        <v>344</v>
      </c>
      <c r="K923" s="20" t="s">
        <v>42</v>
      </c>
      <c r="L923" s="19" t="s">
        <v>43</v>
      </c>
      <c r="M923" s="20" t="s">
        <v>1303</v>
      </c>
      <c r="N923" s="19" t="s">
        <v>109</v>
      </c>
      <c r="O923" s="20" t="s">
        <v>264</v>
      </c>
      <c r="P923" s="19" t="s">
        <v>53</v>
      </c>
      <c r="R923" s="20" t="s">
        <v>256</v>
      </c>
      <c r="S923" s="20" t="s">
        <v>309</v>
      </c>
      <c r="T923" s="20" t="s">
        <v>49</v>
      </c>
      <c r="U923" s="20" t="s">
        <v>49</v>
      </c>
      <c r="V923" s="20">
        <v>3</v>
      </c>
      <c r="W923" s="19" t="s">
        <v>45</v>
      </c>
      <c r="X923" s="19" t="s">
        <v>46</v>
      </c>
      <c r="AB923" s="20">
        <v>14</v>
      </c>
      <c r="AC923" s="20" t="s">
        <v>214</v>
      </c>
      <c r="AE923" s="20">
        <v>70.5</v>
      </c>
      <c r="AJ923" s="20">
        <v>8.5399999999999991</v>
      </c>
      <c r="AK923" s="20">
        <v>8.5399999999999991</v>
      </c>
      <c r="AP923" s="20">
        <v>9</v>
      </c>
      <c r="AQ923" s="20">
        <v>25</v>
      </c>
      <c r="AT923" s="65" t="str">
        <f t="shared" si="251"/>
        <v>Y</v>
      </c>
      <c r="AU923" s="65" t="str">
        <f t="shared" si="252"/>
        <v>N</v>
      </c>
      <c r="AV923" s="65" t="str">
        <f t="shared" si="250"/>
        <v>N</v>
      </c>
      <c r="AW923" s="99"/>
      <c r="AX923" s="99"/>
      <c r="AZ923" s="96" t="str">
        <f t="shared" si="253"/>
        <v>n</v>
      </c>
      <c r="BA923" s="96" t="str">
        <f>IF(AZ923="n","n",VLOOKUP(AZ923,'Conversion factors'!$C$4:$D$24,2,FALSE))</f>
        <v>n</v>
      </c>
      <c r="BB923" s="96" t="str">
        <f t="shared" si="254"/>
        <v>n</v>
      </c>
      <c r="BC923" s="97"/>
      <c r="BD923" s="96" t="str">
        <f t="shared" si="255"/>
        <v>n</v>
      </c>
      <c r="BE923" s="96" t="str">
        <f t="shared" si="256"/>
        <v>n</v>
      </c>
      <c r="BF923" s="98" t="str">
        <f t="shared" si="257"/>
        <v/>
      </c>
      <c r="BG923" s="96" t="str">
        <f>IF(BF923="","",IF(ISNUMBER(VLOOKUP(BF923,'Conversion factors'!$B$35:$C$52,2,FALSE)),"y","n"))</f>
        <v/>
      </c>
      <c r="BH923" s="99"/>
    </row>
    <row r="924" spans="1:60" ht="15.75" customHeight="1" x14ac:dyDescent="0.2">
      <c r="A924" s="20">
        <v>1447</v>
      </c>
      <c r="B924" s="20">
        <v>1447</v>
      </c>
      <c r="C924" s="20">
        <v>1447</v>
      </c>
      <c r="D924" s="20" t="s">
        <v>1526</v>
      </c>
      <c r="E924" s="20" t="s">
        <v>1526</v>
      </c>
      <c r="F924" s="20">
        <v>2015</v>
      </c>
      <c r="G924" s="20" t="s">
        <v>1527</v>
      </c>
      <c r="J924" s="19" t="s">
        <v>344</v>
      </c>
      <c r="K924" s="20" t="s">
        <v>42</v>
      </c>
      <c r="L924" s="19" t="s">
        <v>43</v>
      </c>
      <c r="M924" s="20" t="s">
        <v>1303</v>
      </c>
      <c r="N924" s="19" t="s">
        <v>109</v>
      </c>
      <c r="O924" s="20" t="s">
        <v>264</v>
      </c>
      <c r="P924" s="19" t="s">
        <v>53</v>
      </c>
      <c r="R924" s="20" t="s">
        <v>256</v>
      </c>
      <c r="S924" s="20" t="s">
        <v>309</v>
      </c>
      <c r="T924" s="20" t="s">
        <v>49</v>
      </c>
      <c r="U924" s="20" t="s">
        <v>49</v>
      </c>
      <c r="V924" s="20">
        <v>2</v>
      </c>
      <c r="W924" s="19" t="s">
        <v>45</v>
      </c>
      <c r="X924" s="19" t="s">
        <v>46</v>
      </c>
      <c r="AB924" s="20">
        <v>89</v>
      </c>
      <c r="AC924" s="20" t="s">
        <v>214</v>
      </c>
      <c r="AE924" s="20">
        <v>22.7</v>
      </c>
      <c r="AJ924" s="20">
        <v>6.16</v>
      </c>
      <c r="AK924" s="20">
        <v>6.16</v>
      </c>
      <c r="AP924" s="20">
        <v>11.3</v>
      </c>
      <c r="AQ924" s="20">
        <v>25</v>
      </c>
      <c r="AT924" s="65" t="str">
        <f t="shared" si="251"/>
        <v>Y</v>
      </c>
      <c r="AU924" s="65" t="str">
        <f t="shared" si="252"/>
        <v>Y</v>
      </c>
      <c r="AV924" s="65" t="str">
        <f t="shared" si="250"/>
        <v>Y</v>
      </c>
      <c r="AW924" s="99"/>
      <c r="AX924" s="99"/>
      <c r="AZ924" s="96" t="str">
        <f t="shared" si="253"/>
        <v>EC10</v>
      </c>
      <c r="BA924" s="96">
        <f>IF(AZ924="n","n",VLOOKUP(AZ924,'Conversion factors'!$C$4:$D$24,2,FALSE))</f>
        <v>1</v>
      </c>
      <c r="BB924" s="96">
        <f t="shared" si="254"/>
        <v>89</v>
      </c>
      <c r="BC924" s="97"/>
      <c r="BD924" s="96" t="str">
        <f t="shared" si="255"/>
        <v>Chronic</v>
      </c>
      <c r="BE924" s="96" t="str">
        <f t="shared" si="256"/>
        <v>y</v>
      </c>
      <c r="BF924" s="98" t="str">
        <f t="shared" si="257"/>
        <v>EC10</v>
      </c>
      <c r="BG924" s="96" t="str">
        <f>IF(BF924="","",IF(ISNUMBER(VLOOKUP(BF924,'Conversion factors'!$B$35:$C$52,2,FALSE)),"y","n"))</f>
        <v>y</v>
      </c>
      <c r="BH924" s="99"/>
    </row>
    <row r="925" spans="1:60" ht="15.75" customHeight="1" x14ac:dyDescent="0.2">
      <c r="A925" s="20">
        <v>1447</v>
      </c>
      <c r="B925" s="20">
        <v>1447</v>
      </c>
      <c r="C925" s="20">
        <v>1447</v>
      </c>
      <c r="D925" s="20" t="s">
        <v>1526</v>
      </c>
      <c r="E925" s="20" t="s">
        <v>1526</v>
      </c>
      <c r="F925" s="20">
        <v>2015</v>
      </c>
      <c r="G925" s="20" t="s">
        <v>1527</v>
      </c>
      <c r="J925" s="19" t="s">
        <v>344</v>
      </c>
      <c r="K925" s="20" t="s">
        <v>42</v>
      </c>
      <c r="L925" s="19" t="s">
        <v>43</v>
      </c>
      <c r="M925" s="20" t="s">
        <v>1303</v>
      </c>
      <c r="N925" s="19" t="s">
        <v>109</v>
      </c>
      <c r="O925" s="20" t="s">
        <v>264</v>
      </c>
      <c r="P925" s="19" t="s">
        <v>53</v>
      </c>
      <c r="R925" s="20" t="s">
        <v>256</v>
      </c>
      <c r="S925" s="20" t="s">
        <v>309</v>
      </c>
      <c r="T925" s="20" t="s">
        <v>49</v>
      </c>
      <c r="U925" s="20" t="s">
        <v>49</v>
      </c>
      <c r="V925" s="20">
        <v>2</v>
      </c>
      <c r="W925" s="19" t="s">
        <v>45</v>
      </c>
      <c r="X925" s="19" t="s">
        <v>46</v>
      </c>
      <c r="AB925" s="20">
        <v>51</v>
      </c>
      <c r="AC925" s="20" t="s">
        <v>214</v>
      </c>
      <c r="AE925" s="20">
        <v>47.8</v>
      </c>
      <c r="AJ925" s="20">
        <v>7.13</v>
      </c>
      <c r="AK925" s="20">
        <v>7.13</v>
      </c>
      <c r="AP925" s="20">
        <v>9.9</v>
      </c>
      <c r="AQ925" s="20">
        <v>25</v>
      </c>
      <c r="AT925" s="65" t="str">
        <f t="shared" si="251"/>
        <v>Y</v>
      </c>
      <c r="AU925" s="65" t="str">
        <f t="shared" si="252"/>
        <v>Y</v>
      </c>
      <c r="AV925" s="65" t="str">
        <f t="shared" si="250"/>
        <v>Y</v>
      </c>
      <c r="AW925" s="99"/>
      <c r="AX925" s="99"/>
      <c r="AZ925" s="96" t="str">
        <f t="shared" si="253"/>
        <v>EC10</v>
      </c>
      <c r="BA925" s="96">
        <f>IF(AZ925="n","n",VLOOKUP(AZ925,'Conversion factors'!$C$4:$D$24,2,FALSE))</f>
        <v>1</v>
      </c>
      <c r="BB925" s="96">
        <f t="shared" si="254"/>
        <v>51</v>
      </c>
      <c r="BC925" s="97"/>
      <c r="BD925" s="96" t="str">
        <f t="shared" si="255"/>
        <v>Chronic</v>
      </c>
      <c r="BE925" s="96" t="str">
        <f t="shared" si="256"/>
        <v>y</v>
      </c>
      <c r="BF925" s="98" t="str">
        <f t="shared" si="257"/>
        <v>EC10</v>
      </c>
      <c r="BG925" s="96" t="str">
        <f>IF(BF925="","",IF(ISNUMBER(VLOOKUP(BF925,'Conversion factors'!$B$35:$C$52,2,FALSE)),"y","n"))</f>
        <v>y</v>
      </c>
      <c r="BH925" s="99"/>
    </row>
    <row r="926" spans="1:60" ht="15.75" customHeight="1" x14ac:dyDescent="0.2">
      <c r="A926" s="20">
        <v>1447</v>
      </c>
      <c r="B926" s="20">
        <v>1447</v>
      </c>
      <c r="C926" s="20">
        <v>1447</v>
      </c>
      <c r="D926" s="20" t="s">
        <v>1526</v>
      </c>
      <c r="E926" s="20" t="s">
        <v>1526</v>
      </c>
      <c r="F926" s="20">
        <v>2015</v>
      </c>
      <c r="G926" s="20" t="s">
        <v>1527</v>
      </c>
      <c r="J926" s="19" t="s">
        <v>344</v>
      </c>
      <c r="K926" s="20" t="s">
        <v>42</v>
      </c>
      <c r="L926" s="19" t="s">
        <v>43</v>
      </c>
      <c r="M926" s="20" t="s">
        <v>1303</v>
      </c>
      <c r="N926" s="19" t="s">
        <v>109</v>
      </c>
      <c r="O926" s="20" t="s">
        <v>264</v>
      </c>
      <c r="P926" s="19" t="s">
        <v>53</v>
      </c>
      <c r="R926" s="20" t="s">
        <v>256</v>
      </c>
      <c r="S926" s="20" t="s">
        <v>309</v>
      </c>
      <c r="T926" s="20" t="s">
        <v>49</v>
      </c>
      <c r="U926" s="20" t="s">
        <v>49</v>
      </c>
      <c r="V926" s="20">
        <v>3</v>
      </c>
      <c r="W926" s="19" t="s">
        <v>45</v>
      </c>
      <c r="X926" s="19" t="s">
        <v>46</v>
      </c>
      <c r="AB926" s="20">
        <v>55</v>
      </c>
      <c r="AC926" s="20" t="s">
        <v>214</v>
      </c>
      <c r="AE926" s="20">
        <v>47.8</v>
      </c>
      <c r="AJ926" s="20">
        <v>7.15</v>
      </c>
      <c r="AK926" s="20">
        <v>7.15</v>
      </c>
      <c r="AP926" s="20">
        <v>9.9</v>
      </c>
      <c r="AQ926" s="20">
        <v>25</v>
      </c>
      <c r="AT926" s="65" t="str">
        <f t="shared" si="251"/>
        <v>Y</v>
      </c>
      <c r="AU926" s="65" t="str">
        <f t="shared" si="252"/>
        <v>Y</v>
      </c>
      <c r="AV926" s="65" t="str">
        <f t="shared" si="250"/>
        <v>Y</v>
      </c>
      <c r="AW926" s="99"/>
      <c r="AX926" s="99"/>
      <c r="AZ926" s="96" t="str">
        <f t="shared" si="253"/>
        <v>EC10</v>
      </c>
      <c r="BA926" s="96">
        <f>IF(AZ926="n","n",VLOOKUP(AZ926,'Conversion factors'!$C$4:$D$24,2,FALSE))</f>
        <v>1</v>
      </c>
      <c r="BB926" s="96">
        <f t="shared" si="254"/>
        <v>55</v>
      </c>
      <c r="BC926" s="97"/>
      <c r="BD926" s="96" t="str">
        <f t="shared" si="255"/>
        <v>Chronic</v>
      </c>
      <c r="BE926" s="96" t="str">
        <f t="shared" si="256"/>
        <v>y</v>
      </c>
      <c r="BF926" s="98" t="str">
        <f t="shared" si="257"/>
        <v>EC10</v>
      </c>
      <c r="BG926" s="96" t="str">
        <f>IF(BF926="","",IF(ISNUMBER(VLOOKUP(BF926,'Conversion factors'!$B$35:$C$52,2,FALSE)),"y","n"))</f>
        <v>y</v>
      </c>
      <c r="BH926" s="99"/>
    </row>
    <row r="927" spans="1:60" ht="15.75" customHeight="1" x14ac:dyDescent="0.2">
      <c r="A927" s="20">
        <v>1447</v>
      </c>
      <c r="B927" s="20">
        <v>1447</v>
      </c>
      <c r="C927" s="20">
        <v>1447</v>
      </c>
      <c r="D927" s="20" t="s">
        <v>1526</v>
      </c>
      <c r="E927" s="20" t="s">
        <v>1526</v>
      </c>
      <c r="F927" s="20">
        <v>2015</v>
      </c>
      <c r="G927" s="20" t="s">
        <v>1527</v>
      </c>
      <c r="J927" s="19" t="s">
        <v>344</v>
      </c>
      <c r="K927" s="20" t="s">
        <v>42</v>
      </c>
      <c r="L927" s="19" t="s">
        <v>43</v>
      </c>
      <c r="M927" s="20" t="s">
        <v>1303</v>
      </c>
      <c r="N927" s="19" t="s">
        <v>109</v>
      </c>
      <c r="O927" s="20" t="s">
        <v>264</v>
      </c>
      <c r="P927" s="19" t="s">
        <v>53</v>
      </c>
      <c r="R927" s="20" t="s">
        <v>256</v>
      </c>
      <c r="S927" s="20" t="s">
        <v>309</v>
      </c>
      <c r="T927" s="20" t="s">
        <v>49</v>
      </c>
      <c r="U927" s="20" t="s">
        <v>49</v>
      </c>
      <c r="V927" s="20">
        <v>2</v>
      </c>
      <c r="W927" s="19" t="s">
        <v>45</v>
      </c>
      <c r="X927" s="19" t="s">
        <v>46</v>
      </c>
      <c r="AB927" s="20">
        <v>6</v>
      </c>
      <c r="AC927" s="20" t="s">
        <v>214</v>
      </c>
      <c r="AE927" s="20">
        <v>46.7</v>
      </c>
      <c r="AJ927" s="20">
        <v>8.27</v>
      </c>
      <c r="AK927" s="20">
        <v>8.27</v>
      </c>
      <c r="AP927" s="20">
        <v>4.5</v>
      </c>
      <c r="AQ927" s="20">
        <v>25</v>
      </c>
      <c r="AT927" s="65" t="str">
        <f t="shared" si="251"/>
        <v>Y</v>
      </c>
      <c r="AU927" s="65" t="str">
        <f t="shared" si="252"/>
        <v>Y</v>
      </c>
      <c r="AV927" s="65" t="str">
        <f t="shared" si="250"/>
        <v>Y</v>
      </c>
      <c r="AW927" s="99"/>
      <c r="AX927" s="99"/>
      <c r="AZ927" s="96" t="str">
        <f t="shared" si="253"/>
        <v>EC10</v>
      </c>
      <c r="BA927" s="96">
        <f>IF(AZ927="n","n",VLOOKUP(AZ927,'Conversion factors'!$C$4:$D$24,2,FALSE))</f>
        <v>1</v>
      </c>
      <c r="BB927" s="96">
        <f t="shared" si="254"/>
        <v>6</v>
      </c>
      <c r="BC927" s="97"/>
      <c r="BD927" s="96" t="str">
        <f t="shared" si="255"/>
        <v>Chronic</v>
      </c>
      <c r="BE927" s="96" t="str">
        <f t="shared" si="256"/>
        <v>y</v>
      </c>
      <c r="BF927" s="98" t="str">
        <f t="shared" si="257"/>
        <v>EC10</v>
      </c>
      <c r="BG927" s="96" t="str">
        <f>IF(BF927="","",IF(ISNUMBER(VLOOKUP(BF927,'Conversion factors'!$B$35:$C$52,2,FALSE)),"y","n"))</f>
        <v>y</v>
      </c>
      <c r="BH927" s="99"/>
    </row>
    <row r="928" spans="1:60" ht="15.75" customHeight="1" x14ac:dyDescent="0.2">
      <c r="A928" s="20">
        <v>1447</v>
      </c>
      <c r="B928" s="20">
        <v>1447</v>
      </c>
      <c r="C928" s="20">
        <v>1447</v>
      </c>
      <c r="D928" s="20" t="s">
        <v>1526</v>
      </c>
      <c r="E928" s="20" t="s">
        <v>1526</v>
      </c>
      <c r="F928" s="20">
        <v>2015</v>
      </c>
      <c r="G928" s="20" t="s">
        <v>1527</v>
      </c>
      <c r="J928" s="19" t="s">
        <v>344</v>
      </c>
      <c r="K928" s="20" t="s">
        <v>42</v>
      </c>
      <c r="L928" s="19" t="s">
        <v>43</v>
      </c>
      <c r="M928" s="20" t="s">
        <v>1303</v>
      </c>
      <c r="N928" s="19" t="s">
        <v>109</v>
      </c>
      <c r="O928" s="20" t="s">
        <v>264</v>
      </c>
      <c r="P928" s="19" t="s">
        <v>53</v>
      </c>
      <c r="R928" s="20" t="s">
        <v>256</v>
      </c>
      <c r="S928" s="20" t="s">
        <v>309</v>
      </c>
      <c r="T928" s="20" t="s">
        <v>49</v>
      </c>
      <c r="U928" s="20" t="s">
        <v>49</v>
      </c>
      <c r="V928" s="20">
        <v>3</v>
      </c>
      <c r="W928" s="19" t="s">
        <v>45</v>
      </c>
      <c r="X928" s="19" t="s">
        <v>46</v>
      </c>
      <c r="AB928" s="20">
        <v>10</v>
      </c>
      <c r="AC928" s="20" t="s">
        <v>214</v>
      </c>
      <c r="AE928" s="20">
        <v>46.7</v>
      </c>
      <c r="AJ928" s="20">
        <v>8.32</v>
      </c>
      <c r="AK928" s="20">
        <v>8.32</v>
      </c>
      <c r="AP928" s="20">
        <v>4.5</v>
      </c>
      <c r="AQ928" s="20">
        <v>25</v>
      </c>
      <c r="AT928" s="65" t="str">
        <f t="shared" si="251"/>
        <v>Y</v>
      </c>
      <c r="AU928" s="65" t="str">
        <f t="shared" si="252"/>
        <v>Y</v>
      </c>
      <c r="AV928" s="65" t="str">
        <f t="shared" si="250"/>
        <v>Y</v>
      </c>
      <c r="AW928" s="99"/>
      <c r="AX928" s="99"/>
      <c r="AZ928" s="96" t="str">
        <f t="shared" si="253"/>
        <v>EC10</v>
      </c>
      <c r="BA928" s="96">
        <f>IF(AZ928="n","n",VLOOKUP(AZ928,'Conversion factors'!$C$4:$D$24,2,FALSE))</f>
        <v>1</v>
      </c>
      <c r="BB928" s="96">
        <f t="shared" si="254"/>
        <v>10</v>
      </c>
      <c r="BC928" s="97"/>
      <c r="BD928" s="96" t="str">
        <f t="shared" si="255"/>
        <v>Chronic</v>
      </c>
      <c r="BE928" s="96" t="str">
        <f t="shared" si="256"/>
        <v>y</v>
      </c>
      <c r="BF928" s="98" t="str">
        <f t="shared" si="257"/>
        <v>EC10</v>
      </c>
      <c r="BG928" s="96" t="str">
        <f>IF(BF928="","",IF(ISNUMBER(VLOOKUP(BF928,'Conversion factors'!$B$35:$C$52,2,FALSE)),"y","n"))</f>
        <v>y</v>
      </c>
      <c r="BH928" s="99"/>
    </row>
    <row r="929" spans="1:60" ht="15.75" customHeight="1" x14ac:dyDescent="0.2">
      <c r="A929" s="20">
        <v>1447</v>
      </c>
      <c r="B929" s="20">
        <v>1447</v>
      </c>
      <c r="C929" s="20">
        <v>1447</v>
      </c>
      <c r="D929" s="20" t="s">
        <v>1526</v>
      </c>
      <c r="E929" s="20" t="s">
        <v>1526</v>
      </c>
      <c r="F929" s="20">
        <v>2015</v>
      </c>
      <c r="G929" s="20" t="s">
        <v>1527</v>
      </c>
      <c r="J929" s="19" t="s">
        <v>344</v>
      </c>
      <c r="K929" s="20" t="s">
        <v>42</v>
      </c>
      <c r="L929" s="19" t="s">
        <v>43</v>
      </c>
      <c r="M929" s="20" t="s">
        <v>1303</v>
      </c>
      <c r="N929" s="19" t="s">
        <v>109</v>
      </c>
      <c r="O929" s="20" t="s">
        <v>264</v>
      </c>
      <c r="P929" s="19" t="s">
        <v>53</v>
      </c>
      <c r="R929" s="20" t="s">
        <v>256</v>
      </c>
      <c r="S929" s="20" t="s">
        <v>309</v>
      </c>
      <c r="T929" s="20" t="s">
        <v>49</v>
      </c>
      <c r="U929" s="20" t="s">
        <v>49</v>
      </c>
      <c r="V929" s="20">
        <v>2</v>
      </c>
      <c r="W929" s="19" t="s">
        <v>45</v>
      </c>
      <c r="X929" s="19" t="s">
        <v>46</v>
      </c>
      <c r="AB929" s="20">
        <v>16</v>
      </c>
      <c r="AC929" s="20" t="s">
        <v>214</v>
      </c>
      <c r="AE929" s="20">
        <v>46.2</v>
      </c>
      <c r="AJ929" s="20">
        <v>8.51</v>
      </c>
      <c r="AK929" s="20">
        <v>8.51</v>
      </c>
      <c r="AP929" s="20">
        <v>4.8</v>
      </c>
      <c r="AQ929" s="20">
        <v>25</v>
      </c>
      <c r="AT929" s="65" t="str">
        <f t="shared" si="251"/>
        <v>Y</v>
      </c>
      <c r="AU929" s="65" t="str">
        <f t="shared" si="252"/>
        <v>N</v>
      </c>
      <c r="AV929" s="65" t="str">
        <f t="shared" si="250"/>
        <v>N</v>
      </c>
      <c r="AW929" s="99"/>
      <c r="AX929" s="99"/>
      <c r="AZ929" s="96" t="str">
        <f t="shared" si="253"/>
        <v>n</v>
      </c>
      <c r="BA929" s="96" t="str">
        <f>IF(AZ929="n","n",VLOOKUP(AZ929,'Conversion factors'!$C$4:$D$24,2,FALSE))</f>
        <v>n</v>
      </c>
      <c r="BB929" s="96" t="str">
        <f t="shared" si="254"/>
        <v>n</v>
      </c>
      <c r="BC929" s="97"/>
      <c r="BD929" s="96" t="str">
        <f t="shared" si="255"/>
        <v>n</v>
      </c>
      <c r="BE929" s="96" t="str">
        <f t="shared" si="256"/>
        <v>n</v>
      </c>
      <c r="BF929" s="98" t="str">
        <f t="shared" si="257"/>
        <v/>
      </c>
      <c r="BG929" s="96" t="str">
        <f>IF(BF929="","",IF(ISNUMBER(VLOOKUP(BF929,'Conversion factors'!$B$35:$C$52,2,FALSE)),"y","n"))</f>
        <v/>
      </c>
      <c r="BH929" s="99"/>
    </row>
    <row r="930" spans="1:60" ht="15.75" customHeight="1" x14ac:dyDescent="0.2">
      <c r="A930" s="20">
        <v>1447</v>
      </c>
      <c r="B930" s="20">
        <v>1447</v>
      </c>
      <c r="C930" s="20">
        <v>1447</v>
      </c>
      <c r="D930" s="20" t="s">
        <v>1526</v>
      </c>
      <c r="E930" s="20" t="s">
        <v>1526</v>
      </c>
      <c r="F930" s="20">
        <v>2015</v>
      </c>
      <c r="G930" s="20" t="s">
        <v>1527</v>
      </c>
      <c r="J930" s="19" t="s">
        <v>344</v>
      </c>
      <c r="K930" s="20" t="s">
        <v>42</v>
      </c>
      <c r="L930" s="19" t="s">
        <v>43</v>
      </c>
      <c r="M930" s="20" t="s">
        <v>1303</v>
      </c>
      <c r="N930" s="19" t="s">
        <v>109</v>
      </c>
      <c r="O930" s="20" t="s">
        <v>264</v>
      </c>
      <c r="P930" s="19" t="s">
        <v>53</v>
      </c>
      <c r="R930" s="20" t="s">
        <v>256</v>
      </c>
      <c r="S930" s="20" t="s">
        <v>309</v>
      </c>
      <c r="T930" s="20" t="s">
        <v>49</v>
      </c>
      <c r="U930" s="20" t="s">
        <v>49</v>
      </c>
      <c r="V930" s="20">
        <v>3</v>
      </c>
      <c r="W930" s="19" t="s">
        <v>45</v>
      </c>
      <c r="X930" s="19" t="s">
        <v>46</v>
      </c>
      <c r="AB930" s="20">
        <v>16</v>
      </c>
      <c r="AC930" s="20" t="s">
        <v>214</v>
      </c>
      <c r="AE930" s="20">
        <v>46.2</v>
      </c>
      <c r="AJ930" s="20">
        <v>8.5299999999999994</v>
      </c>
      <c r="AK930" s="20">
        <v>8.5299999999999994</v>
      </c>
      <c r="AP930" s="20">
        <v>4.8</v>
      </c>
      <c r="AQ930" s="20">
        <v>25</v>
      </c>
      <c r="AT930" s="65" t="str">
        <f t="shared" si="251"/>
        <v>Y</v>
      </c>
      <c r="AU930" s="65" t="str">
        <f t="shared" si="252"/>
        <v>N</v>
      </c>
      <c r="AV930" s="65" t="str">
        <f t="shared" si="250"/>
        <v>N</v>
      </c>
      <c r="AW930" s="99"/>
      <c r="AX930" s="99"/>
      <c r="AZ930" s="96" t="str">
        <f t="shared" si="253"/>
        <v>n</v>
      </c>
      <c r="BA930" s="96" t="str">
        <f>IF(AZ930="n","n",VLOOKUP(AZ930,'Conversion factors'!$C$4:$D$24,2,FALSE))</f>
        <v>n</v>
      </c>
      <c r="BB930" s="96" t="str">
        <f t="shared" si="254"/>
        <v>n</v>
      </c>
      <c r="BC930" s="97"/>
      <c r="BD930" s="96" t="str">
        <f t="shared" si="255"/>
        <v>n</v>
      </c>
      <c r="BE930" s="96" t="str">
        <f t="shared" si="256"/>
        <v>n</v>
      </c>
      <c r="BF930" s="98" t="str">
        <f t="shared" si="257"/>
        <v/>
      </c>
      <c r="BG930" s="96" t="str">
        <f>IF(BF930="","",IF(ISNUMBER(VLOOKUP(BF930,'Conversion factors'!$B$35:$C$52,2,FALSE)),"y","n"))</f>
        <v/>
      </c>
      <c r="BH930" s="99"/>
    </row>
    <row r="931" spans="1:60" ht="15.75" customHeight="1" x14ac:dyDescent="0.2">
      <c r="A931" s="20">
        <v>1447</v>
      </c>
      <c r="B931" s="20">
        <v>1447</v>
      </c>
      <c r="C931" s="20">
        <v>1447</v>
      </c>
      <c r="D931" s="20" t="s">
        <v>1526</v>
      </c>
      <c r="E931" s="20" t="s">
        <v>1526</v>
      </c>
      <c r="F931" s="20">
        <v>2015</v>
      </c>
      <c r="G931" s="20" t="s">
        <v>1527</v>
      </c>
      <c r="J931" s="19" t="s">
        <v>344</v>
      </c>
      <c r="K931" s="20" t="s">
        <v>42</v>
      </c>
      <c r="L931" s="19" t="s">
        <v>43</v>
      </c>
      <c r="M931" s="20" t="s">
        <v>1303</v>
      </c>
      <c r="N931" s="19" t="s">
        <v>109</v>
      </c>
      <c r="O931" s="20" t="s">
        <v>264</v>
      </c>
      <c r="P931" s="19" t="s">
        <v>53</v>
      </c>
      <c r="R931" s="20" t="s">
        <v>256</v>
      </c>
      <c r="S931" s="20" t="s">
        <v>309</v>
      </c>
      <c r="T931" s="20" t="s">
        <v>49</v>
      </c>
      <c r="U931" s="20" t="s">
        <v>49</v>
      </c>
      <c r="V931" s="20">
        <v>2</v>
      </c>
      <c r="W931" s="19" t="s">
        <v>45</v>
      </c>
      <c r="X931" s="19" t="s">
        <v>46</v>
      </c>
      <c r="AB931" s="20">
        <v>80</v>
      </c>
      <c r="AC931" s="20" t="s">
        <v>214</v>
      </c>
      <c r="AE931" s="20">
        <v>19.100000000000001</v>
      </c>
      <c r="AJ931" s="20">
        <v>6.23</v>
      </c>
      <c r="AK931" s="20">
        <v>6.23</v>
      </c>
      <c r="AP931" s="20">
        <v>9.3000000000000007</v>
      </c>
      <c r="AQ931" s="20">
        <v>25</v>
      </c>
      <c r="AT931" s="65" t="str">
        <f t="shared" si="251"/>
        <v>Y</v>
      </c>
      <c r="AU931" s="65" t="str">
        <f t="shared" si="252"/>
        <v>Y</v>
      </c>
      <c r="AV931" s="65" t="str">
        <f t="shared" ref="AV931:AV962" si="258">AU931</f>
        <v>Y</v>
      </c>
      <c r="AW931" s="99"/>
      <c r="AX931" s="99"/>
      <c r="AZ931" s="96" t="str">
        <f t="shared" si="253"/>
        <v>EC10</v>
      </c>
      <c r="BA931" s="96">
        <f>IF(AZ931="n","n",VLOOKUP(AZ931,'Conversion factors'!$C$4:$D$24,2,FALSE))</f>
        <v>1</v>
      </c>
      <c r="BB931" s="96">
        <f t="shared" si="254"/>
        <v>80</v>
      </c>
      <c r="BC931" s="97"/>
      <c r="BD931" s="96" t="str">
        <f t="shared" si="255"/>
        <v>Chronic</v>
      </c>
      <c r="BE931" s="96" t="str">
        <f t="shared" si="256"/>
        <v>y</v>
      </c>
      <c r="BF931" s="98" t="str">
        <f t="shared" si="257"/>
        <v>EC10</v>
      </c>
      <c r="BG931" s="96" t="str">
        <f>IF(BF931="","",IF(ISNUMBER(VLOOKUP(BF931,'Conversion factors'!$B$35:$C$52,2,FALSE)),"y","n"))</f>
        <v>y</v>
      </c>
      <c r="BH931" s="99"/>
    </row>
    <row r="932" spans="1:60" ht="15.75" customHeight="1" x14ac:dyDescent="0.2">
      <c r="A932" s="20">
        <v>1447</v>
      </c>
      <c r="B932" s="20">
        <v>1447</v>
      </c>
      <c r="C932" s="20">
        <v>1447</v>
      </c>
      <c r="D932" s="20" t="s">
        <v>1526</v>
      </c>
      <c r="E932" s="20" t="s">
        <v>1526</v>
      </c>
      <c r="F932" s="20">
        <v>2015</v>
      </c>
      <c r="G932" s="20" t="s">
        <v>1527</v>
      </c>
      <c r="J932" s="19" t="s">
        <v>344</v>
      </c>
      <c r="K932" s="20" t="s">
        <v>42</v>
      </c>
      <c r="L932" s="19" t="s">
        <v>43</v>
      </c>
      <c r="M932" s="20" t="s">
        <v>1303</v>
      </c>
      <c r="N932" s="19" t="s">
        <v>109</v>
      </c>
      <c r="O932" s="20" t="s">
        <v>264</v>
      </c>
      <c r="P932" s="19" t="s">
        <v>53</v>
      </c>
      <c r="R932" s="20" t="s">
        <v>256</v>
      </c>
      <c r="S932" s="20" t="s">
        <v>309</v>
      </c>
      <c r="T932" s="20" t="s">
        <v>49</v>
      </c>
      <c r="U932" s="20" t="s">
        <v>49</v>
      </c>
      <c r="V932" s="20">
        <v>3</v>
      </c>
      <c r="W932" s="19" t="s">
        <v>45</v>
      </c>
      <c r="X932" s="19" t="s">
        <v>46</v>
      </c>
      <c r="AB932" s="20">
        <v>131</v>
      </c>
      <c r="AC932" s="20" t="s">
        <v>214</v>
      </c>
      <c r="AE932" s="20">
        <v>19.100000000000001</v>
      </c>
      <c r="AJ932" s="20">
        <v>6.23</v>
      </c>
      <c r="AK932" s="20">
        <v>6.23</v>
      </c>
      <c r="AP932" s="20">
        <v>9.3000000000000007</v>
      </c>
      <c r="AQ932" s="20">
        <v>25</v>
      </c>
      <c r="AT932" s="65" t="str">
        <f t="shared" ref="AT932:AT964" si="259">IF(F932&lt;1980,"N",IF(AC932="M","Y",IF(AC932="SM","Y","N")))</f>
        <v>Y</v>
      </c>
      <c r="AU932" s="65" t="str">
        <f t="shared" ref="AU932:AU963" si="260">IF(AT932="N","N",IF(AJ932&lt;6,"N",IF(AJ932&gt;8.5,"N","Y")))</f>
        <v>Y</v>
      </c>
      <c r="AV932" s="65" t="str">
        <f t="shared" si="258"/>
        <v>Y</v>
      </c>
      <c r="AW932" s="99"/>
      <c r="AX932" s="99"/>
      <c r="AZ932" s="96" t="str">
        <f t="shared" ref="AZ932:AZ964" si="261">IF(AV932="N","n",T932)</f>
        <v>EC10</v>
      </c>
      <c r="BA932" s="96">
        <f>IF(AZ932="n","n",VLOOKUP(AZ932,'Conversion factors'!$C$4:$D$24,2,FALSE))</f>
        <v>1</v>
      </c>
      <c r="BB932" s="96">
        <f t="shared" ref="BB932:BB963" si="262">IF(BA932="n","n",AB932/BA932)</f>
        <v>131</v>
      </c>
      <c r="BC932" s="97"/>
      <c r="BD932" s="96" t="str">
        <f t="shared" ref="BD932:BD964" si="263">IF(AV932="N","n",X932)</f>
        <v>Chronic</v>
      </c>
      <c r="BE932" s="96" t="str">
        <f t="shared" ref="BE932:BE963" si="264">IF(BD932="chronic","y","n")</f>
        <v>y</v>
      </c>
      <c r="BF932" s="98" t="str">
        <f t="shared" ref="BF932:BF963" si="265">IF(BE932="n","",AZ932)</f>
        <v>EC10</v>
      </c>
      <c r="BG932" s="96" t="str">
        <f>IF(BF932="","",IF(ISNUMBER(VLOOKUP(BF932,'Conversion factors'!$B$35:$C$52,2,FALSE)),"y","n"))</f>
        <v>y</v>
      </c>
      <c r="BH932" s="99"/>
    </row>
    <row r="933" spans="1:60" ht="15.75" customHeight="1" x14ac:dyDescent="0.2">
      <c r="B933" s="20">
        <v>1447</v>
      </c>
      <c r="C933" s="20">
        <v>1447</v>
      </c>
      <c r="D933" s="20" t="s">
        <v>1526</v>
      </c>
      <c r="E933" s="20" t="s">
        <v>1526</v>
      </c>
      <c r="F933" s="20">
        <v>2015</v>
      </c>
      <c r="G933" s="20" t="s">
        <v>1527</v>
      </c>
      <c r="J933" s="19" t="s">
        <v>344</v>
      </c>
      <c r="K933" s="20" t="s">
        <v>42</v>
      </c>
      <c r="L933" s="19" t="s">
        <v>43</v>
      </c>
      <c r="M933" s="20" t="s">
        <v>1303</v>
      </c>
      <c r="N933" s="19" t="s">
        <v>109</v>
      </c>
      <c r="O933" s="20" t="s">
        <v>264</v>
      </c>
      <c r="P933" s="19" t="s">
        <v>53</v>
      </c>
      <c r="R933" s="20" t="s">
        <v>256</v>
      </c>
      <c r="S933" s="20" t="s">
        <v>309</v>
      </c>
      <c r="T933" s="20" t="s">
        <v>49</v>
      </c>
      <c r="U933" s="20" t="s">
        <v>49</v>
      </c>
      <c r="V933" s="20">
        <v>2</v>
      </c>
      <c r="W933" s="19" t="s">
        <v>45</v>
      </c>
      <c r="X933" s="19" t="s">
        <v>46</v>
      </c>
      <c r="AB933" s="20">
        <v>34</v>
      </c>
      <c r="AC933" s="20" t="s">
        <v>214</v>
      </c>
      <c r="AE933" s="20">
        <v>513.4</v>
      </c>
      <c r="AJ933" s="20">
        <v>8.32</v>
      </c>
      <c r="AK933" s="20">
        <v>8.32</v>
      </c>
      <c r="AP933" s="20">
        <v>7</v>
      </c>
      <c r="AQ933" s="20">
        <v>25</v>
      </c>
      <c r="AT933" s="65" t="str">
        <f t="shared" si="259"/>
        <v>Y</v>
      </c>
      <c r="AU933" s="65" t="str">
        <f t="shared" si="260"/>
        <v>Y</v>
      </c>
      <c r="AV933" s="65" t="str">
        <f t="shared" si="258"/>
        <v>Y</v>
      </c>
      <c r="AW933" s="99"/>
      <c r="AX933" s="99"/>
      <c r="AZ933" s="96" t="str">
        <f t="shared" si="261"/>
        <v>EC10</v>
      </c>
      <c r="BA933" s="96">
        <f>IF(AZ933="n","n",VLOOKUP(AZ933,'Conversion factors'!$C$4:$D$24,2,FALSE))</f>
        <v>1</v>
      </c>
      <c r="BB933" s="96">
        <f t="shared" si="262"/>
        <v>34</v>
      </c>
      <c r="BC933" s="97"/>
      <c r="BD933" s="96" t="str">
        <f t="shared" si="263"/>
        <v>Chronic</v>
      </c>
      <c r="BE933" s="96" t="str">
        <f t="shared" si="264"/>
        <v>y</v>
      </c>
      <c r="BF933" s="98" t="str">
        <f t="shared" si="265"/>
        <v>EC10</v>
      </c>
      <c r="BG933" s="96" t="str">
        <f>IF(BF933="","",IF(ISNUMBER(VLOOKUP(BF933,'Conversion factors'!$B$35:$C$52,2,FALSE)),"y","n"))</f>
        <v>y</v>
      </c>
      <c r="BH933" s="99"/>
    </row>
    <row r="934" spans="1:60" ht="15.75" customHeight="1" x14ac:dyDescent="0.2">
      <c r="A934" s="20">
        <v>1447</v>
      </c>
      <c r="B934" s="20">
        <v>1447</v>
      </c>
      <c r="C934" s="20">
        <v>1447</v>
      </c>
      <c r="D934" s="20" t="s">
        <v>1526</v>
      </c>
      <c r="E934" s="20" t="s">
        <v>1526</v>
      </c>
      <c r="F934" s="20">
        <v>2015</v>
      </c>
      <c r="G934" s="20" t="s">
        <v>1527</v>
      </c>
      <c r="J934" s="19" t="s">
        <v>344</v>
      </c>
      <c r="K934" s="20" t="s">
        <v>42</v>
      </c>
      <c r="L934" s="19" t="s">
        <v>43</v>
      </c>
      <c r="M934" s="20" t="s">
        <v>1303</v>
      </c>
      <c r="N934" s="19" t="s">
        <v>109</v>
      </c>
      <c r="O934" s="20" t="s">
        <v>264</v>
      </c>
      <c r="P934" s="19" t="s">
        <v>53</v>
      </c>
      <c r="R934" s="20" t="s">
        <v>256</v>
      </c>
      <c r="S934" s="20" t="s">
        <v>309</v>
      </c>
      <c r="T934" s="20" t="s">
        <v>49</v>
      </c>
      <c r="U934" s="20" t="s">
        <v>49</v>
      </c>
      <c r="V934" s="20">
        <v>2</v>
      </c>
      <c r="W934" s="19" t="s">
        <v>45</v>
      </c>
      <c r="X934" s="19" t="s">
        <v>46</v>
      </c>
      <c r="AB934" s="20">
        <v>65</v>
      </c>
      <c r="AC934" s="20" t="s">
        <v>214</v>
      </c>
      <c r="AE934" s="20">
        <v>14.4</v>
      </c>
      <c r="AJ934" s="20">
        <v>6.67</v>
      </c>
      <c r="AK934" s="20">
        <v>6.67</v>
      </c>
      <c r="AP934" s="20">
        <v>2.2999999999999998</v>
      </c>
      <c r="AQ934" s="20">
        <v>25</v>
      </c>
      <c r="AT934" s="65" t="str">
        <f t="shared" si="259"/>
        <v>Y</v>
      </c>
      <c r="AU934" s="65" t="str">
        <f t="shared" si="260"/>
        <v>Y</v>
      </c>
      <c r="AV934" s="65" t="str">
        <f t="shared" si="258"/>
        <v>Y</v>
      </c>
      <c r="AW934" s="99"/>
      <c r="AX934" s="99"/>
      <c r="AZ934" s="96" t="str">
        <f t="shared" si="261"/>
        <v>EC10</v>
      </c>
      <c r="BA934" s="96">
        <f>IF(AZ934="n","n",VLOOKUP(AZ934,'Conversion factors'!$C$4:$D$24,2,FALSE))</f>
        <v>1</v>
      </c>
      <c r="BB934" s="96">
        <f t="shared" si="262"/>
        <v>65</v>
      </c>
      <c r="BC934" s="97"/>
      <c r="BD934" s="96" t="str">
        <f t="shared" si="263"/>
        <v>Chronic</v>
      </c>
      <c r="BE934" s="96" t="str">
        <f t="shared" si="264"/>
        <v>y</v>
      </c>
      <c r="BF934" s="98" t="str">
        <f t="shared" si="265"/>
        <v>EC10</v>
      </c>
      <c r="BG934" s="96" t="str">
        <f>IF(BF934="","",IF(ISNUMBER(VLOOKUP(BF934,'Conversion factors'!$B$35:$C$52,2,FALSE)),"y","n"))</f>
        <v>y</v>
      </c>
      <c r="BH934" s="99"/>
    </row>
    <row r="935" spans="1:60" ht="15.75" customHeight="1" x14ac:dyDescent="0.2">
      <c r="A935" s="20">
        <v>1447</v>
      </c>
      <c r="B935" s="20">
        <v>1447</v>
      </c>
      <c r="C935" s="20">
        <v>1447</v>
      </c>
      <c r="D935" s="20" t="s">
        <v>1526</v>
      </c>
      <c r="E935" s="20" t="s">
        <v>1526</v>
      </c>
      <c r="F935" s="20">
        <v>2015</v>
      </c>
      <c r="G935" s="20" t="s">
        <v>1527</v>
      </c>
      <c r="J935" s="19" t="s">
        <v>344</v>
      </c>
      <c r="K935" s="20" t="s">
        <v>42</v>
      </c>
      <c r="L935" s="19" t="s">
        <v>43</v>
      </c>
      <c r="M935" s="20" t="s">
        <v>1303</v>
      </c>
      <c r="N935" s="19" t="s">
        <v>109</v>
      </c>
      <c r="O935" s="20" t="s">
        <v>264</v>
      </c>
      <c r="P935" s="19" t="s">
        <v>53</v>
      </c>
      <c r="R935" s="20" t="s">
        <v>256</v>
      </c>
      <c r="S935" s="20" t="s">
        <v>309</v>
      </c>
      <c r="T935" s="20" t="s">
        <v>49</v>
      </c>
      <c r="U935" s="20" t="s">
        <v>49</v>
      </c>
      <c r="V935" s="20">
        <v>2</v>
      </c>
      <c r="W935" s="19" t="s">
        <v>45</v>
      </c>
      <c r="X935" s="19" t="s">
        <v>46</v>
      </c>
      <c r="AB935" s="20">
        <v>69</v>
      </c>
      <c r="AC935" s="20" t="s">
        <v>214</v>
      </c>
      <c r="AE935" s="20">
        <v>13.8</v>
      </c>
      <c r="AJ935" s="20">
        <v>6.72</v>
      </c>
      <c r="AK935" s="20">
        <v>6.72</v>
      </c>
      <c r="AP935" s="20">
        <v>3.7</v>
      </c>
      <c r="AQ935" s="20">
        <v>25</v>
      </c>
      <c r="AT935" s="65" t="str">
        <f t="shared" si="259"/>
        <v>Y</v>
      </c>
      <c r="AU935" s="65" t="str">
        <f t="shared" si="260"/>
        <v>Y</v>
      </c>
      <c r="AV935" s="65" t="str">
        <f t="shared" si="258"/>
        <v>Y</v>
      </c>
      <c r="AW935" s="99"/>
      <c r="AX935" s="99"/>
      <c r="AZ935" s="96" t="str">
        <f t="shared" si="261"/>
        <v>EC10</v>
      </c>
      <c r="BA935" s="96">
        <f>IF(AZ935="n","n",VLOOKUP(AZ935,'Conversion factors'!$C$4:$D$24,2,FALSE))</f>
        <v>1</v>
      </c>
      <c r="BB935" s="96">
        <f t="shared" si="262"/>
        <v>69</v>
      </c>
      <c r="BC935" s="97"/>
      <c r="BD935" s="96" t="str">
        <f t="shared" si="263"/>
        <v>Chronic</v>
      </c>
      <c r="BE935" s="96" t="str">
        <f t="shared" si="264"/>
        <v>y</v>
      </c>
      <c r="BF935" s="98" t="str">
        <f t="shared" si="265"/>
        <v>EC10</v>
      </c>
      <c r="BG935" s="96" t="str">
        <f>IF(BF935="","",IF(ISNUMBER(VLOOKUP(BF935,'Conversion factors'!$B$35:$C$52,2,FALSE)),"y","n"))</f>
        <v>y</v>
      </c>
      <c r="BH935" s="99"/>
    </row>
    <row r="936" spans="1:60" ht="15.75" customHeight="1" x14ac:dyDescent="0.2">
      <c r="A936" s="20">
        <v>1447</v>
      </c>
      <c r="B936" s="20">
        <v>1447</v>
      </c>
      <c r="C936" s="20">
        <v>1447</v>
      </c>
      <c r="D936" s="20" t="s">
        <v>1528</v>
      </c>
      <c r="E936" s="20" t="s">
        <v>1528</v>
      </c>
      <c r="F936" s="20">
        <v>2015</v>
      </c>
      <c r="G936" s="20" t="s">
        <v>1527</v>
      </c>
      <c r="J936" s="19" t="s">
        <v>344</v>
      </c>
      <c r="K936" s="20" t="s">
        <v>42</v>
      </c>
      <c r="L936" s="19" t="s">
        <v>43</v>
      </c>
      <c r="M936" s="20" t="s">
        <v>1303</v>
      </c>
      <c r="N936" s="19" t="s">
        <v>109</v>
      </c>
      <c r="O936" s="20" t="s">
        <v>264</v>
      </c>
      <c r="P936" s="19" t="s">
        <v>53</v>
      </c>
      <c r="R936" s="20" t="s">
        <v>256</v>
      </c>
      <c r="S936" s="20" t="s">
        <v>309</v>
      </c>
      <c r="T936" s="20" t="s">
        <v>49</v>
      </c>
      <c r="U936" s="20" t="s">
        <v>49</v>
      </c>
      <c r="V936" s="20">
        <v>3</v>
      </c>
      <c r="W936" s="19" t="s">
        <v>45</v>
      </c>
      <c r="X936" s="19" t="s">
        <v>46</v>
      </c>
      <c r="AC936" s="20" t="s">
        <v>214</v>
      </c>
      <c r="AE936" s="20">
        <v>529.1</v>
      </c>
      <c r="AJ936" s="20">
        <v>8.31</v>
      </c>
      <c r="AK936" s="20">
        <v>8.31</v>
      </c>
      <c r="AP936" s="20">
        <v>3</v>
      </c>
      <c r="AQ936" s="20">
        <v>25</v>
      </c>
      <c r="AT936" s="65" t="str">
        <f t="shared" si="259"/>
        <v>Y</v>
      </c>
      <c r="AU936" s="65" t="str">
        <f t="shared" si="260"/>
        <v>Y</v>
      </c>
      <c r="AV936" s="65" t="str">
        <f t="shared" si="258"/>
        <v>Y</v>
      </c>
      <c r="AW936" s="99"/>
      <c r="AX936" s="99"/>
      <c r="AZ936" s="96" t="str">
        <f t="shared" si="261"/>
        <v>EC10</v>
      </c>
      <c r="BA936" s="96">
        <f>IF(AZ936="n","n",VLOOKUP(AZ936,'Conversion factors'!$C$4:$D$24,2,FALSE))</f>
        <v>1</v>
      </c>
      <c r="BB936" s="96">
        <f t="shared" si="262"/>
        <v>0</v>
      </c>
      <c r="BC936" s="97"/>
      <c r="BD936" s="96" t="str">
        <f t="shared" si="263"/>
        <v>Chronic</v>
      </c>
      <c r="BE936" s="96" t="str">
        <f t="shared" si="264"/>
        <v>y</v>
      </c>
      <c r="BF936" s="98" t="str">
        <f t="shared" si="265"/>
        <v>EC10</v>
      </c>
      <c r="BG936" s="96" t="str">
        <f>IF(BF936="","",IF(ISNUMBER(VLOOKUP(BF936,'Conversion factors'!$B$35:$C$52,2,FALSE)),"y","n"))</f>
        <v>y</v>
      </c>
      <c r="BH936" s="99"/>
    </row>
    <row r="937" spans="1:60" ht="15.75" customHeight="1" x14ac:dyDescent="0.2">
      <c r="A937" s="20">
        <v>1447</v>
      </c>
      <c r="B937" s="20">
        <v>1447</v>
      </c>
      <c r="C937" s="20">
        <v>1447</v>
      </c>
      <c r="D937" s="20" t="s">
        <v>1528</v>
      </c>
      <c r="E937" s="20" t="s">
        <v>1528</v>
      </c>
      <c r="F937" s="20">
        <v>2015</v>
      </c>
      <c r="G937" s="20" t="s">
        <v>1527</v>
      </c>
      <c r="J937" s="19" t="s">
        <v>344</v>
      </c>
      <c r="K937" s="20" t="s">
        <v>42</v>
      </c>
      <c r="L937" s="19" t="s">
        <v>43</v>
      </c>
      <c r="M937" s="20" t="s">
        <v>1303</v>
      </c>
      <c r="N937" s="19" t="s">
        <v>109</v>
      </c>
      <c r="O937" s="20" t="s">
        <v>264</v>
      </c>
      <c r="P937" s="19" t="s">
        <v>53</v>
      </c>
      <c r="R937" s="20" t="s">
        <v>256</v>
      </c>
      <c r="S937" s="20" t="s">
        <v>309</v>
      </c>
      <c r="T937" s="20" t="s">
        <v>49</v>
      </c>
      <c r="U937" s="20" t="s">
        <v>49</v>
      </c>
      <c r="V937" s="20">
        <v>3</v>
      </c>
      <c r="W937" s="19" t="s">
        <v>45</v>
      </c>
      <c r="X937" s="19" t="s">
        <v>46</v>
      </c>
      <c r="AC937" s="20" t="s">
        <v>214</v>
      </c>
      <c r="AE937" s="20">
        <v>87.2</v>
      </c>
      <c r="AJ937" s="20">
        <v>8.4</v>
      </c>
      <c r="AK937" s="20">
        <v>8.4</v>
      </c>
      <c r="AP937" s="20">
        <v>4.3</v>
      </c>
      <c r="AQ937" s="20">
        <v>25</v>
      </c>
      <c r="AT937" s="65" t="str">
        <f t="shared" si="259"/>
        <v>Y</v>
      </c>
      <c r="AU937" s="65" t="str">
        <f t="shared" si="260"/>
        <v>Y</v>
      </c>
      <c r="AV937" s="65" t="str">
        <f t="shared" si="258"/>
        <v>Y</v>
      </c>
      <c r="AW937" s="99"/>
      <c r="AX937" s="99"/>
      <c r="AZ937" s="96" t="str">
        <f t="shared" si="261"/>
        <v>EC10</v>
      </c>
      <c r="BA937" s="96">
        <f>IF(AZ937="n","n",VLOOKUP(AZ937,'Conversion factors'!$C$4:$D$24,2,FALSE))</f>
        <v>1</v>
      </c>
      <c r="BB937" s="96">
        <f t="shared" si="262"/>
        <v>0</v>
      </c>
      <c r="BC937" s="97"/>
      <c r="BD937" s="96" t="str">
        <f t="shared" si="263"/>
        <v>Chronic</v>
      </c>
      <c r="BE937" s="96" t="str">
        <f t="shared" si="264"/>
        <v>y</v>
      </c>
      <c r="BF937" s="98" t="str">
        <f t="shared" si="265"/>
        <v>EC10</v>
      </c>
      <c r="BG937" s="96" t="str">
        <f>IF(BF937="","",IF(ISNUMBER(VLOOKUP(BF937,'Conversion factors'!$B$35:$C$52,2,FALSE)),"y","n"))</f>
        <v>y</v>
      </c>
      <c r="BH937" s="99"/>
    </row>
    <row r="938" spans="1:60" ht="15.75" customHeight="1" x14ac:dyDescent="0.2">
      <c r="A938" s="20">
        <v>1447</v>
      </c>
      <c r="B938" s="20">
        <v>1447</v>
      </c>
      <c r="C938" s="20">
        <v>1447</v>
      </c>
      <c r="D938" s="20" t="s">
        <v>1529</v>
      </c>
      <c r="E938" s="20" t="s">
        <v>1529</v>
      </c>
      <c r="F938" s="20">
        <v>2015</v>
      </c>
      <c r="G938" s="20" t="s">
        <v>1527</v>
      </c>
      <c r="J938" s="19" t="s">
        <v>344</v>
      </c>
      <c r="K938" s="20" t="s">
        <v>42</v>
      </c>
      <c r="L938" s="19" t="s">
        <v>43</v>
      </c>
      <c r="M938" s="20" t="s">
        <v>1303</v>
      </c>
      <c r="N938" s="19" t="s">
        <v>109</v>
      </c>
      <c r="O938" s="20" t="s">
        <v>264</v>
      </c>
      <c r="P938" s="19" t="s">
        <v>53</v>
      </c>
      <c r="R938" s="20" t="s">
        <v>256</v>
      </c>
      <c r="S938" s="20" t="s">
        <v>309</v>
      </c>
      <c r="T938" s="20" t="s">
        <v>49</v>
      </c>
      <c r="U938" s="20" t="s">
        <v>49</v>
      </c>
      <c r="V938" s="20">
        <v>2</v>
      </c>
      <c r="W938" s="19" t="s">
        <v>45</v>
      </c>
      <c r="X938" s="19" t="s">
        <v>46</v>
      </c>
      <c r="AB938" s="20">
        <v>62</v>
      </c>
      <c r="AC938" s="20" t="s">
        <v>214</v>
      </c>
      <c r="AE938" s="20">
        <v>19.3</v>
      </c>
      <c r="AJ938" s="20">
        <v>5.85</v>
      </c>
      <c r="AK938" s="20">
        <v>5.85</v>
      </c>
      <c r="AP938" s="20">
        <v>2.9</v>
      </c>
      <c r="AQ938" s="20">
        <v>25</v>
      </c>
      <c r="AT938" s="65" t="str">
        <f t="shared" si="259"/>
        <v>Y</v>
      </c>
      <c r="AU938" s="65" t="str">
        <f t="shared" si="260"/>
        <v>N</v>
      </c>
      <c r="AV938" s="65" t="str">
        <f t="shared" si="258"/>
        <v>N</v>
      </c>
      <c r="AW938" s="99"/>
      <c r="AX938" s="99"/>
      <c r="AZ938" s="96" t="str">
        <f t="shared" si="261"/>
        <v>n</v>
      </c>
      <c r="BA938" s="96" t="str">
        <f>IF(AZ938="n","n",VLOOKUP(AZ938,'Conversion factors'!$C$4:$D$24,2,FALSE))</f>
        <v>n</v>
      </c>
      <c r="BB938" s="96" t="str">
        <f t="shared" si="262"/>
        <v>n</v>
      </c>
      <c r="BC938" s="97"/>
      <c r="BD938" s="96" t="str">
        <f t="shared" si="263"/>
        <v>n</v>
      </c>
      <c r="BE938" s="96" t="str">
        <f t="shared" si="264"/>
        <v>n</v>
      </c>
      <c r="BF938" s="98" t="str">
        <f t="shared" si="265"/>
        <v/>
      </c>
      <c r="BG938" s="96" t="str">
        <f>IF(BF938="","",IF(ISNUMBER(VLOOKUP(BF938,'Conversion factors'!$B$35:$C$52,2,FALSE)),"y","n"))</f>
        <v/>
      </c>
      <c r="BH938" s="99"/>
    </row>
    <row r="939" spans="1:60" ht="15.75" customHeight="1" x14ac:dyDescent="0.2">
      <c r="A939" s="20">
        <v>1447</v>
      </c>
      <c r="B939" s="20">
        <v>1447</v>
      </c>
      <c r="C939" s="20">
        <v>1447</v>
      </c>
      <c r="D939" s="20" t="s">
        <v>1529</v>
      </c>
      <c r="E939" s="20" t="s">
        <v>1529</v>
      </c>
      <c r="F939" s="20">
        <v>2015</v>
      </c>
      <c r="G939" s="20" t="s">
        <v>1527</v>
      </c>
      <c r="J939" s="19" t="s">
        <v>344</v>
      </c>
      <c r="K939" s="20" t="s">
        <v>42</v>
      </c>
      <c r="L939" s="19" t="s">
        <v>43</v>
      </c>
      <c r="M939" s="20" t="s">
        <v>1303</v>
      </c>
      <c r="N939" s="19" t="s">
        <v>109</v>
      </c>
      <c r="O939" s="20" t="s">
        <v>264</v>
      </c>
      <c r="P939" s="19" t="s">
        <v>53</v>
      </c>
      <c r="R939" s="20" t="s">
        <v>256</v>
      </c>
      <c r="S939" s="20" t="s">
        <v>309</v>
      </c>
      <c r="T939" s="20" t="s">
        <v>49</v>
      </c>
      <c r="U939" s="20" t="s">
        <v>49</v>
      </c>
      <c r="V939" s="20">
        <v>3</v>
      </c>
      <c r="W939" s="19" t="s">
        <v>45</v>
      </c>
      <c r="X939" s="19" t="s">
        <v>46</v>
      </c>
      <c r="AB939" s="20">
        <v>22</v>
      </c>
      <c r="AC939" s="20" t="s">
        <v>214</v>
      </c>
      <c r="AE939" s="20">
        <v>8.6</v>
      </c>
      <c r="AJ939" s="20">
        <v>6.08</v>
      </c>
      <c r="AK939" s="20">
        <v>6.08</v>
      </c>
      <c r="AP939" s="20">
        <v>4.5</v>
      </c>
      <c r="AQ939" s="20">
        <v>25</v>
      </c>
      <c r="AT939" s="65" t="str">
        <f t="shared" si="259"/>
        <v>Y</v>
      </c>
      <c r="AU939" s="65" t="str">
        <f t="shared" si="260"/>
        <v>Y</v>
      </c>
      <c r="AV939" s="65" t="str">
        <f t="shared" si="258"/>
        <v>Y</v>
      </c>
      <c r="AW939" s="99"/>
      <c r="AX939" s="99"/>
      <c r="AZ939" s="96" t="str">
        <f t="shared" si="261"/>
        <v>EC10</v>
      </c>
      <c r="BA939" s="96">
        <f>IF(AZ939="n","n",VLOOKUP(AZ939,'Conversion factors'!$C$4:$D$24,2,FALSE))</f>
        <v>1</v>
      </c>
      <c r="BB939" s="96">
        <f t="shared" si="262"/>
        <v>22</v>
      </c>
      <c r="BC939" s="97"/>
      <c r="BD939" s="96" t="str">
        <f t="shared" si="263"/>
        <v>Chronic</v>
      </c>
      <c r="BE939" s="96" t="str">
        <f t="shared" si="264"/>
        <v>y</v>
      </c>
      <c r="BF939" s="98" t="str">
        <f t="shared" si="265"/>
        <v>EC10</v>
      </c>
      <c r="BG939" s="96" t="str">
        <f>IF(BF939="","",IF(ISNUMBER(VLOOKUP(BF939,'Conversion factors'!$B$35:$C$52,2,FALSE)),"y","n"))</f>
        <v>y</v>
      </c>
      <c r="BH939" s="99"/>
    </row>
    <row r="940" spans="1:60" ht="15.75" customHeight="1" x14ac:dyDescent="0.2">
      <c r="A940" s="20">
        <v>1447</v>
      </c>
      <c r="B940" s="20">
        <v>1447</v>
      </c>
      <c r="C940" s="20">
        <v>1447</v>
      </c>
      <c r="D940" s="20" t="s">
        <v>1529</v>
      </c>
      <c r="E940" s="20" t="s">
        <v>1529</v>
      </c>
      <c r="F940" s="20">
        <v>2015</v>
      </c>
      <c r="G940" s="20" t="s">
        <v>1527</v>
      </c>
      <c r="J940" s="19" t="s">
        <v>344</v>
      </c>
      <c r="K940" s="20" t="s">
        <v>42</v>
      </c>
      <c r="L940" s="19" t="s">
        <v>43</v>
      </c>
      <c r="M940" s="20" t="s">
        <v>1303</v>
      </c>
      <c r="N940" s="19" t="s">
        <v>109</v>
      </c>
      <c r="O940" s="20" t="s">
        <v>264</v>
      </c>
      <c r="P940" s="19" t="s">
        <v>53</v>
      </c>
      <c r="R940" s="20" t="s">
        <v>256</v>
      </c>
      <c r="S940" s="20" t="s">
        <v>309</v>
      </c>
      <c r="T940" s="20" t="s">
        <v>49</v>
      </c>
      <c r="U940" s="20" t="s">
        <v>49</v>
      </c>
      <c r="V940" s="20">
        <v>3</v>
      </c>
      <c r="W940" s="19" t="s">
        <v>45</v>
      </c>
      <c r="X940" s="19" t="s">
        <v>46</v>
      </c>
      <c r="AB940" s="20">
        <v>32</v>
      </c>
      <c r="AC940" s="20" t="s">
        <v>214</v>
      </c>
      <c r="AE940" s="20">
        <v>8.9</v>
      </c>
      <c r="AJ940" s="20">
        <v>6.01</v>
      </c>
      <c r="AK940" s="20">
        <v>6.01</v>
      </c>
      <c r="AP940" s="20">
        <v>4.4000000000000004</v>
      </c>
      <c r="AQ940" s="20">
        <v>25</v>
      </c>
      <c r="AT940" s="65" t="str">
        <f t="shared" si="259"/>
        <v>Y</v>
      </c>
      <c r="AU940" s="65" t="str">
        <f t="shared" si="260"/>
        <v>Y</v>
      </c>
      <c r="AV940" s="65" t="str">
        <f t="shared" si="258"/>
        <v>Y</v>
      </c>
      <c r="AW940" s="99"/>
      <c r="AX940" s="99"/>
      <c r="AZ940" s="96" t="str">
        <f t="shared" si="261"/>
        <v>EC10</v>
      </c>
      <c r="BA940" s="96">
        <f>IF(AZ940="n","n",VLOOKUP(AZ940,'Conversion factors'!$C$4:$D$24,2,FALSE))</f>
        <v>1</v>
      </c>
      <c r="BB940" s="96">
        <f t="shared" si="262"/>
        <v>32</v>
      </c>
      <c r="BC940" s="97"/>
      <c r="BD940" s="96" t="str">
        <f t="shared" si="263"/>
        <v>Chronic</v>
      </c>
      <c r="BE940" s="96" t="str">
        <f t="shared" si="264"/>
        <v>y</v>
      </c>
      <c r="BF940" s="98" t="str">
        <f t="shared" si="265"/>
        <v>EC10</v>
      </c>
      <c r="BG940" s="96" t="str">
        <f>IF(BF940="","",IF(ISNUMBER(VLOOKUP(BF940,'Conversion factors'!$B$35:$C$52,2,FALSE)),"y","n"))</f>
        <v>y</v>
      </c>
      <c r="BH940" s="99"/>
    </row>
    <row r="941" spans="1:60" ht="15.75" customHeight="1" x14ac:dyDescent="0.2">
      <c r="A941" s="20">
        <v>1447</v>
      </c>
      <c r="B941" s="20">
        <v>1447</v>
      </c>
      <c r="C941" s="20">
        <v>1447</v>
      </c>
      <c r="D941" s="20" t="s">
        <v>1529</v>
      </c>
      <c r="E941" s="20" t="s">
        <v>1529</v>
      </c>
      <c r="F941" s="20">
        <v>2015</v>
      </c>
      <c r="G941" s="20" t="s">
        <v>1527</v>
      </c>
      <c r="J941" s="19" t="s">
        <v>344</v>
      </c>
      <c r="K941" s="20" t="s">
        <v>42</v>
      </c>
      <c r="L941" s="19" t="s">
        <v>43</v>
      </c>
      <c r="M941" s="20" t="s">
        <v>1303</v>
      </c>
      <c r="N941" s="19" t="s">
        <v>109</v>
      </c>
      <c r="O941" s="20" t="s">
        <v>264</v>
      </c>
      <c r="P941" s="19" t="s">
        <v>53</v>
      </c>
      <c r="R941" s="20" t="s">
        <v>256</v>
      </c>
      <c r="S941" s="20" t="s">
        <v>309</v>
      </c>
      <c r="T941" s="20" t="s">
        <v>49</v>
      </c>
      <c r="U941" s="20" t="s">
        <v>49</v>
      </c>
      <c r="V941" s="20">
        <v>2</v>
      </c>
      <c r="W941" s="19" t="s">
        <v>45</v>
      </c>
      <c r="X941" s="19" t="s">
        <v>46</v>
      </c>
      <c r="AC941" s="20" t="s">
        <v>214</v>
      </c>
      <c r="AE941" s="20">
        <v>10.5</v>
      </c>
      <c r="AJ941" s="20">
        <v>5.83</v>
      </c>
      <c r="AK941" s="20">
        <v>5.83</v>
      </c>
      <c r="AP941" s="20">
        <v>8.6</v>
      </c>
      <c r="AQ941" s="20">
        <v>25</v>
      </c>
      <c r="AT941" s="65" t="str">
        <f t="shared" si="259"/>
        <v>Y</v>
      </c>
      <c r="AU941" s="65" t="str">
        <f t="shared" si="260"/>
        <v>N</v>
      </c>
      <c r="AV941" s="65" t="str">
        <f t="shared" si="258"/>
        <v>N</v>
      </c>
      <c r="AW941" s="99"/>
      <c r="AX941" s="99"/>
      <c r="AZ941" s="96" t="str">
        <f t="shared" si="261"/>
        <v>n</v>
      </c>
      <c r="BA941" s="96" t="str">
        <f>IF(AZ941="n","n",VLOOKUP(AZ941,'Conversion factors'!$C$4:$D$24,2,FALSE))</f>
        <v>n</v>
      </c>
      <c r="BB941" s="96" t="str">
        <f t="shared" si="262"/>
        <v>n</v>
      </c>
      <c r="BC941" s="97"/>
      <c r="BD941" s="96" t="str">
        <f t="shared" si="263"/>
        <v>n</v>
      </c>
      <c r="BE941" s="96" t="str">
        <f t="shared" si="264"/>
        <v>n</v>
      </c>
      <c r="BF941" s="98" t="str">
        <f t="shared" si="265"/>
        <v/>
      </c>
      <c r="BG941" s="96" t="str">
        <f>IF(BF941="","",IF(ISNUMBER(VLOOKUP(BF941,'Conversion factors'!$B$35:$C$52,2,FALSE)),"y","n"))</f>
        <v/>
      </c>
      <c r="BH941" s="99"/>
    </row>
    <row r="942" spans="1:60" ht="15.75" customHeight="1" x14ac:dyDescent="0.2">
      <c r="A942" s="20">
        <v>1447</v>
      </c>
      <c r="B942" s="20">
        <v>1447</v>
      </c>
      <c r="C942" s="20">
        <v>1447</v>
      </c>
      <c r="D942" s="20" t="s">
        <v>1526</v>
      </c>
      <c r="E942" s="20" t="s">
        <v>1526</v>
      </c>
      <c r="F942" s="20">
        <v>2015</v>
      </c>
      <c r="G942" s="20" t="s">
        <v>1527</v>
      </c>
      <c r="J942" s="19" t="s">
        <v>344</v>
      </c>
      <c r="K942" s="20" t="s">
        <v>42</v>
      </c>
      <c r="L942" s="19" t="s">
        <v>43</v>
      </c>
      <c r="M942" s="20" t="s">
        <v>1303</v>
      </c>
      <c r="N942" s="19" t="s">
        <v>109</v>
      </c>
      <c r="O942" s="20" t="s">
        <v>264</v>
      </c>
      <c r="P942" s="19" t="s">
        <v>53</v>
      </c>
      <c r="R942" s="20" t="s">
        <v>256</v>
      </c>
      <c r="S942" s="20" t="s">
        <v>309</v>
      </c>
      <c r="T942" s="20" t="s">
        <v>44</v>
      </c>
      <c r="U942" s="20" t="s">
        <v>44</v>
      </c>
      <c r="V942" s="20">
        <v>2</v>
      </c>
      <c r="W942" s="19" t="s">
        <v>45</v>
      </c>
      <c r="X942" s="19" t="s">
        <v>46</v>
      </c>
      <c r="AB942" s="20">
        <v>231</v>
      </c>
      <c r="AC942" s="20" t="s">
        <v>214</v>
      </c>
      <c r="AE942" s="20">
        <v>75.2</v>
      </c>
      <c r="AJ942" s="20">
        <v>6.98</v>
      </c>
      <c r="AK942" s="20">
        <v>6.98</v>
      </c>
      <c r="AP942" s="20">
        <v>9.5</v>
      </c>
      <c r="AQ942" s="20">
        <v>25</v>
      </c>
      <c r="AT942" s="65" t="str">
        <f t="shared" si="259"/>
        <v>Y</v>
      </c>
      <c r="AU942" s="65" t="str">
        <f t="shared" si="260"/>
        <v>Y</v>
      </c>
      <c r="AV942" s="65" t="str">
        <f t="shared" si="258"/>
        <v>Y</v>
      </c>
      <c r="AW942" s="99"/>
      <c r="AX942" s="99"/>
      <c r="AZ942" s="96" t="str">
        <f t="shared" si="261"/>
        <v>EC50</v>
      </c>
      <c r="BA942" s="96">
        <f>IF(AZ942="n","n",VLOOKUP(AZ942,'Conversion factors'!$C$4:$D$24,2,FALSE))</f>
        <v>5</v>
      </c>
      <c r="BB942" s="96">
        <f t="shared" si="262"/>
        <v>46.2</v>
      </c>
      <c r="BC942" s="97"/>
      <c r="BD942" s="96" t="str">
        <f t="shared" si="263"/>
        <v>Chronic</v>
      </c>
      <c r="BE942" s="96" t="str">
        <f t="shared" si="264"/>
        <v>y</v>
      </c>
      <c r="BF942" s="98" t="str">
        <f t="shared" si="265"/>
        <v>EC50</v>
      </c>
      <c r="BG942" s="96" t="str">
        <f>IF(BF942="","",IF(ISNUMBER(VLOOKUP(BF942,'Conversion factors'!$B$35:$C$52,2,FALSE)),"y","n"))</f>
        <v>n</v>
      </c>
      <c r="BH942" s="99" t="s">
        <v>1525</v>
      </c>
    </row>
    <row r="943" spans="1:60" ht="15.75" customHeight="1" x14ac:dyDescent="0.2">
      <c r="A943" s="20">
        <v>1447</v>
      </c>
      <c r="B943" s="20">
        <v>1447</v>
      </c>
      <c r="C943" s="20">
        <v>1447</v>
      </c>
      <c r="D943" s="20" t="s">
        <v>1526</v>
      </c>
      <c r="E943" s="20" t="s">
        <v>1526</v>
      </c>
      <c r="F943" s="20">
        <v>2015</v>
      </c>
      <c r="G943" s="20" t="s">
        <v>1527</v>
      </c>
      <c r="J943" s="19" t="s">
        <v>344</v>
      </c>
      <c r="K943" s="20" t="s">
        <v>42</v>
      </c>
      <c r="L943" s="19" t="s">
        <v>43</v>
      </c>
      <c r="M943" s="20" t="s">
        <v>1303</v>
      </c>
      <c r="N943" s="19" t="s">
        <v>109</v>
      </c>
      <c r="O943" s="20" t="s">
        <v>264</v>
      </c>
      <c r="P943" s="19" t="s">
        <v>53</v>
      </c>
      <c r="R943" s="20" t="s">
        <v>256</v>
      </c>
      <c r="S943" s="20" t="s">
        <v>309</v>
      </c>
      <c r="T943" s="20" t="s">
        <v>44</v>
      </c>
      <c r="U943" s="20" t="s">
        <v>44</v>
      </c>
      <c r="V943" s="20">
        <v>2</v>
      </c>
      <c r="W943" s="19" t="s">
        <v>45</v>
      </c>
      <c r="X943" s="19" t="s">
        <v>46</v>
      </c>
      <c r="AB943" s="20">
        <v>100</v>
      </c>
      <c r="AC943" s="20" t="s">
        <v>214</v>
      </c>
      <c r="AE943" s="20">
        <v>45</v>
      </c>
      <c r="AJ943" s="20">
        <v>7.26</v>
      </c>
      <c r="AK943" s="20">
        <v>7.26</v>
      </c>
      <c r="AP943" s="20">
        <v>12</v>
      </c>
      <c r="AQ943" s="20">
        <v>25</v>
      </c>
      <c r="AT943" s="65" t="str">
        <f t="shared" si="259"/>
        <v>Y</v>
      </c>
      <c r="AU943" s="65" t="str">
        <f t="shared" si="260"/>
        <v>Y</v>
      </c>
      <c r="AV943" s="65" t="str">
        <f t="shared" si="258"/>
        <v>Y</v>
      </c>
      <c r="AW943" s="99"/>
      <c r="AX943" s="99"/>
      <c r="AZ943" s="96" t="str">
        <f t="shared" si="261"/>
        <v>EC50</v>
      </c>
      <c r="BA943" s="96">
        <f>IF(AZ943="n","n",VLOOKUP(AZ943,'Conversion factors'!$C$4:$D$24,2,FALSE))</f>
        <v>5</v>
      </c>
      <c r="BB943" s="96">
        <f t="shared" si="262"/>
        <v>20</v>
      </c>
      <c r="BC943" s="97"/>
      <c r="BD943" s="96" t="str">
        <f t="shared" si="263"/>
        <v>Chronic</v>
      </c>
      <c r="BE943" s="96" t="str">
        <f t="shared" si="264"/>
        <v>y</v>
      </c>
      <c r="BF943" s="98" t="str">
        <f t="shared" si="265"/>
        <v>EC50</v>
      </c>
      <c r="BG943" s="96" t="str">
        <f>IF(BF943="","",IF(ISNUMBER(VLOOKUP(BF943,'Conversion factors'!$B$35:$C$52,2,FALSE)),"y","n"))</f>
        <v>n</v>
      </c>
      <c r="BH943" s="99" t="s">
        <v>1525</v>
      </c>
    </row>
    <row r="944" spans="1:60" ht="15.75" customHeight="1" x14ac:dyDescent="0.2">
      <c r="A944" s="20">
        <v>1447</v>
      </c>
      <c r="B944" s="20">
        <v>1447</v>
      </c>
      <c r="C944" s="20">
        <v>1447</v>
      </c>
      <c r="D944" s="20" t="s">
        <v>1526</v>
      </c>
      <c r="E944" s="20" t="s">
        <v>1526</v>
      </c>
      <c r="F944" s="20">
        <v>2015</v>
      </c>
      <c r="G944" s="20" t="s">
        <v>1527</v>
      </c>
      <c r="J944" s="19" t="s">
        <v>344</v>
      </c>
      <c r="K944" s="20" t="s">
        <v>42</v>
      </c>
      <c r="L944" s="19" t="s">
        <v>43</v>
      </c>
      <c r="M944" s="20" t="s">
        <v>1303</v>
      </c>
      <c r="N944" s="19" t="s">
        <v>109</v>
      </c>
      <c r="O944" s="20" t="s">
        <v>264</v>
      </c>
      <c r="P944" s="19" t="s">
        <v>53</v>
      </c>
      <c r="R944" s="20" t="s">
        <v>256</v>
      </c>
      <c r="S944" s="20" t="s">
        <v>309</v>
      </c>
      <c r="T944" s="20" t="s">
        <v>44</v>
      </c>
      <c r="U944" s="20" t="s">
        <v>44</v>
      </c>
      <c r="V944" s="20">
        <v>2</v>
      </c>
      <c r="W944" s="19" t="s">
        <v>45</v>
      </c>
      <c r="X944" s="19" t="s">
        <v>46</v>
      </c>
      <c r="AB944" s="20">
        <v>395</v>
      </c>
      <c r="AC944" s="20" t="s">
        <v>214</v>
      </c>
      <c r="AE944" s="20">
        <v>21.5</v>
      </c>
      <c r="AJ944" s="20">
        <v>6.26</v>
      </c>
      <c r="AK944" s="20">
        <v>6.26</v>
      </c>
      <c r="AP944" s="20">
        <v>4.0999999999999996</v>
      </c>
      <c r="AQ944" s="20">
        <v>25</v>
      </c>
      <c r="AT944" s="65" t="str">
        <f t="shared" si="259"/>
        <v>Y</v>
      </c>
      <c r="AU944" s="65" t="str">
        <f t="shared" si="260"/>
        <v>Y</v>
      </c>
      <c r="AV944" s="65" t="str">
        <f t="shared" si="258"/>
        <v>Y</v>
      </c>
      <c r="AW944" s="99"/>
      <c r="AX944" s="99"/>
      <c r="AZ944" s="96" t="str">
        <f t="shared" si="261"/>
        <v>EC50</v>
      </c>
      <c r="BA944" s="96">
        <f>IF(AZ944="n","n",VLOOKUP(AZ944,'Conversion factors'!$C$4:$D$24,2,FALSE))</f>
        <v>5</v>
      </c>
      <c r="BB944" s="96">
        <f t="shared" si="262"/>
        <v>79</v>
      </c>
      <c r="BC944" s="97"/>
      <c r="BD944" s="96" t="str">
        <f t="shared" si="263"/>
        <v>Chronic</v>
      </c>
      <c r="BE944" s="96" t="str">
        <f t="shared" si="264"/>
        <v>y</v>
      </c>
      <c r="BF944" s="98" t="str">
        <f t="shared" si="265"/>
        <v>EC50</v>
      </c>
      <c r="BG944" s="96" t="str">
        <f>IF(BF944="","",IF(ISNUMBER(VLOOKUP(BF944,'Conversion factors'!$B$35:$C$52,2,FALSE)),"y","n"))</f>
        <v>n</v>
      </c>
      <c r="BH944" s="99" t="s">
        <v>1525</v>
      </c>
    </row>
    <row r="945" spans="1:60" ht="15.75" customHeight="1" x14ac:dyDescent="0.2">
      <c r="A945" s="20">
        <v>1447</v>
      </c>
      <c r="B945" s="20">
        <v>1447</v>
      </c>
      <c r="C945" s="20">
        <v>1447</v>
      </c>
      <c r="D945" s="20" t="s">
        <v>1526</v>
      </c>
      <c r="E945" s="20" t="s">
        <v>1526</v>
      </c>
      <c r="F945" s="20">
        <v>2015</v>
      </c>
      <c r="G945" s="20" t="s">
        <v>1527</v>
      </c>
      <c r="J945" s="19" t="s">
        <v>344</v>
      </c>
      <c r="K945" s="20" t="s">
        <v>42</v>
      </c>
      <c r="L945" s="19" t="s">
        <v>43</v>
      </c>
      <c r="M945" s="20" t="s">
        <v>1303</v>
      </c>
      <c r="N945" s="19" t="s">
        <v>109</v>
      </c>
      <c r="O945" s="20" t="s">
        <v>264</v>
      </c>
      <c r="P945" s="19" t="s">
        <v>53</v>
      </c>
      <c r="R945" s="20" t="s">
        <v>256</v>
      </c>
      <c r="S945" s="20" t="s">
        <v>309</v>
      </c>
      <c r="T945" s="20" t="s">
        <v>44</v>
      </c>
      <c r="U945" s="20" t="s">
        <v>44</v>
      </c>
      <c r="V945" s="20">
        <v>2</v>
      </c>
      <c r="W945" s="19" t="s">
        <v>45</v>
      </c>
      <c r="X945" s="19" t="s">
        <v>46</v>
      </c>
      <c r="AB945" s="20">
        <v>62</v>
      </c>
      <c r="AC945" s="20" t="s">
        <v>214</v>
      </c>
      <c r="AE945" s="20">
        <v>70.5</v>
      </c>
      <c r="AJ945" s="20">
        <v>8.5399999999999991</v>
      </c>
      <c r="AK945" s="20">
        <v>8.5399999999999991</v>
      </c>
      <c r="AP945" s="20">
        <v>9</v>
      </c>
      <c r="AQ945" s="20">
        <v>25</v>
      </c>
      <c r="AT945" s="65" t="str">
        <f t="shared" si="259"/>
        <v>Y</v>
      </c>
      <c r="AU945" s="65" t="str">
        <f t="shared" si="260"/>
        <v>N</v>
      </c>
      <c r="AV945" s="65" t="str">
        <f t="shared" si="258"/>
        <v>N</v>
      </c>
      <c r="AW945" s="99"/>
      <c r="AX945" s="99"/>
      <c r="AZ945" s="96" t="str">
        <f t="shared" si="261"/>
        <v>n</v>
      </c>
      <c r="BA945" s="96" t="str">
        <f>IF(AZ945="n","n",VLOOKUP(AZ945,'Conversion factors'!$C$4:$D$24,2,FALSE))</f>
        <v>n</v>
      </c>
      <c r="BB945" s="96" t="str">
        <f t="shared" si="262"/>
        <v>n</v>
      </c>
      <c r="BC945" s="97"/>
      <c r="BD945" s="96" t="str">
        <f t="shared" si="263"/>
        <v>n</v>
      </c>
      <c r="BE945" s="96" t="str">
        <f t="shared" si="264"/>
        <v>n</v>
      </c>
      <c r="BF945" s="98" t="str">
        <f t="shared" si="265"/>
        <v/>
      </c>
      <c r="BG945" s="96" t="str">
        <f>IF(BF945="","",IF(ISNUMBER(VLOOKUP(BF945,'Conversion factors'!$B$35:$C$52,2,FALSE)),"y","n"))</f>
        <v/>
      </c>
      <c r="BH945" s="99" t="s">
        <v>1525</v>
      </c>
    </row>
    <row r="946" spans="1:60" ht="15.75" customHeight="1" x14ac:dyDescent="0.2">
      <c r="A946" s="20">
        <v>1447</v>
      </c>
      <c r="B946" s="20">
        <v>1447</v>
      </c>
      <c r="C946" s="20">
        <v>1447</v>
      </c>
      <c r="D946" s="20" t="s">
        <v>1526</v>
      </c>
      <c r="E946" s="20" t="s">
        <v>1526</v>
      </c>
      <c r="F946" s="20">
        <v>2015</v>
      </c>
      <c r="G946" s="20" t="s">
        <v>1527</v>
      </c>
      <c r="J946" s="19" t="s">
        <v>344</v>
      </c>
      <c r="K946" s="20" t="s">
        <v>42</v>
      </c>
      <c r="L946" s="19" t="s">
        <v>43</v>
      </c>
      <c r="M946" s="20" t="s">
        <v>1303</v>
      </c>
      <c r="N946" s="19" t="s">
        <v>109</v>
      </c>
      <c r="O946" s="20" t="s">
        <v>264</v>
      </c>
      <c r="P946" s="19" t="s">
        <v>53</v>
      </c>
      <c r="R946" s="20" t="s">
        <v>256</v>
      </c>
      <c r="S946" s="20" t="s">
        <v>309</v>
      </c>
      <c r="T946" s="20" t="s">
        <v>44</v>
      </c>
      <c r="U946" s="20" t="s">
        <v>44</v>
      </c>
      <c r="V946" s="20">
        <v>3</v>
      </c>
      <c r="W946" s="19" t="s">
        <v>45</v>
      </c>
      <c r="X946" s="19" t="s">
        <v>46</v>
      </c>
      <c r="AB946" s="20">
        <v>54</v>
      </c>
      <c r="AC946" s="20" t="s">
        <v>214</v>
      </c>
      <c r="AE946" s="20">
        <v>70.5</v>
      </c>
      <c r="AJ946" s="20">
        <v>8.5399999999999991</v>
      </c>
      <c r="AK946" s="20">
        <v>8.5399999999999991</v>
      </c>
      <c r="AP946" s="20">
        <v>9</v>
      </c>
      <c r="AQ946" s="20">
        <v>25</v>
      </c>
      <c r="AT946" s="65" t="str">
        <f t="shared" si="259"/>
        <v>Y</v>
      </c>
      <c r="AU946" s="65" t="str">
        <f t="shared" si="260"/>
        <v>N</v>
      </c>
      <c r="AV946" s="65" t="str">
        <f t="shared" si="258"/>
        <v>N</v>
      </c>
      <c r="AW946" s="99"/>
      <c r="AX946" s="99"/>
      <c r="AZ946" s="96" t="str">
        <f t="shared" si="261"/>
        <v>n</v>
      </c>
      <c r="BA946" s="96" t="str">
        <f>IF(AZ946="n","n",VLOOKUP(AZ946,'Conversion factors'!$C$4:$D$24,2,FALSE))</f>
        <v>n</v>
      </c>
      <c r="BB946" s="96" t="str">
        <f t="shared" si="262"/>
        <v>n</v>
      </c>
      <c r="BC946" s="97"/>
      <c r="BD946" s="96" t="str">
        <f t="shared" si="263"/>
        <v>n</v>
      </c>
      <c r="BE946" s="96" t="str">
        <f t="shared" si="264"/>
        <v>n</v>
      </c>
      <c r="BF946" s="98" t="str">
        <f t="shared" si="265"/>
        <v/>
      </c>
      <c r="BG946" s="96" t="str">
        <f>IF(BF946="","",IF(ISNUMBER(VLOOKUP(BF946,'Conversion factors'!$B$35:$C$52,2,FALSE)),"y","n"))</f>
        <v/>
      </c>
      <c r="BH946" s="99" t="s">
        <v>1525</v>
      </c>
    </row>
    <row r="947" spans="1:60" ht="15.75" customHeight="1" x14ac:dyDescent="0.2">
      <c r="A947" s="20">
        <v>1447</v>
      </c>
      <c r="B947" s="20">
        <v>1447</v>
      </c>
      <c r="C947" s="20">
        <v>1447</v>
      </c>
      <c r="D947" s="20" t="s">
        <v>1526</v>
      </c>
      <c r="E947" s="20" t="s">
        <v>1526</v>
      </c>
      <c r="F947" s="20">
        <v>2015</v>
      </c>
      <c r="G947" s="20" t="s">
        <v>1527</v>
      </c>
      <c r="J947" s="19" t="s">
        <v>344</v>
      </c>
      <c r="K947" s="20" t="s">
        <v>42</v>
      </c>
      <c r="L947" s="19" t="s">
        <v>43</v>
      </c>
      <c r="M947" s="20" t="s">
        <v>1303</v>
      </c>
      <c r="N947" s="19" t="s">
        <v>109</v>
      </c>
      <c r="O947" s="20" t="s">
        <v>264</v>
      </c>
      <c r="P947" s="19" t="s">
        <v>53</v>
      </c>
      <c r="R947" s="20" t="s">
        <v>256</v>
      </c>
      <c r="S947" s="20" t="s">
        <v>309</v>
      </c>
      <c r="T947" s="20" t="s">
        <v>44</v>
      </c>
      <c r="U947" s="20" t="s">
        <v>44</v>
      </c>
      <c r="V947" s="20">
        <v>2</v>
      </c>
      <c r="W947" s="19" t="s">
        <v>45</v>
      </c>
      <c r="X947" s="19" t="s">
        <v>46</v>
      </c>
      <c r="AB947" s="20">
        <v>398</v>
      </c>
      <c r="AC947" s="20" t="s">
        <v>214</v>
      </c>
      <c r="AE947" s="20">
        <v>22.7</v>
      </c>
      <c r="AJ947" s="20">
        <v>6.16</v>
      </c>
      <c r="AK947" s="20">
        <v>6.16</v>
      </c>
      <c r="AP947" s="20">
        <v>11.3</v>
      </c>
      <c r="AQ947" s="20">
        <v>25</v>
      </c>
      <c r="AT947" s="65" t="str">
        <f t="shared" si="259"/>
        <v>Y</v>
      </c>
      <c r="AU947" s="65" t="str">
        <f t="shared" si="260"/>
        <v>Y</v>
      </c>
      <c r="AV947" s="65" t="str">
        <f t="shared" si="258"/>
        <v>Y</v>
      </c>
      <c r="AW947" s="99"/>
      <c r="AX947" s="99"/>
      <c r="AZ947" s="96" t="str">
        <f t="shared" si="261"/>
        <v>EC50</v>
      </c>
      <c r="BA947" s="96">
        <f>IF(AZ947="n","n",VLOOKUP(AZ947,'Conversion factors'!$C$4:$D$24,2,FALSE))</f>
        <v>5</v>
      </c>
      <c r="BB947" s="96">
        <f t="shared" si="262"/>
        <v>79.599999999999994</v>
      </c>
      <c r="BC947" s="97"/>
      <c r="BD947" s="96" t="str">
        <f t="shared" si="263"/>
        <v>Chronic</v>
      </c>
      <c r="BE947" s="96" t="str">
        <f t="shared" si="264"/>
        <v>y</v>
      </c>
      <c r="BF947" s="98" t="str">
        <f t="shared" si="265"/>
        <v>EC50</v>
      </c>
      <c r="BG947" s="96" t="str">
        <f>IF(BF947="","",IF(ISNUMBER(VLOOKUP(BF947,'Conversion factors'!$B$35:$C$52,2,FALSE)),"y","n"))</f>
        <v>n</v>
      </c>
      <c r="BH947" s="99" t="s">
        <v>1525</v>
      </c>
    </row>
    <row r="948" spans="1:60" ht="15.75" customHeight="1" x14ac:dyDescent="0.2">
      <c r="A948" s="20">
        <v>1447</v>
      </c>
      <c r="B948" s="20">
        <v>1447</v>
      </c>
      <c r="C948" s="20">
        <v>1447</v>
      </c>
      <c r="D948" s="20" t="s">
        <v>1526</v>
      </c>
      <c r="E948" s="20" t="s">
        <v>1526</v>
      </c>
      <c r="F948" s="20">
        <v>2015</v>
      </c>
      <c r="G948" s="20" t="s">
        <v>1527</v>
      </c>
      <c r="J948" s="19" t="s">
        <v>344</v>
      </c>
      <c r="K948" s="20" t="s">
        <v>42</v>
      </c>
      <c r="L948" s="19" t="s">
        <v>43</v>
      </c>
      <c r="M948" s="20" t="s">
        <v>1303</v>
      </c>
      <c r="N948" s="19" t="s">
        <v>109</v>
      </c>
      <c r="O948" s="20" t="s">
        <v>264</v>
      </c>
      <c r="P948" s="19" t="s">
        <v>53</v>
      </c>
      <c r="R948" s="20" t="s">
        <v>256</v>
      </c>
      <c r="S948" s="20" t="s">
        <v>309</v>
      </c>
      <c r="T948" s="20" t="s">
        <v>44</v>
      </c>
      <c r="U948" s="20" t="s">
        <v>44</v>
      </c>
      <c r="V948" s="20">
        <v>2</v>
      </c>
      <c r="W948" s="19" t="s">
        <v>45</v>
      </c>
      <c r="X948" s="19" t="s">
        <v>46</v>
      </c>
      <c r="AB948" s="20">
        <v>110</v>
      </c>
      <c r="AC948" s="20" t="s">
        <v>214</v>
      </c>
      <c r="AE948" s="20">
        <v>47.8</v>
      </c>
      <c r="AJ948" s="20">
        <v>7.13</v>
      </c>
      <c r="AK948" s="20">
        <v>7.13</v>
      </c>
      <c r="AP948" s="20">
        <v>9.9</v>
      </c>
      <c r="AQ948" s="20">
        <v>25</v>
      </c>
      <c r="AT948" s="65" t="str">
        <f t="shared" si="259"/>
        <v>Y</v>
      </c>
      <c r="AU948" s="65" t="str">
        <f t="shared" si="260"/>
        <v>Y</v>
      </c>
      <c r="AV948" s="65" t="str">
        <f t="shared" si="258"/>
        <v>Y</v>
      </c>
      <c r="AW948" s="99"/>
      <c r="AX948" s="99"/>
      <c r="AZ948" s="96" t="str">
        <f t="shared" si="261"/>
        <v>EC50</v>
      </c>
      <c r="BA948" s="96">
        <f>IF(AZ948="n","n",VLOOKUP(AZ948,'Conversion factors'!$C$4:$D$24,2,FALSE))</f>
        <v>5</v>
      </c>
      <c r="BB948" s="96">
        <f t="shared" si="262"/>
        <v>22</v>
      </c>
      <c r="BC948" s="97"/>
      <c r="BD948" s="96" t="str">
        <f t="shared" si="263"/>
        <v>Chronic</v>
      </c>
      <c r="BE948" s="96" t="str">
        <f t="shared" si="264"/>
        <v>y</v>
      </c>
      <c r="BF948" s="98" t="str">
        <f t="shared" si="265"/>
        <v>EC50</v>
      </c>
      <c r="BG948" s="96" t="str">
        <f>IF(BF948="","",IF(ISNUMBER(VLOOKUP(BF948,'Conversion factors'!$B$35:$C$52,2,FALSE)),"y","n"))</f>
        <v>n</v>
      </c>
      <c r="BH948" s="99" t="s">
        <v>1525</v>
      </c>
    </row>
    <row r="949" spans="1:60" ht="15.75" customHeight="1" x14ac:dyDescent="0.2">
      <c r="A949" s="20">
        <v>1447</v>
      </c>
      <c r="B949" s="20">
        <v>1447</v>
      </c>
      <c r="C949" s="20">
        <v>1447</v>
      </c>
      <c r="D949" s="20" t="s">
        <v>1526</v>
      </c>
      <c r="E949" s="20" t="s">
        <v>1526</v>
      </c>
      <c r="F949" s="20">
        <v>2015</v>
      </c>
      <c r="G949" s="20" t="s">
        <v>1527</v>
      </c>
      <c r="J949" s="19" t="s">
        <v>344</v>
      </c>
      <c r="K949" s="20" t="s">
        <v>42</v>
      </c>
      <c r="L949" s="19" t="s">
        <v>43</v>
      </c>
      <c r="M949" s="20" t="s">
        <v>1303</v>
      </c>
      <c r="N949" s="19" t="s">
        <v>109</v>
      </c>
      <c r="O949" s="20" t="s">
        <v>264</v>
      </c>
      <c r="P949" s="19" t="s">
        <v>53</v>
      </c>
      <c r="R949" s="20" t="s">
        <v>256</v>
      </c>
      <c r="S949" s="20" t="s">
        <v>309</v>
      </c>
      <c r="T949" s="20" t="s">
        <v>44</v>
      </c>
      <c r="U949" s="20" t="s">
        <v>44</v>
      </c>
      <c r="V949" s="20">
        <v>3</v>
      </c>
      <c r="W949" s="19" t="s">
        <v>45</v>
      </c>
      <c r="X949" s="19" t="s">
        <v>46</v>
      </c>
      <c r="AB949" s="20">
        <v>138</v>
      </c>
      <c r="AC949" s="20" t="s">
        <v>214</v>
      </c>
      <c r="AE949" s="20">
        <v>47.8</v>
      </c>
      <c r="AJ949" s="20">
        <v>7.15</v>
      </c>
      <c r="AK949" s="20">
        <v>7.15</v>
      </c>
      <c r="AP949" s="20">
        <v>9.9</v>
      </c>
      <c r="AQ949" s="20">
        <v>25</v>
      </c>
      <c r="AT949" s="65" t="str">
        <f t="shared" si="259"/>
        <v>Y</v>
      </c>
      <c r="AU949" s="65" t="str">
        <f t="shared" si="260"/>
        <v>Y</v>
      </c>
      <c r="AV949" s="65" t="str">
        <f t="shared" si="258"/>
        <v>Y</v>
      </c>
      <c r="AW949" s="99"/>
      <c r="AX949" s="99"/>
      <c r="AZ949" s="96" t="str">
        <f t="shared" si="261"/>
        <v>EC50</v>
      </c>
      <c r="BA949" s="96">
        <f>IF(AZ949="n","n",VLOOKUP(AZ949,'Conversion factors'!$C$4:$D$24,2,FALSE))</f>
        <v>5</v>
      </c>
      <c r="BB949" s="96">
        <f t="shared" si="262"/>
        <v>27.6</v>
      </c>
      <c r="BC949" s="97"/>
      <c r="BD949" s="96" t="str">
        <f t="shared" si="263"/>
        <v>Chronic</v>
      </c>
      <c r="BE949" s="96" t="str">
        <f t="shared" si="264"/>
        <v>y</v>
      </c>
      <c r="BF949" s="98" t="str">
        <f t="shared" si="265"/>
        <v>EC50</v>
      </c>
      <c r="BG949" s="96" t="str">
        <f>IF(BF949="","",IF(ISNUMBER(VLOOKUP(BF949,'Conversion factors'!$B$35:$C$52,2,FALSE)),"y","n"))</f>
        <v>n</v>
      </c>
      <c r="BH949" s="99" t="s">
        <v>1525</v>
      </c>
    </row>
    <row r="950" spans="1:60" ht="15.75" customHeight="1" x14ac:dyDescent="0.2">
      <c r="A950" s="20">
        <v>1447</v>
      </c>
      <c r="B950" s="20">
        <v>1447</v>
      </c>
      <c r="C950" s="20">
        <v>1447</v>
      </c>
      <c r="D950" s="20" t="s">
        <v>1526</v>
      </c>
      <c r="E950" s="20" t="s">
        <v>1526</v>
      </c>
      <c r="F950" s="20">
        <v>2015</v>
      </c>
      <c r="G950" s="20" t="s">
        <v>1527</v>
      </c>
      <c r="J950" s="19" t="s">
        <v>344</v>
      </c>
      <c r="K950" s="20" t="s">
        <v>42</v>
      </c>
      <c r="L950" s="19" t="s">
        <v>43</v>
      </c>
      <c r="M950" s="20" t="s">
        <v>1303</v>
      </c>
      <c r="N950" s="19" t="s">
        <v>109</v>
      </c>
      <c r="O950" s="20" t="s">
        <v>264</v>
      </c>
      <c r="P950" s="19" t="s">
        <v>53</v>
      </c>
      <c r="R950" s="20" t="s">
        <v>256</v>
      </c>
      <c r="S950" s="20" t="s">
        <v>309</v>
      </c>
      <c r="T950" s="20" t="s">
        <v>44</v>
      </c>
      <c r="U950" s="20" t="s">
        <v>44</v>
      </c>
      <c r="V950" s="20">
        <v>2</v>
      </c>
      <c r="W950" s="19" t="s">
        <v>45</v>
      </c>
      <c r="X950" s="19" t="s">
        <v>46</v>
      </c>
      <c r="AB950" s="20">
        <v>49</v>
      </c>
      <c r="AC950" s="20" t="s">
        <v>214</v>
      </c>
      <c r="AE950" s="20">
        <v>46.7</v>
      </c>
      <c r="AJ950" s="20">
        <v>8.27</v>
      </c>
      <c r="AK950" s="20">
        <v>8.27</v>
      </c>
      <c r="AP950" s="20">
        <v>4.5</v>
      </c>
      <c r="AQ950" s="20">
        <v>25</v>
      </c>
      <c r="AT950" s="65" t="str">
        <f t="shared" si="259"/>
        <v>Y</v>
      </c>
      <c r="AU950" s="65" t="str">
        <f t="shared" si="260"/>
        <v>Y</v>
      </c>
      <c r="AV950" s="65" t="str">
        <f t="shared" si="258"/>
        <v>Y</v>
      </c>
      <c r="AW950" s="99"/>
      <c r="AX950" s="99"/>
      <c r="AZ950" s="96" t="str">
        <f t="shared" si="261"/>
        <v>EC50</v>
      </c>
      <c r="BA950" s="96">
        <f>IF(AZ950="n","n",VLOOKUP(AZ950,'Conversion factors'!$C$4:$D$24,2,FALSE))</f>
        <v>5</v>
      </c>
      <c r="BB950" s="96">
        <f t="shared" si="262"/>
        <v>9.8000000000000007</v>
      </c>
      <c r="BC950" s="97"/>
      <c r="BD950" s="96" t="str">
        <f t="shared" si="263"/>
        <v>Chronic</v>
      </c>
      <c r="BE950" s="96" t="str">
        <f t="shared" si="264"/>
        <v>y</v>
      </c>
      <c r="BF950" s="98" t="str">
        <f t="shared" si="265"/>
        <v>EC50</v>
      </c>
      <c r="BG950" s="96" t="str">
        <f>IF(BF950="","",IF(ISNUMBER(VLOOKUP(BF950,'Conversion factors'!$B$35:$C$52,2,FALSE)),"y","n"))</f>
        <v>n</v>
      </c>
      <c r="BH950" s="99" t="s">
        <v>1525</v>
      </c>
    </row>
    <row r="951" spans="1:60" ht="15.75" customHeight="1" x14ac:dyDescent="0.2">
      <c r="A951" s="20">
        <v>1447</v>
      </c>
      <c r="B951" s="20">
        <v>1447</v>
      </c>
      <c r="C951" s="20">
        <v>1447</v>
      </c>
      <c r="D951" s="20" t="s">
        <v>1526</v>
      </c>
      <c r="E951" s="20" t="s">
        <v>1526</v>
      </c>
      <c r="F951" s="20">
        <v>2015</v>
      </c>
      <c r="G951" s="20" t="s">
        <v>1527</v>
      </c>
      <c r="J951" s="19" t="s">
        <v>344</v>
      </c>
      <c r="K951" s="20" t="s">
        <v>42</v>
      </c>
      <c r="L951" s="19" t="s">
        <v>43</v>
      </c>
      <c r="M951" s="20" t="s">
        <v>1303</v>
      </c>
      <c r="N951" s="19" t="s">
        <v>109</v>
      </c>
      <c r="O951" s="20" t="s">
        <v>264</v>
      </c>
      <c r="P951" s="19" t="s">
        <v>53</v>
      </c>
      <c r="R951" s="20" t="s">
        <v>256</v>
      </c>
      <c r="S951" s="20" t="s">
        <v>309</v>
      </c>
      <c r="T951" s="20" t="s">
        <v>44</v>
      </c>
      <c r="U951" s="20" t="s">
        <v>44</v>
      </c>
      <c r="V951" s="20">
        <v>3</v>
      </c>
      <c r="W951" s="19" t="s">
        <v>45</v>
      </c>
      <c r="X951" s="19" t="s">
        <v>46</v>
      </c>
      <c r="AB951" s="20">
        <v>45</v>
      </c>
      <c r="AC951" s="20" t="s">
        <v>214</v>
      </c>
      <c r="AE951" s="20">
        <v>46.7</v>
      </c>
      <c r="AJ951" s="20">
        <v>8.32</v>
      </c>
      <c r="AK951" s="20">
        <v>8.32</v>
      </c>
      <c r="AP951" s="20">
        <v>4.5</v>
      </c>
      <c r="AQ951" s="20">
        <v>25</v>
      </c>
      <c r="AT951" s="65" t="str">
        <f t="shared" si="259"/>
        <v>Y</v>
      </c>
      <c r="AU951" s="65" t="str">
        <f t="shared" si="260"/>
        <v>Y</v>
      </c>
      <c r="AV951" s="65" t="str">
        <f t="shared" si="258"/>
        <v>Y</v>
      </c>
      <c r="AW951" s="99"/>
      <c r="AX951" s="99"/>
      <c r="AZ951" s="96" t="str">
        <f t="shared" si="261"/>
        <v>EC50</v>
      </c>
      <c r="BA951" s="96">
        <f>IF(AZ951="n","n",VLOOKUP(AZ951,'Conversion factors'!$C$4:$D$24,2,FALSE))</f>
        <v>5</v>
      </c>
      <c r="BB951" s="96">
        <f t="shared" si="262"/>
        <v>9</v>
      </c>
      <c r="BC951" s="97"/>
      <c r="BD951" s="96" t="str">
        <f t="shared" si="263"/>
        <v>Chronic</v>
      </c>
      <c r="BE951" s="96" t="str">
        <f t="shared" si="264"/>
        <v>y</v>
      </c>
      <c r="BF951" s="98" t="str">
        <f t="shared" si="265"/>
        <v>EC50</v>
      </c>
      <c r="BG951" s="96" t="str">
        <f>IF(BF951="","",IF(ISNUMBER(VLOOKUP(BF951,'Conversion factors'!$B$35:$C$52,2,FALSE)),"y","n"))</f>
        <v>n</v>
      </c>
      <c r="BH951" s="99" t="s">
        <v>1525</v>
      </c>
    </row>
    <row r="952" spans="1:60" ht="15.75" customHeight="1" x14ac:dyDescent="0.2">
      <c r="A952" s="20">
        <v>1447</v>
      </c>
      <c r="B952" s="20">
        <v>1447</v>
      </c>
      <c r="C952" s="20">
        <v>1447</v>
      </c>
      <c r="D952" s="20" t="s">
        <v>1526</v>
      </c>
      <c r="E952" s="20" t="s">
        <v>1526</v>
      </c>
      <c r="F952" s="20">
        <v>2015</v>
      </c>
      <c r="G952" s="20" t="s">
        <v>1527</v>
      </c>
      <c r="J952" s="19" t="s">
        <v>344</v>
      </c>
      <c r="K952" s="20" t="s">
        <v>42</v>
      </c>
      <c r="L952" s="19" t="s">
        <v>43</v>
      </c>
      <c r="M952" s="20" t="s">
        <v>1303</v>
      </c>
      <c r="N952" s="19" t="s">
        <v>109</v>
      </c>
      <c r="O952" s="20" t="s">
        <v>264</v>
      </c>
      <c r="P952" s="19" t="s">
        <v>53</v>
      </c>
      <c r="R952" s="20" t="s">
        <v>256</v>
      </c>
      <c r="S952" s="20" t="s">
        <v>309</v>
      </c>
      <c r="T952" s="20" t="s">
        <v>44</v>
      </c>
      <c r="U952" s="20" t="s">
        <v>44</v>
      </c>
      <c r="V952" s="20">
        <v>2</v>
      </c>
      <c r="W952" s="19" t="s">
        <v>45</v>
      </c>
      <c r="X952" s="19" t="s">
        <v>46</v>
      </c>
      <c r="AB952" s="20">
        <v>38</v>
      </c>
      <c r="AC952" s="20" t="s">
        <v>214</v>
      </c>
      <c r="AE952" s="20">
        <v>46.2</v>
      </c>
      <c r="AJ952" s="20">
        <v>8.51</v>
      </c>
      <c r="AK952" s="20">
        <v>8.51</v>
      </c>
      <c r="AP952" s="20">
        <v>4.8</v>
      </c>
      <c r="AQ952" s="20">
        <v>25</v>
      </c>
      <c r="AT952" s="65" t="str">
        <f t="shared" si="259"/>
        <v>Y</v>
      </c>
      <c r="AU952" s="65" t="str">
        <f t="shared" si="260"/>
        <v>N</v>
      </c>
      <c r="AV952" s="65" t="str">
        <f t="shared" si="258"/>
        <v>N</v>
      </c>
      <c r="AW952" s="99"/>
      <c r="AX952" s="99"/>
      <c r="AZ952" s="96" t="str">
        <f t="shared" si="261"/>
        <v>n</v>
      </c>
      <c r="BA952" s="96" t="str">
        <f>IF(AZ952="n","n",VLOOKUP(AZ952,'Conversion factors'!$C$4:$D$24,2,FALSE))</f>
        <v>n</v>
      </c>
      <c r="BB952" s="96" t="str">
        <f t="shared" si="262"/>
        <v>n</v>
      </c>
      <c r="BC952" s="97"/>
      <c r="BD952" s="96" t="str">
        <f t="shared" si="263"/>
        <v>n</v>
      </c>
      <c r="BE952" s="96" t="str">
        <f t="shared" si="264"/>
        <v>n</v>
      </c>
      <c r="BF952" s="98" t="str">
        <f t="shared" si="265"/>
        <v/>
      </c>
      <c r="BG952" s="96" t="str">
        <f>IF(BF952="","",IF(ISNUMBER(VLOOKUP(BF952,'Conversion factors'!$B$35:$C$52,2,FALSE)),"y","n"))</f>
        <v/>
      </c>
      <c r="BH952" s="99" t="s">
        <v>1525</v>
      </c>
    </row>
    <row r="953" spans="1:60" ht="15.75" customHeight="1" x14ac:dyDescent="0.2">
      <c r="A953" s="20">
        <v>1447</v>
      </c>
      <c r="B953" s="20">
        <v>1447</v>
      </c>
      <c r="C953" s="20">
        <v>1447</v>
      </c>
      <c r="D953" s="20" t="s">
        <v>1526</v>
      </c>
      <c r="E953" s="20" t="s">
        <v>1526</v>
      </c>
      <c r="F953" s="20">
        <v>2015</v>
      </c>
      <c r="G953" s="20" t="s">
        <v>1527</v>
      </c>
      <c r="J953" s="19" t="s">
        <v>344</v>
      </c>
      <c r="K953" s="20" t="s">
        <v>42</v>
      </c>
      <c r="L953" s="19" t="s">
        <v>43</v>
      </c>
      <c r="M953" s="20" t="s">
        <v>1303</v>
      </c>
      <c r="N953" s="19" t="s">
        <v>109</v>
      </c>
      <c r="O953" s="20" t="s">
        <v>264</v>
      </c>
      <c r="P953" s="19" t="s">
        <v>53</v>
      </c>
      <c r="R953" s="20" t="s">
        <v>256</v>
      </c>
      <c r="S953" s="20" t="s">
        <v>309</v>
      </c>
      <c r="T953" s="20" t="s">
        <v>44</v>
      </c>
      <c r="U953" s="20" t="s">
        <v>44</v>
      </c>
      <c r="V953" s="20">
        <v>3</v>
      </c>
      <c r="W953" s="19" t="s">
        <v>45</v>
      </c>
      <c r="X953" s="19" t="s">
        <v>46</v>
      </c>
      <c r="AB953" s="20">
        <v>33</v>
      </c>
      <c r="AC953" s="20" t="s">
        <v>214</v>
      </c>
      <c r="AE953" s="20">
        <v>46.2</v>
      </c>
      <c r="AJ953" s="20">
        <v>8.5299999999999994</v>
      </c>
      <c r="AK953" s="20">
        <v>8.5299999999999994</v>
      </c>
      <c r="AP953" s="20">
        <v>4.8</v>
      </c>
      <c r="AQ953" s="20">
        <v>25</v>
      </c>
      <c r="AT953" s="65" t="str">
        <f t="shared" si="259"/>
        <v>Y</v>
      </c>
      <c r="AU953" s="65" t="str">
        <f t="shared" si="260"/>
        <v>N</v>
      </c>
      <c r="AV953" s="65" t="str">
        <f t="shared" si="258"/>
        <v>N</v>
      </c>
      <c r="AW953" s="99"/>
      <c r="AX953" s="99"/>
      <c r="AZ953" s="96" t="str">
        <f t="shared" si="261"/>
        <v>n</v>
      </c>
      <c r="BA953" s="96" t="str">
        <f>IF(AZ953="n","n",VLOOKUP(AZ953,'Conversion factors'!$C$4:$D$24,2,FALSE))</f>
        <v>n</v>
      </c>
      <c r="BB953" s="96" t="str">
        <f t="shared" si="262"/>
        <v>n</v>
      </c>
      <c r="BC953" s="97"/>
      <c r="BD953" s="96" t="str">
        <f t="shared" si="263"/>
        <v>n</v>
      </c>
      <c r="BE953" s="96" t="str">
        <f t="shared" si="264"/>
        <v>n</v>
      </c>
      <c r="BF953" s="98" t="str">
        <f t="shared" si="265"/>
        <v/>
      </c>
      <c r="BG953" s="96" t="str">
        <f>IF(BF953="","",IF(ISNUMBER(VLOOKUP(BF953,'Conversion factors'!$B$35:$C$52,2,FALSE)),"y","n"))</f>
        <v/>
      </c>
      <c r="BH953" s="99" t="s">
        <v>1525</v>
      </c>
    </row>
    <row r="954" spans="1:60" ht="15.75" customHeight="1" x14ac:dyDescent="0.2">
      <c r="A954" s="20">
        <v>1447</v>
      </c>
      <c r="B954" s="20">
        <v>1447</v>
      </c>
      <c r="C954" s="20">
        <v>1447</v>
      </c>
      <c r="D954" s="20" t="s">
        <v>1526</v>
      </c>
      <c r="E954" s="20" t="s">
        <v>1526</v>
      </c>
      <c r="F954" s="20">
        <v>2015</v>
      </c>
      <c r="G954" s="20" t="s">
        <v>1527</v>
      </c>
      <c r="J954" s="19" t="s">
        <v>344</v>
      </c>
      <c r="K954" s="20" t="s">
        <v>42</v>
      </c>
      <c r="L954" s="19" t="s">
        <v>43</v>
      </c>
      <c r="M954" s="20" t="s">
        <v>1303</v>
      </c>
      <c r="N954" s="19" t="s">
        <v>109</v>
      </c>
      <c r="O954" s="20" t="s">
        <v>264</v>
      </c>
      <c r="P954" s="19" t="s">
        <v>53</v>
      </c>
      <c r="R954" s="20" t="s">
        <v>256</v>
      </c>
      <c r="S954" s="20" t="s">
        <v>309</v>
      </c>
      <c r="T954" s="20" t="s">
        <v>44</v>
      </c>
      <c r="U954" s="20" t="s">
        <v>44</v>
      </c>
      <c r="V954" s="20">
        <v>2</v>
      </c>
      <c r="W954" s="19" t="s">
        <v>45</v>
      </c>
      <c r="X954" s="19" t="s">
        <v>46</v>
      </c>
      <c r="AB954" s="20">
        <v>284</v>
      </c>
      <c r="AC954" s="20" t="s">
        <v>214</v>
      </c>
      <c r="AE954" s="20">
        <v>19.100000000000001</v>
      </c>
      <c r="AJ954" s="20">
        <v>6.23</v>
      </c>
      <c r="AK954" s="20">
        <v>6.23</v>
      </c>
      <c r="AP954" s="20">
        <v>9.3000000000000007</v>
      </c>
      <c r="AQ954" s="20">
        <v>25</v>
      </c>
      <c r="AT954" s="65" t="str">
        <f t="shared" si="259"/>
        <v>Y</v>
      </c>
      <c r="AU954" s="65" t="str">
        <f t="shared" si="260"/>
        <v>Y</v>
      </c>
      <c r="AV954" s="65" t="str">
        <f t="shared" si="258"/>
        <v>Y</v>
      </c>
      <c r="AW954" s="99"/>
      <c r="AX954" s="99"/>
      <c r="AZ954" s="96" t="str">
        <f t="shared" si="261"/>
        <v>EC50</v>
      </c>
      <c r="BA954" s="96">
        <f>IF(AZ954="n","n",VLOOKUP(AZ954,'Conversion factors'!$C$4:$D$24,2,FALSE))</f>
        <v>5</v>
      </c>
      <c r="BB954" s="96">
        <f t="shared" si="262"/>
        <v>56.8</v>
      </c>
      <c r="BC954" s="97"/>
      <c r="BD954" s="96" t="str">
        <f t="shared" si="263"/>
        <v>Chronic</v>
      </c>
      <c r="BE954" s="96" t="str">
        <f t="shared" si="264"/>
        <v>y</v>
      </c>
      <c r="BF954" s="98" t="str">
        <f t="shared" si="265"/>
        <v>EC50</v>
      </c>
      <c r="BG954" s="96" t="str">
        <f>IF(BF954="","",IF(ISNUMBER(VLOOKUP(BF954,'Conversion factors'!$B$35:$C$52,2,FALSE)),"y","n"))</f>
        <v>n</v>
      </c>
      <c r="BH954" s="99" t="s">
        <v>1525</v>
      </c>
    </row>
    <row r="955" spans="1:60" ht="15.75" customHeight="1" x14ac:dyDescent="0.2">
      <c r="A955" s="20">
        <v>1447</v>
      </c>
      <c r="B955" s="20">
        <v>1447</v>
      </c>
      <c r="C955" s="20">
        <v>1447</v>
      </c>
      <c r="D955" s="20" t="s">
        <v>1526</v>
      </c>
      <c r="E955" s="20" t="s">
        <v>1526</v>
      </c>
      <c r="F955" s="20">
        <v>2015</v>
      </c>
      <c r="G955" s="20" t="s">
        <v>1527</v>
      </c>
      <c r="J955" s="19" t="s">
        <v>344</v>
      </c>
      <c r="K955" s="20" t="s">
        <v>42</v>
      </c>
      <c r="L955" s="19" t="s">
        <v>43</v>
      </c>
      <c r="M955" s="20" t="s">
        <v>1303</v>
      </c>
      <c r="N955" s="19" t="s">
        <v>109</v>
      </c>
      <c r="O955" s="20" t="s">
        <v>264</v>
      </c>
      <c r="P955" s="19" t="s">
        <v>53</v>
      </c>
      <c r="R955" s="20" t="s">
        <v>256</v>
      </c>
      <c r="S955" s="20" t="s">
        <v>309</v>
      </c>
      <c r="T955" s="20" t="s">
        <v>44</v>
      </c>
      <c r="U955" s="20" t="s">
        <v>44</v>
      </c>
      <c r="V955" s="20">
        <v>3</v>
      </c>
      <c r="W955" s="19" t="s">
        <v>45</v>
      </c>
      <c r="X955" s="19" t="s">
        <v>46</v>
      </c>
      <c r="AB955" s="20">
        <v>310</v>
      </c>
      <c r="AC955" s="20" t="s">
        <v>214</v>
      </c>
      <c r="AE955" s="20">
        <v>19.100000000000001</v>
      </c>
      <c r="AJ955" s="20">
        <v>6.23</v>
      </c>
      <c r="AK955" s="20">
        <v>6.23</v>
      </c>
      <c r="AP955" s="20">
        <v>9.3000000000000007</v>
      </c>
      <c r="AQ955" s="20">
        <v>25</v>
      </c>
      <c r="AT955" s="65" t="str">
        <f t="shared" si="259"/>
        <v>Y</v>
      </c>
      <c r="AU955" s="65" t="str">
        <f t="shared" si="260"/>
        <v>Y</v>
      </c>
      <c r="AV955" s="65" t="str">
        <f t="shared" si="258"/>
        <v>Y</v>
      </c>
      <c r="AW955" s="99"/>
      <c r="AX955" s="99"/>
      <c r="AZ955" s="96" t="str">
        <f t="shared" si="261"/>
        <v>EC50</v>
      </c>
      <c r="BA955" s="96">
        <f>IF(AZ955="n","n",VLOOKUP(AZ955,'Conversion factors'!$C$4:$D$24,2,FALSE))</f>
        <v>5</v>
      </c>
      <c r="BB955" s="96">
        <f t="shared" si="262"/>
        <v>62</v>
      </c>
      <c r="BC955" s="97"/>
      <c r="BD955" s="96" t="str">
        <f t="shared" si="263"/>
        <v>Chronic</v>
      </c>
      <c r="BE955" s="96" t="str">
        <f t="shared" si="264"/>
        <v>y</v>
      </c>
      <c r="BF955" s="98" t="str">
        <f t="shared" si="265"/>
        <v>EC50</v>
      </c>
      <c r="BG955" s="96" t="str">
        <f>IF(BF955="","",IF(ISNUMBER(VLOOKUP(BF955,'Conversion factors'!$B$35:$C$52,2,FALSE)),"y","n"))</f>
        <v>n</v>
      </c>
      <c r="BH955" s="99" t="s">
        <v>1525</v>
      </c>
    </row>
    <row r="956" spans="1:60" ht="15.75" customHeight="1" x14ac:dyDescent="0.2">
      <c r="A956" s="20">
        <v>1447</v>
      </c>
      <c r="B956" s="20">
        <v>1447</v>
      </c>
      <c r="C956" s="20">
        <v>1447</v>
      </c>
      <c r="D956" s="20" t="s">
        <v>1526</v>
      </c>
      <c r="E956" s="20" t="s">
        <v>1526</v>
      </c>
      <c r="F956" s="20">
        <v>2015</v>
      </c>
      <c r="G956" s="20" t="s">
        <v>1527</v>
      </c>
      <c r="J956" s="19" t="s">
        <v>344</v>
      </c>
      <c r="K956" s="20" t="s">
        <v>42</v>
      </c>
      <c r="L956" s="19" t="s">
        <v>43</v>
      </c>
      <c r="M956" s="20" t="s">
        <v>1303</v>
      </c>
      <c r="N956" s="19" t="s">
        <v>109</v>
      </c>
      <c r="O956" s="20" t="s">
        <v>264</v>
      </c>
      <c r="P956" s="19" t="s">
        <v>53</v>
      </c>
      <c r="R956" s="20" t="s">
        <v>256</v>
      </c>
      <c r="S956" s="20" t="s">
        <v>309</v>
      </c>
      <c r="T956" s="20" t="s">
        <v>44</v>
      </c>
      <c r="U956" s="20" t="s">
        <v>44</v>
      </c>
      <c r="V956" s="20">
        <v>2</v>
      </c>
      <c r="W956" s="19" t="s">
        <v>45</v>
      </c>
      <c r="X956" s="19" t="s">
        <v>46</v>
      </c>
      <c r="AB956" s="20">
        <v>123</v>
      </c>
      <c r="AC956" s="20" t="s">
        <v>214</v>
      </c>
      <c r="AE956" s="20">
        <v>513.4</v>
      </c>
      <c r="AJ956" s="20">
        <v>8.32</v>
      </c>
      <c r="AK956" s="20">
        <v>8.32</v>
      </c>
      <c r="AP956" s="20">
        <v>7</v>
      </c>
      <c r="AQ956" s="20">
        <v>25</v>
      </c>
      <c r="AT956" s="65" t="str">
        <f t="shared" si="259"/>
        <v>Y</v>
      </c>
      <c r="AU956" s="65" t="str">
        <f t="shared" si="260"/>
        <v>Y</v>
      </c>
      <c r="AV956" s="65" t="str">
        <f t="shared" si="258"/>
        <v>Y</v>
      </c>
      <c r="AW956" s="99"/>
      <c r="AX956" s="99"/>
      <c r="AZ956" s="96" t="str">
        <f t="shared" si="261"/>
        <v>EC50</v>
      </c>
      <c r="BA956" s="96">
        <f>IF(AZ956="n","n",VLOOKUP(AZ956,'Conversion factors'!$C$4:$D$24,2,FALSE))</f>
        <v>5</v>
      </c>
      <c r="BB956" s="96">
        <f t="shared" si="262"/>
        <v>24.6</v>
      </c>
      <c r="BC956" s="97"/>
      <c r="BD956" s="96" t="str">
        <f t="shared" si="263"/>
        <v>Chronic</v>
      </c>
      <c r="BE956" s="96" t="str">
        <f t="shared" si="264"/>
        <v>y</v>
      </c>
      <c r="BF956" s="98" t="str">
        <f t="shared" si="265"/>
        <v>EC50</v>
      </c>
      <c r="BG956" s="96" t="str">
        <f>IF(BF956="","",IF(ISNUMBER(VLOOKUP(BF956,'Conversion factors'!$B$35:$C$52,2,FALSE)),"y","n"))</f>
        <v>n</v>
      </c>
      <c r="BH956" s="99" t="s">
        <v>1525</v>
      </c>
    </row>
    <row r="957" spans="1:60" ht="15.75" customHeight="1" x14ac:dyDescent="0.2">
      <c r="A957" s="20">
        <v>1447</v>
      </c>
      <c r="B957" s="20">
        <v>1447</v>
      </c>
      <c r="C957" s="20">
        <v>1447</v>
      </c>
      <c r="D957" s="20" t="s">
        <v>1526</v>
      </c>
      <c r="E957" s="20" t="s">
        <v>1526</v>
      </c>
      <c r="F957" s="20">
        <v>2015</v>
      </c>
      <c r="G957" s="20" t="s">
        <v>1527</v>
      </c>
      <c r="J957" s="19" t="s">
        <v>344</v>
      </c>
      <c r="K957" s="20" t="s">
        <v>42</v>
      </c>
      <c r="L957" s="19" t="s">
        <v>43</v>
      </c>
      <c r="M957" s="20" t="s">
        <v>1303</v>
      </c>
      <c r="N957" s="19" t="s">
        <v>109</v>
      </c>
      <c r="O957" s="20" t="s">
        <v>264</v>
      </c>
      <c r="P957" s="19" t="s">
        <v>53</v>
      </c>
      <c r="R957" s="20" t="s">
        <v>256</v>
      </c>
      <c r="S957" s="20" t="s">
        <v>309</v>
      </c>
      <c r="T957" s="20" t="s">
        <v>44</v>
      </c>
      <c r="U957" s="20" t="s">
        <v>44</v>
      </c>
      <c r="V957" s="20">
        <v>2</v>
      </c>
      <c r="W957" s="19" t="s">
        <v>45</v>
      </c>
      <c r="X957" s="19" t="s">
        <v>46</v>
      </c>
      <c r="AB957" s="20">
        <v>161</v>
      </c>
      <c r="AC957" s="20" t="s">
        <v>214</v>
      </c>
      <c r="AE957" s="20">
        <v>14.4</v>
      </c>
      <c r="AJ957" s="20">
        <v>6.67</v>
      </c>
      <c r="AK957" s="20">
        <v>6.67</v>
      </c>
      <c r="AP957" s="20">
        <v>2.2999999999999998</v>
      </c>
      <c r="AQ957" s="20">
        <v>25</v>
      </c>
      <c r="AT957" s="65" t="str">
        <f t="shared" si="259"/>
        <v>Y</v>
      </c>
      <c r="AU957" s="65" t="str">
        <f t="shared" si="260"/>
        <v>Y</v>
      </c>
      <c r="AV957" s="65" t="str">
        <f t="shared" si="258"/>
        <v>Y</v>
      </c>
      <c r="AW957" s="99"/>
      <c r="AX957" s="99"/>
      <c r="AZ957" s="96" t="str">
        <f t="shared" si="261"/>
        <v>EC50</v>
      </c>
      <c r="BA957" s="96">
        <f>IF(AZ957="n","n",VLOOKUP(AZ957,'Conversion factors'!$C$4:$D$24,2,FALSE))</f>
        <v>5</v>
      </c>
      <c r="BB957" s="96">
        <f t="shared" si="262"/>
        <v>32.200000000000003</v>
      </c>
      <c r="BC957" s="97"/>
      <c r="BD957" s="96" t="str">
        <f t="shared" si="263"/>
        <v>Chronic</v>
      </c>
      <c r="BE957" s="96" t="str">
        <f t="shared" si="264"/>
        <v>y</v>
      </c>
      <c r="BF957" s="98" t="str">
        <f t="shared" si="265"/>
        <v>EC50</v>
      </c>
      <c r="BG957" s="96" t="str">
        <f>IF(BF957="","",IF(ISNUMBER(VLOOKUP(BF957,'Conversion factors'!$B$35:$C$52,2,FALSE)),"y","n"))</f>
        <v>n</v>
      </c>
      <c r="BH957" s="99" t="s">
        <v>1525</v>
      </c>
    </row>
    <row r="958" spans="1:60" ht="15.75" customHeight="1" x14ac:dyDescent="0.2">
      <c r="A958" s="20">
        <v>1447</v>
      </c>
      <c r="B958" s="20">
        <v>1447</v>
      </c>
      <c r="C958" s="20">
        <v>1447</v>
      </c>
      <c r="D958" s="20" t="s">
        <v>1526</v>
      </c>
      <c r="E958" s="20" t="s">
        <v>1526</v>
      </c>
      <c r="F958" s="20">
        <v>2015</v>
      </c>
      <c r="G958" s="20" t="s">
        <v>1527</v>
      </c>
      <c r="J958" s="19" t="s">
        <v>344</v>
      </c>
      <c r="K958" s="20" t="s">
        <v>42</v>
      </c>
      <c r="L958" s="19" t="s">
        <v>43</v>
      </c>
      <c r="M958" s="20" t="s">
        <v>1303</v>
      </c>
      <c r="N958" s="19" t="s">
        <v>109</v>
      </c>
      <c r="O958" s="20" t="s">
        <v>264</v>
      </c>
      <c r="P958" s="19" t="s">
        <v>53</v>
      </c>
      <c r="R958" s="20" t="s">
        <v>256</v>
      </c>
      <c r="S958" s="20" t="s">
        <v>309</v>
      </c>
      <c r="T958" s="20" t="s">
        <v>44</v>
      </c>
      <c r="U958" s="20" t="s">
        <v>44</v>
      </c>
      <c r="V958" s="20">
        <v>2</v>
      </c>
      <c r="W958" s="19" t="s">
        <v>45</v>
      </c>
      <c r="X958" s="19" t="s">
        <v>46</v>
      </c>
      <c r="AB958" s="20">
        <v>154</v>
      </c>
      <c r="AC958" s="20" t="s">
        <v>214</v>
      </c>
      <c r="AE958" s="20">
        <v>13.8</v>
      </c>
      <c r="AJ958" s="20">
        <v>6.72</v>
      </c>
      <c r="AK958" s="20">
        <v>6.72</v>
      </c>
      <c r="AP958" s="20">
        <v>3.7</v>
      </c>
      <c r="AQ958" s="20">
        <v>25</v>
      </c>
      <c r="AT958" s="65" t="str">
        <f t="shared" si="259"/>
        <v>Y</v>
      </c>
      <c r="AU958" s="65" t="str">
        <f t="shared" si="260"/>
        <v>Y</v>
      </c>
      <c r="AV958" s="65" t="str">
        <f t="shared" si="258"/>
        <v>Y</v>
      </c>
      <c r="AW958" s="99"/>
      <c r="AX958" s="99"/>
      <c r="AZ958" s="96" t="str">
        <f t="shared" si="261"/>
        <v>EC50</v>
      </c>
      <c r="BA958" s="96">
        <f>IF(AZ958="n","n",VLOOKUP(AZ958,'Conversion factors'!$C$4:$D$24,2,FALSE))</f>
        <v>5</v>
      </c>
      <c r="BB958" s="96">
        <f t="shared" si="262"/>
        <v>30.8</v>
      </c>
      <c r="BC958" s="97"/>
      <c r="BD958" s="96" t="str">
        <f t="shared" si="263"/>
        <v>Chronic</v>
      </c>
      <c r="BE958" s="96" t="str">
        <f t="shared" si="264"/>
        <v>y</v>
      </c>
      <c r="BF958" s="98" t="str">
        <f t="shared" si="265"/>
        <v>EC50</v>
      </c>
      <c r="BG958" s="96" t="str">
        <f>IF(BF958="","",IF(ISNUMBER(VLOOKUP(BF958,'Conversion factors'!$B$35:$C$52,2,FALSE)),"y","n"))</f>
        <v>n</v>
      </c>
      <c r="BH958" s="99" t="s">
        <v>1525</v>
      </c>
    </row>
    <row r="959" spans="1:60" ht="15.75" customHeight="1" x14ac:dyDescent="0.2">
      <c r="A959" s="20">
        <v>1447</v>
      </c>
      <c r="B959" s="20">
        <v>1447</v>
      </c>
      <c r="C959" s="20">
        <v>1447</v>
      </c>
      <c r="D959" s="20" t="s">
        <v>1528</v>
      </c>
      <c r="E959" s="20" t="s">
        <v>1528</v>
      </c>
      <c r="F959" s="20">
        <v>2015</v>
      </c>
      <c r="G959" s="20" t="s">
        <v>1527</v>
      </c>
      <c r="J959" s="19" t="s">
        <v>344</v>
      </c>
      <c r="K959" s="20" t="s">
        <v>42</v>
      </c>
      <c r="L959" s="19" t="s">
        <v>43</v>
      </c>
      <c r="M959" s="20" t="s">
        <v>1303</v>
      </c>
      <c r="N959" s="19" t="s">
        <v>109</v>
      </c>
      <c r="O959" s="20" t="s">
        <v>264</v>
      </c>
      <c r="P959" s="19" t="s">
        <v>53</v>
      </c>
      <c r="R959" s="20" t="s">
        <v>256</v>
      </c>
      <c r="S959" s="20" t="s">
        <v>309</v>
      </c>
      <c r="T959" s="20" t="s">
        <v>44</v>
      </c>
      <c r="U959" s="20" t="s">
        <v>44</v>
      </c>
      <c r="V959" s="20">
        <v>3</v>
      </c>
      <c r="W959" s="19" t="s">
        <v>45</v>
      </c>
      <c r="X959" s="19" t="s">
        <v>46</v>
      </c>
      <c r="AB959" s="20">
        <v>25</v>
      </c>
      <c r="AC959" s="20" t="s">
        <v>214</v>
      </c>
      <c r="AE959" s="20">
        <v>529.1</v>
      </c>
      <c r="AJ959" s="20">
        <v>8.31</v>
      </c>
      <c r="AK959" s="20">
        <v>8.31</v>
      </c>
      <c r="AP959" s="20">
        <v>3</v>
      </c>
      <c r="AQ959" s="20">
        <v>25</v>
      </c>
      <c r="AT959" s="65" t="str">
        <f t="shared" si="259"/>
        <v>Y</v>
      </c>
      <c r="AU959" s="65" t="str">
        <f t="shared" si="260"/>
        <v>Y</v>
      </c>
      <c r="AV959" s="65" t="str">
        <f t="shared" si="258"/>
        <v>Y</v>
      </c>
      <c r="AW959" s="99"/>
      <c r="AX959" s="99"/>
      <c r="AZ959" s="96" t="str">
        <f t="shared" si="261"/>
        <v>EC50</v>
      </c>
      <c r="BA959" s="96">
        <f>IF(AZ959="n","n",VLOOKUP(AZ959,'Conversion factors'!$C$4:$D$24,2,FALSE))</f>
        <v>5</v>
      </c>
      <c r="BB959" s="96">
        <f t="shared" si="262"/>
        <v>5</v>
      </c>
      <c r="BC959" s="97"/>
      <c r="BD959" s="96" t="str">
        <f t="shared" si="263"/>
        <v>Chronic</v>
      </c>
      <c r="BE959" s="96" t="str">
        <f t="shared" si="264"/>
        <v>y</v>
      </c>
      <c r="BF959" s="98" t="str">
        <f t="shared" si="265"/>
        <v>EC50</v>
      </c>
      <c r="BG959" s="96" t="str">
        <f>IF(BF959="","",IF(ISNUMBER(VLOOKUP(BF959,'Conversion factors'!$B$35:$C$52,2,FALSE)),"y","n"))</f>
        <v>n</v>
      </c>
      <c r="BH959" s="99" t="s">
        <v>1525</v>
      </c>
    </row>
    <row r="960" spans="1:60" ht="15.75" customHeight="1" x14ac:dyDescent="0.2">
      <c r="A960" s="20">
        <v>1447</v>
      </c>
      <c r="B960" s="20">
        <v>1447</v>
      </c>
      <c r="C960" s="20">
        <v>1447</v>
      </c>
      <c r="D960" s="20" t="s">
        <v>1528</v>
      </c>
      <c r="E960" s="20" t="s">
        <v>1528</v>
      </c>
      <c r="F960" s="20">
        <v>2015</v>
      </c>
      <c r="G960" s="20" t="s">
        <v>1527</v>
      </c>
      <c r="J960" s="19" t="s">
        <v>344</v>
      </c>
      <c r="K960" s="20" t="s">
        <v>42</v>
      </c>
      <c r="L960" s="19" t="s">
        <v>43</v>
      </c>
      <c r="M960" s="20" t="s">
        <v>1303</v>
      </c>
      <c r="N960" s="19" t="s">
        <v>109</v>
      </c>
      <c r="O960" s="20" t="s">
        <v>264</v>
      </c>
      <c r="P960" s="19" t="s">
        <v>53</v>
      </c>
      <c r="R960" s="20" t="s">
        <v>256</v>
      </c>
      <c r="S960" s="20" t="s">
        <v>309</v>
      </c>
      <c r="T960" s="20" t="s">
        <v>44</v>
      </c>
      <c r="U960" s="20" t="s">
        <v>44</v>
      </c>
      <c r="V960" s="20">
        <v>3</v>
      </c>
      <c r="W960" s="19" t="s">
        <v>45</v>
      </c>
      <c r="X960" s="19" t="s">
        <v>46</v>
      </c>
      <c r="AB960" s="20">
        <v>22</v>
      </c>
      <c r="AC960" s="20" t="s">
        <v>214</v>
      </c>
      <c r="AE960" s="20">
        <v>87.2</v>
      </c>
      <c r="AJ960" s="20">
        <v>8.4</v>
      </c>
      <c r="AK960" s="20">
        <v>8.4</v>
      </c>
      <c r="AP960" s="20">
        <v>4.3</v>
      </c>
      <c r="AQ960" s="20">
        <v>25</v>
      </c>
      <c r="AT960" s="65" t="str">
        <f t="shared" si="259"/>
        <v>Y</v>
      </c>
      <c r="AU960" s="65" t="str">
        <f t="shared" si="260"/>
        <v>Y</v>
      </c>
      <c r="AV960" s="65" t="str">
        <f t="shared" si="258"/>
        <v>Y</v>
      </c>
      <c r="AW960" s="99"/>
      <c r="AX960" s="99"/>
      <c r="AZ960" s="96" t="str">
        <f t="shared" si="261"/>
        <v>EC50</v>
      </c>
      <c r="BA960" s="96">
        <f>IF(AZ960="n","n",VLOOKUP(AZ960,'Conversion factors'!$C$4:$D$24,2,FALSE))</f>
        <v>5</v>
      </c>
      <c r="BB960" s="96">
        <f t="shared" si="262"/>
        <v>4.4000000000000004</v>
      </c>
      <c r="BC960" s="97"/>
      <c r="BD960" s="96" t="str">
        <f t="shared" si="263"/>
        <v>Chronic</v>
      </c>
      <c r="BE960" s="96" t="str">
        <f t="shared" si="264"/>
        <v>y</v>
      </c>
      <c r="BF960" s="98" t="str">
        <f t="shared" si="265"/>
        <v>EC50</v>
      </c>
      <c r="BG960" s="96" t="str">
        <f>IF(BF960="","",IF(ISNUMBER(VLOOKUP(BF960,'Conversion factors'!$B$35:$C$52,2,FALSE)),"y","n"))</f>
        <v>n</v>
      </c>
      <c r="BH960" s="99" t="s">
        <v>1525</v>
      </c>
    </row>
    <row r="961" spans="1:60" ht="15.75" customHeight="1" x14ac:dyDescent="0.2">
      <c r="A961" s="20">
        <v>1447</v>
      </c>
      <c r="B961" s="20">
        <v>1447</v>
      </c>
      <c r="C961" s="20">
        <v>1447</v>
      </c>
      <c r="D961" s="20" t="s">
        <v>1529</v>
      </c>
      <c r="E961" s="20" t="s">
        <v>1529</v>
      </c>
      <c r="F961" s="20">
        <v>2015</v>
      </c>
      <c r="G961" s="20" t="s">
        <v>1527</v>
      </c>
      <c r="J961" s="19" t="s">
        <v>344</v>
      </c>
      <c r="K961" s="20" t="s">
        <v>42</v>
      </c>
      <c r="L961" s="19" t="s">
        <v>43</v>
      </c>
      <c r="M961" s="20" t="s">
        <v>1303</v>
      </c>
      <c r="N961" s="19" t="s">
        <v>109</v>
      </c>
      <c r="O961" s="20" t="s">
        <v>264</v>
      </c>
      <c r="P961" s="19" t="s">
        <v>53</v>
      </c>
      <c r="R961" s="20" t="s">
        <v>256</v>
      </c>
      <c r="S961" s="20" t="s">
        <v>309</v>
      </c>
      <c r="T961" s="20" t="s">
        <v>44</v>
      </c>
      <c r="U961" s="20" t="s">
        <v>44</v>
      </c>
      <c r="V961" s="20">
        <v>2</v>
      </c>
      <c r="W961" s="19" t="s">
        <v>45</v>
      </c>
      <c r="X961" s="19" t="s">
        <v>46</v>
      </c>
      <c r="AB961" s="20">
        <v>169</v>
      </c>
      <c r="AC961" s="20" t="s">
        <v>214</v>
      </c>
      <c r="AE961" s="20">
        <v>19.3</v>
      </c>
      <c r="AJ961" s="20">
        <v>5.85</v>
      </c>
      <c r="AK961" s="20">
        <v>5.85</v>
      </c>
      <c r="AP961" s="20">
        <v>2.9</v>
      </c>
      <c r="AQ961" s="20">
        <v>25</v>
      </c>
      <c r="AT961" s="65" t="str">
        <f t="shared" si="259"/>
        <v>Y</v>
      </c>
      <c r="AU961" s="65" t="str">
        <f t="shared" si="260"/>
        <v>N</v>
      </c>
      <c r="AV961" s="65" t="str">
        <f t="shared" si="258"/>
        <v>N</v>
      </c>
      <c r="AW961" s="99"/>
      <c r="AX961" s="99"/>
      <c r="AZ961" s="96" t="str">
        <f t="shared" si="261"/>
        <v>n</v>
      </c>
      <c r="BA961" s="96" t="str">
        <f>IF(AZ961="n","n",VLOOKUP(AZ961,'Conversion factors'!$C$4:$D$24,2,FALSE))</f>
        <v>n</v>
      </c>
      <c r="BB961" s="96" t="str">
        <f t="shared" si="262"/>
        <v>n</v>
      </c>
      <c r="BC961" s="97"/>
      <c r="BD961" s="96" t="str">
        <f t="shared" si="263"/>
        <v>n</v>
      </c>
      <c r="BE961" s="96" t="str">
        <f t="shared" si="264"/>
        <v>n</v>
      </c>
      <c r="BF961" s="98" t="str">
        <f t="shared" si="265"/>
        <v/>
      </c>
      <c r="BG961" s="96" t="str">
        <f>IF(BF961="","",IF(ISNUMBER(VLOOKUP(BF961,'Conversion factors'!$B$35:$C$52,2,FALSE)),"y","n"))</f>
        <v/>
      </c>
      <c r="BH961" s="99" t="s">
        <v>1525</v>
      </c>
    </row>
    <row r="962" spans="1:60" ht="15.75" customHeight="1" x14ac:dyDescent="0.2">
      <c r="A962" s="20">
        <v>1447</v>
      </c>
      <c r="B962" s="20">
        <v>1447</v>
      </c>
      <c r="C962" s="20">
        <v>1447</v>
      </c>
      <c r="D962" s="20" t="s">
        <v>1529</v>
      </c>
      <c r="E962" s="20" t="s">
        <v>1529</v>
      </c>
      <c r="F962" s="20">
        <v>2015</v>
      </c>
      <c r="G962" s="20" t="s">
        <v>1527</v>
      </c>
      <c r="J962" s="19" t="s">
        <v>344</v>
      </c>
      <c r="K962" s="20" t="s">
        <v>42</v>
      </c>
      <c r="L962" s="19" t="s">
        <v>43</v>
      </c>
      <c r="M962" s="20" t="s">
        <v>1303</v>
      </c>
      <c r="N962" s="19" t="s">
        <v>109</v>
      </c>
      <c r="O962" s="20" t="s">
        <v>264</v>
      </c>
      <c r="P962" s="19" t="s">
        <v>53</v>
      </c>
      <c r="R962" s="20" t="s">
        <v>256</v>
      </c>
      <c r="S962" s="20" t="s">
        <v>309</v>
      </c>
      <c r="T962" s="20" t="s">
        <v>44</v>
      </c>
      <c r="U962" s="20" t="s">
        <v>44</v>
      </c>
      <c r="V962" s="20">
        <v>3</v>
      </c>
      <c r="W962" s="19" t="s">
        <v>45</v>
      </c>
      <c r="X962" s="19" t="s">
        <v>46</v>
      </c>
      <c r="AB962" s="20">
        <v>72</v>
      </c>
      <c r="AC962" s="20" t="s">
        <v>214</v>
      </c>
      <c r="AE962" s="20">
        <v>8.6</v>
      </c>
      <c r="AJ962" s="20">
        <v>6.08</v>
      </c>
      <c r="AK962" s="20">
        <v>6.08</v>
      </c>
      <c r="AP962" s="20">
        <v>4.5</v>
      </c>
      <c r="AQ962" s="20">
        <v>25</v>
      </c>
      <c r="AT962" s="65" t="str">
        <f t="shared" si="259"/>
        <v>Y</v>
      </c>
      <c r="AU962" s="65" t="str">
        <f t="shared" si="260"/>
        <v>Y</v>
      </c>
      <c r="AV962" s="65" t="str">
        <f t="shared" si="258"/>
        <v>Y</v>
      </c>
      <c r="AW962" s="99"/>
      <c r="AX962" s="99"/>
      <c r="AZ962" s="96" t="str">
        <f t="shared" si="261"/>
        <v>EC50</v>
      </c>
      <c r="BA962" s="96">
        <f>IF(AZ962="n","n",VLOOKUP(AZ962,'Conversion factors'!$C$4:$D$24,2,FALSE))</f>
        <v>5</v>
      </c>
      <c r="BB962" s="96">
        <f t="shared" si="262"/>
        <v>14.4</v>
      </c>
      <c r="BC962" s="97"/>
      <c r="BD962" s="96" t="str">
        <f t="shared" si="263"/>
        <v>Chronic</v>
      </c>
      <c r="BE962" s="96" t="str">
        <f t="shared" si="264"/>
        <v>y</v>
      </c>
      <c r="BF962" s="98" t="str">
        <f t="shared" si="265"/>
        <v>EC50</v>
      </c>
      <c r="BG962" s="96" t="str">
        <f>IF(BF962="","",IF(ISNUMBER(VLOOKUP(BF962,'Conversion factors'!$B$35:$C$52,2,FALSE)),"y","n"))</f>
        <v>n</v>
      </c>
      <c r="BH962" s="99" t="s">
        <v>1525</v>
      </c>
    </row>
    <row r="963" spans="1:60" ht="15.75" customHeight="1" x14ac:dyDescent="0.2">
      <c r="A963" s="20">
        <v>1447</v>
      </c>
      <c r="B963" s="20">
        <v>1447</v>
      </c>
      <c r="C963" s="20">
        <v>1447</v>
      </c>
      <c r="D963" s="20" t="s">
        <v>1529</v>
      </c>
      <c r="E963" s="20" t="s">
        <v>1529</v>
      </c>
      <c r="F963" s="20">
        <v>2015</v>
      </c>
      <c r="G963" s="20" t="s">
        <v>1527</v>
      </c>
      <c r="J963" s="19" t="s">
        <v>344</v>
      </c>
      <c r="K963" s="20" t="s">
        <v>42</v>
      </c>
      <c r="L963" s="19" t="s">
        <v>43</v>
      </c>
      <c r="M963" s="20" t="s">
        <v>1303</v>
      </c>
      <c r="N963" s="19" t="s">
        <v>109</v>
      </c>
      <c r="O963" s="20" t="s">
        <v>264</v>
      </c>
      <c r="P963" s="19" t="s">
        <v>53</v>
      </c>
      <c r="R963" s="20" t="s">
        <v>256</v>
      </c>
      <c r="S963" s="20" t="s">
        <v>309</v>
      </c>
      <c r="T963" s="20" t="s">
        <v>44</v>
      </c>
      <c r="U963" s="20" t="s">
        <v>44</v>
      </c>
      <c r="V963" s="20">
        <v>3</v>
      </c>
      <c r="W963" s="19" t="s">
        <v>45</v>
      </c>
      <c r="X963" s="19" t="s">
        <v>46</v>
      </c>
      <c r="AB963" s="20">
        <v>90</v>
      </c>
      <c r="AC963" s="20" t="s">
        <v>214</v>
      </c>
      <c r="AE963" s="20">
        <v>8.9</v>
      </c>
      <c r="AJ963" s="20">
        <v>6.01</v>
      </c>
      <c r="AK963" s="20">
        <v>6.01</v>
      </c>
      <c r="AP963" s="20">
        <v>4.4000000000000004</v>
      </c>
      <c r="AQ963" s="20">
        <v>25</v>
      </c>
      <c r="AT963" s="65" t="str">
        <f t="shared" si="259"/>
        <v>Y</v>
      </c>
      <c r="AU963" s="65" t="str">
        <f t="shared" si="260"/>
        <v>Y</v>
      </c>
      <c r="AV963" s="65" t="str">
        <f t="shared" ref="AV963:AV964" si="266">AU963</f>
        <v>Y</v>
      </c>
      <c r="AW963" s="99"/>
      <c r="AX963" s="99"/>
      <c r="AZ963" s="96" t="str">
        <f t="shared" si="261"/>
        <v>EC50</v>
      </c>
      <c r="BA963" s="96">
        <f>IF(AZ963="n","n",VLOOKUP(AZ963,'Conversion factors'!$C$4:$D$24,2,FALSE))</f>
        <v>5</v>
      </c>
      <c r="BB963" s="96">
        <f t="shared" si="262"/>
        <v>18</v>
      </c>
      <c r="BC963" s="97"/>
      <c r="BD963" s="96" t="str">
        <f t="shared" si="263"/>
        <v>Chronic</v>
      </c>
      <c r="BE963" s="96" t="str">
        <f t="shared" si="264"/>
        <v>y</v>
      </c>
      <c r="BF963" s="98" t="str">
        <f t="shared" si="265"/>
        <v>EC50</v>
      </c>
      <c r="BG963" s="96" t="str">
        <f>IF(BF963="","",IF(ISNUMBER(VLOOKUP(BF963,'Conversion factors'!$B$35:$C$52,2,FALSE)),"y","n"))</f>
        <v>n</v>
      </c>
      <c r="BH963" s="99" t="s">
        <v>1525</v>
      </c>
    </row>
    <row r="964" spans="1:60" ht="15.75" customHeight="1" x14ac:dyDescent="0.2">
      <c r="A964" s="20">
        <v>1447</v>
      </c>
      <c r="B964" s="20">
        <v>1447</v>
      </c>
      <c r="C964" s="20">
        <v>1447</v>
      </c>
      <c r="D964" s="20" t="s">
        <v>1529</v>
      </c>
      <c r="E964" s="20" t="s">
        <v>1529</v>
      </c>
      <c r="F964" s="20">
        <v>2015</v>
      </c>
      <c r="G964" s="20" t="s">
        <v>1527</v>
      </c>
      <c r="J964" s="19" t="s">
        <v>344</v>
      </c>
      <c r="K964" s="20" t="s">
        <v>42</v>
      </c>
      <c r="L964" s="19" t="s">
        <v>43</v>
      </c>
      <c r="M964" s="20" t="s">
        <v>1303</v>
      </c>
      <c r="N964" s="19" t="s">
        <v>109</v>
      </c>
      <c r="O964" s="20" t="s">
        <v>264</v>
      </c>
      <c r="P964" s="19" t="s">
        <v>53</v>
      </c>
      <c r="R964" s="20" t="s">
        <v>256</v>
      </c>
      <c r="S964" s="20" t="s">
        <v>309</v>
      </c>
      <c r="T964" s="20" t="s">
        <v>44</v>
      </c>
      <c r="U964" s="20" t="s">
        <v>44</v>
      </c>
      <c r="V964" s="20">
        <v>2</v>
      </c>
      <c r="W964" s="19" t="s">
        <v>45</v>
      </c>
      <c r="X964" s="19" t="s">
        <v>46</v>
      </c>
      <c r="AB964" s="20">
        <v>124</v>
      </c>
      <c r="AC964" s="20" t="s">
        <v>214</v>
      </c>
      <c r="AE964" s="20">
        <v>10.5</v>
      </c>
      <c r="AJ964" s="20">
        <v>5.83</v>
      </c>
      <c r="AK964" s="20">
        <v>5.83</v>
      </c>
      <c r="AP964" s="20">
        <v>8.6</v>
      </c>
      <c r="AQ964" s="20">
        <v>25</v>
      </c>
      <c r="AT964" s="65" t="str">
        <f t="shared" si="259"/>
        <v>Y</v>
      </c>
      <c r="AU964" s="65" t="str">
        <f t="shared" ref="AU964" si="267">IF(AT964="N","N",IF(AJ964&lt;6,"N",IF(AJ964&gt;8.5,"N","Y")))</f>
        <v>N</v>
      </c>
      <c r="AV964" s="65" t="str">
        <f t="shared" si="266"/>
        <v>N</v>
      </c>
      <c r="AW964" s="99"/>
      <c r="AX964" s="99"/>
      <c r="AZ964" s="96" t="str">
        <f t="shared" si="261"/>
        <v>n</v>
      </c>
      <c r="BA964" s="96" t="str">
        <f>IF(AZ964="n","n",VLOOKUP(AZ964,'Conversion factors'!$C$4:$D$24,2,FALSE))</f>
        <v>n</v>
      </c>
      <c r="BB964" s="96" t="str">
        <f t="shared" ref="BB964" si="268">IF(BA964="n","n",AB964/BA964)</f>
        <v>n</v>
      </c>
      <c r="BC964" s="97"/>
      <c r="BD964" s="96" t="str">
        <f t="shared" si="263"/>
        <v>n</v>
      </c>
      <c r="BE964" s="96" t="str">
        <f t="shared" ref="BE964" si="269">IF(BD964="chronic","y","n")</f>
        <v>n</v>
      </c>
      <c r="BF964" s="98" t="str">
        <f t="shared" ref="BF964" si="270">IF(BE964="n","",AZ964)</f>
        <v/>
      </c>
      <c r="BG964" s="96" t="str">
        <f>IF(BF964="","",IF(ISNUMBER(VLOOKUP(BF964,'Conversion factors'!$B$35:$C$52,2,FALSE)),"y","n"))</f>
        <v/>
      </c>
      <c r="BH964" s="99" t="s">
        <v>1525</v>
      </c>
    </row>
    <row r="965" spans="1:60" s="103" customFormat="1" ht="15.75" customHeight="1" x14ac:dyDescent="0.2">
      <c r="A965" s="18"/>
      <c r="B965" s="19">
        <v>206</v>
      </c>
      <c r="C965" s="19"/>
      <c r="D965" s="19">
        <v>59235</v>
      </c>
      <c r="E965" s="19" t="s">
        <v>1224</v>
      </c>
      <c r="F965" s="93">
        <v>1998</v>
      </c>
      <c r="G965" s="19" t="s">
        <v>452</v>
      </c>
      <c r="H965" s="19"/>
      <c r="I965" s="19" t="s">
        <v>41</v>
      </c>
      <c r="J965" s="19" t="s">
        <v>453</v>
      </c>
      <c r="K965" s="19" t="s">
        <v>42</v>
      </c>
      <c r="L965" s="19" t="s">
        <v>43</v>
      </c>
      <c r="M965" s="19" t="s">
        <v>1303</v>
      </c>
      <c r="N965" s="19" t="s">
        <v>109</v>
      </c>
      <c r="O965" s="19" t="s">
        <v>235</v>
      </c>
      <c r="P965" s="19" t="s">
        <v>162</v>
      </c>
      <c r="Q965" s="19"/>
      <c r="R965" s="19" t="s">
        <v>256</v>
      </c>
      <c r="S965" s="19" t="s">
        <v>302</v>
      </c>
      <c r="T965" s="19" t="s">
        <v>454</v>
      </c>
      <c r="U965" s="19" t="s">
        <v>454</v>
      </c>
      <c r="V965" s="19" t="s">
        <v>85</v>
      </c>
      <c r="W965" s="19" t="s">
        <v>231</v>
      </c>
      <c r="X965" s="19" t="s">
        <v>46</v>
      </c>
      <c r="Y965" s="29"/>
      <c r="Z965" s="19"/>
      <c r="AA965" s="19"/>
      <c r="AB965" s="19" t="s">
        <v>242</v>
      </c>
      <c r="AC965" s="19" t="s">
        <v>1322</v>
      </c>
      <c r="AD965" s="19"/>
      <c r="AE965" s="19"/>
      <c r="AF965" s="19"/>
      <c r="AG965" s="19" t="s">
        <v>235</v>
      </c>
      <c r="AH965" s="19"/>
      <c r="AI965" s="19"/>
      <c r="AJ965" s="19">
        <v>6</v>
      </c>
      <c r="AK965" s="19" t="s">
        <v>424</v>
      </c>
      <c r="AL965" s="19"/>
      <c r="AM965" s="19" t="s">
        <v>234</v>
      </c>
      <c r="AN965" s="19" t="s">
        <v>234</v>
      </c>
      <c r="AO965" s="19" t="s">
        <v>235</v>
      </c>
      <c r="AP965" s="94"/>
      <c r="AQ965" s="19" t="s">
        <v>102</v>
      </c>
      <c r="AR965" s="19" t="s">
        <v>241</v>
      </c>
      <c r="AS965" s="19"/>
      <c r="AT965" s="65" t="str">
        <f t="shared" ref="AT965:AT966" si="271">IF(F965&lt;1980,"N",IF(AC965="M","Y",IF(AC965="SM","Y","N")))</f>
        <v>N</v>
      </c>
      <c r="AU965" s="65" t="str">
        <f t="shared" ref="AU965:AU995" si="272">IF(AT965="N","N",IF(AJ965&lt;6,"N",IF(AJ965&gt;8.5,"N","Y")))</f>
        <v>N</v>
      </c>
      <c r="AV965" s="65" t="s">
        <v>162</v>
      </c>
      <c r="AW965" s="99" t="s">
        <v>1405</v>
      </c>
      <c r="AX965" s="99"/>
      <c r="AY965" s="19"/>
      <c r="AZ965" s="96" t="str">
        <f t="shared" ref="AZ965:AZ1001" si="273">IF(AV965="N","n",T965)</f>
        <v>n</v>
      </c>
      <c r="BA965" s="96" t="str">
        <f>IF(AZ965="n","n",VLOOKUP(AZ965,'Conversion factors'!$C$4:$D$24,2,FALSE))</f>
        <v>n</v>
      </c>
      <c r="BB965" s="96" t="str">
        <f t="shared" ref="BB965:BB1001" si="274">IF(BA965="n","n",AB965/BA965)</f>
        <v>n</v>
      </c>
      <c r="BC965" s="97"/>
      <c r="BD965" s="96" t="str">
        <f t="shared" ref="BD965:BD966" si="275">IF(AV965="N","n",X965)</f>
        <v>n</v>
      </c>
      <c r="BE965" s="96" t="str">
        <f t="shared" ref="BE965:BE1001" si="276">IF(BD965="chronic","y","n")</f>
        <v>n</v>
      </c>
      <c r="BF965" s="98" t="str">
        <f t="shared" ref="BF965:BF967" si="277">IF(BE965="n","",AZ965)</f>
        <v/>
      </c>
      <c r="BG965" s="96" t="str">
        <f>IF(BF965="","",IF(ISNUMBER(VLOOKUP(BF965,'Conversion factors'!$B$35:$C$52,2,FALSE)),"y","n"))</f>
        <v/>
      </c>
      <c r="BH965" s="99"/>
    </row>
    <row r="966" spans="1:60" s="103" customFormat="1" ht="15.75" customHeight="1" x14ac:dyDescent="0.2">
      <c r="A966" s="18"/>
      <c r="B966" s="19">
        <v>206</v>
      </c>
      <c r="C966" s="19"/>
      <c r="D966" s="19">
        <v>59235</v>
      </c>
      <c r="E966" s="19" t="s">
        <v>1224</v>
      </c>
      <c r="F966" s="93">
        <v>1998</v>
      </c>
      <c r="G966" s="19" t="s">
        <v>452</v>
      </c>
      <c r="H966" s="19"/>
      <c r="I966" s="19" t="s">
        <v>41</v>
      </c>
      <c r="J966" s="19" t="s">
        <v>453</v>
      </c>
      <c r="K966" s="19" t="s">
        <v>42</v>
      </c>
      <c r="L966" s="19" t="s">
        <v>43</v>
      </c>
      <c r="M966" s="19" t="s">
        <v>1303</v>
      </c>
      <c r="N966" s="19" t="s">
        <v>109</v>
      </c>
      <c r="O966" s="19" t="s">
        <v>235</v>
      </c>
      <c r="P966" s="19" t="s">
        <v>162</v>
      </c>
      <c r="Q966" s="19"/>
      <c r="R966" s="19" t="s">
        <v>256</v>
      </c>
      <c r="S966" s="19" t="s">
        <v>302</v>
      </c>
      <c r="T966" s="19" t="s">
        <v>454</v>
      </c>
      <c r="U966" s="19" t="s">
        <v>454</v>
      </c>
      <c r="V966" s="19" t="s">
        <v>85</v>
      </c>
      <c r="W966" s="19" t="s">
        <v>231</v>
      </c>
      <c r="X966" s="19" t="s">
        <v>46</v>
      </c>
      <c r="Y966" s="29"/>
      <c r="Z966" s="19"/>
      <c r="AA966" s="19"/>
      <c r="AB966" s="19" t="s">
        <v>242</v>
      </c>
      <c r="AC966" s="19" t="s">
        <v>1322</v>
      </c>
      <c r="AD966" s="19"/>
      <c r="AE966" s="19"/>
      <c r="AF966" s="19"/>
      <c r="AG966" s="19" t="s">
        <v>235</v>
      </c>
      <c r="AH966" s="19"/>
      <c r="AI966" s="19"/>
      <c r="AJ966" s="19">
        <v>6</v>
      </c>
      <c r="AK966" s="19" t="s">
        <v>424</v>
      </c>
      <c r="AL966" s="19"/>
      <c r="AM966" s="19" t="s">
        <v>234</v>
      </c>
      <c r="AN966" s="19" t="s">
        <v>234</v>
      </c>
      <c r="AO966" s="19" t="s">
        <v>235</v>
      </c>
      <c r="AP966" s="94"/>
      <c r="AQ966" s="19" t="s">
        <v>102</v>
      </c>
      <c r="AR966" s="19" t="s">
        <v>241</v>
      </c>
      <c r="AS966" s="19"/>
      <c r="AT966" s="65" t="str">
        <f t="shared" si="271"/>
        <v>N</v>
      </c>
      <c r="AU966" s="65" t="str">
        <f t="shared" si="272"/>
        <v>N</v>
      </c>
      <c r="AV966" s="65" t="s">
        <v>162</v>
      </c>
      <c r="AW966" s="99" t="s">
        <v>1405</v>
      </c>
      <c r="AX966" s="99"/>
      <c r="AY966" s="19"/>
      <c r="AZ966" s="96" t="str">
        <f t="shared" si="273"/>
        <v>n</v>
      </c>
      <c r="BA966" s="96" t="str">
        <f>IF(AZ966="n","n",VLOOKUP(AZ966,'Conversion factors'!$C$4:$D$24,2,FALSE))</f>
        <v>n</v>
      </c>
      <c r="BB966" s="96" t="str">
        <f t="shared" si="274"/>
        <v>n</v>
      </c>
      <c r="BC966" s="97"/>
      <c r="BD966" s="96" t="str">
        <f t="shared" si="275"/>
        <v>n</v>
      </c>
      <c r="BE966" s="96" t="str">
        <f t="shared" si="276"/>
        <v>n</v>
      </c>
      <c r="BF966" s="98" t="str">
        <f t="shared" si="277"/>
        <v/>
      </c>
      <c r="BG966" s="96" t="str">
        <f>IF(BF966="","",IF(ISNUMBER(VLOOKUP(BF966,'Conversion factors'!$B$35:$C$52,2,FALSE)),"y","n"))</f>
        <v/>
      </c>
      <c r="BH966" s="99"/>
    </row>
    <row r="967" spans="1:60" s="103" customFormat="1" ht="15.75" customHeight="1" x14ac:dyDescent="0.2">
      <c r="A967" s="18"/>
      <c r="B967" s="19">
        <v>331</v>
      </c>
      <c r="C967" s="19"/>
      <c r="D967" s="19">
        <v>169998</v>
      </c>
      <c r="E967" s="19" t="s">
        <v>1224</v>
      </c>
      <c r="F967" s="93">
        <v>2012</v>
      </c>
      <c r="G967" s="19" t="s">
        <v>1195</v>
      </c>
      <c r="H967" s="19"/>
      <c r="I967" s="19" t="s">
        <v>41</v>
      </c>
      <c r="J967" s="19" t="s">
        <v>1196</v>
      </c>
      <c r="K967" s="19" t="s">
        <v>42</v>
      </c>
      <c r="L967" s="19" t="s">
        <v>43</v>
      </c>
      <c r="M967" s="19" t="s">
        <v>1303</v>
      </c>
      <c r="N967" s="19" t="s">
        <v>109</v>
      </c>
      <c r="O967" s="19" t="s">
        <v>235</v>
      </c>
      <c r="P967" s="19" t="s">
        <v>162</v>
      </c>
      <c r="Q967" s="19"/>
      <c r="R967" s="19" t="s">
        <v>256</v>
      </c>
      <c r="S967" s="19" t="s">
        <v>302</v>
      </c>
      <c r="T967" s="19" t="s">
        <v>55</v>
      </c>
      <c r="U967" s="19" t="s">
        <v>55</v>
      </c>
      <c r="V967" s="19" t="s">
        <v>444</v>
      </c>
      <c r="W967" s="19" t="s">
        <v>45</v>
      </c>
      <c r="X967" s="19" t="s">
        <v>46</v>
      </c>
      <c r="Y967" s="29"/>
      <c r="Z967" s="19"/>
      <c r="AA967" s="19"/>
      <c r="AB967" s="19" t="s">
        <v>1197</v>
      </c>
      <c r="AC967" s="19" t="s">
        <v>1322</v>
      </c>
      <c r="AD967" s="19"/>
      <c r="AE967" s="19"/>
      <c r="AF967" s="19"/>
      <c r="AG967" s="19" t="s">
        <v>235</v>
      </c>
      <c r="AH967" s="19"/>
      <c r="AI967" s="19"/>
      <c r="AJ967" s="19">
        <v>7</v>
      </c>
      <c r="AK967" s="19" t="s">
        <v>85</v>
      </c>
      <c r="AL967" s="19"/>
      <c r="AM967" s="19" t="s">
        <v>234</v>
      </c>
      <c r="AN967" s="19" t="s">
        <v>234</v>
      </c>
      <c r="AO967" s="19" t="s">
        <v>235</v>
      </c>
      <c r="AP967" s="94"/>
      <c r="AQ967" s="19" t="s">
        <v>234</v>
      </c>
      <c r="AR967" s="19" t="s">
        <v>241</v>
      </c>
      <c r="AS967" s="19"/>
      <c r="AT967" s="65" t="str">
        <f t="shared" ref="AT967:AT1039" si="278">IF(F967&lt;1980,"N",IF(AC967="M","Y",IF(AC967="SM","Y","N")))</f>
        <v>N</v>
      </c>
      <c r="AU967" s="65" t="str">
        <f t="shared" si="272"/>
        <v>N</v>
      </c>
      <c r="AV967" s="65" t="str">
        <f t="shared" ref="AV967:AV1005" si="279">AU967</f>
        <v>N</v>
      </c>
      <c r="AW967" s="99"/>
      <c r="AX967" s="99"/>
      <c r="AY967" s="19"/>
      <c r="AZ967" s="96" t="str">
        <f t="shared" si="273"/>
        <v>n</v>
      </c>
      <c r="BA967" s="96" t="str">
        <f>IF(AZ967="n","n",VLOOKUP(AZ967,'Conversion factors'!$C$4:$D$24,2,FALSE))</f>
        <v>n</v>
      </c>
      <c r="BB967" s="96" t="str">
        <f t="shared" si="274"/>
        <v>n</v>
      </c>
      <c r="BC967" s="97"/>
      <c r="BD967" s="96" t="str">
        <f t="shared" ref="BD967:BD1039" si="280">IF(AV967="N","n",X967)</f>
        <v>n</v>
      </c>
      <c r="BE967" s="96" t="str">
        <f t="shared" si="276"/>
        <v>n</v>
      </c>
      <c r="BF967" s="98" t="str">
        <f t="shared" si="277"/>
        <v/>
      </c>
      <c r="BG967" s="96" t="str">
        <f>IF(BF967="","",IF(ISNUMBER(VLOOKUP(BF967,'Conversion factors'!$B$35:$C$52,2,FALSE)),"y","n"))</f>
        <v/>
      </c>
      <c r="BH967" s="99"/>
    </row>
    <row r="968" spans="1:60" s="103" customFormat="1" ht="15.75" customHeight="1" x14ac:dyDescent="0.2">
      <c r="A968" s="18"/>
      <c r="B968" s="19">
        <v>331</v>
      </c>
      <c r="C968" s="19"/>
      <c r="D968" s="19">
        <v>169998</v>
      </c>
      <c r="E968" s="19" t="s">
        <v>1224</v>
      </c>
      <c r="F968" s="93">
        <v>2012</v>
      </c>
      <c r="G968" s="19" t="s">
        <v>1195</v>
      </c>
      <c r="H968" s="19"/>
      <c r="I968" s="19" t="s">
        <v>41</v>
      </c>
      <c r="J968" s="19" t="s">
        <v>1196</v>
      </c>
      <c r="K968" s="19" t="s">
        <v>42</v>
      </c>
      <c r="L968" s="19" t="s">
        <v>43</v>
      </c>
      <c r="M968" s="19" t="s">
        <v>1303</v>
      </c>
      <c r="N968" s="19" t="s">
        <v>109</v>
      </c>
      <c r="O968" s="19" t="s">
        <v>235</v>
      </c>
      <c r="P968" s="19" t="s">
        <v>162</v>
      </c>
      <c r="Q968" s="19"/>
      <c r="R968" s="19" t="s">
        <v>256</v>
      </c>
      <c r="S968" s="19" t="s">
        <v>302</v>
      </c>
      <c r="T968" s="19" t="s">
        <v>55</v>
      </c>
      <c r="U968" s="19" t="s">
        <v>55</v>
      </c>
      <c r="V968" s="19" t="s">
        <v>424</v>
      </c>
      <c r="W968" s="19" t="s">
        <v>45</v>
      </c>
      <c r="X968" s="19" t="s">
        <v>46</v>
      </c>
      <c r="Y968" s="29"/>
      <c r="Z968" s="19"/>
      <c r="AA968" s="19"/>
      <c r="AB968" s="19" t="s">
        <v>1197</v>
      </c>
      <c r="AC968" s="19" t="s">
        <v>1322</v>
      </c>
      <c r="AD968" s="19"/>
      <c r="AE968" s="19"/>
      <c r="AF968" s="19"/>
      <c r="AG968" s="19" t="s">
        <v>235</v>
      </c>
      <c r="AH968" s="19"/>
      <c r="AI968" s="19"/>
      <c r="AJ968" s="19">
        <v>7</v>
      </c>
      <c r="AK968" s="19" t="s">
        <v>85</v>
      </c>
      <c r="AL968" s="19"/>
      <c r="AM968" s="19" t="s">
        <v>234</v>
      </c>
      <c r="AN968" s="19" t="s">
        <v>234</v>
      </c>
      <c r="AO968" s="19" t="s">
        <v>235</v>
      </c>
      <c r="AP968" s="94"/>
      <c r="AQ968" s="19" t="s">
        <v>234</v>
      </c>
      <c r="AR968" s="19" t="s">
        <v>241</v>
      </c>
      <c r="AS968" s="19"/>
      <c r="AT968" s="65" t="str">
        <f t="shared" si="278"/>
        <v>N</v>
      </c>
      <c r="AU968" s="65" t="str">
        <f t="shared" si="272"/>
        <v>N</v>
      </c>
      <c r="AV968" s="65" t="str">
        <f t="shared" si="279"/>
        <v>N</v>
      </c>
      <c r="AW968" s="99"/>
      <c r="AX968" s="99"/>
      <c r="AY968" s="19"/>
      <c r="AZ968" s="96" t="str">
        <f t="shared" si="273"/>
        <v>n</v>
      </c>
      <c r="BA968" s="96" t="str">
        <f>IF(AZ968="n","n",VLOOKUP(AZ968,'Conversion factors'!$C$4:$D$24,2,FALSE))</f>
        <v>n</v>
      </c>
      <c r="BB968" s="96" t="str">
        <f t="shared" si="274"/>
        <v>n</v>
      </c>
      <c r="BC968" s="97"/>
      <c r="BD968" s="96" t="str">
        <f t="shared" si="280"/>
        <v>n</v>
      </c>
      <c r="BE968" s="96" t="str">
        <f t="shared" si="276"/>
        <v>n</v>
      </c>
      <c r="BF968" s="98" t="str">
        <f t="shared" ref="BF968:BF1040" si="281">IF(BE968="n","",AZ968)</f>
        <v/>
      </c>
      <c r="BG968" s="96" t="str">
        <f>IF(BF968="","",IF(ISNUMBER(VLOOKUP(BF968,'Conversion factors'!$B$35:$C$52,2,FALSE)),"y","n"))</f>
        <v/>
      </c>
      <c r="BH968" s="99"/>
    </row>
    <row r="969" spans="1:60" s="103" customFormat="1" ht="15.75" customHeight="1" x14ac:dyDescent="0.2">
      <c r="A969" s="18"/>
      <c r="B969" s="19">
        <v>331</v>
      </c>
      <c r="C969" s="19"/>
      <c r="D969" s="19">
        <v>169998</v>
      </c>
      <c r="E969" s="19" t="s">
        <v>1224</v>
      </c>
      <c r="F969" s="93">
        <v>2012</v>
      </c>
      <c r="G969" s="19" t="s">
        <v>1195</v>
      </c>
      <c r="H969" s="19"/>
      <c r="I969" s="19" t="s">
        <v>41</v>
      </c>
      <c r="J969" s="19" t="s">
        <v>1196</v>
      </c>
      <c r="K969" s="19" t="s">
        <v>42</v>
      </c>
      <c r="L969" s="19" t="s">
        <v>43</v>
      </c>
      <c r="M969" s="19" t="s">
        <v>1303</v>
      </c>
      <c r="N969" s="19" t="s">
        <v>109</v>
      </c>
      <c r="O969" s="19" t="s">
        <v>235</v>
      </c>
      <c r="P969" s="19" t="s">
        <v>162</v>
      </c>
      <c r="Q969" s="19"/>
      <c r="R969" s="19" t="s">
        <v>256</v>
      </c>
      <c r="S969" s="19" t="s">
        <v>302</v>
      </c>
      <c r="T969" s="19" t="s">
        <v>55</v>
      </c>
      <c r="U969" s="19" t="s">
        <v>55</v>
      </c>
      <c r="V969" s="19" t="s">
        <v>605</v>
      </c>
      <c r="W969" s="19" t="s">
        <v>45</v>
      </c>
      <c r="X969" s="19" t="s">
        <v>46</v>
      </c>
      <c r="Y969" s="29"/>
      <c r="Z969" s="19"/>
      <c r="AA969" s="19"/>
      <c r="AB969" s="19" t="s">
        <v>1197</v>
      </c>
      <c r="AC969" s="19" t="s">
        <v>1322</v>
      </c>
      <c r="AD969" s="19"/>
      <c r="AE969" s="19"/>
      <c r="AF969" s="19"/>
      <c r="AG969" s="19" t="s">
        <v>235</v>
      </c>
      <c r="AH969" s="19"/>
      <c r="AI969" s="19"/>
      <c r="AJ969" s="19">
        <v>7</v>
      </c>
      <c r="AK969" s="19" t="s">
        <v>85</v>
      </c>
      <c r="AL969" s="19"/>
      <c r="AM969" s="19" t="s">
        <v>234</v>
      </c>
      <c r="AN969" s="19" t="s">
        <v>234</v>
      </c>
      <c r="AO969" s="19" t="s">
        <v>235</v>
      </c>
      <c r="AP969" s="94"/>
      <c r="AQ969" s="19" t="s">
        <v>234</v>
      </c>
      <c r="AR969" s="19" t="s">
        <v>241</v>
      </c>
      <c r="AS969" s="19"/>
      <c r="AT969" s="65" t="str">
        <f t="shared" si="278"/>
        <v>N</v>
      </c>
      <c r="AU969" s="65" t="str">
        <f t="shared" si="272"/>
        <v>N</v>
      </c>
      <c r="AV969" s="65" t="str">
        <f t="shared" si="279"/>
        <v>N</v>
      </c>
      <c r="AW969" s="99"/>
      <c r="AX969" s="99"/>
      <c r="AY969" s="19"/>
      <c r="AZ969" s="96" t="str">
        <f t="shared" si="273"/>
        <v>n</v>
      </c>
      <c r="BA969" s="96" t="str">
        <f>IF(AZ969="n","n",VLOOKUP(AZ969,'Conversion factors'!$C$4:$D$24,2,FALSE))</f>
        <v>n</v>
      </c>
      <c r="BB969" s="96" t="str">
        <f t="shared" si="274"/>
        <v>n</v>
      </c>
      <c r="BC969" s="97"/>
      <c r="BD969" s="96" t="str">
        <f t="shared" si="280"/>
        <v>n</v>
      </c>
      <c r="BE969" s="96" t="str">
        <f t="shared" si="276"/>
        <v>n</v>
      </c>
      <c r="BF969" s="98" t="str">
        <f t="shared" si="281"/>
        <v/>
      </c>
      <c r="BG969" s="96" t="str">
        <f>IF(BF969="","",IF(ISNUMBER(VLOOKUP(BF969,'Conversion factors'!$B$35:$C$52,2,FALSE)),"y","n"))</f>
        <v/>
      </c>
      <c r="BH969" s="99"/>
    </row>
    <row r="970" spans="1:60" s="103" customFormat="1" ht="15.75" customHeight="1" x14ac:dyDescent="0.2">
      <c r="A970" s="18"/>
      <c r="B970" s="19">
        <v>331</v>
      </c>
      <c r="C970" s="19"/>
      <c r="D970" s="19">
        <v>169998</v>
      </c>
      <c r="E970" s="19" t="s">
        <v>1224</v>
      </c>
      <c r="F970" s="93">
        <v>2012</v>
      </c>
      <c r="G970" s="19" t="s">
        <v>1195</v>
      </c>
      <c r="H970" s="19"/>
      <c r="I970" s="19" t="s">
        <v>41</v>
      </c>
      <c r="J970" s="19" t="s">
        <v>1196</v>
      </c>
      <c r="K970" s="19" t="s">
        <v>42</v>
      </c>
      <c r="L970" s="19" t="s">
        <v>43</v>
      </c>
      <c r="M970" s="19" t="s">
        <v>1303</v>
      </c>
      <c r="N970" s="19" t="s">
        <v>109</v>
      </c>
      <c r="O970" s="19" t="s">
        <v>235</v>
      </c>
      <c r="P970" s="19" t="s">
        <v>162</v>
      </c>
      <c r="Q970" s="19"/>
      <c r="R970" s="19" t="s">
        <v>256</v>
      </c>
      <c r="S970" s="19" t="s">
        <v>302</v>
      </c>
      <c r="T970" s="19" t="s">
        <v>55</v>
      </c>
      <c r="U970" s="19" t="s">
        <v>55</v>
      </c>
      <c r="V970" s="19" t="s">
        <v>461</v>
      </c>
      <c r="W970" s="19" t="s">
        <v>45</v>
      </c>
      <c r="X970" s="19" t="s">
        <v>46</v>
      </c>
      <c r="Y970" s="29"/>
      <c r="Z970" s="19"/>
      <c r="AA970" s="19"/>
      <c r="AB970" s="19" t="s">
        <v>1197</v>
      </c>
      <c r="AC970" s="19" t="s">
        <v>1322</v>
      </c>
      <c r="AD970" s="19"/>
      <c r="AE970" s="19"/>
      <c r="AF970" s="19"/>
      <c r="AG970" s="19" t="s">
        <v>235</v>
      </c>
      <c r="AH970" s="19"/>
      <c r="AI970" s="19"/>
      <c r="AJ970" s="19">
        <v>7</v>
      </c>
      <c r="AK970" s="19" t="s">
        <v>85</v>
      </c>
      <c r="AL970" s="19"/>
      <c r="AM970" s="19" t="s">
        <v>234</v>
      </c>
      <c r="AN970" s="19" t="s">
        <v>234</v>
      </c>
      <c r="AO970" s="19" t="s">
        <v>235</v>
      </c>
      <c r="AP970" s="94"/>
      <c r="AQ970" s="19" t="s">
        <v>234</v>
      </c>
      <c r="AR970" s="19" t="s">
        <v>241</v>
      </c>
      <c r="AS970" s="19"/>
      <c r="AT970" s="65" t="str">
        <f t="shared" si="278"/>
        <v>N</v>
      </c>
      <c r="AU970" s="65" t="str">
        <f t="shared" si="272"/>
        <v>N</v>
      </c>
      <c r="AV970" s="65" t="str">
        <f t="shared" si="279"/>
        <v>N</v>
      </c>
      <c r="AW970" s="99"/>
      <c r="AX970" s="99"/>
      <c r="AY970" s="19"/>
      <c r="AZ970" s="96" t="str">
        <f t="shared" si="273"/>
        <v>n</v>
      </c>
      <c r="BA970" s="96" t="str">
        <f>IF(AZ970="n","n",VLOOKUP(AZ970,'Conversion factors'!$C$4:$D$24,2,FALSE))</f>
        <v>n</v>
      </c>
      <c r="BB970" s="96" t="str">
        <f t="shared" si="274"/>
        <v>n</v>
      </c>
      <c r="BC970" s="97"/>
      <c r="BD970" s="96" t="str">
        <f t="shared" si="280"/>
        <v>n</v>
      </c>
      <c r="BE970" s="96" t="str">
        <f t="shared" si="276"/>
        <v>n</v>
      </c>
      <c r="BF970" s="98" t="str">
        <f t="shared" si="281"/>
        <v/>
      </c>
      <c r="BG970" s="96" t="str">
        <f>IF(BF970="","",IF(ISNUMBER(VLOOKUP(BF970,'Conversion factors'!$B$35:$C$52,2,FALSE)),"y","n"))</f>
        <v/>
      </c>
      <c r="BH970" s="99"/>
    </row>
    <row r="971" spans="1:60" s="103" customFormat="1" ht="15.75" customHeight="1" x14ac:dyDescent="0.2">
      <c r="A971" s="18"/>
      <c r="B971" s="19">
        <v>331</v>
      </c>
      <c r="C971" s="19"/>
      <c r="D971" s="19">
        <v>169998</v>
      </c>
      <c r="E971" s="19" t="s">
        <v>1224</v>
      </c>
      <c r="F971" s="93">
        <v>2012</v>
      </c>
      <c r="G971" s="19" t="s">
        <v>1195</v>
      </c>
      <c r="H971" s="19"/>
      <c r="I971" s="19" t="s">
        <v>41</v>
      </c>
      <c r="J971" s="19" t="s">
        <v>1196</v>
      </c>
      <c r="K971" s="19" t="s">
        <v>42</v>
      </c>
      <c r="L971" s="19" t="s">
        <v>43</v>
      </c>
      <c r="M971" s="19" t="s">
        <v>1303</v>
      </c>
      <c r="N971" s="19" t="s">
        <v>109</v>
      </c>
      <c r="O971" s="19" t="s">
        <v>235</v>
      </c>
      <c r="P971" s="19" t="s">
        <v>162</v>
      </c>
      <c r="Q971" s="19"/>
      <c r="R971" s="19" t="s">
        <v>256</v>
      </c>
      <c r="S971" s="19" t="s">
        <v>302</v>
      </c>
      <c r="T971" s="19" t="s">
        <v>55</v>
      </c>
      <c r="U971" s="19" t="s">
        <v>55</v>
      </c>
      <c r="V971" s="19" t="s">
        <v>420</v>
      </c>
      <c r="W971" s="19" t="s">
        <v>45</v>
      </c>
      <c r="X971" s="19" t="s">
        <v>46</v>
      </c>
      <c r="Y971" s="29"/>
      <c r="Z971" s="19"/>
      <c r="AA971" s="19"/>
      <c r="AB971" s="19" t="s">
        <v>1197</v>
      </c>
      <c r="AC971" s="19" t="s">
        <v>1322</v>
      </c>
      <c r="AD971" s="19"/>
      <c r="AE971" s="19"/>
      <c r="AF971" s="19"/>
      <c r="AG971" s="19" t="s">
        <v>235</v>
      </c>
      <c r="AH971" s="19"/>
      <c r="AI971" s="19"/>
      <c r="AJ971" s="19">
        <v>7</v>
      </c>
      <c r="AK971" s="19" t="s">
        <v>85</v>
      </c>
      <c r="AL971" s="19"/>
      <c r="AM971" s="19" t="s">
        <v>234</v>
      </c>
      <c r="AN971" s="19" t="s">
        <v>234</v>
      </c>
      <c r="AO971" s="19" t="s">
        <v>235</v>
      </c>
      <c r="AP971" s="94"/>
      <c r="AQ971" s="19" t="s">
        <v>234</v>
      </c>
      <c r="AR971" s="19" t="s">
        <v>241</v>
      </c>
      <c r="AS971" s="19"/>
      <c r="AT971" s="65" t="str">
        <f t="shared" si="278"/>
        <v>N</v>
      </c>
      <c r="AU971" s="65" t="str">
        <f t="shared" si="272"/>
        <v>N</v>
      </c>
      <c r="AV971" s="65" t="str">
        <f t="shared" si="279"/>
        <v>N</v>
      </c>
      <c r="AW971" s="99"/>
      <c r="AX971" s="99"/>
      <c r="AY971" s="19"/>
      <c r="AZ971" s="96" t="str">
        <f t="shared" si="273"/>
        <v>n</v>
      </c>
      <c r="BA971" s="96" t="str">
        <f>IF(AZ971="n","n",VLOOKUP(AZ971,'Conversion factors'!$C$4:$D$24,2,FALSE))</f>
        <v>n</v>
      </c>
      <c r="BB971" s="96" t="str">
        <f t="shared" si="274"/>
        <v>n</v>
      </c>
      <c r="BC971" s="97"/>
      <c r="BD971" s="96" t="str">
        <f t="shared" si="280"/>
        <v>n</v>
      </c>
      <c r="BE971" s="96" t="str">
        <f t="shared" si="276"/>
        <v>n</v>
      </c>
      <c r="BF971" s="98" t="str">
        <f t="shared" si="281"/>
        <v/>
      </c>
      <c r="BG971" s="96" t="str">
        <f>IF(BF971="","",IF(ISNUMBER(VLOOKUP(BF971,'Conversion factors'!$B$35:$C$52,2,FALSE)),"y","n"))</f>
        <v/>
      </c>
      <c r="BH971" s="99"/>
    </row>
    <row r="972" spans="1:60" s="103" customFormat="1" ht="15.75" customHeight="1" x14ac:dyDescent="0.2">
      <c r="A972" s="18"/>
      <c r="B972" s="19">
        <v>331</v>
      </c>
      <c r="C972" s="19"/>
      <c r="D972" s="19">
        <v>169998</v>
      </c>
      <c r="E972" s="19" t="s">
        <v>1224</v>
      </c>
      <c r="F972" s="93">
        <v>2012</v>
      </c>
      <c r="G972" s="19" t="s">
        <v>1195</v>
      </c>
      <c r="H972" s="19"/>
      <c r="I972" s="19" t="s">
        <v>41</v>
      </c>
      <c r="J972" s="19" t="s">
        <v>1196</v>
      </c>
      <c r="K972" s="19" t="s">
        <v>42</v>
      </c>
      <c r="L972" s="19" t="s">
        <v>43</v>
      </c>
      <c r="M972" s="19" t="s">
        <v>1303</v>
      </c>
      <c r="N972" s="19" t="s">
        <v>109</v>
      </c>
      <c r="O972" s="19" t="s">
        <v>235</v>
      </c>
      <c r="P972" s="19" t="s">
        <v>162</v>
      </c>
      <c r="Q972" s="19"/>
      <c r="R972" s="19" t="s">
        <v>256</v>
      </c>
      <c r="S972" s="19" t="s">
        <v>302</v>
      </c>
      <c r="T972" s="19" t="s">
        <v>55</v>
      </c>
      <c r="U972" s="19" t="s">
        <v>55</v>
      </c>
      <c r="V972" s="19" t="s">
        <v>101</v>
      </c>
      <c r="W972" s="19" t="s">
        <v>45</v>
      </c>
      <c r="X972" s="19" t="s">
        <v>46</v>
      </c>
      <c r="Y972" s="29"/>
      <c r="Z972" s="19"/>
      <c r="AA972" s="19"/>
      <c r="AB972" s="19" t="s">
        <v>1197</v>
      </c>
      <c r="AC972" s="19" t="s">
        <v>1322</v>
      </c>
      <c r="AD972" s="19"/>
      <c r="AE972" s="19"/>
      <c r="AF972" s="19"/>
      <c r="AG972" s="19" t="s">
        <v>235</v>
      </c>
      <c r="AH972" s="19"/>
      <c r="AI972" s="19"/>
      <c r="AJ972" s="19">
        <v>7</v>
      </c>
      <c r="AK972" s="19" t="s">
        <v>85</v>
      </c>
      <c r="AL972" s="19"/>
      <c r="AM972" s="19" t="s">
        <v>234</v>
      </c>
      <c r="AN972" s="19" t="s">
        <v>234</v>
      </c>
      <c r="AO972" s="19" t="s">
        <v>235</v>
      </c>
      <c r="AP972" s="94"/>
      <c r="AQ972" s="19" t="s">
        <v>234</v>
      </c>
      <c r="AR972" s="19" t="s">
        <v>241</v>
      </c>
      <c r="AS972" s="19"/>
      <c r="AT972" s="65" t="str">
        <f t="shared" si="278"/>
        <v>N</v>
      </c>
      <c r="AU972" s="65" t="str">
        <f t="shared" si="272"/>
        <v>N</v>
      </c>
      <c r="AV972" s="65" t="str">
        <f t="shared" si="279"/>
        <v>N</v>
      </c>
      <c r="AW972" s="99"/>
      <c r="AX972" s="99"/>
      <c r="AY972" s="19"/>
      <c r="AZ972" s="96" t="str">
        <f t="shared" si="273"/>
        <v>n</v>
      </c>
      <c r="BA972" s="96" t="str">
        <f>IF(AZ972="n","n",VLOOKUP(AZ972,'Conversion factors'!$C$4:$D$24,2,FALSE))</f>
        <v>n</v>
      </c>
      <c r="BB972" s="96" t="str">
        <f t="shared" si="274"/>
        <v>n</v>
      </c>
      <c r="BC972" s="97"/>
      <c r="BD972" s="96" t="str">
        <f t="shared" si="280"/>
        <v>n</v>
      </c>
      <c r="BE972" s="96" t="str">
        <f t="shared" si="276"/>
        <v>n</v>
      </c>
      <c r="BF972" s="98" t="str">
        <f t="shared" si="281"/>
        <v/>
      </c>
      <c r="BG972" s="96" t="str">
        <f>IF(BF972="","",IF(ISNUMBER(VLOOKUP(BF972,'Conversion factors'!$B$35:$C$52,2,FALSE)),"y","n"))</f>
        <v/>
      </c>
      <c r="BH972" s="99"/>
    </row>
    <row r="973" spans="1:60" s="103" customFormat="1" ht="15.75" customHeight="1" x14ac:dyDescent="0.2">
      <c r="A973" s="18"/>
      <c r="B973" s="19">
        <v>331</v>
      </c>
      <c r="C973" s="19"/>
      <c r="D973" s="19">
        <v>169998</v>
      </c>
      <c r="E973" s="19" t="s">
        <v>1224</v>
      </c>
      <c r="F973" s="93">
        <v>2012</v>
      </c>
      <c r="G973" s="19" t="s">
        <v>1195</v>
      </c>
      <c r="H973" s="19"/>
      <c r="I973" s="19" t="s">
        <v>41</v>
      </c>
      <c r="J973" s="19" t="s">
        <v>1196</v>
      </c>
      <c r="K973" s="19" t="s">
        <v>42</v>
      </c>
      <c r="L973" s="19" t="s">
        <v>43</v>
      </c>
      <c r="M973" s="19" t="s">
        <v>1303</v>
      </c>
      <c r="N973" s="19" t="s">
        <v>109</v>
      </c>
      <c r="O973" s="19" t="s">
        <v>235</v>
      </c>
      <c r="P973" s="19" t="s">
        <v>162</v>
      </c>
      <c r="Q973" s="19"/>
      <c r="R973" s="19" t="s">
        <v>256</v>
      </c>
      <c r="S973" s="19" t="s">
        <v>302</v>
      </c>
      <c r="T973" s="19" t="s">
        <v>55</v>
      </c>
      <c r="U973" s="19" t="s">
        <v>55</v>
      </c>
      <c r="V973" s="19" t="s">
        <v>88</v>
      </c>
      <c r="W973" s="19" t="s">
        <v>45</v>
      </c>
      <c r="X973" s="19" t="s">
        <v>46</v>
      </c>
      <c r="Y973" s="29"/>
      <c r="Z973" s="19"/>
      <c r="AA973" s="19"/>
      <c r="AB973" s="19" t="s">
        <v>1197</v>
      </c>
      <c r="AC973" s="19" t="s">
        <v>1322</v>
      </c>
      <c r="AD973" s="19"/>
      <c r="AE973" s="19"/>
      <c r="AF973" s="19"/>
      <c r="AG973" s="19" t="s">
        <v>235</v>
      </c>
      <c r="AH973" s="19"/>
      <c r="AI973" s="19"/>
      <c r="AJ973" s="19">
        <v>7</v>
      </c>
      <c r="AK973" s="19" t="s">
        <v>85</v>
      </c>
      <c r="AL973" s="19"/>
      <c r="AM973" s="19" t="s">
        <v>234</v>
      </c>
      <c r="AN973" s="19" t="s">
        <v>234</v>
      </c>
      <c r="AO973" s="19" t="s">
        <v>235</v>
      </c>
      <c r="AP973" s="94"/>
      <c r="AQ973" s="19" t="s">
        <v>234</v>
      </c>
      <c r="AR973" s="19" t="s">
        <v>241</v>
      </c>
      <c r="AS973" s="19"/>
      <c r="AT973" s="65" t="str">
        <f t="shared" si="278"/>
        <v>N</v>
      </c>
      <c r="AU973" s="65" t="str">
        <f t="shared" si="272"/>
        <v>N</v>
      </c>
      <c r="AV973" s="65" t="str">
        <f t="shared" si="279"/>
        <v>N</v>
      </c>
      <c r="AW973" s="99"/>
      <c r="AX973" s="99"/>
      <c r="AY973" s="19"/>
      <c r="AZ973" s="96" t="str">
        <f t="shared" si="273"/>
        <v>n</v>
      </c>
      <c r="BA973" s="96" t="str">
        <f>IF(AZ973="n","n",VLOOKUP(AZ973,'Conversion factors'!$C$4:$D$24,2,FALSE))</f>
        <v>n</v>
      </c>
      <c r="BB973" s="96" t="str">
        <f t="shared" si="274"/>
        <v>n</v>
      </c>
      <c r="BC973" s="97"/>
      <c r="BD973" s="96" t="str">
        <f t="shared" si="280"/>
        <v>n</v>
      </c>
      <c r="BE973" s="96" t="str">
        <f t="shared" si="276"/>
        <v>n</v>
      </c>
      <c r="BF973" s="98" t="str">
        <f t="shared" si="281"/>
        <v/>
      </c>
      <c r="BG973" s="96" t="str">
        <f>IF(BF973="","",IF(ISNUMBER(VLOOKUP(BF973,'Conversion factors'!$B$35:$C$52,2,FALSE)),"y","n"))</f>
        <v/>
      </c>
      <c r="BH973" s="99"/>
    </row>
    <row r="974" spans="1:60" s="103" customFormat="1" ht="15.75" customHeight="1" x14ac:dyDescent="0.2">
      <c r="A974" s="18"/>
      <c r="B974" s="19">
        <v>331</v>
      </c>
      <c r="C974" s="19"/>
      <c r="D974" s="19">
        <v>169998</v>
      </c>
      <c r="E974" s="19" t="s">
        <v>1224</v>
      </c>
      <c r="F974" s="93">
        <v>2012</v>
      </c>
      <c r="G974" s="19" t="s">
        <v>1195</v>
      </c>
      <c r="H974" s="19"/>
      <c r="I974" s="19" t="s">
        <v>41</v>
      </c>
      <c r="J974" s="19" t="s">
        <v>1196</v>
      </c>
      <c r="K974" s="19" t="s">
        <v>42</v>
      </c>
      <c r="L974" s="19" t="s">
        <v>43</v>
      </c>
      <c r="M974" s="19" t="s">
        <v>1303</v>
      </c>
      <c r="N974" s="19" t="s">
        <v>109</v>
      </c>
      <c r="O974" s="19" t="s">
        <v>235</v>
      </c>
      <c r="P974" s="19" t="s">
        <v>162</v>
      </c>
      <c r="Q974" s="19"/>
      <c r="R974" s="19" t="s">
        <v>256</v>
      </c>
      <c r="S974" s="19" t="s">
        <v>302</v>
      </c>
      <c r="T974" s="19" t="s">
        <v>55</v>
      </c>
      <c r="U974" s="19" t="s">
        <v>55</v>
      </c>
      <c r="V974" s="19" t="s">
        <v>97</v>
      </c>
      <c r="W974" s="19" t="s">
        <v>45</v>
      </c>
      <c r="X974" s="19" t="s">
        <v>46</v>
      </c>
      <c r="Y974" s="29"/>
      <c r="Z974" s="19"/>
      <c r="AA974" s="19"/>
      <c r="AB974" s="19" t="s">
        <v>1197</v>
      </c>
      <c r="AC974" s="19" t="s">
        <v>1322</v>
      </c>
      <c r="AD974" s="19"/>
      <c r="AE974" s="19"/>
      <c r="AF974" s="19"/>
      <c r="AG974" s="19" t="s">
        <v>235</v>
      </c>
      <c r="AH974" s="19"/>
      <c r="AI974" s="19"/>
      <c r="AJ974" s="19">
        <v>7</v>
      </c>
      <c r="AK974" s="19" t="s">
        <v>85</v>
      </c>
      <c r="AL974" s="19"/>
      <c r="AM974" s="19" t="s">
        <v>234</v>
      </c>
      <c r="AN974" s="19" t="s">
        <v>234</v>
      </c>
      <c r="AO974" s="19" t="s">
        <v>235</v>
      </c>
      <c r="AP974" s="94"/>
      <c r="AQ974" s="19" t="s">
        <v>234</v>
      </c>
      <c r="AR974" s="19" t="s">
        <v>241</v>
      </c>
      <c r="AS974" s="19"/>
      <c r="AT974" s="65" t="str">
        <f t="shared" si="278"/>
        <v>N</v>
      </c>
      <c r="AU974" s="65" t="str">
        <f t="shared" si="272"/>
        <v>N</v>
      </c>
      <c r="AV974" s="65" t="str">
        <f t="shared" si="279"/>
        <v>N</v>
      </c>
      <c r="AW974" s="99"/>
      <c r="AX974" s="99"/>
      <c r="AY974" s="19"/>
      <c r="AZ974" s="96" t="str">
        <f t="shared" si="273"/>
        <v>n</v>
      </c>
      <c r="BA974" s="96" t="str">
        <f>IF(AZ974="n","n",VLOOKUP(AZ974,'Conversion factors'!$C$4:$D$24,2,FALSE))</f>
        <v>n</v>
      </c>
      <c r="BB974" s="96" t="str">
        <f t="shared" si="274"/>
        <v>n</v>
      </c>
      <c r="BC974" s="97"/>
      <c r="BD974" s="96" t="str">
        <f t="shared" si="280"/>
        <v>n</v>
      </c>
      <c r="BE974" s="96" t="str">
        <f t="shared" si="276"/>
        <v>n</v>
      </c>
      <c r="BF974" s="98" t="str">
        <f t="shared" si="281"/>
        <v/>
      </c>
      <c r="BG974" s="96" t="str">
        <f>IF(BF974="","",IF(ISNUMBER(VLOOKUP(BF974,'Conversion factors'!$B$35:$C$52,2,FALSE)),"y","n"))</f>
        <v/>
      </c>
      <c r="BH974" s="99"/>
    </row>
    <row r="975" spans="1:60" s="103" customFormat="1" ht="15.75" customHeight="1" x14ac:dyDescent="0.2">
      <c r="A975" s="18"/>
      <c r="B975" s="19">
        <v>331</v>
      </c>
      <c r="C975" s="19"/>
      <c r="D975" s="19">
        <v>169998</v>
      </c>
      <c r="E975" s="19" t="s">
        <v>1224</v>
      </c>
      <c r="F975" s="93">
        <v>2012</v>
      </c>
      <c r="G975" s="19" t="s">
        <v>1195</v>
      </c>
      <c r="H975" s="19"/>
      <c r="I975" s="19" t="s">
        <v>41</v>
      </c>
      <c r="J975" s="19" t="s">
        <v>1196</v>
      </c>
      <c r="K975" s="19" t="s">
        <v>42</v>
      </c>
      <c r="L975" s="19" t="s">
        <v>43</v>
      </c>
      <c r="M975" s="19" t="s">
        <v>1303</v>
      </c>
      <c r="N975" s="19" t="s">
        <v>109</v>
      </c>
      <c r="O975" s="19" t="s">
        <v>235</v>
      </c>
      <c r="P975" s="19" t="s">
        <v>162</v>
      </c>
      <c r="Q975" s="19"/>
      <c r="R975" s="19" t="s">
        <v>256</v>
      </c>
      <c r="S975" s="19" t="s">
        <v>302</v>
      </c>
      <c r="T975" s="19" t="s">
        <v>55</v>
      </c>
      <c r="U975" s="19" t="s">
        <v>55</v>
      </c>
      <c r="V975" s="19" t="s">
        <v>116</v>
      </c>
      <c r="W975" s="19" t="s">
        <v>45</v>
      </c>
      <c r="X975" s="19" t="s">
        <v>46</v>
      </c>
      <c r="Y975" s="29"/>
      <c r="Z975" s="19"/>
      <c r="AA975" s="19"/>
      <c r="AB975" s="19" t="s">
        <v>1197</v>
      </c>
      <c r="AC975" s="19" t="s">
        <v>1322</v>
      </c>
      <c r="AD975" s="19"/>
      <c r="AE975" s="19"/>
      <c r="AF975" s="19"/>
      <c r="AG975" s="19" t="s">
        <v>235</v>
      </c>
      <c r="AH975" s="19"/>
      <c r="AI975" s="19"/>
      <c r="AJ975" s="19">
        <v>7</v>
      </c>
      <c r="AK975" s="19" t="s">
        <v>85</v>
      </c>
      <c r="AL975" s="19"/>
      <c r="AM975" s="19" t="s">
        <v>234</v>
      </c>
      <c r="AN975" s="19" t="s">
        <v>234</v>
      </c>
      <c r="AO975" s="19" t="s">
        <v>235</v>
      </c>
      <c r="AP975" s="94"/>
      <c r="AQ975" s="19" t="s">
        <v>234</v>
      </c>
      <c r="AR975" s="19" t="s">
        <v>241</v>
      </c>
      <c r="AS975" s="19"/>
      <c r="AT975" s="65" t="str">
        <f t="shared" si="278"/>
        <v>N</v>
      </c>
      <c r="AU975" s="65" t="str">
        <f t="shared" si="272"/>
        <v>N</v>
      </c>
      <c r="AV975" s="65" t="str">
        <f t="shared" si="279"/>
        <v>N</v>
      </c>
      <c r="AW975" s="99"/>
      <c r="AX975" s="99"/>
      <c r="AY975" s="19"/>
      <c r="AZ975" s="96" t="str">
        <f t="shared" si="273"/>
        <v>n</v>
      </c>
      <c r="BA975" s="96" t="str">
        <f>IF(AZ975="n","n",VLOOKUP(AZ975,'Conversion factors'!$C$4:$D$24,2,FALSE))</f>
        <v>n</v>
      </c>
      <c r="BB975" s="96" t="str">
        <f t="shared" si="274"/>
        <v>n</v>
      </c>
      <c r="BC975" s="97"/>
      <c r="BD975" s="96" t="str">
        <f t="shared" si="280"/>
        <v>n</v>
      </c>
      <c r="BE975" s="96" t="str">
        <f t="shared" si="276"/>
        <v>n</v>
      </c>
      <c r="BF975" s="98" t="str">
        <f t="shared" si="281"/>
        <v/>
      </c>
      <c r="BG975" s="96" t="str">
        <f>IF(BF975="","",IF(ISNUMBER(VLOOKUP(BF975,'Conversion factors'!$B$35:$C$52,2,FALSE)),"y","n"))</f>
        <v/>
      </c>
      <c r="BH975" s="99"/>
    </row>
    <row r="976" spans="1:60" s="103" customFormat="1" ht="15.75" customHeight="1" x14ac:dyDescent="0.2">
      <c r="A976" s="18"/>
      <c r="B976" s="19"/>
      <c r="C976" s="19"/>
      <c r="D976" s="19"/>
      <c r="E976" s="19" t="s">
        <v>1584</v>
      </c>
      <c r="F976" s="93">
        <v>1987</v>
      </c>
      <c r="G976" s="19" t="s">
        <v>1620</v>
      </c>
      <c r="H976" s="19"/>
      <c r="I976" s="19"/>
      <c r="J976" s="19" t="s">
        <v>372</v>
      </c>
      <c r="K976" s="19" t="s">
        <v>42</v>
      </c>
      <c r="L976" s="19" t="s">
        <v>43</v>
      </c>
      <c r="M976" s="19" t="s">
        <v>1303</v>
      </c>
      <c r="N976" s="19" t="s">
        <v>109</v>
      </c>
      <c r="O976" s="19" t="s">
        <v>235</v>
      </c>
      <c r="P976" s="19" t="s">
        <v>162</v>
      </c>
      <c r="Q976" s="19"/>
      <c r="R976" s="19" t="s">
        <v>256</v>
      </c>
      <c r="S976" s="19" t="s">
        <v>309</v>
      </c>
      <c r="T976" s="19" t="s">
        <v>54</v>
      </c>
      <c r="U976" s="19" t="s">
        <v>54</v>
      </c>
      <c r="V976" s="19">
        <v>14</v>
      </c>
      <c r="W976" s="19" t="s">
        <v>45</v>
      </c>
      <c r="X976" s="19" t="s">
        <v>46</v>
      </c>
      <c r="Y976" s="29"/>
      <c r="Z976" s="19"/>
      <c r="AA976" s="19"/>
      <c r="AB976" s="19">
        <v>100</v>
      </c>
      <c r="AC976" s="19" t="s">
        <v>1322</v>
      </c>
      <c r="AD976" s="19"/>
      <c r="AE976" s="19">
        <v>109</v>
      </c>
      <c r="AF976" s="19"/>
      <c r="AG976" s="19"/>
      <c r="AH976" s="19"/>
      <c r="AI976" s="19"/>
      <c r="AJ976" s="19">
        <v>6.5</v>
      </c>
      <c r="AK976" s="19"/>
      <c r="AL976" s="19"/>
      <c r="AM976" s="19"/>
      <c r="AN976" s="19"/>
      <c r="AO976" s="19"/>
      <c r="AP976" s="94">
        <v>2.33</v>
      </c>
      <c r="AQ976" s="19">
        <v>20</v>
      </c>
      <c r="AR976" s="19"/>
      <c r="AS976" s="19"/>
      <c r="AT976" s="65" t="str">
        <f t="shared" si="278"/>
        <v>N</v>
      </c>
      <c r="AU976" s="65" t="str">
        <f t="shared" ref="AU976:AU977" si="282">IF(AT976="N","N",IF(AJ976&lt;6,"N",IF(AJ976&gt;8.5,"N","Y")))</f>
        <v>N</v>
      </c>
      <c r="AV976" s="65" t="str">
        <f t="shared" ref="AV976:AV977" si="283">AU976</f>
        <v>N</v>
      </c>
      <c r="AW976" s="99"/>
      <c r="AX976" s="99"/>
      <c r="AY976" s="19"/>
      <c r="AZ976" s="96" t="str">
        <f t="shared" ref="AZ976:AZ977" si="284">IF(AV976="N","n",T976)</f>
        <v>n</v>
      </c>
      <c r="BA976" s="96" t="str">
        <f>IF(AZ976="n","n",VLOOKUP(AZ976,'Conversion factors'!$C$4:$D$24,2,FALSE))</f>
        <v>n</v>
      </c>
      <c r="BB976" s="96" t="str">
        <f t="shared" ref="BB976:BB977" si="285">IF(BA976="n","n",AB976/BA976)</f>
        <v>n</v>
      </c>
      <c r="BC976" s="97"/>
      <c r="BD976" s="96" t="str">
        <f t="shared" si="280"/>
        <v>n</v>
      </c>
      <c r="BE976" s="96" t="str">
        <f t="shared" ref="BE976:BE977" si="286">IF(BD976="chronic","y","n")</f>
        <v>n</v>
      </c>
      <c r="BF976" s="98" t="str">
        <f t="shared" si="281"/>
        <v/>
      </c>
      <c r="BG976" s="96" t="str">
        <f>IF(BF976="","",IF(ISNUMBER(VLOOKUP(BF976,'Conversion factors'!$B$35:$C$52,2,FALSE)),"y","n"))</f>
        <v/>
      </c>
      <c r="BH976" s="99"/>
    </row>
    <row r="977" spans="1:62" s="103" customFormat="1" ht="15.75" customHeight="1" x14ac:dyDescent="0.2">
      <c r="A977" s="18"/>
      <c r="B977" s="19"/>
      <c r="C977" s="19"/>
      <c r="D977" s="19"/>
      <c r="E977" s="19" t="s">
        <v>1584</v>
      </c>
      <c r="F977" s="93">
        <v>1987</v>
      </c>
      <c r="G977" s="19" t="s">
        <v>1620</v>
      </c>
      <c r="H977" s="19"/>
      <c r="I977" s="19"/>
      <c r="J977" s="19" t="s">
        <v>372</v>
      </c>
      <c r="K977" s="19" t="s">
        <v>42</v>
      </c>
      <c r="L977" s="19" t="s">
        <v>43</v>
      </c>
      <c r="M977" s="19" t="s">
        <v>1303</v>
      </c>
      <c r="N977" s="19" t="s">
        <v>109</v>
      </c>
      <c r="O977" s="19" t="s">
        <v>235</v>
      </c>
      <c r="P977" s="19" t="s">
        <v>162</v>
      </c>
      <c r="Q977" s="19"/>
      <c r="R977" s="19" t="s">
        <v>256</v>
      </c>
      <c r="S977" s="19" t="s">
        <v>309</v>
      </c>
      <c r="T977" s="19" t="s">
        <v>54</v>
      </c>
      <c r="U977" s="19" t="s">
        <v>54</v>
      </c>
      <c r="V977" s="19">
        <v>14</v>
      </c>
      <c r="W977" s="19" t="s">
        <v>45</v>
      </c>
      <c r="X977" s="19" t="s">
        <v>46</v>
      </c>
      <c r="Y977" s="29"/>
      <c r="Z977" s="19"/>
      <c r="AA977" s="19"/>
      <c r="AB977" s="19">
        <v>225</v>
      </c>
      <c r="AC977" s="19" t="s">
        <v>1322</v>
      </c>
      <c r="AD977" s="19"/>
      <c r="AE977" s="19">
        <v>109</v>
      </c>
      <c r="AF977" s="19"/>
      <c r="AG977" s="19"/>
      <c r="AH977" s="19"/>
      <c r="AI977" s="19"/>
      <c r="AJ977" s="19">
        <v>8.5</v>
      </c>
      <c r="AK977" s="19"/>
      <c r="AL977" s="19"/>
      <c r="AM977" s="19"/>
      <c r="AN977" s="19"/>
      <c r="AO977" s="19"/>
      <c r="AP977" s="94">
        <v>2.33</v>
      </c>
      <c r="AQ977" s="19">
        <v>20</v>
      </c>
      <c r="AR977" s="19"/>
      <c r="AS977" s="19"/>
      <c r="AT977" s="65" t="str">
        <f t="shared" si="278"/>
        <v>N</v>
      </c>
      <c r="AU977" s="65" t="str">
        <f t="shared" si="282"/>
        <v>N</v>
      </c>
      <c r="AV977" s="65" t="str">
        <f t="shared" si="283"/>
        <v>N</v>
      </c>
      <c r="AW977" s="99"/>
      <c r="AX977" s="99"/>
      <c r="AY977" s="19"/>
      <c r="AZ977" s="96" t="str">
        <f t="shared" si="284"/>
        <v>n</v>
      </c>
      <c r="BA977" s="96" t="str">
        <f>IF(AZ977="n","n",VLOOKUP(AZ977,'Conversion factors'!$C$4:$D$24,2,FALSE))</f>
        <v>n</v>
      </c>
      <c r="BB977" s="96" t="str">
        <f t="shared" si="285"/>
        <v>n</v>
      </c>
      <c r="BC977" s="97"/>
      <c r="BD977" s="96" t="str">
        <f t="shared" si="280"/>
        <v>n</v>
      </c>
      <c r="BE977" s="96" t="str">
        <f t="shared" si="286"/>
        <v>n</v>
      </c>
      <c r="BF977" s="98" t="str">
        <f t="shared" si="281"/>
        <v/>
      </c>
      <c r="BG977" s="96" t="str">
        <f>IF(BF977="","",IF(ISNUMBER(VLOOKUP(BF977,'Conversion factors'!$B$35:$C$52,2,FALSE)),"y","n"))</f>
        <v/>
      </c>
      <c r="BH977" s="99"/>
    </row>
    <row r="978" spans="1:62" s="103" customFormat="1" ht="15.75" customHeight="1" x14ac:dyDescent="0.2">
      <c r="A978" s="18"/>
      <c r="B978" s="19">
        <v>192</v>
      </c>
      <c r="C978" s="19"/>
      <c r="D978" s="19">
        <v>19852</v>
      </c>
      <c r="E978" s="19" t="s">
        <v>1224</v>
      </c>
      <c r="F978" s="93">
        <v>1999</v>
      </c>
      <c r="G978" s="19" t="s">
        <v>362</v>
      </c>
      <c r="H978" s="19"/>
      <c r="I978" s="19" t="s">
        <v>41</v>
      </c>
      <c r="J978" s="19" t="s">
        <v>372</v>
      </c>
      <c r="K978" s="19" t="s">
        <v>42</v>
      </c>
      <c r="L978" s="19" t="s">
        <v>43</v>
      </c>
      <c r="M978" s="19" t="s">
        <v>1303</v>
      </c>
      <c r="N978" s="19" t="s">
        <v>109</v>
      </c>
      <c r="O978" s="19" t="s">
        <v>235</v>
      </c>
      <c r="P978" s="19" t="s">
        <v>162</v>
      </c>
      <c r="Q978" s="19"/>
      <c r="R978" s="19" t="s">
        <v>256</v>
      </c>
      <c r="S978" s="19" t="s">
        <v>309</v>
      </c>
      <c r="T978" s="19" t="s">
        <v>44</v>
      </c>
      <c r="U978" s="19" t="s">
        <v>44</v>
      </c>
      <c r="V978" s="19" t="s">
        <v>103</v>
      </c>
      <c r="W978" s="19" t="s">
        <v>231</v>
      </c>
      <c r="X978" s="19" t="s">
        <v>46</v>
      </c>
      <c r="Y978" s="29"/>
      <c r="Z978" s="19"/>
      <c r="AA978" s="19"/>
      <c r="AB978" s="19" t="s">
        <v>373</v>
      </c>
      <c r="AC978" s="19" t="s">
        <v>1322</v>
      </c>
      <c r="AD978" s="19"/>
      <c r="AE978" s="19"/>
      <c r="AF978" s="19"/>
      <c r="AG978" s="19" t="s">
        <v>235</v>
      </c>
      <c r="AH978" s="19"/>
      <c r="AI978" s="19"/>
      <c r="AJ978" s="19" t="s">
        <v>234</v>
      </c>
      <c r="AK978" s="19" t="s">
        <v>234</v>
      </c>
      <c r="AL978" s="19"/>
      <c r="AM978" s="19" t="s">
        <v>234</v>
      </c>
      <c r="AN978" s="19" t="s">
        <v>234</v>
      </c>
      <c r="AO978" s="19" t="s">
        <v>235</v>
      </c>
      <c r="AP978" s="94"/>
      <c r="AQ978" s="19" t="s">
        <v>365</v>
      </c>
      <c r="AR978" s="19" t="s">
        <v>241</v>
      </c>
      <c r="AS978" s="19"/>
      <c r="AT978" s="65" t="str">
        <f t="shared" si="278"/>
        <v>N</v>
      </c>
      <c r="AU978" s="65" t="str">
        <f t="shared" si="272"/>
        <v>N</v>
      </c>
      <c r="AV978" s="65" t="str">
        <f t="shared" si="279"/>
        <v>N</v>
      </c>
      <c r="AW978" s="99"/>
      <c r="AX978" s="99"/>
      <c r="AY978" s="19"/>
      <c r="AZ978" s="96" t="str">
        <f t="shared" si="273"/>
        <v>n</v>
      </c>
      <c r="BA978" s="96" t="str">
        <f>IF(AZ978="n","n",VLOOKUP(AZ978,'Conversion factors'!$C$4:$D$24,2,FALSE))</f>
        <v>n</v>
      </c>
      <c r="BB978" s="96" t="str">
        <f t="shared" si="274"/>
        <v>n</v>
      </c>
      <c r="BC978" s="97"/>
      <c r="BD978" s="96" t="str">
        <f t="shared" si="280"/>
        <v>n</v>
      </c>
      <c r="BE978" s="96" t="str">
        <f t="shared" si="276"/>
        <v>n</v>
      </c>
      <c r="BF978" s="98" t="str">
        <f t="shared" si="281"/>
        <v/>
      </c>
      <c r="BG978" s="96" t="str">
        <f>IF(BF978="","",IF(ISNUMBER(VLOOKUP(BF978,'Conversion factors'!$B$35:$C$52,2,FALSE)),"y","n"))</f>
        <v/>
      </c>
      <c r="BH978" s="99"/>
    </row>
    <row r="979" spans="1:62" s="103" customFormat="1" ht="15.75" customHeight="1" x14ac:dyDescent="0.2">
      <c r="A979" s="18"/>
      <c r="B979" s="19">
        <v>236</v>
      </c>
      <c r="C979" s="19"/>
      <c r="D979" s="19">
        <v>72990</v>
      </c>
      <c r="E979" s="19" t="s">
        <v>1224</v>
      </c>
      <c r="F979" s="93">
        <v>1999</v>
      </c>
      <c r="G979" s="19" t="s">
        <v>650</v>
      </c>
      <c r="H979" s="19"/>
      <c r="I979" s="19" t="s">
        <v>41</v>
      </c>
      <c r="J979" s="19" t="s">
        <v>372</v>
      </c>
      <c r="K979" s="19" t="s">
        <v>42</v>
      </c>
      <c r="L979" s="19" t="s">
        <v>43</v>
      </c>
      <c r="M979" s="19" t="s">
        <v>1303</v>
      </c>
      <c r="N979" s="19" t="s">
        <v>109</v>
      </c>
      <c r="O979" s="19" t="s">
        <v>264</v>
      </c>
      <c r="P979" s="19" t="s">
        <v>162</v>
      </c>
      <c r="Q979" s="19"/>
      <c r="R979" s="19" t="s">
        <v>256</v>
      </c>
      <c r="S979" s="19" t="s">
        <v>304</v>
      </c>
      <c r="T979" s="19" t="s">
        <v>454</v>
      </c>
      <c r="U979" s="19" t="s">
        <v>454</v>
      </c>
      <c r="V979" s="19" t="s">
        <v>126</v>
      </c>
      <c r="W979" s="19" t="s">
        <v>231</v>
      </c>
      <c r="X979" s="19" t="s">
        <v>46</v>
      </c>
      <c r="Y979" s="29"/>
      <c r="Z979" s="19"/>
      <c r="AA979" s="19"/>
      <c r="AB979" s="19" t="s">
        <v>126</v>
      </c>
      <c r="AC979" s="19" t="s">
        <v>1322</v>
      </c>
      <c r="AD979" s="19"/>
      <c r="AE979" s="19"/>
      <c r="AF979" s="19"/>
      <c r="AG979" s="19" t="s">
        <v>235</v>
      </c>
      <c r="AH979" s="19"/>
      <c r="AI979" s="19"/>
      <c r="AJ979" s="19">
        <v>7.18</v>
      </c>
      <c r="AK979" s="19" t="s">
        <v>651</v>
      </c>
      <c r="AL979" s="19"/>
      <c r="AM979" s="19" t="s">
        <v>234</v>
      </c>
      <c r="AN979" s="19" t="s">
        <v>234</v>
      </c>
      <c r="AO979" s="19" t="s">
        <v>235</v>
      </c>
      <c r="AP979" s="94"/>
      <c r="AQ979" s="19" t="s">
        <v>91</v>
      </c>
      <c r="AR979" s="19" t="s">
        <v>241</v>
      </c>
      <c r="AS979" s="19"/>
      <c r="AT979" s="65" t="str">
        <f t="shared" si="278"/>
        <v>N</v>
      </c>
      <c r="AU979" s="65" t="str">
        <f t="shared" si="272"/>
        <v>N</v>
      </c>
      <c r="AV979" s="65" t="str">
        <f t="shared" si="279"/>
        <v>N</v>
      </c>
      <c r="AW979" s="99"/>
      <c r="AX979" s="99"/>
      <c r="AY979" s="19"/>
      <c r="AZ979" s="96" t="str">
        <f t="shared" si="273"/>
        <v>n</v>
      </c>
      <c r="BA979" s="96" t="str">
        <f>IF(AZ979="n","n",VLOOKUP(AZ979,'Conversion factors'!$C$4:$D$24,2,FALSE))</f>
        <v>n</v>
      </c>
      <c r="BB979" s="96" t="str">
        <f t="shared" si="274"/>
        <v>n</v>
      </c>
      <c r="BC979" s="97"/>
      <c r="BD979" s="96" t="str">
        <f t="shared" si="280"/>
        <v>n</v>
      </c>
      <c r="BE979" s="96" t="str">
        <f t="shared" si="276"/>
        <v>n</v>
      </c>
      <c r="BF979" s="98" t="str">
        <f t="shared" si="281"/>
        <v/>
      </c>
      <c r="BG979" s="96" t="str">
        <f>IF(BF979="","",IF(ISNUMBER(VLOOKUP(BF979,'Conversion factors'!$B$35:$C$52,2,FALSE)),"y","n"))</f>
        <v/>
      </c>
      <c r="BH979" s="99"/>
    </row>
    <row r="980" spans="1:62" s="103" customFormat="1" ht="15.75" customHeight="1" x14ac:dyDescent="0.2">
      <c r="A980" s="18"/>
      <c r="B980" s="19">
        <v>320</v>
      </c>
      <c r="C980" s="19"/>
      <c r="D980" s="19">
        <v>161189</v>
      </c>
      <c r="E980" s="19" t="s">
        <v>1224</v>
      </c>
      <c r="F980" s="93">
        <v>1999</v>
      </c>
      <c r="G980" s="19" t="s">
        <v>1131</v>
      </c>
      <c r="H980" s="19"/>
      <c r="I980" s="19" t="s">
        <v>41</v>
      </c>
      <c r="J980" s="19" t="s">
        <v>372</v>
      </c>
      <c r="K980" s="19" t="s">
        <v>42</v>
      </c>
      <c r="L980" s="19" t="s">
        <v>43</v>
      </c>
      <c r="M980" s="19" t="s">
        <v>1303</v>
      </c>
      <c r="N980" s="19" t="s">
        <v>109</v>
      </c>
      <c r="O980" s="19" t="s">
        <v>235</v>
      </c>
      <c r="P980" s="19" t="s">
        <v>162</v>
      </c>
      <c r="Q980" s="19"/>
      <c r="R980" s="19" t="s">
        <v>256</v>
      </c>
      <c r="S980" s="19" t="s">
        <v>309</v>
      </c>
      <c r="T980" s="19" t="s">
        <v>44</v>
      </c>
      <c r="U980" s="19" t="s">
        <v>44</v>
      </c>
      <c r="V980" s="19" t="s">
        <v>103</v>
      </c>
      <c r="W980" s="19" t="s">
        <v>45</v>
      </c>
      <c r="X980" s="19" t="s">
        <v>46</v>
      </c>
      <c r="Y980" s="29"/>
      <c r="Z980" s="19"/>
      <c r="AA980" s="19"/>
      <c r="AB980" s="19" t="s">
        <v>1132</v>
      </c>
      <c r="AC980" s="19" t="s">
        <v>1322</v>
      </c>
      <c r="AD980" s="19"/>
      <c r="AE980" s="19"/>
      <c r="AF980" s="19"/>
      <c r="AG980" s="19" t="s">
        <v>235</v>
      </c>
      <c r="AH980" s="19"/>
      <c r="AI980" s="19"/>
      <c r="AJ980" s="19" t="s">
        <v>234</v>
      </c>
      <c r="AK980" s="19" t="s">
        <v>234</v>
      </c>
      <c r="AL980" s="19"/>
      <c r="AM980" s="19" t="s">
        <v>234</v>
      </c>
      <c r="AN980" s="19" t="s">
        <v>234</v>
      </c>
      <c r="AO980" s="19" t="s">
        <v>235</v>
      </c>
      <c r="AP980" s="94"/>
      <c r="AQ980" s="19" t="s">
        <v>507</v>
      </c>
      <c r="AR980" s="19" t="s">
        <v>241</v>
      </c>
      <c r="AS980" s="19"/>
      <c r="AT980" s="65" t="str">
        <f t="shared" si="278"/>
        <v>N</v>
      </c>
      <c r="AU980" s="65" t="str">
        <f t="shared" ref="AU980" si="287">IF(AT980="N","N",IF(AJ980&lt;6,"N",IF(AJ980&gt;8.5,"N","Y")))</f>
        <v>N</v>
      </c>
      <c r="AV980" s="65" t="str">
        <f t="shared" ref="AV980" si="288">AU980</f>
        <v>N</v>
      </c>
      <c r="AW980" s="99"/>
      <c r="AX980" s="99"/>
      <c r="AY980" s="19"/>
      <c r="AZ980" s="96" t="str">
        <f t="shared" ref="AZ980" si="289">IF(AV980="N","n",T980)</f>
        <v>n</v>
      </c>
      <c r="BA980" s="96" t="str">
        <f>IF(AZ980="n","n",VLOOKUP(AZ980,'Conversion factors'!$C$4:$D$24,2,FALSE))</f>
        <v>n</v>
      </c>
      <c r="BB980" s="96" t="str">
        <f t="shared" ref="BB980" si="290">IF(BA980="n","n",AB980/BA980)</f>
        <v>n</v>
      </c>
      <c r="BC980" s="97"/>
      <c r="BD980" s="96" t="str">
        <f t="shared" si="280"/>
        <v>n</v>
      </c>
      <c r="BE980" s="96" t="str">
        <f t="shared" ref="BE980" si="291">IF(BD980="chronic","y","n")</f>
        <v>n</v>
      </c>
      <c r="BF980" s="98" t="str">
        <f t="shared" si="281"/>
        <v/>
      </c>
      <c r="BG980" s="96" t="str">
        <f>IF(BF980="","",IF(ISNUMBER(VLOOKUP(BF980,'Conversion factors'!$B$35:$C$52,2,FALSE)),"y","n"))</f>
        <v/>
      </c>
      <c r="BH980" s="99"/>
    </row>
    <row r="981" spans="1:62" s="103" customFormat="1" ht="15.75" customHeight="1" x14ac:dyDescent="0.2">
      <c r="A981" s="18"/>
      <c r="B981" s="19">
        <v>320</v>
      </c>
      <c r="C981" s="19"/>
      <c r="D981" s="19">
        <v>161189</v>
      </c>
      <c r="E981" s="19" t="s">
        <v>1224</v>
      </c>
      <c r="F981" s="93">
        <v>1999</v>
      </c>
      <c r="G981" s="19" t="s">
        <v>1131</v>
      </c>
      <c r="H981" s="19"/>
      <c r="I981" s="19" t="s">
        <v>41</v>
      </c>
      <c r="J981" s="19" t="s">
        <v>372</v>
      </c>
      <c r="K981" s="19" t="s">
        <v>42</v>
      </c>
      <c r="L981" s="19" t="s">
        <v>43</v>
      </c>
      <c r="M981" s="19" t="s">
        <v>1303</v>
      </c>
      <c r="N981" s="19" t="s">
        <v>109</v>
      </c>
      <c r="O981" s="19" t="s">
        <v>235</v>
      </c>
      <c r="P981" s="19" t="s">
        <v>162</v>
      </c>
      <c r="Q981" s="19"/>
      <c r="R981" s="19" t="s">
        <v>256</v>
      </c>
      <c r="S981" s="19" t="s">
        <v>309</v>
      </c>
      <c r="T981" s="19" t="s">
        <v>44</v>
      </c>
      <c r="U981" s="19" t="s">
        <v>44</v>
      </c>
      <c r="V981" s="19" t="s">
        <v>103</v>
      </c>
      <c r="W981" s="19" t="s">
        <v>45</v>
      </c>
      <c r="X981" s="19" t="s">
        <v>46</v>
      </c>
      <c r="Y981" s="29"/>
      <c r="Z981" s="19"/>
      <c r="AA981" s="19"/>
      <c r="AB981" s="19" t="s">
        <v>1132</v>
      </c>
      <c r="AC981" s="19" t="s">
        <v>1322</v>
      </c>
      <c r="AD981" s="19"/>
      <c r="AE981" s="19"/>
      <c r="AF981" s="19"/>
      <c r="AG981" s="19" t="s">
        <v>235</v>
      </c>
      <c r="AH981" s="19"/>
      <c r="AI981" s="19"/>
      <c r="AJ981" s="19" t="s">
        <v>234</v>
      </c>
      <c r="AK981" s="19" t="s">
        <v>234</v>
      </c>
      <c r="AL981" s="19"/>
      <c r="AM981" s="19" t="s">
        <v>234</v>
      </c>
      <c r="AN981" s="19" t="s">
        <v>234</v>
      </c>
      <c r="AO981" s="19" t="s">
        <v>235</v>
      </c>
      <c r="AP981" s="94"/>
      <c r="AQ981" s="19" t="s">
        <v>507</v>
      </c>
      <c r="AR981" s="19" t="s">
        <v>241</v>
      </c>
      <c r="AS981" s="19"/>
      <c r="AT981" s="65" t="str">
        <f t="shared" si="278"/>
        <v>N</v>
      </c>
      <c r="AU981" s="65" t="str">
        <f t="shared" si="272"/>
        <v>N</v>
      </c>
      <c r="AV981" s="65" t="str">
        <f t="shared" si="279"/>
        <v>N</v>
      </c>
      <c r="AW981" s="99"/>
      <c r="AX981" s="99"/>
      <c r="AY981" s="19"/>
      <c r="AZ981" s="96" t="str">
        <f t="shared" si="273"/>
        <v>n</v>
      </c>
      <c r="BA981" s="96" t="str">
        <f>IF(AZ981="n","n",VLOOKUP(AZ981,'Conversion factors'!$C$4:$D$24,2,FALSE))</f>
        <v>n</v>
      </c>
      <c r="BB981" s="96" t="str">
        <f t="shared" si="274"/>
        <v>n</v>
      </c>
      <c r="BC981" s="97"/>
      <c r="BD981" s="96" t="str">
        <f t="shared" si="280"/>
        <v>n</v>
      </c>
      <c r="BE981" s="96" t="str">
        <f t="shared" si="276"/>
        <v>n</v>
      </c>
      <c r="BF981" s="98" t="str">
        <f t="shared" si="281"/>
        <v/>
      </c>
      <c r="BG981" s="96" t="str">
        <f>IF(BF981="","",IF(ISNUMBER(VLOOKUP(BF981,'Conversion factors'!$B$35:$C$52,2,FALSE)),"y","n"))</f>
        <v/>
      </c>
      <c r="BH981" s="99"/>
    </row>
    <row r="982" spans="1:62" s="103" customFormat="1" ht="15.75" customHeight="1" x14ac:dyDescent="0.2">
      <c r="A982" s="18"/>
      <c r="B982" s="19">
        <v>268</v>
      </c>
      <c r="C982" s="19"/>
      <c r="D982" s="19">
        <v>96513</v>
      </c>
      <c r="E982" s="19" t="s">
        <v>1224</v>
      </c>
      <c r="F982" s="93">
        <v>2006</v>
      </c>
      <c r="G982" s="19" t="s">
        <v>911</v>
      </c>
      <c r="H982" s="19"/>
      <c r="I982" s="19" t="s">
        <v>41</v>
      </c>
      <c r="J982" s="19" t="s">
        <v>912</v>
      </c>
      <c r="K982" s="19" t="s">
        <v>42</v>
      </c>
      <c r="L982" s="19" t="s">
        <v>43</v>
      </c>
      <c r="M982" s="19" t="s">
        <v>1303</v>
      </c>
      <c r="N982" s="19" t="s">
        <v>109</v>
      </c>
      <c r="O982" s="19" t="s">
        <v>235</v>
      </c>
      <c r="P982" s="19" t="s">
        <v>162</v>
      </c>
      <c r="Q982" s="19"/>
      <c r="R982" s="19" t="s">
        <v>256</v>
      </c>
      <c r="S982" s="19" t="s">
        <v>437</v>
      </c>
      <c r="T982" s="19" t="s">
        <v>454</v>
      </c>
      <c r="U982" s="19" t="s">
        <v>454</v>
      </c>
      <c r="V982" s="19" t="s">
        <v>85</v>
      </c>
      <c r="W982" s="19" t="s">
        <v>231</v>
      </c>
      <c r="X982" s="19" t="s">
        <v>46</v>
      </c>
      <c r="Y982" s="29"/>
      <c r="Z982" s="19" t="s">
        <v>144</v>
      </c>
      <c r="AA982" s="19"/>
      <c r="AB982" s="19"/>
      <c r="AC982" s="19" t="s">
        <v>1322</v>
      </c>
      <c r="AD982" s="19"/>
      <c r="AE982" s="19"/>
      <c r="AF982" s="19"/>
      <c r="AG982" s="19" t="s">
        <v>235</v>
      </c>
      <c r="AH982" s="19"/>
      <c r="AI982" s="19"/>
      <c r="AJ982" s="19">
        <v>7</v>
      </c>
      <c r="AK982" s="19" t="s">
        <v>85</v>
      </c>
      <c r="AL982" s="19"/>
      <c r="AM982" s="19" t="s">
        <v>234</v>
      </c>
      <c r="AN982" s="19" t="s">
        <v>234</v>
      </c>
      <c r="AO982" s="19" t="s">
        <v>235</v>
      </c>
      <c r="AP982" s="94"/>
      <c r="AQ982" s="19" t="s">
        <v>507</v>
      </c>
      <c r="AR982" s="19" t="s">
        <v>241</v>
      </c>
      <c r="AS982" s="19"/>
      <c r="AT982" s="65" t="str">
        <f t="shared" si="278"/>
        <v>N</v>
      </c>
      <c r="AU982" s="65" t="str">
        <f t="shared" si="272"/>
        <v>N</v>
      </c>
      <c r="AV982" s="65" t="str">
        <f t="shared" si="279"/>
        <v>N</v>
      </c>
      <c r="AW982" s="99"/>
      <c r="AX982" s="99"/>
      <c r="AY982" s="19"/>
      <c r="AZ982" s="96" t="str">
        <f t="shared" si="273"/>
        <v>n</v>
      </c>
      <c r="BA982" s="96" t="str">
        <f>IF(AZ982="n","n",VLOOKUP(AZ982,'Conversion factors'!$C$4:$D$24,2,FALSE))</f>
        <v>n</v>
      </c>
      <c r="BB982" s="96" t="str">
        <f t="shared" si="274"/>
        <v>n</v>
      </c>
      <c r="BC982" s="97"/>
      <c r="BD982" s="96" t="str">
        <f t="shared" si="280"/>
        <v>n</v>
      </c>
      <c r="BE982" s="96" t="str">
        <f t="shared" si="276"/>
        <v>n</v>
      </c>
      <c r="BF982" s="98" t="str">
        <f t="shared" si="281"/>
        <v/>
      </c>
      <c r="BG982" s="96" t="str">
        <f>IF(BF982="","",IF(ISNUMBER(VLOOKUP(BF982,'Conversion factors'!$B$35:$C$52,2,FALSE)),"y","n"))</f>
        <v/>
      </c>
      <c r="BH982" s="99"/>
    </row>
    <row r="983" spans="1:62" s="103" customFormat="1" ht="15.75" customHeight="1" x14ac:dyDescent="0.2">
      <c r="A983" s="18"/>
      <c r="B983" s="19">
        <v>293</v>
      </c>
      <c r="C983" s="19"/>
      <c r="D983" s="19">
        <v>101885</v>
      </c>
      <c r="E983" s="19" t="s">
        <v>1224</v>
      </c>
      <c r="F983" s="93">
        <v>2006</v>
      </c>
      <c r="G983" s="19" t="s">
        <v>1026</v>
      </c>
      <c r="H983" s="19"/>
      <c r="I983" s="19" t="s">
        <v>41</v>
      </c>
      <c r="J983" s="19" t="s">
        <v>912</v>
      </c>
      <c r="K983" s="19" t="s">
        <v>42</v>
      </c>
      <c r="L983" s="19" t="s">
        <v>43</v>
      </c>
      <c r="M983" s="19" t="s">
        <v>1303</v>
      </c>
      <c r="N983" s="19" t="s">
        <v>109</v>
      </c>
      <c r="O983" s="19" t="s">
        <v>235</v>
      </c>
      <c r="P983" s="19" t="s">
        <v>162</v>
      </c>
      <c r="Q983" s="19"/>
      <c r="R983" s="19" t="s">
        <v>256</v>
      </c>
      <c r="S983" s="19" t="s">
        <v>304</v>
      </c>
      <c r="T983" s="19" t="s">
        <v>454</v>
      </c>
      <c r="U983" s="19" t="s">
        <v>454</v>
      </c>
      <c r="V983" s="19" t="s">
        <v>424</v>
      </c>
      <c r="W983" s="19" t="s">
        <v>231</v>
      </c>
      <c r="X983" s="19" t="s">
        <v>46</v>
      </c>
      <c r="Y983" s="29"/>
      <c r="Z983" s="19" t="s">
        <v>144</v>
      </c>
      <c r="AA983" s="19"/>
      <c r="AB983" s="19"/>
      <c r="AC983" s="19" t="s">
        <v>1322</v>
      </c>
      <c r="AD983" s="19"/>
      <c r="AE983" s="19"/>
      <c r="AF983" s="19"/>
      <c r="AG983" s="19" t="s">
        <v>235</v>
      </c>
      <c r="AH983" s="19"/>
      <c r="AI983" s="19"/>
      <c r="AJ983" s="19">
        <v>7</v>
      </c>
      <c r="AK983" s="19">
        <v>7</v>
      </c>
      <c r="AL983" s="19"/>
      <c r="AM983" s="19" t="s">
        <v>234</v>
      </c>
      <c r="AN983" s="19" t="s">
        <v>234</v>
      </c>
      <c r="AO983" s="19" t="s">
        <v>235</v>
      </c>
      <c r="AP983" s="94"/>
      <c r="AQ983" s="19" t="s">
        <v>507</v>
      </c>
      <c r="AR983" s="19" t="s">
        <v>241</v>
      </c>
      <c r="AS983" s="19"/>
      <c r="AT983" s="65" t="str">
        <f t="shared" si="278"/>
        <v>N</v>
      </c>
      <c r="AU983" s="65" t="str">
        <f t="shared" si="272"/>
        <v>N</v>
      </c>
      <c r="AV983" s="65" t="str">
        <f t="shared" si="279"/>
        <v>N</v>
      </c>
      <c r="AW983" s="99"/>
      <c r="AX983" s="99"/>
      <c r="AY983" s="19"/>
      <c r="AZ983" s="96" t="str">
        <f t="shared" si="273"/>
        <v>n</v>
      </c>
      <c r="BA983" s="96" t="str">
        <f>IF(AZ983="n","n",VLOOKUP(AZ983,'Conversion factors'!$C$4:$D$24,2,FALSE))</f>
        <v>n</v>
      </c>
      <c r="BB983" s="96" t="str">
        <f t="shared" si="274"/>
        <v>n</v>
      </c>
      <c r="BC983" s="97"/>
      <c r="BD983" s="96" t="str">
        <f t="shared" si="280"/>
        <v>n</v>
      </c>
      <c r="BE983" s="96" t="str">
        <f t="shared" si="276"/>
        <v>n</v>
      </c>
      <c r="BF983" s="98" t="str">
        <f t="shared" si="281"/>
        <v/>
      </c>
      <c r="BG983" s="96" t="str">
        <f>IF(BF983="","",IF(ISNUMBER(VLOOKUP(BF983,'Conversion factors'!$B$35:$C$52,2,FALSE)),"y","n"))</f>
        <v/>
      </c>
      <c r="BH983" s="99"/>
    </row>
    <row r="984" spans="1:62" s="103" customFormat="1" ht="15.75" customHeight="1" x14ac:dyDescent="0.2">
      <c r="A984" s="18"/>
      <c r="B984" s="19">
        <v>192</v>
      </c>
      <c r="C984" s="19"/>
      <c r="D984" s="19">
        <v>19852</v>
      </c>
      <c r="E984" s="19" t="s">
        <v>1224</v>
      </c>
      <c r="F984" s="93">
        <v>1999</v>
      </c>
      <c r="G984" s="19" t="s">
        <v>362</v>
      </c>
      <c r="H984" s="19"/>
      <c r="I984" s="19" t="s">
        <v>41</v>
      </c>
      <c r="J984" s="19" t="s">
        <v>368</v>
      </c>
      <c r="K984" s="19" t="s">
        <v>42</v>
      </c>
      <c r="L984" s="19" t="s">
        <v>43</v>
      </c>
      <c r="M984" s="19" t="s">
        <v>1303</v>
      </c>
      <c r="N984" s="19" t="s">
        <v>109</v>
      </c>
      <c r="O984" s="19" t="s">
        <v>235</v>
      </c>
      <c r="P984" s="19" t="s">
        <v>162</v>
      </c>
      <c r="Q984" s="19"/>
      <c r="R984" s="19" t="s">
        <v>256</v>
      </c>
      <c r="S984" s="19" t="s">
        <v>309</v>
      </c>
      <c r="T984" s="19" t="s">
        <v>44</v>
      </c>
      <c r="U984" s="19" t="s">
        <v>44</v>
      </c>
      <c r="V984" s="19" t="s">
        <v>103</v>
      </c>
      <c r="W984" s="19" t="s">
        <v>231</v>
      </c>
      <c r="X984" s="19" t="s">
        <v>46</v>
      </c>
      <c r="Y984" s="29"/>
      <c r="Z984" s="19"/>
      <c r="AA984" s="19"/>
      <c r="AB984" s="19" t="s">
        <v>369</v>
      </c>
      <c r="AC984" s="19" t="s">
        <v>1322</v>
      </c>
      <c r="AD984" s="19"/>
      <c r="AE984" s="19"/>
      <c r="AF984" s="19"/>
      <c r="AG984" s="19" t="s">
        <v>235</v>
      </c>
      <c r="AH984" s="19"/>
      <c r="AI984" s="19"/>
      <c r="AJ984" s="19" t="s">
        <v>234</v>
      </c>
      <c r="AK984" s="19" t="s">
        <v>234</v>
      </c>
      <c r="AL984" s="19"/>
      <c r="AM984" s="19" t="s">
        <v>234</v>
      </c>
      <c r="AN984" s="19" t="s">
        <v>234</v>
      </c>
      <c r="AO984" s="19" t="s">
        <v>235</v>
      </c>
      <c r="AP984" s="94"/>
      <c r="AQ984" s="19" t="s">
        <v>365</v>
      </c>
      <c r="AR984" s="19" t="s">
        <v>241</v>
      </c>
      <c r="AS984" s="19"/>
      <c r="AT984" s="65" t="str">
        <f t="shared" si="278"/>
        <v>N</v>
      </c>
      <c r="AU984" s="65" t="str">
        <f t="shared" si="272"/>
        <v>N</v>
      </c>
      <c r="AV984" s="65" t="str">
        <f t="shared" si="279"/>
        <v>N</v>
      </c>
      <c r="AW984" s="99"/>
      <c r="AX984" s="99"/>
      <c r="AY984" s="19"/>
      <c r="AZ984" s="96" t="str">
        <f t="shared" si="273"/>
        <v>n</v>
      </c>
      <c r="BA984" s="96" t="str">
        <f>IF(AZ984="n","n",VLOOKUP(AZ984,'Conversion factors'!$C$4:$D$24,2,FALSE))</f>
        <v>n</v>
      </c>
      <c r="BB984" s="96" t="str">
        <f t="shared" si="274"/>
        <v>n</v>
      </c>
      <c r="BC984" s="97"/>
      <c r="BD984" s="96" t="str">
        <f t="shared" si="280"/>
        <v>n</v>
      </c>
      <c r="BE984" s="96" t="str">
        <f t="shared" si="276"/>
        <v>n</v>
      </c>
      <c r="BF984" s="98" t="str">
        <f t="shared" si="281"/>
        <v/>
      </c>
      <c r="BG984" s="96" t="str">
        <f>IF(BF984="","",IF(ISNUMBER(VLOOKUP(BF984,'Conversion factors'!$B$35:$C$52,2,FALSE)),"y","n"))</f>
        <v/>
      </c>
      <c r="BH984" s="99"/>
    </row>
    <row r="985" spans="1:62" s="103" customFormat="1" ht="15.75" customHeight="1" x14ac:dyDescent="0.2">
      <c r="A985" s="18"/>
      <c r="B985" s="19">
        <v>192</v>
      </c>
      <c r="C985" s="19"/>
      <c r="D985" s="19">
        <v>19852</v>
      </c>
      <c r="E985" s="19" t="s">
        <v>1224</v>
      </c>
      <c r="F985" s="93">
        <v>1999</v>
      </c>
      <c r="G985" s="19" t="s">
        <v>362</v>
      </c>
      <c r="H985" s="19"/>
      <c r="I985" s="19" t="s">
        <v>41</v>
      </c>
      <c r="J985" s="19" t="s">
        <v>366</v>
      </c>
      <c r="K985" s="19" t="s">
        <v>42</v>
      </c>
      <c r="L985" s="19" t="s">
        <v>43</v>
      </c>
      <c r="M985" s="19" t="s">
        <v>1303</v>
      </c>
      <c r="N985" s="19" t="s">
        <v>109</v>
      </c>
      <c r="O985" s="19" t="s">
        <v>235</v>
      </c>
      <c r="P985" s="19" t="s">
        <v>162</v>
      </c>
      <c r="Q985" s="19"/>
      <c r="R985" s="19" t="s">
        <v>256</v>
      </c>
      <c r="S985" s="19" t="s">
        <v>309</v>
      </c>
      <c r="T985" s="19" t="s">
        <v>44</v>
      </c>
      <c r="U985" s="19" t="s">
        <v>44</v>
      </c>
      <c r="V985" s="19" t="s">
        <v>103</v>
      </c>
      <c r="W985" s="19" t="s">
        <v>231</v>
      </c>
      <c r="X985" s="19" t="s">
        <v>46</v>
      </c>
      <c r="Y985" s="29"/>
      <c r="Z985" s="19"/>
      <c r="AA985" s="19"/>
      <c r="AB985" s="19" t="s">
        <v>367</v>
      </c>
      <c r="AC985" s="19" t="s">
        <v>1322</v>
      </c>
      <c r="AD985" s="19"/>
      <c r="AE985" s="19"/>
      <c r="AF985" s="19"/>
      <c r="AG985" s="19" t="s">
        <v>235</v>
      </c>
      <c r="AH985" s="19"/>
      <c r="AI985" s="19"/>
      <c r="AJ985" s="19" t="s">
        <v>234</v>
      </c>
      <c r="AK985" s="19" t="s">
        <v>234</v>
      </c>
      <c r="AL985" s="19"/>
      <c r="AM985" s="19" t="s">
        <v>234</v>
      </c>
      <c r="AN985" s="19" t="s">
        <v>234</v>
      </c>
      <c r="AO985" s="19" t="s">
        <v>235</v>
      </c>
      <c r="AP985" s="94"/>
      <c r="AQ985" s="19" t="s">
        <v>365</v>
      </c>
      <c r="AR985" s="19" t="s">
        <v>241</v>
      </c>
      <c r="AS985" s="19"/>
      <c r="AT985" s="65" t="str">
        <f t="shared" si="278"/>
        <v>N</v>
      </c>
      <c r="AU985" s="65" t="str">
        <f t="shared" si="272"/>
        <v>N</v>
      </c>
      <c r="AV985" s="65" t="str">
        <f t="shared" si="279"/>
        <v>N</v>
      </c>
      <c r="AW985" s="99"/>
      <c r="AX985" s="99"/>
      <c r="AY985" s="19"/>
      <c r="AZ985" s="96" t="str">
        <f t="shared" si="273"/>
        <v>n</v>
      </c>
      <c r="BA985" s="96" t="str">
        <f>IF(AZ985="n","n",VLOOKUP(AZ985,'Conversion factors'!$C$4:$D$24,2,FALSE))</f>
        <v>n</v>
      </c>
      <c r="BB985" s="96" t="str">
        <f t="shared" si="274"/>
        <v>n</v>
      </c>
      <c r="BC985" s="97"/>
      <c r="BD985" s="96" t="str">
        <f t="shared" si="280"/>
        <v>n</v>
      </c>
      <c r="BE985" s="96" t="str">
        <f t="shared" si="276"/>
        <v>n</v>
      </c>
      <c r="BF985" s="98" t="str">
        <f t="shared" si="281"/>
        <v/>
      </c>
      <c r="BG985" s="96" t="str">
        <f>IF(BF985="","",IF(ISNUMBER(VLOOKUP(BF985,'Conversion factors'!$B$35:$C$52,2,FALSE)),"y","n"))</f>
        <v/>
      </c>
      <c r="BH985" s="99"/>
    </row>
    <row r="986" spans="1:62" s="103" customFormat="1" ht="15.75" customHeight="1" x14ac:dyDescent="0.2">
      <c r="A986" s="18"/>
      <c r="B986" s="19">
        <v>192</v>
      </c>
      <c r="C986" s="19"/>
      <c r="D986" s="19">
        <v>19852</v>
      </c>
      <c r="E986" s="19" t="s">
        <v>1224</v>
      </c>
      <c r="F986" s="93">
        <v>1999</v>
      </c>
      <c r="G986" s="19" t="s">
        <v>362</v>
      </c>
      <c r="H986" s="19"/>
      <c r="I986" s="19" t="s">
        <v>41</v>
      </c>
      <c r="J986" s="19" t="s">
        <v>363</v>
      </c>
      <c r="K986" s="19" t="s">
        <v>1400</v>
      </c>
      <c r="L986" s="19" t="s">
        <v>43</v>
      </c>
      <c r="M986" s="19" t="s">
        <v>1401</v>
      </c>
      <c r="N986" s="19" t="s">
        <v>109</v>
      </c>
      <c r="O986" s="19" t="s">
        <v>235</v>
      </c>
      <c r="P986" s="19" t="s">
        <v>51</v>
      </c>
      <c r="Q986" s="19"/>
      <c r="R986" s="19" t="s">
        <v>256</v>
      </c>
      <c r="S986" s="19" t="s">
        <v>309</v>
      </c>
      <c r="T986" s="19" t="s">
        <v>44</v>
      </c>
      <c r="U986" s="19" t="s">
        <v>44</v>
      </c>
      <c r="V986" s="19" t="s">
        <v>444</v>
      </c>
      <c r="W986" s="19" t="s">
        <v>231</v>
      </c>
      <c r="X986" s="19" t="s">
        <v>46</v>
      </c>
      <c r="Y986" s="29"/>
      <c r="Z986" s="19"/>
      <c r="AA986" s="19"/>
      <c r="AB986" s="19" t="s">
        <v>364</v>
      </c>
      <c r="AC986" s="19" t="s">
        <v>1322</v>
      </c>
      <c r="AD986" s="19"/>
      <c r="AE986" s="19"/>
      <c r="AF986" s="19"/>
      <c r="AG986" s="19" t="s">
        <v>235</v>
      </c>
      <c r="AH986" s="19"/>
      <c r="AI986" s="19"/>
      <c r="AJ986" s="19" t="s">
        <v>234</v>
      </c>
      <c r="AK986" s="19" t="s">
        <v>234</v>
      </c>
      <c r="AL986" s="19"/>
      <c r="AM986" s="19" t="s">
        <v>234</v>
      </c>
      <c r="AN986" s="19" t="s">
        <v>234</v>
      </c>
      <c r="AO986" s="19" t="s">
        <v>235</v>
      </c>
      <c r="AP986" s="94"/>
      <c r="AQ986" s="19" t="s">
        <v>365</v>
      </c>
      <c r="AR986" s="19" t="s">
        <v>241</v>
      </c>
      <c r="AS986" s="19"/>
      <c r="AT986" s="65" t="str">
        <f t="shared" si="278"/>
        <v>N</v>
      </c>
      <c r="AU986" s="65" t="str">
        <f t="shared" si="272"/>
        <v>N</v>
      </c>
      <c r="AV986" s="65" t="str">
        <f t="shared" si="279"/>
        <v>N</v>
      </c>
      <c r="AW986" s="99"/>
      <c r="AX986" s="99"/>
      <c r="AY986" s="19"/>
      <c r="AZ986" s="96" t="str">
        <f t="shared" si="273"/>
        <v>n</v>
      </c>
      <c r="BA986" s="96" t="str">
        <f>IF(AZ986="n","n",VLOOKUP(AZ986,'Conversion factors'!$C$4:$D$24,2,FALSE))</f>
        <v>n</v>
      </c>
      <c r="BB986" s="96" t="str">
        <f t="shared" si="274"/>
        <v>n</v>
      </c>
      <c r="BC986" s="97"/>
      <c r="BD986" s="96" t="str">
        <f t="shared" si="280"/>
        <v>n</v>
      </c>
      <c r="BE986" s="96" t="str">
        <f t="shared" si="276"/>
        <v>n</v>
      </c>
      <c r="BF986" s="98" t="str">
        <f t="shared" si="281"/>
        <v/>
      </c>
      <c r="BG986" s="96" t="str">
        <f>IF(BF986="","",IF(ISNUMBER(VLOOKUP(BF986,'Conversion factors'!$B$35:$C$52,2,FALSE)),"y","n"))</f>
        <v/>
      </c>
      <c r="BH986" s="99"/>
    </row>
    <row r="987" spans="1:62" s="103" customFormat="1" ht="15.75" customHeight="1" x14ac:dyDescent="0.2">
      <c r="A987" s="18"/>
      <c r="B987" s="19">
        <v>256</v>
      </c>
      <c r="C987" s="19"/>
      <c r="D987" s="19">
        <v>84071</v>
      </c>
      <c r="E987" s="19" t="s">
        <v>1224</v>
      </c>
      <c r="F987" s="93">
        <v>2005</v>
      </c>
      <c r="G987" s="19" t="s">
        <v>869</v>
      </c>
      <c r="H987" s="19"/>
      <c r="I987" s="19" t="s">
        <v>41</v>
      </c>
      <c r="J987" s="19" t="s">
        <v>870</v>
      </c>
      <c r="K987" s="19" t="s">
        <v>64</v>
      </c>
      <c r="L987" s="19" t="s">
        <v>65</v>
      </c>
      <c r="M987" s="19" t="s">
        <v>260</v>
      </c>
      <c r="N987" s="19" t="s">
        <v>66</v>
      </c>
      <c r="O987" s="19" t="s">
        <v>685</v>
      </c>
      <c r="P987" s="19" t="s">
        <v>162</v>
      </c>
      <c r="Q987" s="19"/>
      <c r="R987" s="19" t="s">
        <v>237</v>
      </c>
      <c r="S987" s="19" t="s">
        <v>414</v>
      </c>
      <c r="T987" s="19" t="s">
        <v>55</v>
      </c>
      <c r="U987" s="19" t="s">
        <v>55</v>
      </c>
      <c r="V987" s="19" t="s">
        <v>94</v>
      </c>
      <c r="W987" s="19" t="s">
        <v>231</v>
      </c>
      <c r="X987" s="19" t="s">
        <v>46</v>
      </c>
      <c r="Y987" s="29"/>
      <c r="Z987" s="19"/>
      <c r="AA987" s="19"/>
      <c r="AB987" s="19" t="s">
        <v>871</v>
      </c>
      <c r="AC987" s="19" t="s">
        <v>214</v>
      </c>
      <c r="AD987" s="19"/>
      <c r="AE987" s="19">
        <v>100</v>
      </c>
      <c r="AF987" s="19">
        <v>100</v>
      </c>
      <c r="AG987" s="19" t="s">
        <v>270</v>
      </c>
      <c r="AH987" s="19"/>
      <c r="AI987" s="19"/>
      <c r="AJ987" s="19">
        <v>7.65</v>
      </c>
      <c r="AK987" s="19" t="s">
        <v>234</v>
      </c>
      <c r="AL987" s="19"/>
      <c r="AM987" s="19" t="s">
        <v>234</v>
      </c>
      <c r="AN987" s="19" t="s">
        <v>234</v>
      </c>
      <c r="AO987" s="19" t="s">
        <v>235</v>
      </c>
      <c r="AP987" s="94"/>
      <c r="AQ987" s="19" t="s">
        <v>97</v>
      </c>
      <c r="AR987" s="19" t="s">
        <v>241</v>
      </c>
      <c r="AS987" s="19"/>
      <c r="AT987" s="65" t="str">
        <f t="shared" si="278"/>
        <v>Y</v>
      </c>
      <c r="AU987" s="65" t="str">
        <f t="shared" si="272"/>
        <v>Y</v>
      </c>
      <c r="AV987" s="65" t="str">
        <f t="shared" si="279"/>
        <v>Y</v>
      </c>
      <c r="AW987" s="99" t="s">
        <v>1580</v>
      </c>
      <c r="AX987" s="99"/>
      <c r="AY987" s="19"/>
      <c r="AZ987" s="96" t="str">
        <f t="shared" si="273"/>
        <v>LOEC</v>
      </c>
      <c r="BA987" s="96">
        <f>IF(AZ987="n","n",VLOOKUP(AZ987,'Conversion factors'!$C$4:$D$24,2,FALSE))</f>
        <v>2.5</v>
      </c>
      <c r="BB987" s="96">
        <f t="shared" si="274"/>
        <v>192</v>
      </c>
      <c r="BC987" s="97"/>
      <c r="BD987" s="96" t="str">
        <f t="shared" si="280"/>
        <v>Chronic</v>
      </c>
      <c r="BE987" s="96" t="str">
        <f t="shared" si="276"/>
        <v>y</v>
      </c>
      <c r="BF987" s="98" t="str">
        <f t="shared" si="281"/>
        <v>LOEC</v>
      </c>
      <c r="BG987" s="96" t="str">
        <f>IF(BF987="","",IF(ISNUMBER(VLOOKUP(BF987,'Conversion factors'!$B$35:$C$52,2,FALSE)),"y","n"))</f>
        <v>n</v>
      </c>
      <c r="BH987" s="99"/>
      <c r="BI987" s="100"/>
      <c r="BJ987" s="100"/>
    </row>
    <row r="988" spans="1:62" s="103" customFormat="1" ht="15.75" customHeight="1" x14ac:dyDescent="0.2">
      <c r="A988" s="18"/>
      <c r="B988" s="19">
        <v>256</v>
      </c>
      <c r="C988" s="19"/>
      <c r="D988" s="19">
        <v>84071</v>
      </c>
      <c r="E988" s="19" t="s">
        <v>1224</v>
      </c>
      <c r="F988" s="93">
        <v>2005</v>
      </c>
      <c r="G988" s="19" t="s">
        <v>869</v>
      </c>
      <c r="H988" s="19"/>
      <c r="I988" s="19" t="s">
        <v>41</v>
      </c>
      <c r="J988" s="19" t="s">
        <v>870</v>
      </c>
      <c r="K988" s="19" t="s">
        <v>64</v>
      </c>
      <c r="L988" s="19" t="s">
        <v>65</v>
      </c>
      <c r="M988" s="19" t="s">
        <v>260</v>
      </c>
      <c r="N988" s="19" t="s">
        <v>66</v>
      </c>
      <c r="O988" s="19" t="s">
        <v>685</v>
      </c>
      <c r="P988" s="19" t="s">
        <v>162</v>
      </c>
      <c r="Q988" s="19"/>
      <c r="R988" s="19" t="s">
        <v>237</v>
      </c>
      <c r="S988" s="19" t="s">
        <v>414</v>
      </c>
      <c r="T988" s="19" t="s">
        <v>54</v>
      </c>
      <c r="U988" s="19" t="s">
        <v>54</v>
      </c>
      <c r="V988" s="19" t="s">
        <v>94</v>
      </c>
      <c r="W988" s="19" t="s">
        <v>231</v>
      </c>
      <c r="X988" s="19" t="s">
        <v>46</v>
      </c>
      <c r="Y988" s="29"/>
      <c r="Z988" s="19"/>
      <c r="AA988" s="19"/>
      <c r="AB988" s="19" t="s">
        <v>538</v>
      </c>
      <c r="AC988" s="19" t="s">
        <v>214</v>
      </c>
      <c r="AD988" s="19"/>
      <c r="AE988" s="19">
        <v>100</v>
      </c>
      <c r="AF988" s="19">
        <v>100</v>
      </c>
      <c r="AG988" s="19" t="s">
        <v>270</v>
      </c>
      <c r="AH988" s="19"/>
      <c r="AI988" s="19"/>
      <c r="AJ988" s="19">
        <v>7.65</v>
      </c>
      <c r="AK988" s="19" t="s">
        <v>234</v>
      </c>
      <c r="AL988" s="19"/>
      <c r="AM988" s="19"/>
      <c r="AN988" s="19" t="s">
        <v>234</v>
      </c>
      <c r="AO988" s="19" t="s">
        <v>235</v>
      </c>
      <c r="AP988" s="94"/>
      <c r="AQ988" s="19" t="s">
        <v>97</v>
      </c>
      <c r="AR988" s="19" t="s">
        <v>241</v>
      </c>
      <c r="AS988" s="19"/>
      <c r="AT988" s="65" t="str">
        <f t="shared" si="278"/>
        <v>Y</v>
      </c>
      <c r="AU988" s="65" t="str">
        <f t="shared" si="272"/>
        <v>Y</v>
      </c>
      <c r="AV988" s="65" t="s">
        <v>162</v>
      </c>
      <c r="AW988" s="99" t="s">
        <v>1646</v>
      </c>
      <c r="AX988" s="99" t="s">
        <v>1645</v>
      </c>
      <c r="AY988" s="19"/>
      <c r="AZ988" s="96" t="str">
        <f t="shared" si="273"/>
        <v>n</v>
      </c>
      <c r="BA988" s="96" t="str">
        <f>IF(AZ988="n","n",VLOOKUP(AZ988,'Conversion factors'!$C$4:$D$24,2,FALSE))</f>
        <v>n</v>
      </c>
      <c r="BB988" s="96" t="str">
        <f t="shared" si="274"/>
        <v>n</v>
      </c>
      <c r="BC988" s="97"/>
      <c r="BD988" s="96" t="str">
        <f t="shared" si="280"/>
        <v>n</v>
      </c>
      <c r="BE988" s="96" t="str">
        <f t="shared" si="276"/>
        <v>n</v>
      </c>
      <c r="BF988" s="98" t="str">
        <f t="shared" si="281"/>
        <v/>
      </c>
      <c r="BG988" s="96" t="str">
        <f>IF(BF988="","",IF(ISNUMBER(VLOOKUP(BF988,'Conversion factors'!$B$35:$C$52,2,FALSE)),"y","n"))</f>
        <v/>
      </c>
      <c r="BH988" s="99"/>
      <c r="BI988" s="99" t="s">
        <v>1645</v>
      </c>
      <c r="BJ988" s="100"/>
    </row>
    <row r="989" spans="1:62" s="103" customFormat="1" ht="15.75" customHeight="1" x14ac:dyDescent="0.2">
      <c r="A989" s="18"/>
      <c r="B989" s="19">
        <v>256</v>
      </c>
      <c r="C989" s="19"/>
      <c r="D989" s="19">
        <v>84071</v>
      </c>
      <c r="E989" s="19" t="s">
        <v>1224</v>
      </c>
      <c r="F989" s="93">
        <v>2005</v>
      </c>
      <c r="G989" s="19" t="s">
        <v>869</v>
      </c>
      <c r="H989" s="19"/>
      <c r="I989" s="19" t="s">
        <v>41</v>
      </c>
      <c r="J989" s="19" t="s">
        <v>870</v>
      </c>
      <c r="K989" s="19" t="s">
        <v>64</v>
      </c>
      <c r="L989" s="19" t="s">
        <v>65</v>
      </c>
      <c r="M989" s="19" t="s">
        <v>260</v>
      </c>
      <c r="N989" s="19" t="s">
        <v>66</v>
      </c>
      <c r="O989" s="19" t="s">
        <v>685</v>
      </c>
      <c r="P989" s="19" t="s">
        <v>162</v>
      </c>
      <c r="Q989" s="19"/>
      <c r="R989" s="19" t="s">
        <v>237</v>
      </c>
      <c r="S989" s="19" t="s">
        <v>589</v>
      </c>
      <c r="T989" s="19" t="s">
        <v>55</v>
      </c>
      <c r="U989" s="19" t="s">
        <v>55</v>
      </c>
      <c r="V989" s="19" t="s">
        <v>1210</v>
      </c>
      <c r="W989" s="19" t="s">
        <v>231</v>
      </c>
      <c r="X989" s="19" t="s">
        <v>46</v>
      </c>
      <c r="Y989" s="29"/>
      <c r="Z989" s="19"/>
      <c r="AA989" s="19"/>
      <c r="AB989" s="19" t="s">
        <v>871</v>
      </c>
      <c r="AC989" s="19" t="s">
        <v>214</v>
      </c>
      <c r="AD989" s="19"/>
      <c r="AE989" s="19">
        <v>100</v>
      </c>
      <c r="AF989" s="19">
        <v>100</v>
      </c>
      <c r="AG989" s="19" t="s">
        <v>270</v>
      </c>
      <c r="AH989" s="19"/>
      <c r="AI989" s="19"/>
      <c r="AJ989" s="19">
        <v>7.65</v>
      </c>
      <c r="AK989" s="19" t="s">
        <v>234</v>
      </c>
      <c r="AL989" s="19"/>
      <c r="AM989" s="19" t="s">
        <v>234</v>
      </c>
      <c r="AN989" s="19" t="s">
        <v>234</v>
      </c>
      <c r="AO989" s="19" t="s">
        <v>235</v>
      </c>
      <c r="AP989" s="94"/>
      <c r="AQ989" s="19" t="s">
        <v>97</v>
      </c>
      <c r="AR989" s="19" t="s">
        <v>241</v>
      </c>
      <c r="AS989" s="19"/>
      <c r="AT989" s="65" t="str">
        <f t="shared" si="278"/>
        <v>Y</v>
      </c>
      <c r="AU989" s="65" t="str">
        <f t="shared" si="272"/>
        <v>Y</v>
      </c>
      <c r="AV989" s="65" t="str">
        <f t="shared" si="279"/>
        <v>Y</v>
      </c>
      <c r="AW989" s="99" t="s">
        <v>1580</v>
      </c>
      <c r="AX989" s="99"/>
      <c r="AY989" s="19"/>
      <c r="AZ989" s="96" t="str">
        <f t="shared" si="273"/>
        <v>LOEC</v>
      </c>
      <c r="BA989" s="96">
        <f>IF(AZ989="n","n",VLOOKUP(AZ989,'Conversion factors'!$C$4:$D$24,2,FALSE))</f>
        <v>2.5</v>
      </c>
      <c r="BB989" s="96">
        <f t="shared" si="274"/>
        <v>192</v>
      </c>
      <c r="BC989" s="97"/>
      <c r="BD989" s="96" t="str">
        <f t="shared" si="280"/>
        <v>Chronic</v>
      </c>
      <c r="BE989" s="96" t="str">
        <f t="shared" si="276"/>
        <v>y</v>
      </c>
      <c r="BF989" s="98" t="str">
        <f t="shared" si="281"/>
        <v>LOEC</v>
      </c>
      <c r="BG989" s="96" t="str">
        <f>IF(BF989="","",IF(ISNUMBER(VLOOKUP(BF989,'Conversion factors'!$B$35:$C$52,2,FALSE)),"y","n"))</f>
        <v>n</v>
      </c>
      <c r="BH989" s="99"/>
      <c r="BI989" s="99"/>
      <c r="BJ989" s="100"/>
    </row>
    <row r="990" spans="1:62" s="103" customFormat="1" ht="15.75" customHeight="1" x14ac:dyDescent="0.2">
      <c r="A990" s="18"/>
      <c r="B990" s="19">
        <v>256</v>
      </c>
      <c r="C990" s="19"/>
      <c r="D990" s="19">
        <v>84071</v>
      </c>
      <c r="E990" s="19" t="s">
        <v>1224</v>
      </c>
      <c r="F990" s="93">
        <v>2005</v>
      </c>
      <c r="G990" s="19" t="s">
        <v>869</v>
      </c>
      <c r="H990" s="19"/>
      <c r="I990" s="19" t="s">
        <v>41</v>
      </c>
      <c r="J990" s="19" t="s">
        <v>870</v>
      </c>
      <c r="K990" s="19" t="s">
        <v>64</v>
      </c>
      <c r="L990" s="19" t="s">
        <v>65</v>
      </c>
      <c r="M990" s="19" t="s">
        <v>260</v>
      </c>
      <c r="N990" s="19" t="s">
        <v>66</v>
      </c>
      <c r="O990" s="19" t="s">
        <v>685</v>
      </c>
      <c r="P990" s="19" t="s">
        <v>162</v>
      </c>
      <c r="Q990" s="19"/>
      <c r="R990" s="19" t="s">
        <v>237</v>
      </c>
      <c r="S990" s="19" t="s">
        <v>589</v>
      </c>
      <c r="T990" s="19" t="s">
        <v>54</v>
      </c>
      <c r="U990" s="19" t="s">
        <v>54</v>
      </c>
      <c r="V990" s="19" t="s">
        <v>1210</v>
      </c>
      <c r="W990" s="19" t="s">
        <v>231</v>
      </c>
      <c r="X990" s="19" t="s">
        <v>46</v>
      </c>
      <c r="Y990" s="29"/>
      <c r="Z990" s="19"/>
      <c r="AA990" s="19"/>
      <c r="AB990" s="19" t="s">
        <v>538</v>
      </c>
      <c r="AC990" s="19" t="s">
        <v>214</v>
      </c>
      <c r="AD990" s="19"/>
      <c r="AE990" s="19">
        <v>100</v>
      </c>
      <c r="AF990" s="19">
        <v>100</v>
      </c>
      <c r="AG990" s="19" t="s">
        <v>270</v>
      </c>
      <c r="AH990" s="19"/>
      <c r="AI990" s="19"/>
      <c r="AJ990" s="19">
        <v>7.65</v>
      </c>
      <c r="AK990" s="19" t="s">
        <v>234</v>
      </c>
      <c r="AL990" s="19"/>
      <c r="AM990" s="19"/>
      <c r="AN990" s="19" t="s">
        <v>234</v>
      </c>
      <c r="AO990" s="19" t="s">
        <v>235</v>
      </c>
      <c r="AP990" s="94"/>
      <c r="AQ990" s="19" t="s">
        <v>97</v>
      </c>
      <c r="AR990" s="19" t="s">
        <v>241</v>
      </c>
      <c r="AS990" s="19"/>
      <c r="AT990" s="65" t="str">
        <f t="shared" si="278"/>
        <v>Y</v>
      </c>
      <c r="AU990" s="65" t="str">
        <f t="shared" si="272"/>
        <v>Y</v>
      </c>
      <c r="AV990" s="65" t="s">
        <v>162</v>
      </c>
      <c r="AW990" s="99" t="s">
        <v>1646</v>
      </c>
      <c r="AX990" s="99" t="s">
        <v>1645</v>
      </c>
      <c r="AY990" s="19"/>
      <c r="AZ990" s="96" t="str">
        <f t="shared" si="273"/>
        <v>n</v>
      </c>
      <c r="BA990" s="96" t="str">
        <f>IF(AZ990="n","n",VLOOKUP(AZ990,'Conversion factors'!$C$4:$D$24,2,FALSE))</f>
        <v>n</v>
      </c>
      <c r="BB990" s="96" t="str">
        <f t="shared" si="274"/>
        <v>n</v>
      </c>
      <c r="BC990" s="97"/>
      <c r="BD990" s="96" t="str">
        <f t="shared" si="280"/>
        <v>n</v>
      </c>
      <c r="BE990" s="96" t="str">
        <f t="shared" si="276"/>
        <v>n</v>
      </c>
      <c r="BF990" s="98" t="str">
        <f t="shared" si="281"/>
        <v/>
      </c>
      <c r="BG990" s="96" t="str">
        <f>IF(BF990="","",IF(ISNUMBER(VLOOKUP(BF990,'Conversion factors'!$B$35:$C$52,2,FALSE)),"y","n"))</f>
        <v/>
      </c>
      <c r="BH990" s="99"/>
      <c r="BI990" s="99" t="s">
        <v>1645</v>
      </c>
      <c r="BJ990" s="100"/>
    </row>
    <row r="991" spans="1:62" s="103" customFormat="1" ht="15.75" customHeight="1" x14ac:dyDescent="0.2">
      <c r="A991" s="18"/>
      <c r="B991" s="19">
        <v>256</v>
      </c>
      <c r="C991" s="19"/>
      <c r="D991" s="19">
        <v>84071</v>
      </c>
      <c r="E991" s="19" t="s">
        <v>1224</v>
      </c>
      <c r="F991" s="93">
        <v>2005</v>
      </c>
      <c r="G991" s="19" t="s">
        <v>869</v>
      </c>
      <c r="H991" s="19"/>
      <c r="I991" s="19" t="s">
        <v>41</v>
      </c>
      <c r="J991" s="19" t="s">
        <v>870</v>
      </c>
      <c r="K991" s="19" t="s">
        <v>64</v>
      </c>
      <c r="L991" s="19" t="s">
        <v>65</v>
      </c>
      <c r="M991" s="19" t="s">
        <v>260</v>
      </c>
      <c r="N991" s="19" t="s">
        <v>66</v>
      </c>
      <c r="O991" s="19" t="s">
        <v>685</v>
      </c>
      <c r="P991" s="19" t="s">
        <v>162</v>
      </c>
      <c r="Q991" s="19"/>
      <c r="R991" s="19" t="s">
        <v>76</v>
      </c>
      <c r="S991" s="19" t="s">
        <v>534</v>
      </c>
      <c r="T991" s="19" t="s">
        <v>55</v>
      </c>
      <c r="U991" s="19" t="s">
        <v>55</v>
      </c>
      <c r="V991" s="19" t="s">
        <v>1210</v>
      </c>
      <c r="W991" s="19" t="s">
        <v>231</v>
      </c>
      <c r="X991" s="19" t="s">
        <v>46</v>
      </c>
      <c r="Y991" s="29"/>
      <c r="Z991" s="19"/>
      <c r="AA991" s="19"/>
      <c r="AB991" s="19" t="s">
        <v>871</v>
      </c>
      <c r="AC991" s="19" t="s">
        <v>214</v>
      </c>
      <c r="AD991" s="19"/>
      <c r="AE991" s="19">
        <v>100</v>
      </c>
      <c r="AF991" s="19">
        <v>100</v>
      </c>
      <c r="AG991" s="19" t="s">
        <v>270</v>
      </c>
      <c r="AH991" s="19"/>
      <c r="AI991" s="19"/>
      <c r="AJ991" s="19">
        <v>7.65</v>
      </c>
      <c r="AK991" s="19" t="s">
        <v>234</v>
      </c>
      <c r="AL991" s="19"/>
      <c r="AM991" s="19" t="s">
        <v>234</v>
      </c>
      <c r="AN991" s="19" t="s">
        <v>234</v>
      </c>
      <c r="AO991" s="19" t="s">
        <v>235</v>
      </c>
      <c r="AP991" s="94"/>
      <c r="AQ991" s="19" t="s">
        <v>97</v>
      </c>
      <c r="AR991" s="19" t="s">
        <v>241</v>
      </c>
      <c r="AS991" s="19"/>
      <c r="AT991" s="65" t="str">
        <f t="shared" si="278"/>
        <v>Y</v>
      </c>
      <c r="AU991" s="65" t="str">
        <f t="shared" si="272"/>
        <v>Y</v>
      </c>
      <c r="AV991" s="65" t="str">
        <f t="shared" si="279"/>
        <v>Y</v>
      </c>
      <c r="AW991" s="99" t="s">
        <v>1580</v>
      </c>
      <c r="AX991" s="99"/>
      <c r="AY991" s="19"/>
      <c r="AZ991" s="96" t="str">
        <f t="shared" si="273"/>
        <v>LOEC</v>
      </c>
      <c r="BA991" s="96">
        <f>IF(AZ991="n","n",VLOOKUP(AZ991,'Conversion factors'!$C$4:$D$24,2,FALSE))</f>
        <v>2.5</v>
      </c>
      <c r="BB991" s="96">
        <f t="shared" si="274"/>
        <v>192</v>
      </c>
      <c r="BC991" s="97"/>
      <c r="BD991" s="96" t="str">
        <f t="shared" si="280"/>
        <v>Chronic</v>
      </c>
      <c r="BE991" s="96" t="str">
        <f t="shared" si="276"/>
        <v>y</v>
      </c>
      <c r="BF991" s="98" t="str">
        <f t="shared" si="281"/>
        <v>LOEC</v>
      </c>
      <c r="BG991" s="96" t="str">
        <f>IF(BF991="","",IF(ISNUMBER(VLOOKUP(BF991,'Conversion factors'!$B$35:$C$52,2,FALSE)),"y","n"))</f>
        <v>n</v>
      </c>
      <c r="BH991" s="99"/>
      <c r="BI991" s="99"/>
      <c r="BJ991" s="100"/>
    </row>
    <row r="992" spans="1:62" s="103" customFormat="1" ht="15.75" customHeight="1" x14ac:dyDescent="0.2">
      <c r="A992" s="18"/>
      <c r="B992" s="19">
        <v>256</v>
      </c>
      <c r="C992" s="19"/>
      <c r="D992" s="19">
        <v>84071</v>
      </c>
      <c r="E992" s="19" t="s">
        <v>1224</v>
      </c>
      <c r="F992" s="93">
        <v>2005</v>
      </c>
      <c r="G992" s="19" t="s">
        <v>869</v>
      </c>
      <c r="H992" s="19"/>
      <c r="I992" s="19" t="s">
        <v>41</v>
      </c>
      <c r="J992" s="19" t="s">
        <v>870</v>
      </c>
      <c r="K992" s="19" t="s">
        <v>64</v>
      </c>
      <c r="L992" s="19" t="s">
        <v>65</v>
      </c>
      <c r="M992" s="19" t="s">
        <v>260</v>
      </c>
      <c r="N992" s="19" t="s">
        <v>66</v>
      </c>
      <c r="O992" s="19" t="s">
        <v>685</v>
      </c>
      <c r="P992" s="19" t="s">
        <v>162</v>
      </c>
      <c r="Q992" s="19"/>
      <c r="R992" s="19" t="s">
        <v>76</v>
      </c>
      <c r="S992" s="19" t="s">
        <v>1579</v>
      </c>
      <c r="T992" s="19" t="s">
        <v>927</v>
      </c>
      <c r="U992" s="19" t="s">
        <v>927</v>
      </c>
      <c r="V992" s="19">
        <v>28</v>
      </c>
      <c r="W992" s="19" t="s">
        <v>231</v>
      </c>
      <c r="X992" s="19" t="s">
        <v>46</v>
      </c>
      <c r="Y992" s="29"/>
      <c r="Z992" s="19"/>
      <c r="AA992" s="19"/>
      <c r="AB992" s="19">
        <v>435</v>
      </c>
      <c r="AC992" s="19" t="s">
        <v>214</v>
      </c>
      <c r="AD992" s="19"/>
      <c r="AE992" s="19">
        <v>100</v>
      </c>
      <c r="AF992" s="19">
        <v>100</v>
      </c>
      <c r="AG992" s="19" t="s">
        <v>270</v>
      </c>
      <c r="AH992" s="19"/>
      <c r="AI992" s="19"/>
      <c r="AJ992" s="19">
        <v>7.65</v>
      </c>
      <c r="AK992" s="19" t="s">
        <v>234</v>
      </c>
      <c r="AL992" s="19"/>
      <c r="AM992" s="19"/>
      <c r="AN992" s="19" t="s">
        <v>234</v>
      </c>
      <c r="AO992" s="19" t="s">
        <v>235</v>
      </c>
      <c r="AP992" s="94"/>
      <c r="AQ992" s="19" t="s">
        <v>97</v>
      </c>
      <c r="AR992" s="19" t="s">
        <v>241</v>
      </c>
      <c r="AS992" s="19"/>
      <c r="AT992" s="65" t="str">
        <f t="shared" si="278"/>
        <v>Y</v>
      </c>
      <c r="AU992" s="65" t="str">
        <f t="shared" ref="AU992" si="292">IF(AT992="N","N",IF(AJ992&lt;6,"N",IF(AJ992&gt;8.5,"N","Y")))</f>
        <v>Y</v>
      </c>
      <c r="AV992" s="65" t="s">
        <v>162</v>
      </c>
      <c r="AW992" s="99" t="s">
        <v>1647</v>
      </c>
      <c r="AX992" s="99" t="s">
        <v>1645</v>
      </c>
      <c r="AY992" s="19"/>
      <c r="AZ992" s="96" t="str">
        <f t="shared" ref="AZ992" si="293">IF(AV992="N","n",T992)</f>
        <v>n</v>
      </c>
      <c r="BA992" s="96" t="str">
        <f>IF(AZ992="n","n",VLOOKUP(AZ992,'Conversion factors'!$C$4:$D$24,2,FALSE))</f>
        <v>n</v>
      </c>
      <c r="BB992" s="96" t="str">
        <f t="shared" ref="BB992" si="294">IF(BA992="n","n",AB992/BA992)</f>
        <v>n</v>
      </c>
      <c r="BC992" s="97"/>
      <c r="BD992" s="96" t="str">
        <f t="shared" si="280"/>
        <v>n</v>
      </c>
      <c r="BE992" s="96" t="str">
        <f t="shared" ref="BE992" si="295">IF(BD992="chronic","y","n")</f>
        <v>n</v>
      </c>
      <c r="BF992" s="98" t="str">
        <f t="shared" si="281"/>
        <v/>
      </c>
      <c r="BG992" s="96" t="str">
        <f>IF(BF992="","",IF(ISNUMBER(VLOOKUP(BF992,'Conversion factors'!$B$35:$C$52,2,FALSE)),"y","n"))</f>
        <v/>
      </c>
      <c r="BH992" s="99"/>
      <c r="BI992" s="99" t="s">
        <v>1645</v>
      </c>
      <c r="BJ992" s="100"/>
    </row>
    <row r="993" spans="1:62" s="103" customFormat="1" ht="15.75" customHeight="1" x14ac:dyDescent="0.2">
      <c r="A993" s="18"/>
      <c r="B993" s="19">
        <v>256</v>
      </c>
      <c r="C993" s="19"/>
      <c r="D993" s="19">
        <v>84071</v>
      </c>
      <c r="E993" s="19" t="s">
        <v>1224</v>
      </c>
      <c r="F993" s="93">
        <v>2005</v>
      </c>
      <c r="G993" s="19" t="s">
        <v>869</v>
      </c>
      <c r="H993" s="19"/>
      <c r="I993" s="19" t="s">
        <v>41</v>
      </c>
      <c r="J993" s="19" t="s">
        <v>870</v>
      </c>
      <c r="K993" s="19" t="s">
        <v>64</v>
      </c>
      <c r="L993" s="19" t="s">
        <v>65</v>
      </c>
      <c r="M993" s="19" t="s">
        <v>260</v>
      </c>
      <c r="N993" s="19" t="s">
        <v>66</v>
      </c>
      <c r="O993" s="19" t="s">
        <v>685</v>
      </c>
      <c r="P993" s="19" t="s">
        <v>162</v>
      </c>
      <c r="Q993" s="19"/>
      <c r="R993" s="19" t="s">
        <v>76</v>
      </c>
      <c r="S993" s="19" t="s">
        <v>1579</v>
      </c>
      <c r="T993" s="19" t="s">
        <v>54</v>
      </c>
      <c r="U993" s="19" t="s">
        <v>54</v>
      </c>
      <c r="V993" s="19">
        <v>28</v>
      </c>
      <c r="W993" s="19" t="s">
        <v>231</v>
      </c>
      <c r="X993" s="19" t="s">
        <v>46</v>
      </c>
      <c r="Y993" s="29"/>
      <c r="Z993" s="19"/>
      <c r="AA993" s="19"/>
      <c r="AB993" s="19" t="s">
        <v>538</v>
      </c>
      <c r="AC993" s="19" t="s">
        <v>214</v>
      </c>
      <c r="AD993" s="19"/>
      <c r="AE993" s="19">
        <v>100</v>
      </c>
      <c r="AF993" s="19">
        <v>100</v>
      </c>
      <c r="AG993" s="19" t="s">
        <v>270</v>
      </c>
      <c r="AH993" s="19"/>
      <c r="AI993" s="19"/>
      <c r="AJ993" s="19">
        <v>7.65</v>
      </c>
      <c r="AK993" s="19" t="s">
        <v>234</v>
      </c>
      <c r="AL993" s="19"/>
      <c r="AM993" s="19"/>
      <c r="AN993" s="19" t="s">
        <v>234</v>
      </c>
      <c r="AO993" s="19" t="s">
        <v>235</v>
      </c>
      <c r="AP993" s="94"/>
      <c r="AQ993" s="19" t="s">
        <v>97</v>
      </c>
      <c r="AR993" s="19" t="s">
        <v>241</v>
      </c>
      <c r="AS993" s="19"/>
      <c r="AT993" s="65" t="str">
        <f t="shared" si="278"/>
        <v>Y</v>
      </c>
      <c r="AU993" s="65" t="str">
        <f t="shared" si="272"/>
        <v>Y</v>
      </c>
      <c r="AV993" s="65" t="s">
        <v>162</v>
      </c>
      <c r="AW993" s="99" t="s">
        <v>1646</v>
      </c>
      <c r="AX993" s="99" t="s">
        <v>1645</v>
      </c>
      <c r="AY993" s="19"/>
      <c r="AZ993" s="96" t="str">
        <f t="shared" si="273"/>
        <v>n</v>
      </c>
      <c r="BA993" s="96" t="str">
        <f>IF(AZ993="n","n",VLOOKUP(AZ993,'Conversion factors'!$C$4:$D$24,2,FALSE))</f>
        <v>n</v>
      </c>
      <c r="BB993" s="96" t="str">
        <f t="shared" si="274"/>
        <v>n</v>
      </c>
      <c r="BC993" s="97"/>
      <c r="BD993" s="96" t="str">
        <f t="shared" si="280"/>
        <v>n</v>
      </c>
      <c r="BE993" s="96" t="str">
        <f t="shared" si="276"/>
        <v>n</v>
      </c>
      <c r="BF993" s="98" t="str">
        <f t="shared" si="281"/>
        <v/>
      </c>
      <c r="BG993" s="96" t="str">
        <f>IF(BF993="","",IF(ISNUMBER(VLOOKUP(BF993,'Conversion factors'!$B$35:$C$52,2,FALSE)),"y","n"))</f>
        <v/>
      </c>
      <c r="BH993" s="99"/>
      <c r="BI993" s="99" t="s">
        <v>1645</v>
      </c>
      <c r="BJ993" s="100"/>
    </row>
    <row r="994" spans="1:62" s="103" customFormat="1" ht="15.75" customHeight="1" x14ac:dyDescent="0.2">
      <c r="A994" s="18"/>
      <c r="B994" s="19">
        <v>256</v>
      </c>
      <c r="C994" s="19"/>
      <c r="D994" s="19">
        <v>84071</v>
      </c>
      <c r="E994" s="19" t="s">
        <v>1224</v>
      </c>
      <c r="F994" s="93">
        <v>2005</v>
      </c>
      <c r="G994" s="19" t="s">
        <v>869</v>
      </c>
      <c r="H994" s="19"/>
      <c r="I994" s="19" t="s">
        <v>41</v>
      </c>
      <c r="J994" s="19" t="s">
        <v>870</v>
      </c>
      <c r="K994" s="19" t="s">
        <v>64</v>
      </c>
      <c r="L994" s="19" t="s">
        <v>65</v>
      </c>
      <c r="M994" s="19" t="s">
        <v>260</v>
      </c>
      <c r="N994" s="19" t="s">
        <v>66</v>
      </c>
      <c r="O994" s="19" t="s">
        <v>685</v>
      </c>
      <c r="P994" s="19" t="s">
        <v>162</v>
      </c>
      <c r="Q994" s="19"/>
      <c r="R994" s="19" t="s">
        <v>76</v>
      </c>
      <c r="S994" s="19" t="s">
        <v>1578</v>
      </c>
      <c r="T994" s="19" t="s">
        <v>54</v>
      </c>
      <c r="U994" s="19" t="s">
        <v>54</v>
      </c>
      <c r="V994" s="19">
        <v>28</v>
      </c>
      <c r="W994" s="19" t="s">
        <v>231</v>
      </c>
      <c r="X994" s="19" t="s">
        <v>46</v>
      </c>
      <c r="Y994" s="29"/>
      <c r="Z994" s="19"/>
      <c r="AA994" s="19"/>
      <c r="AB994" s="19" t="s">
        <v>871</v>
      </c>
      <c r="AC994" s="19" t="s">
        <v>214</v>
      </c>
      <c r="AD994" s="19"/>
      <c r="AE994" s="19">
        <v>100</v>
      </c>
      <c r="AF994" s="19">
        <v>100</v>
      </c>
      <c r="AG994" s="19" t="s">
        <v>270</v>
      </c>
      <c r="AH994" s="19"/>
      <c r="AI994" s="19"/>
      <c r="AJ994" s="19">
        <v>7.65</v>
      </c>
      <c r="AK994" s="19" t="s">
        <v>234</v>
      </c>
      <c r="AL994" s="19"/>
      <c r="AM994" s="19"/>
      <c r="AN994" s="19" t="s">
        <v>234</v>
      </c>
      <c r="AO994" s="19" t="s">
        <v>235</v>
      </c>
      <c r="AP994" s="94"/>
      <c r="AQ994" s="19" t="s">
        <v>97</v>
      </c>
      <c r="AR994" s="19" t="s">
        <v>241</v>
      </c>
      <c r="AS994" s="19"/>
      <c r="AT994" s="65" t="str">
        <f t="shared" si="278"/>
        <v>Y</v>
      </c>
      <c r="AU994" s="65" t="str">
        <f t="shared" si="272"/>
        <v>Y</v>
      </c>
      <c r="AV994" s="65" t="s">
        <v>162</v>
      </c>
      <c r="AW994" s="99" t="s">
        <v>1646</v>
      </c>
      <c r="AX994" s="99" t="s">
        <v>1645</v>
      </c>
      <c r="AY994" s="19"/>
      <c r="AZ994" s="96" t="str">
        <f t="shared" si="273"/>
        <v>n</v>
      </c>
      <c r="BA994" s="96" t="str">
        <f>IF(AZ994="n","n",VLOOKUP(AZ994,'Conversion factors'!$C$4:$D$24,2,FALSE))</f>
        <v>n</v>
      </c>
      <c r="BB994" s="96" t="str">
        <f t="shared" si="274"/>
        <v>n</v>
      </c>
      <c r="BC994" s="97"/>
      <c r="BD994" s="96" t="str">
        <f t="shared" si="280"/>
        <v>n</v>
      </c>
      <c r="BE994" s="96" t="str">
        <f t="shared" si="276"/>
        <v>n</v>
      </c>
      <c r="BF994" s="98" t="str">
        <f t="shared" si="281"/>
        <v/>
      </c>
      <c r="BG994" s="96" t="str">
        <f>IF(BF994="","",IF(ISNUMBER(VLOOKUP(BF994,'Conversion factors'!$B$35:$C$52,2,FALSE)),"y","n"))</f>
        <v/>
      </c>
      <c r="BH994" s="99"/>
      <c r="BI994" s="99" t="s">
        <v>1645</v>
      </c>
      <c r="BJ994" s="100"/>
    </row>
    <row r="995" spans="1:62" s="103" customFormat="1" ht="15.75" customHeight="1" x14ac:dyDescent="0.2">
      <c r="A995" s="18"/>
      <c r="B995" s="107">
        <v>107</v>
      </c>
      <c r="C995" s="36">
        <v>202124</v>
      </c>
      <c r="D995" s="36">
        <v>2124</v>
      </c>
      <c r="E995" s="93" t="s">
        <v>1324</v>
      </c>
      <c r="F995" s="93">
        <v>1986</v>
      </c>
      <c r="G995" s="19" t="s">
        <v>1473</v>
      </c>
      <c r="H995" s="19"/>
      <c r="I995" s="19" t="s">
        <v>41</v>
      </c>
      <c r="J995" s="19" t="s">
        <v>63</v>
      </c>
      <c r="K995" s="19" t="s">
        <v>64</v>
      </c>
      <c r="L995" s="99" t="s">
        <v>65</v>
      </c>
      <c r="M995" s="19" t="s">
        <v>260</v>
      </c>
      <c r="N995" s="19" t="s">
        <v>66</v>
      </c>
      <c r="O995" s="19" t="s">
        <v>67</v>
      </c>
      <c r="P995" s="19" t="s">
        <v>53</v>
      </c>
      <c r="Q995" s="19"/>
      <c r="R995" s="19" t="s">
        <v>237</v>
      </c>
      <c r="S995" s="19" t="s">
        <v>79</v>
      </c>
      <c r="T995" s="19" t="s">
        <v>54</v>
      </c>
      <c r="U995" s="19" t="s">
        <v>54</v>
      </c>
      <c r="V995" s="93">
        <v>7</v>
      </c>
      <c r="W995" s="93" t="s">
        <v>45</v>
      </c>
      <c r="X995" s="19" t="s">
        <v>46</v>
      </c>
      <c r="Y995" s="29"/>
      <c r="Z995" s="93"/>
      <c r="AA995" s="93"/>
      <c r="AB995" s="93">
        <v>102</v>
      </c>
      <c r="AC995" s="19" t="s">
        <v>214</v>
      </c>
      <c r="AD995" s="93"/>
      <c r="AE995" s="19">
        <v>32</v>
      </c>
      <c r="AF995" s="19">
        <v>32</v>
      </c>
      <c r="AG995" s="19"/>
      <c r="AH995" s="19"/>
      <c r="AI995" s="19"/>
      <c r="AJ995" s="101">
        <v>7.7</v>
      </c>
      <c r="AK995" s="19">
        <v>7.7</v>
      </c>
      <c r="AL995" s="19"/>
      <c r="AM995" s="19"/>
      <c r="AN995" s="19"/>
      <c r="AO995" s="19"/>
      <c r="AP995" s="94"/>
      <c r="AQ995" s="19" t="s">
        <v>99</v>
      </c>
      <c r="AR995" s="108" t="s">
        <v>200</v>
      </c>
      <c r="AS995" s="19"/>
      <c r="AT995" s="65" t="str">
        <f t="shared" si="278"/>
        <v>Y</v>
      </c>
      <c r="AU995" s="65" t="str">
        <f t="shared" si="272"/>
        <v>Y</v>
      </c>
      <c r="AV995" s="65" t="str">
        <f t="shared" si="279"/>
        <v>Y</v>
      </c>
      <c r="AW995" s="99"/>
      <c r="AX995" s="122"/>
      <c r="AY995" s="93"/>
      <c r="AZ995" s="96" t="str">
        <f t="shared" si="273"/>
        <v>NOEC</v>
      </c>
      <c r="BA995" s="96">
        <f>IF(AZ995="n","n",VLOOKUP(AZ995,'Conversion factors'!$C$4:$D$24,2,FALSE))</f>
        <v>1</v>
      </c>
      <c r="BB995" s="96">
        <f t="shared" si="274"/>
        <v>102</v>
      </c>
      <c r="BC995" s="97"/>
      <c r="BD995" s="96" t="str">
        <f t="shared" si="280"/>
        <v>Chronic</v>
      </c>
      <c r="BE995" s="96" t="str">
        <f t="shared" si="276"/>
        <v>y</v>
      </c>
      <c r="BF995" s="98" t="str">
        <f t="shared" si="281"/>
        <v>NOEC</v>
      </c>
      <c r="BG995" s="96" t="str">
        <f>IF(BF995="","",IF(ISNUMBER(VLOOKUP(BF995,'Conversion factors'!$B$35:$C$52,2,FALSE)),"y","n"))</f>
        <v>y</v>
      </c>
      <c r="BH995" s="99" t="s">
        <v>1512</v>
      </c>
      <c r="BI995" s="100"/>
      <c r="BJ995" s="100"/>
    </row>
    <row r="996" spans="1:62" s="103" customFormat="1" ht="15.75" customHeight="1" x14ac:dyDescent="0.2">
      <c r="A996" s="18"/>
      <c r="B996" s="19"/>
      <c r="C996" s="19"/>
      <c r="D996" s="19"/>
      <c r="E996" s="19" t="s">
        <v>1576</v>
      </c>
      <c r="F996" s="93">
        <v>1990</v>
      </c>
      <c r="G996" s="19" t="s">
        <v>1575</v>
      </c>
      <c r="H996" s="19"/>
      <c r="I996" s="19" t="s">
        <v>41</v>
      </c>
      <c r="J996" s="19" t="s">
        <v>63</v>
      </c>
      <c r="K996" s="19" t="s">
        <v>64</v>
      </c>
      <c r="L996" s="19" t="s">
        <v>65</v>
      </c>
      <c r="M996" s="19" t="s">
        <v>260</v>
      </c>
      <c r="N996" s="19" t="s">
        <v>66</v>
      </c>
      <c r="O996" s="19" t="s">
        <v>67</v>
      </c>
      <c r="P996" s="19" t="s">
        <v>53</v>
      </c>
      <c r="Q996" s="19"/>
      <c r="R996" s="19" t="s">
        <v>76</v>
      </c>
      <c r="S996" s="19" t="s">
        <v>534</v>
      </c>
      <c r="T996" s="19" t="s">
        <v>54</v>
      </c>
      <c r="U996" s="19" t="s">
        <v>54</v>
      </c>
      <c r="V996" s="19" t="s">
        <v>85</v>
      </c>
      <c r="W996" s="93" t="s">
        <v>45</v>
      </c>
      <c r="X996" s="19" t="s">
        <v>46</v>
      </c>
      <c r="Y996" s="29"/>
      <c r="Z996" s="19"/>
      <c r="AA996" s="19"/>
      <c r="AB996" s="19">
        <v>25</v>
      </c>
      <c r="AC996" s="19" t="s">
        <v>214</v>
      </c>
      <c r="AD996" s="19"/>
      <c r="AE996" s="19">
        <v>81</v>
      </c>
      <c r="AF996" s="19"/>
      <c r="AG996" s="19" t="s">
        <v>270</v>
      </c>
      <c r="AH996" s="19"/>
      <c r="AI996" s="19"/>
      <c r="AJ996" s="19">
        <v>6</v>
      </c>
      <c r="AK996" s="19"/>
      <c r="AL996" s="19"/>
      <c r="AM996" s="19"/>
      <c r="AN996" s="19"/>
      <c r="AO996" s="19"/>
      <c r="AP996" s="141">
        <v>3.7</v>
      </c>
      <c r="AQ996" s="19"/>
      <c r="AR996" s="19"/>
      <c r="AS996" s="19" t="s">
        <v>1577</v>
      </c>
      <c r="AT996" s="65" t="str">
        <f t="shared" si="278"/>
        <v>Y</v>
      </c>
      <c r="AU996" s="65" t="str">
        <f t="shared" ref="AU996:AU1000" si="296">IF(AT996="N","N",IF(AJ996&lt;6,"N",IF(AJ996&gt;8.5,"N","Y")))</f>
        <v>Y</v>
      </c>
      <c r="AV996" s="65" t="str">
        <f t="shared" ref="AV996:AV1000" si="297">AU996</f>
        <v>Y</v>
      </c>
      <c r="AW996" s="99"/>
      <c r="AX996" s="99" t="s">
        <v>1643</v>
      </c>
      <c r="AY996" s="19"/>
      <c r="AZ996" s="96" t="str">
        <f t="shared" ref="AZ996:AZ1000" si="298">IF(AV996="N","n",T996)</f>
        <v>NOEC</v>
      </c>
      <c r="BA996" s="96">
        <f>IF(AZ996="n","n",VLOOKUP(AZ996,'Conversion factors'!$C$4:$D$24,2,FALSE))</f>
        <v>1</v>
      </c>
      <c r="BB996" s="96">
        <f t="shared" ref="BB996:BB1000" si="299">IF(BA996="n","n",AB996/BA996)</f>
        <v>25</v>
      </c>
      <c r="BC996" s="97"/>
      <c r="BD996" s="96" t="str">
        <f t="shared" si="280"/>
        <v>Chronic</v>
      </c>
      <c r="BE996" s="96" t="str">
        <f t="shared" ref="BE996:BE1000" si="300">IF(BD996="chronic","y","n")</f>
        <v>y</v>
      </c>
      <c r="BF996" s="98" t="str">
        <f t="shared" si="281"/>
        <v>NOEC</v>
      </c>
      <c r="BG996" s="96" t="str">
        <f>IF(BF996="","",IF(ISNUMBER(VLOOKUP(BF996,'Conversion factors'!$B$35:$C$52,2,FALSE)),"y","n"))</f>
        <v>y</v>
      </c>
      <c r="BH996" s="99"/>
      <c r="BI996" s="19" t="s">
        <v>1643</v>
      </c>
      <c r="BJ996" s="100"/>
    </row>
    <row r="997" spans="1:62" s="103" customFormat="1" ht="15.75" customHeight="1" x14ac:dyDescent="0.2">
      <c r="A997" s="18"/>
      <c r="B997" s="19"/>
      <c r="C997" s="19"/>
      <c r="D997" s="19"/>
      <c r="E997" s="19" t="s">
        <v>1576</v>
      </c>
      <c r="F997" s="93">
        <v>1990</v>
      </c>
      <c r="G997" s="19" t="s">
        <v>1575</v>
      </c>
      <c r="H997" s="19"/>
      <c r="I997" s="19" t="s">
        <v>41</v>
      </c>
      <c r="J997" s="19" t="s">
        <v>63</v>
      </c>
      <c r="K997" s="19" t="s">
        <v>64</v>
      </c>
      <c r="L997" s="19" t="s">
        <v>65</v>
      </c>
      <c r="M997" s="19" t="s">
        <v>260</v>
      </c>
      <c r="N997" s="19" t="s">
        <v>66</v>
      </c>
      <c r="O997" s="19" t="s">
        <v>67</v>
      </c>
      <c r="P997" s="19" t="s">
        <v>53</v>
      </c>
      <c r="Q997" s="19"/>
      <c r="R997" s="19" t="s">
        <v>76</v>
      </c>
      <c r="S997" s="19" t="s">
        <v>534</v>
      </c>
      <c r="T997" s="19" t="s">
        <v>54</v>
      </c>
      <c r="U997" s="19" t="s">
        <v>54</v>
      </c>
      <c r="V997" s="19" t="s">
        <v>85</v>
      </c>
      <c r="W997" s="93" t="s">
        <v>45</v>
      </c>
      <c r="X997" s="19" t="s">
        <v>46</v>
      </c>
      <c r="Y997" s="29"/>
      <c r="Z997" s="19"/>
      <c r="AA997" s="19"/>
      <c r="AB997" s="19">
        <v>25</v>
      </c>
      <c r="AC997" s="19" t="s">
        <v>214</v>
      </c>
      <c r="AD997" s="19"/>
      <c r="AE997" s="19">
        <v>81</v>
      </c>
      <c r="AF997" s="19"/>
      <c r="AG997" s="19" t="s">
        <v>270</v>
      </c>
      <c r="AH997" s="19"/>
      <c r="AI997" s="19"/>
      <c r="AJ997" s="19">
        <v>8</v>
      </c>
      <c r="AK997" s="19"/>
      <c r="AL997" s="19"/>
      <c r="AM997" s="19"/>
      <c r="AN997" s="19"/>
      <c r="AO997" s="19"/>
      <c r="AP997" s="141">
        <v>3.7</v>
      </c>
      <c r="AQ997" s="19"/>
      <c r="AR997" s="19"/>
      <c r="AS997" s="19" t="s">
        <v>1577</v>
      </c>
      <c r="AT997" s="65" t="str">
        <f t="shared" si="278"/>
        <v>Y</v>
      </c>
      <c r="AU997" s="65" t="str">
        <f t="shared" si="296"/>
        <v>Y</v>
      </c>
      <c r="AV997" s="65" t="str">
        <f t="shared" si="297"/>
        <v>Y</v>
      </c>
      <c r="AW997" s="99"/>
      <c r="AX997" s="99" t="s">
        <v>1643</v>
      </c>
      <c r="AY997" s="19"/>
      <c r="AZ997" s="96" t="str">
        <f t="shared" si="298"/>
        <v>NOEC</v>
      </c>
      <c r="BA997" s="96">
        <f>IF(AZ997="n","n",VLOOKUP(AZ997,'Conversion factors'!$C$4:$D$24,2,FALSE))</f>
        <v>1</v>
      </c>
      <c r="BB997" s="96">
        <f t="shared" si="299"/>
        <v>25</v>
      </c>
      <c r="BC997" s="97"/>
      <c r="BD997" s="96" t="str">
        <f t="shared" si="280"/>
        <v>Chronic</v>
      </c>
      <c r="BE997" s="96" t="str">
        <f t="shared" si="300"/>
        <v>y</v>
      </c>
      <c r="BF997" s="98" t="str">
        <f t="shared" si="281"/>
        <v>NOEC</v>
      </c>
      <c r="BG997" s="96" t="str">
        <f>IF(BF997="","",IF(ISNUMBER(VLOOKUP(BF997,'Conversion factors'!$B$35:$C$52,2,FALSE)),"y","n"))</f>
        <v>y</v>
      </c>
      <c r="BH997" s="99"/>
      <c r="BI997" s="19" t="s">
        <v>1643</v>
      </c>
      <c r="BJ997" s="100"/>
    </row>
    <row r="998" spans="1:62" s="103" customFormat="1" ht="15.75" customHeight="1" x14ac:dyDescent="0.2">
      <c r="A998" s="18"/>
      <c r="B998" s="19"/>
      <c r="C998" s="19"/>
      <c r="D998" s="19"/>
      <c r="E998" s="19" t="s">
        <v>1576</v>
      </c>
      <c r="F998" s="93">
        <v>1990</v>
      </c>
      <c r="G998" s="19" t="s">
        <v>1575</v>
      </c>
      <c r="H998" s="19"/>
      <c r="I998" s="19" t="s">
        <v>41</v>
      </c>
      <c r="J998" s="19" t="s">
        <v>63</v>
      </c>
      <c r="K998" s="19" t="s">
        <v>64</v>
      </c>
      <c r="L998" s="19" t="s">
        <v>65</v>
      </c>
      <c r="M998" s="19" t="s">
        <v>260</v>
      </c>
      <c r="N998" s="19" t="s">
        <v>66</v>
      </c>
      <c r="O998" s="19" t="s">
        <v>67</v>
      </c>
      <c r="P998" s="19" t="s">
        <v>53</v>
      </c>
      <c r="Q998" s="19"/>
      <c r="R998" s="19" t="s">
        <v>76</v>
      </c>
      <c r="S998" s="19" t="s">
        <v>534</v>
      </c>
      <c r="T998" s="19" t="s">
        <v>54</v>
      </c>
      <c r="U998" s="19" t="s">
        <v>54</v>
      </c>
      <c r="V998" s="19" t="s">
        <v>85</v>
      </c>
      <c r="W998" s="93" t="s">
        <v>45</v>
      </c>
      <c r="X998" s="19" t="s">
        <v>46</v>
      </c>
      <c r="Y998" s="29"/>
      <c r="Z998" s="19"/>
      <c r="AA998" s="19"/>
      <c r="AB998" s="19">
        <v>29</v>
      </c>
      <c r="AC998" s="19" t="s">
        <v>214</v>
      </c>
      <c r="AD998" s="19"/>
      <c r="AE998" s="19">
        <v>168</v>
      </c>
      <c r="AF998" s="19"/>
      <c r="AG998" s="19" t="s">
        <v>270</v>
      </c>
      <c r="AH998" s="19"/>
      <c r="AI998" s="19"/>
      <c r="AJ998" s="19">
        <v>6</v>
      </c>
      <c r="AK998" s="19"/>
      <c r="AL998" s="19"/>
      <c r="AM998" s="19"/>
      <c r="AN998" s="19"/>
      <c r="AO998" s="19"/>
      <c r="AP998" s="141">
        <v>3.7</v>
      </c>
      <c r="AQ998" s="19"/>
      <c r="AR998" s="19"/>
      <c r="AS998" s="19" t="s">
        <v>1577</v>
      </c>
      <c r="AT998" s="65" t="str">
        <f t="shared" si="278"/>
        <v>Y</v>
      </c>
      <c r="AU998" s="65" t="str">
        <f t="shared" ref="AU998:AU999" si="301">IF(AT998="N","N",IF(AJ998&lt;6,"N",IF(AJ998&gt;8.5,"N","Y")))</f>
        <v>Y</v>
      </c>
      <c r="AV998" s="65" t="str">
        <f t="shared" ref="AV998:AV999" si="302">AU998</f>
        <v>Y</v>
      </c>
      <c r="AW998" s="99"/>
      <c r="AX998" s="99" t="s">
        <v>1643</v>
      </c>
      <c r="AY998" s="19"/>
      <c r="AZ998" s="96" t="str">
        <f t="shared" ref="AZ998:AZ999" si="303">IF(AV998="N","n",T998)</f>
        <v>NOEC</v>
      </c>
      <c r="BA998" s="96">
        <f>IF(AZ998="n","n",VLOOKUP(AZ998,'Conversion factors'!$C$4:$D$24,2,FALSE))</f>
        <v>1</v>
      </c>
      <c r="BB998" s="96">
        <f t="shared" ref="BB998:BB999" si="304">IF(BA998="n","n",AB998/BA998)</f>
        <v>29</v>
      </c>
      <c r="BC998" s="97"/>
      <c r="BD998" s="96" t="str">
        <f t="shared" si="280"/>
        <v>Chronic</v>
      </c>
      <c r="BE998" s="96" t="str">
        <f t="shared" ref="BE998:BE999" si="305">IF(BD998="chronic","y","n")</f>
        <v>y</v>
      </c>
      <c r="BF998" s="98" t="str">
        <f t="shared" si="281"/>
        <v>NOEC</v>
      </c>
      <c r="BG998" s="96" t="str">
        <f>IF(BF998="","",IF(ISNUMBER(VLOOKUP(BF998,'Conversion factors'!$B$35:$C$52,2,FALSE)),"y","n"))</f>
        <v>y</v>
      </c>
      <c r="BH998" s="99"/>
      <c r="BI998" s="19" t="s">
        <v>1643</v>
      </c>
      <c r="BJ998" s="100"/>
    </row>
    <row r="999" spans="1:62" s="103" customFormat="1" ht="15.75" customHeight="1" x14ac:dyDescent="0.2">
      <c r="A999" s="18"/>
      <c r="B999" s="19"/>
      <c r="C999" s="19"/>
      <c r="D999" s="19"/>
      <c r="E999" s="19" t="s">
        <v>1576</v>
      </c>
      <c r="F999" s="93">
        <v>1990</v>
      </c>
      <c r="G999" s="19" t="s">
        <v>1575</v>
      </c>
      <c r="H999" s="19"/>
      <c r="I999" s="19" t="s">
        <v>41</v>
      </c>
      <c r="J999" s="19" t="s">
        <v>63</v>
      </c>
      <c r="K999" s="19" t="s">
        <v>64</v>
      </c>
      <c r="L999" s="19" t="s">
        <v>65</v>
      </c>
      <c r="M999" s="19" t="s">
        <v>260</v>
      </c>
      <c r="N999" s="19" t="s">
        <v>66</v>
      </c>
      <c r="O999" s="19" t="s">
        <v>67</v>
      </c>
      <c r="P999" s="19" t="s">
        <v>53</v>
      </c>
      <c r="Q999" s="19"/>
      <c r="R999" s="19" t="s">
        <v>76</v>
      </c>
      <c r="S999" s="19" t="s">
        <v>534</v>
      </c>
      <c r="T999" s="19" t="s">
        <v>54</v>
      </c>
      <c r="U999" s="19" t="s">
        <v>54</v>
      </c>
      <c r="V999" s="19" t="s">
        <v>85</v>
      </c>
      <c r="W999" s="93" t="s">
        <v>45</v>
      </c>
      <c r="X999" s="19" t="s">
        <v>46</v>
      </c>
      <c r="Y999" s="29"/>
      <c r="Z999" s="19"/>
      <c r="AA999" s="19"/>
      <c r="AB999" s="19">
        <v>25</v>
      </c>
      <c r="AC999" s="19" t="s">
        <v>214</v>
      </c>
      <c r="AD999" s="19"/>
      <c r="AE999" s="19">
        <v>97.6</v>
      </c>
      <c r="AF999" s="19"/>
      <c r="AG999" s="19" t="s">
        <v>270</v>
      </c>
      <c r="AH999" s="19"/>
      <c r="AI999" s="19"/>
      <c r="AJ999" s="19">
        <v>9</v>
      </c>
      <c r="AK999" s="19"/>
      <c r="AL999" s="19"/>
      <c r="AM999" s="19"/>
      <c r="AN999" s="19"/>
      <c r="AO999" s="19"/>
      <c r="AP999" s="141">
        <v>2</v>
      </c>
      <c r="AQ999" s="19"/>
      <c r="AR999" s="19"/>
      <c r="AS999" s="19" t="s">
        <v>1586</v>
      </c>
      <c r="AT999" s="65" t="str">
        <f t="shared" si="278"/>
        <v>Y</v>
      </c>
      <c r="AU999" s="65" t="str">
        <f t="shared" si="301"/>
        <v>N</v>
      </c>
      <c r="AV999" s="65" t="str">
        <f t="shared" si="302"/>
        <v>N</v>
      </c>
      <c r="AW999" s="99"/>
      <c r="AX999" s="99"/>
      <c r="AY999" s="19"/>
      <c r="AZ999" s="96" t="str">
        <f t="shared" si="303"/>
        <v>n</v>
      </c>
      <c r="BA999" s="96" t="str">
        <f>IF(AZ999="n","n",VLOOKUP(AZ999,'Conversion factors'!$C$4:$D$24,2,FALSE))</f>
        <v>n</v>
      </c>
      <c r="BB999" s="96" t="str">
        <f t="shared" si="304"/>
        <v>n</v>
      </c>
      <c r="BC999" s="97"/>
      <c r="BD999" s="96" t="str">
        <f t="shared" si="280"/>
        <v>n</v>
      </c>
      <c r="BE999" s="96" t="str">
        <f t="shared" si="305"/>
        <v>n</v>
      </c>
      <c r="BF999" s="98" t="str">
        <f t="shared" si="281"/>
        <v/>
      </c>
      <c r="BG999" s="96" t="str">
        <f>IF(BF999="","",IF(ISNUMBER(VLOOKUP(BF999,'Conversion factors'!$B$35:$C$52,2,FALSE)),"y","n"))</f>
        <v/>
      </c>
      <c r="BH999" s="99"/>
      <c r="BI999" s="100"/>
      <c r="BJ999" s="100"/>
    </row>
    <row r="1000" spans="1:62" s="103" customFormat="1" ht="15.75" customHeight="1" x14ac:dyDescent="0.2">
      <c r="A1000" s="18"/>
      <c r="B1000" s="19"/>
      <c r="C1000" s="19"/>
      <c r="D1000" s="19"/>
      <c r="E1000" s="19" t="s">
        <v>1576</v>
      </c>
      <c r="F1000" s="93">
        <v>1990</v>
      </c>
      <c r="G1000" s="19" t="s">
        <v>1575</v>
      </c>
      <c r="H1000" s="19"/>
      <c r="I1000" s="19" t="s">
        <v>41</v>
      </c>
      <c r="J1000" s="19" t="s">
        <v>63</v>
      </c>
      <c r="K1000" s="19" t="s">
        <v>64</v>
      </c>
      <c r="L1000" s="19" t="s">
        <v>65</v>
      </c>
      <c r="M1000" s="19" t="s">
        <v>260</v>
      </c>
      <c r="N1000" s="19" t="s">
        <v>66</v>
      </c>
      <c r="O1000" s="19" t="s">
        <v>67</v>
      </c>
      <c r="P1000" s="19" t="s">
        <v>53</v>
      </c>
      <c r="Q1000" s="19"/>
      <c r="R1000" s="19" t="s">
        <v>76</v>
      </c>
      <c r="S1000" s="19" t="s">
        <v>534</v>
      </c>
      <c r="T1000" s="19" t="s">
        <v>54</v>
      </c>
      <c r="U1000" s="19" t="s">
        <v>54</v>
      </c>
      <c r="V1000" s="19" t="s">
        <v>85</v>
      </c>
      <c r="W1000" s="93" t="s">
        <v>45</v>
      </c>
      <c r="X1000" s="19" t="s">
        <v>46</v>
      </c>
      <c r="Y1000" s="29"/>
      <c r="Z1000" s="19"/>
      <c r="AA1000" s="19"/>
      <c r="AB1000" s="19">
        <v>50</v>
      </c>
      <c r="AC1000" s="19" t="s">
        <v>214</v>
      </c>
      <c r="AD1000" s="19"/>
      <c r="AE1000" s="19">
        <v>168</v>
      </c>
      <c r="AF1000" s="19"/>
      <c r="AG1000" s="19" t="s">
        <v>270</v>
      </c>
      <c r="AH1000" s="19"/>
      <c r="AI1000" s="19"/>
      <c r="AJ1000" s="19">
        <v>8</v>
      </c>
      <c r="AK1000" s="19"/>
      <c r="AL1000" s="19"/>
      <c r="AM1000" s="19"/>
      <c r="AN1000" s="19"/>
      <c r="AO1000" s="19"/>
      <c r="AP1000" s="141">
        <v>3.7</v>
      </c>
      <c r="AQ1000" s="19"/>
      <c r="AR1000" s="19"/>
      <c r="AS1000" s="19" t="s">
        <v>1577</v>
      </c>
      <c r="AT1000" s="65" t="str">
        <f t="shared" si="278"/>
        <v>Y</v>
      </c>
      <c r="AU1000" s="65" t="str">
        <f t="shared" si="296"/>
        <v>Y</v>
      </c>
      <c r="AV1000" s="65" t="str">
        <f t="shared" si="297"/>
        <v>Y</v>
      </c>
      <c r="AW1000" s="99"/>
      <c r="AX1000" s="99" t="s">
        <v>1643</v>
      </c>
      <c r="AY1000" s="19"/>
      <c r="AZ1000" s="96" t="str">
        <f t="shared" si="298"/>
        <v>NOEC</v>
      </c>
      <c r="BA1000" s="96">
        <f>IF(AZ1000="n","n",VLOOKUP(AZ1000,'Conversion factors'!$C$4:$D$24,2,FALSE))</f>
        <v>1</v>
      </c>
      <c r="BB1000" s="96">
        <f t="shared" si="299"/>
        <v>50</v>
      </c>
      <c r="BC1000" s="97"/>
      <c r="BD1000" s="96" t="str">
        <f t="shared" si="280"/>
        <v>Chronic</v>
      </c>
      <c r="BE1000" s="96" t="str">
        <f t="shared" si="300"/>
        <v>y</v>
      </c>
      <c r="BF1000" s="98" t="str">
        <f t="shared" si="281"/>
        <v>NOEC</v>
      </c>
      <c r="BG1000" s="96" t="str">
        <f>IF(BF1000="","",IF(ISNUMBER(VLOOKUP(BF1000,'Conversion factors'!$B$35:$C$52,2,FALSE)),"y","n"))</f>
        <v>y</v>
      </c>
      <c r="BH1000" s="99"/>
      <c r="BI1000" s="19" t="s">
        <v>1643</v>
      </c>
      <c r="BJ1000" s="100"/>
    </row>
    <row r="1001" spans="1:62" s="103" customFormat="1" ht="15.75" customHeight="1" x14ac:dyDescent="0.2">
      <c r="A1001" s="18"/>
      <c r="B1001" s="19">
        <v>184</v>
      </c>
      <c r="C1001" s="19"/>
      <c r="D1001" s="19">
        <v>17743</v>
      </c>
      <c r="E1001" s="19" t="s">
        <v>1224</v>
      </c>
      <c r="F1001" s="93">
        <v>1991</v>
      </c>
      <c r="G1001" s="19" t="s">
        <v>330</v>
      </c>
      <c r="H1001" s="19"/>
      <c r="I1001" s="19" t="s">
        <v>41</v>
      </c>
      <c r="J1001" s="19" t="s">
        <v>63</v>
      </c>
      <c r="K1001" s="19" t="s">
        <v>64</v>
      </c>
      <c r="L1001" s="19" t="s">
        <v>65</v>
      </c>
      <c r="M1001" s="19" t="s">
        <v>260</v>
      </c>
      <c r="N1001" s="19" t="s">
        <v>66</v>
      </c>
      <c r="O1001" s="19" t="s">
        <v>67</v>
      </c>
      <c r="P1001" s="19" t="s">
        <v>53</v>
      </c>
      <c r="Q1001" s="19"/>
      <c r="R1001" s="19" t="s">
        <v>237</v>
      </c>
      <c r="S1001" s="19" t="s">
        <v>79</v>
      </c>
      <c r="T1001" s="19" t="s">
        <v>77</v>
      </c>
      <c r="U1001" s="19" t="s">
        <v>77</v>
      </c>
      <c r="V1001" s="19" t="s">
        <v>85</v>
      </c>
      <c r="W1001" s="19" t="s">
        <v>231</v>
      </c>
      <c r="X1001" s="19" t="s">
        <v>46</v>
      </c>
      <c r="Y1001" s="29"/>
      <c r="Z1001" s="19"/>
      <c r="AA1001" s="19"/>
      <c r="AB1001" s="19" t="s">
        <v>331</v>
      </c>
      <c r="AC1001" s="19" t="s">
        <v>1322</v>
      </c>
      <c r="AD1001" s="19"/>
      <c r="AE1001" s="19">
        <v>169</v>
      </c>
      <c r="AF1001" s="19">
        <v>169</v>
      </c>
      <c r="AG1001" s="19" t="s">
        <v>270</v>
      </c>
      <c r="AH1001" s="19"/>
      <c r="AI1001" s="19"/>
      <c r="AJ1001" s="19">
        <f>MEDIAN(7.8,8.2)</f>
        <v>8</v>
      </c>
      <c r="AK1001" s="19" t="s">
        <v>332</v>
      </c>
      <c r="AL1001" s="19"/>
      <c r="AM1001" s="19" t="s">
        <v>234</v>
      </c>
      <c r="AN1001" s="19" t="s">
        <v>234</v>
      </c>
      <c r="AO1001" s="19" t="s">
        <v>235</v>
      </c>
      <c r="AP1001" s="94"/>
      <c r="AQ1001" s="19" t="s">
        <v>234</v>
      </c>
      <c r="AR1001" s="19" t="s">
        <v>334</v>
      </c>
      <c r="AS1001" s="19"/>
      <c r="AT1001" s="65" t="str">
        <f t="shared" si="278"/>
        <v>N</v>
      </c>
      <c r="AU1001" s="65" t="str">
        <f t="shared" ref="AU1001:AU1075" si="306">IF(AT1001="N","N",IF(AJ1001&lt;6,"N",IF(AJ1001&gt;8.5,"N","Y")))</f>
        <v>N</v>
      </c>
      <c r="AV1001" s="65" t="str">
        <f t="shared" si="279"/>
        <v>N</v>
      </c>
      <c r="AW1001" s="99"/>
      <c r="AX1001" s="99"/>
      <c r="AY1001" s="19"/>
      <c r="AZ1001" s="96" t="str">
        <f t="shared" si="273"/>
        <v>n</v>
      </c>
      <c r="BA1001" s="96" t="str">
        <f>IF(AZ1001="n","n",VLOOKUP(AZ1001,'Conversion factors'!$C$4:$D$24,2,FALSE))</f>
        <v>n</v>
      </c>
      <c r="BB1001" s="96" t="str">
        <f t="shared" si="274"/>
        <v>n</v>
      </c>
      <c r="BC1001" s="97"/>
      <c r="BD1001" s="96" t="str">
        <f t="shared" si="280"/>
        <v>n</v>
      </c>
      <c r="BE1001" s="96" t="str">
        <f t="shared" si="276"/>
        <v>n</v>
      </c>
      <c r="BF1001" s="98" t="str">
        <f t="shared" si="281"/>
        <v/>
      </c>
      <c r="BG1001" s="96" t="str">
        <f>IF(BF1001="","",IF(ISNUMBER(VLOOKUP(BF1001,'Conversion factors'!$B$35:$C$52,2,FALSE)),"y","n"))</f>
        <v/>
      </c>
      <c r="BH1001" s="99"/>
      <c r="BI1001" s="100"/>
      <c r="BJ1001" s="100"/>
    </row>
    <row r="1002" spans="1:62" s="103" customFormat="1" ht="15.75" customHeight="1" x14ac:dyDescent="0.2">
      <c r="A1002" s="18"/>
      <c r="B1002" s="19">
        <v>184</v>
      </c>
      <c r="C1002" s="19"/>
      <c r="D1002" s="19">
        <v>17743</v>
      </c>
      <c r="E1002" s="19" t="s">
        <v>1224</v>
      </c>
      <c r="F1002" s="93">
        <v>1991</v>
      </c>
      <c r="G1002" s="19" t="s">
        <v>330</v>
      </c>
      <c r="H1002" s="19"/>
      <c r="I1002" s="19" t="s">
        <v>41</v>
      </c>
      <c r="J1002" s="19" t="s">
        <v>63</v>
      </c>
      <c r="K1002" s="19" t="s">
        <v>64</v>
      </c>
      <c r="L1002" s="19" t="s">
        <v>65</v>
      </c>
      <c r="M1002" s="19" t="s">
        <v>260</v>
      </c>
      <c r="N1002" s="19" t="s">
        <v>66</v>
      </c>
      <c r="O1002" s="19" t="s">
        <v>67</v>
      </c>
      <c r="P1002" s="19" t="s">
        <v>53</v>
      </c>
      <c r="Q1002" s="19"/>
      <c r="R1002" s="19" t="s">
        <v>237</v>
      </c>
      <c r="S1002" s="19" t="s">
        <v>79</v>
      </c>
      <c r="T1002" s="19" t="s">
        <v>77</v>
      </c>
      <c r="U1002" s="19" t="s">
        <v>77</v>
      </c>
      <c r="V1002" s="19" t="s">
        <v>85</v>
      </c>
      <c r="W1002" s="19" t="s">
        <v>231</v>
      </c>
      <c r="X1002" s="19" t="s">
        <v>46</v>
      </c>
      <c r="Y1002" s="29"/>
      <c r="Z1002" s="19"/>
      <c r="AA1002" s="19"/>
      <c r="AB1002" s="19" t="s">
        <v>279</v>
      </c>
      <c r="AC1002" s="19" t="s">
        <v>1322</v>
      </c>
      <c r="AD1002" s="19"/>
      <c r="AE1002" s="19">
        <v>169</v>
      </c>
      <c r="AF1002" s="19">
        <v>169</v>
      </c>
      <c r="AG1002" s="19" t="s">
        <v>270</v>
      </c>
      <c r="AH1002" s="19"/>
      <c r="AI1002" s="19"/>
      <c r="AJ1002" s="19">
        <f>MEDIAN(7.8,8.2)</f>
        <v>8</v>
      </c>
      <c r="AK1002" s="19" t="s">
        <v>332</v>
      </c>
      <c r="AL1002" s="19"/>
      <c r="AM1002" s="19" t="s">
        <v>234</v>
      </c>
      <c r="AN1002" s="19" t="s">
        <v>234</v>
      </c>
      <c r="AO1002" s="19" t="s">
        <v>235</v>
      </c>
      <c r="AP1002" s="94"/>
      <c r="AQ1002" s="19" t="s">
        <v>234</v>
      </c>
      <c r="AR1002" s="19" t="s">
        <v>334</v>
      </c>
      <c r="AS1002" s="19"/>
      <c r="AT1002" s="65" t="str">
        <f t="shared" si="278"/>
        <v>N</v>
      </c>
      <c r="AU1002" s="65" t="str">
        <f t="shared" si="306"/>
        <v>N</v>
      </c>
      <c r="AV1002" s="65" t="str">
        <f t="shared" si="279"/>
        <v>N</v>
      </c>
      <c r="AW1002" s="99"/>
      <c r="AX1002" s="99"/>
      <c r="AY1002" s="19"/>
      <c r="AZ1002" s="96" t="str">
        <f t="shared" ref="AZ1002:AZ1076" si="307">IF(AV1002="N","n",T1002)</f>
        <v>n</v>
      </c>
      <c r="BA1002" s="96" t="str">
        <f>IF(AZ1002="n","n",VLOOKUP(AZ1002,'Conversion factors'!$C$4:$D$24,2,FALSE))</f>
        <v>n</v>
      </c>
      <c r="BB1002" s="96" t="str">
        <f t="shared" ref="BB1002:BB1076" si="308">IF(BA1002="n","n",AB1002/BA1002)</f>
        <v>n</v>
      </c>
      <c r="BC1002" s="97"/>
      <c r="BD1002" s="96" t="str">
        <f t="shared" si="280"/>
        <v>n</v>
      </c>
      <c r="BE1002" s="96" t="str">
        <f t="shared" ref="BE1002:BE1076" si="309">IF(BD1002="chronic","y","n")</f>
        <v>n</v>
      </c>
      <c r="BF1002" s="98" t="str">
        <f t="shared" si="281"/>
        <v/>
      </c>
      <c r="BG1002" s="96" t="str">
        <f>IF(BF1002="","",IF(ISNUMBER(VLOOKUP(BF1002,'Conversion factors'!$B$35:$C$52,2,FALSE)),"y","n"))</f>
        <v/>
      </c>
      <c r="BH1002" s="99"/>
      <c r="BI1002" s="100"/>
      <c r="BJ1002" s="100"/>
    </row>
    <row r="1003" spans="1:62" s="103" customFormat="1" ht="15.75" customHeight="1" x14ac:dyDescent="0.2">
      <c r="A1003" s="18"/>
      <c r="B1003" s="19">
        <v>184</v>
      </c>
      <c r="C1003" s="19"/>
      <c r="D1003" s="19">
        <v>17743</v>
      </c>
      <c r="E1003" s="19" t="s">
        <v>1224</v>
      </c>
      <c r="F1003" s="93">
        <v>1991</v>
      </c>
      <c r="G1003" s="19" t="s">
        <v>330</v>
      </c>
      <c r="H1003" s="19"/>
      <c r="I1003" s="19" t="s">
        <v>41</v>
      </c>
      <c r="J1003" s="19" t="s">
        <v>63</v>
      </c>
      <c r="K1003" s="19" t="s">
        <v>64</v>
      </c>
      <c r="L1003" s="19" t="s">
        <v>65</v>
      </c>
      <c r="M1003" s="19" t="s">
        <v>260</v>
      </c>
      <c r="N1003" s="19" t="s">
        <v>66</v>
      </c>
      <c r="O1003" s="19" t="s">
        <v>67</v>
      </c>
      <c r="P1003" s="19" t="s">
        <v>53</v>
      </c>
      <c r="Q1003" s="19"/>
      <c r="R1003" s="19" t="s">
        <v>76</v>
      </c>
      <c r="S1003" s="19" t="s">
        <v>335</v>
      </c>
      <c r="T1003" s="19" t="s">
        <v>77</v>
      </c>
      <c r="U1003" s="19" t="s">
        <v>77</v>
      </c>
      <c r="V1003" s="19" t="s">
        <v>85</v>
      </c>
      <c r="W1003" s="19" t="s">
        <v>231</v>
      </c>
      <c r="X1003" s="19" t="s">
        <v>46</v>
      </c>
      <c r="Y1003" s="29"/>
      <c r="Z1003" s="19"/>
      <c r="AA1003" s="19"/>
      <c r="AB1003" s="19" t="s">
        <v>279</v>
      </c>
      <c r="AC1003" s="19" t="s">
        <v>1322</v>
      </c>
      <c r="AD1003" s="19"/>
      <c r="AE1003" s="19">
        <v>169</v>
      </c>
      <c r="AF1003" s="19">
        <v>169</v>
      </c>
      <c r="AG1003" s="19" t="s">
        <v>270</v>
      </c>
      <c r="AH1003" s="19"/>
      <c r="AI1003" s="19"/>
      <c r="AJ1003" s="19">
        <f>MEDIAN(7.8,8.2)</f>
        <v>8</v>
      </c>
      <c r="AK1003" s="19" t="s">
        <v>332</v>
      </c>
      <c r="AL1003" s="19"/>
      <c r="AM1003" s="19" t="s">
        <v>234</v>
      </c>
      <c r="AN1003" s="19" t="s">
        <v>234</v>
      </c>
      <c r="AO1003" s="19" t="s">
        <v>235</v>
      </c>
      <c r="AP1003" s="94"/>
      <c r="AQ1003" s="19" t="s">
        <v>234</v>
      </c>
      <c r="AR1003" s="19" t="s">
        <v>334</v>
      </c>
      <c r="AS1003" s="19"/>
      <c r="AT1003" s="65" t="str">
        <f t="shared" si="278"/>
        <v>N</v>
      </c>
      <c r="AU1003" s="65" t="str">
        <f t="shared" si="306"/>
        <v>N</v>
      </c>
      <c r="AV1003" s="65" t="str">
        <f t="shared" si="279"/>
        <v>N</v>
      </c>
      <c r="AW1003" s="99"/>
      <c r="AX1003" s="99"/>
      <c r="AY1003" s="19"/>
      <c r="AZ1003" s="96" t="str">
        <f t="shared" si="307"/>
        <v>n</v>
      </c>
      <c r="BA1003" s="96" t="str">
        <f>IF(AZ1003="n","n",VLOOKUP(AZ1003,'Conversion factors'!$C$4:$D$24,2,FALSE))</f>
        <v>n</v>
      </c>
      <c r="BB1003" s="96" t="str">
        <f t="shared" si="308"/>
        <v>n</v>
      </c>
      <c r="BC1003" s="97"/>
      <c r="BD1003" s="96" t="str">
        <f t="shared" si="280"/>
        <v>n</v>
      </c>
      <c r="BE1003" s="96" t="str">
        <f t="shared" si="309"/>
        <v>n</v>
      </c>
      <c r="BF1003" s="98" t="str">
        <f t="shared" si="281"/>
        <v/>
      </c>
      <c r="BG1003" s="96" t="str">
        <f>IF(BF1003="","",IF(ISNUMBER(VLOOKUP(BF1003,'Conversion factors'!$B$35:$C$52,2,FALSE)),"y","n"))</f>
        <v/>
      </c>
      <c r="BH1003" s="99"/>
      <c r="BI1003" s="100"/>
      <c r="BJ1003" s="100"/>
    </row>
    <row r="1004" spans="1:62" s="103" customFormat="1" ht="15.75" customHeight="1" x14ac:dyDescent="0.2">
      <c r="A1004" s="18"/>
      <c r="B1004" s="19">
        <v>184</v>
      </c>
      <c r="C1004" s="19"/>
      <c r="D1004" s="19">
        <v>17743</v>
      </c>
      <c r="E1004" s="19" t="s">
        <v>1224</v>
      </c>
      <c r="F1004" s="93">
        <v>1991</v>
      </c>
      <c r="G1004" s="19" t="s">
        <v>330</v>
      </c>
      <c r="H1004" s="19"/>
      <c r="I1004" s="19" t="s">
        <v>41</v>
      </c>
      <c r="J1004" s="19" t="s">
        <v>63</v>
      </c>
      <c r="K1004" s="19" t="s">
        <v>64</v>
      </c>
      <c r="L1004" s="19" t="s">
        <v>65</v>
      </c>
      <c r="M1004" s="19" t="s">
        <v>260</v>
      </c>
      <c r="N1004" s="19" t="s">
        <v>66</v>
      </c>
      <c r="O1004" s="19" t="s">
        <v>67</v>
      </c>
      <c r="P1004" s="19" t="s">
        <v>53</v>
      </c>
      <c r="Q1004" s="19"/>
      <c r="R1004" s="19" t="s">
        <v>76</v>
      </c>
      <c r="S1004" s="19" t="s">
        <v>335</v>
      </c>
      <c r="T1004" s="19" t="s">
        <v>77</v>
      </c>
      <c r="U1004" s="19" t="s">
        <v>77</v>
      </c>
      <c r="V1004" s="19" t="s">
        <v>85</v>
      </c>
      <c r="W1004" s="19" t="s">
        <v>231</v>
      </c>
      <c r="X1004" s="19" t="s">
        <v>46</v>
      </c>
      <c r="Y1004" s="29"/>
      <c r="Z1004" s="19"/>
      <c r="AA1004" s="19"/>
      <c r="AB1004" s="19">
        <v>70</v>
      </c>
      <c r="AC1004" s="19" t="s">
        <v>1322</v>
      </c>
      <c r="AD1004" s="19"/>
      <c r="AE1004" s="19">
        <v>169</v>
      </c>
      <c r="AF1004" s="19">
        <v>169</v>
      </c>
      <c r="AG1004" s="19" t="s">
        <v>270</v>
      </c>
      <c r="AH1004" s="19"/>
      <c r="AI1004" s="19"/>
      <c r="AJ1004" s="19">
        <f>MEDIAN(7.8,8.2)</f>
        <v>8</v>
      </c>
      <c r="AK1004" s="19" t="s">
        <v>332</v>
      </c>
      <c r="AL1004" s="19"/>
      <c r="AM1004" s="19" t="s">
        <v>234</v>
      </c>
      <c r="AN1004" s="19" t="s">
        <v>234</v>
      </c>
      <c r="AO1004" s="19" t="s">
        <v>235</v>
      </c>
      <c r="AP1004" s="94"/>
      <c r="AQ1004" s="19" t="s">
        <v>234</v>
      </c>
      <c r="AR1004" s="19" t="s">
        <v>334</v>
      </c>
      <c r="AS1004" s="19"/>
      <c r="AT1004" s="65" t="str">
        <f t="shared" si="278"/>
        <v>N</v>
      </c>
      <c r="AU1004" s="65" t="str">
        <f t="shared" si="306"/>
        <v>N</v>
      </c>
      <c r="AV1004" s="65" t="str">
        <f t="shared" si="279"/>
        <v>N</v>
      </c>
      <c r="AW1004" s="99"/>
      <c r="AX1004" s="99"/>
      <c r="AY1004" s="19"/>
      <c r="AZ1004" s="96" t="str">
        <f t="shared" si="307"/>
        <v>n</v>
      </c>
      <c r="BA1004" s="96" t="str">
        <f>IF(AZ1004="n","n",VLOOKUP(AZ1004,'Conversion factors'!$C$4:$D$24,2,FALSE))</f>
        <v>n</v>
      </c>
      <c r="BB1004" s="96" t="str">
        <f t="shared" si="308"/>
        <v>n</v>
      </c>
      <c r="BC1004" s="97"/>
      <c r="BD1004" s="96" t="str">
        <f t="shared" si="280"/>
        <v>n</v>
      </c>
      <c r="BE1004" s="96" t="str">
        <f t="shared" si="309"/>
        <v>n</v>
      </c>
      <c r="BF1004" s="98" t="str">
        <f t="shared" si="281"/>
        <v/>
      </c>
      <c r="BG1004" s="96" t="str">
        <f>IF(BF1004="","",IF(ISNUMBER(VLOOKUP(BF1004,'Conversion factors'!$B$35:$C$52,2,FALSE)),"y","n"))</f>
        <v/>
      </c>
      <c r="BH1004" s="99"/>
      <c r="BI1004" s="100"/>
      <c r="BJ1004" s="100"/>
    </row>
    <row r="1005" spans="1:62" s="103" customFormat="1" ht="15.75" customHeight="1" x14ac:dyDescent="0.2">
      <c r="A1005" s="18"/>
      <c r="B1005" s="19">
        <v>193</v>
      </c>
      <c r="C1005" s="19"/>
      <c r="D1005" s="19">
        <v>20435</v>
      </c>
      <c r="E1005" s="19" t="s">
        <v>1224</v>
      </c>
      <c r="F1005" s="93">
        <v>1999</v>
      </c>
      <c r="G1005" s="19" t="s">
        <v>377</v>
      </c>
      <c r="H1005" s="19"/>
      <c r="I1005" s="19" t="s">
        <v>41</v>
      </c>
      <c r="J1005" s="19" t="s">
        <v>63</v>
      </c>
      <c r="K1005" s="19" t="s">
        <v>64</v>
      </c>
      <c r="L1005" s="19" t="s">
        <v>65</v>
      </c>
      <c r="M1005" s="19" t="s">
        <v>260</v>
      </c>
      <c r="N1005" s="19" t="s">
        <v>66</v>
      </c>
      <c r="O1005" s="19" t="s">
        <v>235</v>
      </c>
      <c r="P1005" s="19" t="s">
        <v>53</v>
      </c>
      <c r="Q1005" s="19"/>
      <c r="R1005" s="19" t="s">
        <v>237</v>
      </c>
      <c r="S1005" s="19" t="s">
        <v>79</v>
      </c>
      <c r="T1005" s="19" t="s">
        <v>56</v>
      </c>
      <c r="U1005" s="19" t="s">
        <v>44</v>
      </c>
      <c r="V1005" s="19" t="s">
        <v>85</v>
      </c>
      <c r="W1005" s="19" t="s">
        <v>231</v>
      </c>
      <c r="X1005" s="19" t="s">
        <v>46</v>
      </c>
      <c r="Y1005" s="29"/>
      <c r="Z1005" s="19"/>
      <c r="AA1005" s="19"/>
      <c r="AB1005" s="19" t="s">
        <v>86</v>
      </c>
      <c r="AC1005" s="19" t="s">
        <v>1322</v>
      </c>
      <c r="AD1005" s="19"/>
      <c r="AE1005" s="19" t="s">
        <v>379</v>
      </c>
      <c r="AF1005" s="19" t="s">
        <v>379</v>
      </c>
      <c r="AG1005" s="19" t="s">
        <v>270</v>
      </c>
      <c r="AH1005" s="19"/>
      <c r="AI1005" s="19"/>
      <c r="AJ1005" s="19">
        <f>MEDIAN(6,7)</f>
        <v>6.5</v>
      </c>
      <c r="AK1005" s="19" t="s">
        <v>378</v>
      </c>
      <c r="AL1005" s="19"/>
      <c r="AM1005" s="19" t="s">
        <v>234</v>
      </c>
      <c r="AN1005" s="19" t="s">
        <v>379</v>
      </c>
      <c r="AO1005" s="19" t="s">
        <v>270</v>
      </c>
      <c r="AP1005" s="94"/>
      <c r="AQ1005" s="19" t="s">
        <v>97</v>
      </c>
      <c r="AR1005" s="19" t="s">
        <v>380</v>
      </c>
      <c r="AS1005" s="19"/>
      <c r="AT1005" s="65" t="str">
        <f t="shared" si="278"/>
        <v>N</v>
      </c>
      <c r="AU1005" s="65" t="str">
        <f t="shared" si="306"/>
        <v>N</v>
      </c>
      <c r="AV1005" s="65" t="str">
        <f t="shared" si="279"/>
        <v>N</v>
      </c>
      <c r="AW1005" s="99"/>
      <c r="AX1005" s="99"/>
      <c r="AY1005" s="19"/>
      <c r="AZ1005" s="96" t="str">
        <f t="shared" si="307"/>
        <v>n</v>
      </c>
      <c r="BA1005" s="96" t="str">
        <f>IF(AZ1005="n","n",VLOOKUP(AZ1005,'Conversion factors'!$C$4:$D$24,2,FALSE))</f>
        <v>n</v>
      </c>
      <c r="BB1005" s="96" t="str">
        <f t="shared" si="308"/>
        <v>n</v>
      </c>
      <c r="BC1005" s="97"/>
      <c r="BD1005" s="96" t="str">
        <f t="shared" si="280"/>
        <v>n</v>
      </c>
      <c r="BE1005" s="96" t="str">
        <f t="shared" si="309"/>
        <v>n</v>
      </c>
      <c r="BF1005" s="98" t="str">
        <f t="shared" si="281"/>
        <v/>
      </c>
      <c r="BG1005" s="96" t="str">
        <f>IF(BF1005="","",IF(ISNUMBER(VLOOKUP(BF1005,'Conversion factors'!$B$35:$C$52,2,FALSE)),"y","n"))</f>
        <v/>
      </c>
      <c r="BH1005" s="99"/>
      <c r="BI1005" s="100"/>
      <c r="BJ1005" s="100"/>
    </row>
    <row r="1006" spans="1:62" s="103" customFormat="1" ht="15.75" customHeight="1" x14ac:dyDescent="0.2">
      <c r="A1006" s="18"/>
      <c r="B1006" s="19">
        <v>250</v>
      </c>
      <c r="C1006" s="19"/>
      <c r="D1006" s="19">
        <v>83888</v>
      </c>
      <c r="E1006" s="19" t="s">
        <v>1224</v>
      </c>
      <c r="F1006" s="93">
        <v>2005</v>
      </c>
      <c r="G1006" s="19" t="s">
        <v>702</v>
      </c>
      <c r="H1006" s="19"/>
      <c r="I1006" s="19" t="s">
        <v>41</v>
      </c>
      <c r="J1006" s="19" t="s">
        <v>63</v>
      </c>
      <c r="K1006" s="19" t="s">
        <v>64</v>
      </c>
      <c r="L1006" s="19" t="s">
        <v>65</v>
      </c>
      <c r="M1006" s="19" t="s">
        <v>260</v>
      </c>
      <c r="N1006" s="19" t="s">
        <v>66</v>
      </c>
      <c r="O1006" s="19" t="s">
        <v>338</v>
      </c>
      <c r="P1006" s="19" t="s">
        <v>53</v>
      </c>
      <c r="Q1006" s="19"/>
      <c r="R1006" s="19" t="s">
        <v>237</v>
      </c>
      <c r="S1006" s="19" t="s">
        <v>79</v>
      </c>
      <c r="T1006" s="19" t="s">
        <v>56</v>
      </c>
      <c r="U1006" s="19" t="s">
        <v>44</v>
      </c>
      <c r="V1006" s="19" t="s">
        <v>85</v>
      </c>
      <c r="W1006" s="19" t="s">
        <v>231</v>
      </c>
      <c r="X1006" s="19" t="s">
        <v>46</v>
      </c>
      <c r="Y1006" s="29"/>
      <c r="Z1006" s="19"/>
      <c r="AA1006" s="19"/>
      <c r="AB1006" s="19" t="s">
        <v>703</v>
      </c>
      <c r="AC1006" s="19" t="s">
        <v>1322</v>
      </c>
      <c r="AD1006" s="19"/>
      <c r="AE1006" s="19" t="s">
        <v>1297</v>
      </c>
      <c r="AF1006" s="19" t="s">
        <v>1297</v>
      </c>
      <c r="AG1006" s="19" t="s">
        <v>270</v>
      </c>
      <c r="AH1006" s="19"/>
      <c r="AI1006" s="19"/>
      <c r="AJ1006" s="19">
        <f>MEDIAN(8.24,8.31)</f>
        <v>8.2750000000000004</v>
      </c>
      <c r="AK1006" s="19" t="s">
        <v>1502</v>
      </c>
      <c r="AL1006" s="19"/>
      <c r="AM1006" s="19" t="s">
        <v>234</v>
      </c>
      <c r="AN1006" s="19" t="s">
        <v>704</v>
      </c>
      <c r="AO1006" s="19" t="s">
        <v>270</v>
      </c>
      <c r="AP1006" s="94"/>
      <c r="AQ1006" s="19" t="s">
        <v>102</v>
      </c>
      <c r="AR1006" s="19" t="s">
        <v>241</v>
      </c>
      <c r="AS1006" s="19"/>
      <c r="AT1006" s="65" t="str">
        <f t="shared" si="278"/>
        <v>N</v>
      </c>
      <c r="AU1006" s="65" t="str">
        <f t="shared" si="306"/>
        <v>N</v>
      </c>
      <c r="AV1006" s="65" t="s">
        <v>162</v>
      </c>
      <c r="AW1006" s="99" t="s">
        <v>1405</v>
      </c>
      <c r="AX1006" s="99"/>
      <c r="AY1006" s="19"/>
      <c r="AZ1006" s="96" t="str">
        <f t="shared" si="307"/>
        <v>n</v>
      </c>
      <c r="BA1006" s="96" t="str">
        <f>IF(AZ1006="n","n",VLOOKUP(AZ1006,'Conversion factors'!$C$4:$D$24,2,FALSE))</f>
        <v>n</v>
      </c>
      <c r="BB1006" s="96" t="str">
        <f t="shared" si="308"/>
        <v>n</v>
      </c>
      <c r="BC1006" s="97"/>
      <c r="BD1006" s="96" t="str">
        <f t="shared" si="280"/>
        <v>n</v>
      </c>
      <c r="BE1006" s="96" t="str">
        <f t="shared" si="309"/>
        <v>n</v>
      </c>
      <c r="BF1006" s="98" t="str">
        <f t="shared" si="281"/>
        <v/>
      </c>
      <c r="BG1006" s="96" t="str">
        <f>IF(BF1006="","",IF(ISNUMBER(VLOOKUP(BF1006,'Conversion factors'!$B$35:$C$52,2,FALSE)),"y","n"))</f>
        <v/>
      </c>
      <c r="BH1006" s="99"/>
      <c r="BI1006" s="100"/>
      <c r="BJ1006" s="100"/>
    </row>
    <row r="1007" spans="1:62" s="103" customFormat="1" ht="15.75" customHeight="1" x14ac:dyDescent="0.2">
      <c r="A1007" s="18"/>
      <c r="B1007" s="19">
        <v>250</v>
      </c>
      <c r="C1007" s="19"/>
      <c r="D1007" s="19">
        <v>83888</v>
      </c>
      <c r="E1007" s="19" t="s">
        <v>1224</v>
      </c>
      <c r="F1007" s="93">
        <v>2005</v>
      </c>
      <c r="G1007" s="19" t="s">
        <v>702</v>
      </c>
      <c r="H1007" s="19"/>
      <c r="I1007" s="19" t="s">
        <v>41</v>
      </c>
      <c r="J1007" s="19" t="s">
        <v>63</v>
      </c>
      <c r="K1007" s="19" t="s">
        <v>64</v>
      </c>
      <c r="L1007" s="19" t="s">
        <v>65</v>
      </c>
      <c r="M1007" s="19" t="s">
        <v>260</v>
      </c>
      <c r="N1007" s="19" t="s">
        <v>66</v>
      </c>
      <c r="O1007" s="19" t="s">
        <v>338</v>
      </c>
      <c r="P1007" s="19" t="s">
        <v>53</v>
      </c>
      <c r="Q1007" s="19"/>
      <c r="R1007" s="19" t="s">
        <v>237</v>
      </c>
      <c r="S1007" s="19" t="s">
        <v>79</v>
      </c>
      <c r="T1007" s="19" t="s">
        <v>56</v>
      </c>
      <c r="U1007" s="19" t="s">
        <v>44</v>
      </c>
      <c r="V1007" s="19" t="s">
        <v>85</v>
      </c>
      <c r="W1007" s="19" t="s">
        <v>231</v>
      </c>
      <c r="X1007" s="19" t="s">
        <v>46</v>
      </c>
      <c r="Y1007" s="29"/>
      <c r="Z1007" s="19"/>
      <c r="AA1007" s="19"/>
      <c r="AB1007" s="19" t="s">
        <v>622</v>
      </c>
      <c r="AC1007" s="19" t="s">
        <v>1322</v>
      </c>
      <c r="AD1007" s="19"/>
      <c r="AE1007" s="19" t="s">
        <v>1297</v>
      </c>
      <c r="AF1007" s="19" t="s">
        <v>1297</v>
      </c>
      <c r="AG1007" s="19" t="s">
        <v>270</v>
      </c>
      <c r="AH1007" s="19"/>
      <c r="AI1007" s="19"/>
      <c r="AJ1007" s="19">
        <f>MEDIAN(8.24,8.31)</f>
        <v>8.2750000000000004</v>
      </c>
      <c r="AK1007" s="19" t="s">
        <v>1502</v>
      </c>
      <c r="AL1007" s="19"/>
      <c r="AM1007" s="19" t="s">
        <v>234</v>
      </c>
      <c r="AN1007" s="19" t="s">
        <v>704</v>
      </c>
      <c r="AO1007" s="19" t="s">
        <v>270</v>
      </c>
      <c r="AP1007" s="94"/>
      <c r="AQ1007" s="19" t="s">
        <v>102</v>
      </c>
      <c r="AR1007" s="19" t="s">
        <v>241</v>
      </c>
      <c r="AS1007" s="19"/>
      <c r="AT1007" s="65" t="str">
        <f t="shared" si="278"/>
        <v>N</v>
      </c>
      <c r="AU1007" s="65" t="str">
        <f t="shared" si="306"/>
        <v>N</v>
      </c>
      <c r="AV1007" s="65" t="s">
        <v>162</v>
      </c>
      <c r="AW1007" s="99" t="s">
        <v>1405</v>
      </c>
      <c r="AX1007" s="99"/>
      <c r="AY1007" s="19"/>
      <c r="AZ1007" s="96" t="str">
        <f t="shared" si="307"/>
        <v>n</v>
      </c>
      <c r="BA1007" s="96" t="str">
        <f>IF(AZ1007="n","n",VLOOKUP(AZ1007,'Conversion factors'!$C$4:$D$24,2,FALSE))</f>
        <v>n</v>
      </c>
      <c r="BB1007" s="96" t="str">
        <f t="shared" si="308"/>
        <v>n</v>
      </c>
      <c r="BC1007" s="97"/>
      <c r="BD1007" s="96" t="str">
        <f t="shared" si="280"/>
        <v>n</v>
      </c>
      <c r="BE1007" s="96" t="str">
        <f t="shared" si="309"/>
        <v>n</v>
      </c>
      <c r="BF1007" s="98" t="str">
        <f t="shared" si="281"/>
        <v/>
      </c>
      <c r="BG1007" s="96" t="str">
        <f>IF(BF1007="","",IF(ISNUMBER(VLOOKUP(BF1007,'Conversion factors'!$B$35:$C$52,2,FALSE)),"y","n"))</f>
        <v/>
      </c>
      <c r="BH1007" s="99"/>
      <c r="BI1007" s="100"/>
      <c r="BJ1007" s="100"/>
    </row>
    <row r="1008" spans="1:62" s="103" customFormat="1" ht="15.75" customHeight="1" x14ac:dyDescent="0.2">
      <c r="A1008" s="18"/>
      <c r="B1008" s="19">
        <v>309</v>
      </c>
      <c r="C1008" s="19"/>
      <c r="D1008" s="19">
        <v>115778</v>
      </c>
      <c r="E1008" s="19" t="s">
        <v>1224</v>
      </c>
      <c r="F1008" s="93">
        <v>2009</v>
      </c>
      <c r="G1008" s="19" t="s">
        <v>1066</v>
      </c>
      <c r="H1008" s="19"/>
      <c r="I1008" s="19" t="s">
        <v>41</v>
      </c>
      <c r="J1008" s="19" t="s">
        <v>63</v>
      </c>
      <c r="K1008" s="19" t="s">
        <v>64</v>
      </c>
      <c r="L1008" s="19" t="s">
        <v>65</v>
      </c>
      <c r="M1008" s="19" t="s">
        <v>260</v>
      </c>
      <c r="N1008" s="19" t="s">
        <v>66</v>
      </c>
      <c r="O1008" s="19" t="s">
        <v>338</v>
      </c>
      <c r="P1008" s="19" t="s">
        <v>53</v>
      </c>
      <c r="Q1008" s="19"/>
      <c r="R1008" s="19" t="s">
        <v>237</v>
      </c>
      <c r="S1008" s="19" t="s">
        <v>414</v>
      </c>
      <c r="T1008" s="19" t="s">
        <v>55</v>
      </c>
      <c r="U1008" s="19" t="s">
        <v>55</v>
      </c>
      <c r="V1008" s="19" t="s">
        <v>85</v>
      </c>
      <c r="W1008" s="19" t="s">
        <v>231</v>
      </c>
      <c r="X1008" s="19" t="s">
        <v>46</v>
      </c>
      <c r="Y1008" s="29"/>
      <c r="Z1008" s="19"/>
      <c r="AA1008" s="19"/>
      <c r="AB1008" s="19" t="s">
        <v>1070</v>
      </c>
      <c r="AC1008" s="19" t="s">
        <v>214</v>
      </c>
      <c r="AD1008" s="19"/>
      <c r="AE1008" s="19">
        <v>82.4</v>
      </c>
      <c r="AF1008" s="19">
        <v>82.4</v>
      </c>
      <c r="AG1008" s="19" t="s">
        <v>270</v>
      </c>
      <c r="AH1008" s="19"/>
      <c r="AI1008" s="19"/>
      <c r="AJ1008" s="19">
        <v>7.5</v>
      </c>
      <c r="AK1008" s="19" t="s">
        <v>544</v>
      </c>
      <c r="AL1008" s="19"/>
      <c r="AM1008" s="19" t="s">
        <v>234</v>
      </c>
      <c r="AN1008" s="19" t="s">
        <v>234</v>
      </c>
      <c r="AO1008" s="19" t="s">
        <v>235</v>
      </c>
      <c r="AP1008" s="94"/>
      <c r="AQ1008" s="19" t="s">
        <v>1068</v>
      </c>
      <c r="AR1008" s="19" t="s">
        <v>1069</v>
      </c>
      <c r="AS1008" s="19"/>
      <c r="AT1008" s="65" t="str">
        <f t="shared" si="278"/>
        <v>Y</v>
      </c>
      <c r="AU1008" s="65" t="str">
        <f t="shared" si="306"/>
        <v>Y</v>
      </c>
      <c r="AV1008" s="65" t="str">
        <f t="shared" ref="AV1008:AV1016" si="310">AU1008</f>
        <v>Y</v>
      </c>
      <c r="AW1008" s="99"/>
      <c r="AX1008" s="99"/>
      <c r="AY1008" s="19"/>
      <c r="AZ1008" s="96" t="str">
        <f t="shared" si="307"/>
        <v>LOEC</v>
      </c>
      <c r="BA1008" s="96">
        <f>IF(AZ1008="n","n",VLOOKUP(AZ1008,'Conversion factors'!$C$4:$D$24,2,FALSE))</f>
        <v>2.5</v>
      </c>
      <c r="BB1008" s="96">
        <f t="shared" si="308"/>
        <v>86.56</v>
      </c>
      <c r="BC1008" s="97"/>
      <c r="BD1008" s="96" t="str">
        <f t="shared" si="280"/>
        <v>Chronic</v>
      </c>
      <c r="BE1008" s="96" t="str">
        <f t="shared" si="309"/>
        <v>y</v>
      </c>
      <c r="BF1008" s="98" t="str">
        <f t="shared" si="281"/>
        <v>LOEC</v>
      </c>
      <c r="BG1008" s="96" t="str">
        <f>IF(BF1008="","",IF(ISNUMBER(VLOOKUP(BF1008,'Conversion factors'!$B$35:$C$52,2,FALSE)),"y","n"))</f>
        <v>n</v>
      </c>
      <c r="BH1008" s="99" t="s">
        <v>1464</v>
      </c>
      <c r="BI1008" s="100"/>
      <c r="BJ1008" s="100"/>
    </row>
    <row r="1009" spans="1:62" s="103" customFormat="1" ht="15.75" customHeight="1" x14ac:dyDescent="0.2">
      <c r="A1009" s="18"/>
      <c r="B1009" s="19">
        <v>309</v>
      </c>
      <c r="C1009" s="19"/>
      <c r="D1009" s="19">
        <v>115778</v>
      </c>
      <c r="E1009" s="19" t="s">
        <v>1224</v>
      </c>
      <c r="F1009" s="93">
        <v>2009</v>
      </c>
      <c r="G1009" s="19" t="s">
        <v>1066</v>
      </c>
      <c r="H1009" s="19"/>
      <c r="I1009" s="19" t="s">
        <v>41</v>
      </c>
      <c r="J1009" s="19" t="s">
        <v>63</v>
      </c>
      <c r="K1009" s="19" t="s">
        <v>64</v>
      </c>
      <c r="L1009" s="99" t="s">
        <v>65</v>
      </c>
      <c r="M1009" s="19" t="s">
        <v>260</v>
      </c>
      <c r="N1009" s="19" t="s">
        <v>66</v>
      </c>
      <c r="O1009" s="19" t="s">
        <v>338</v>
      </c>
      <c r="P1009" s="19" t="s">
        <v>53</v>
      </c>
      <c r="Q1009" s="19"/>
      <c r="R1009" s="19" t="s">
        <v>237</v>
      </c>
      <c r="S1009" s="19" t="s">
        <v>414</v>
      </c>
      <c r="T1009" s="19" t="s">
        <v>54</v>
      </c>
      <c r="U1009" s="19" t="s">
        <v>54</v>
      </c>
      <c r="V1009" s="19" t="s">
        <v>85</v>
      </c>
      <c r="W1009" s="19" t="s">
        <v>231</v>
      </c>
      <c r="X1009" s="19" t="s">
        <v>46</v>
      </c>
      <c r="Y1009" s="29"/>
      <c r="Z1009" s="19"/>
      <c r="AA1009" s="19"/>
      <c r="AB1009" s="19" t="s">
        <v>1072</v>
      </c>
      <c r="AC1009" s="19" t="s">
        <v>214</v>
      </c>
      <c r="AD1009" s="19"/>
      <c r="AE1009" s="19">
        <v>82.4</v>
      </c>
      <c r="AF1009" s="19">
        <v>82.4</v>
      </c>
      <c r="AG1009" s="19" t="s">
        <v>270</v>
      </c>
      <c r="AH1009" s="19"/>
      <c r="AI1009" s="19"/>
      <c r="AJ1009" s="101">
        <v>7.5</v>
      </c>
      <c r="AK1009" s="19" t="s">
        <v>544</v>
      </c>
      <c r="AL1009" s="19"/>
      <c r="AM1009" s="19"/>
      <c r="AN1009" s="19" t="s">
        <v>234</v>
      </c>
      <c r="AO1009" s="19" t="s">
        <v>235</v>
      </c>
      <c r="AP1009" s="94"/>
      <c r="AQ1009" s="19" t="s">
        <v>1068</v>
      </c>
      <c r="AR1009" s="19" t="s">
        <v>1069</v>
      </c>
      <c r="AS1009" s="19"/>
      <c r="AT1009" s="65" t="str">
        <f t="shared" si="278"/>
        <v>Y</v>
      </c>
      <c r="AU1009" s="65" t="str">
        <f t="shared" si="306"/>
        <v>Y</v>
      </c>
      <c r="AV1009" s="65" t="str">
        <f t="shared" si="310"/>
        <v>Y</v>
      </c>
      <c r="AW1009" s="99"/>
      <c r="AX1009" s="99" t="s">
        <v>1643</v>
      </c>
      <c r="AY1009" s="19"/>
      <c r="AZ1009" s="96" t="str">
        <f t="shared" si="307"/>
        <v>NOEC</v>
      </c>
      <c r="BA1009" s="96">
        <f>IF(AZ1009="n","n",VLOOKUP(AZ1009,'Conversion factors'!$C$4:$D$24,2,FALSE))</f>
        <v>1</v>
      </c>
      <c r="BB1009" s="96">
        <f t="shared" si="308"/>
        <v>101.1</v>
      </c>
      <c r="BC1009" s="97"/>
      <c r="BD1009" s="96" t="str">
        <f t="shared" si="280"/>
        <v>Chronic</v>
      </c>
      <c r="BE1009" s="96" t="str">
        <f t="shared" si="309"/>
        <v>y</v>
      </c>
      <c r="BF1009" s="98" t="str">
        <f t="shared" si="281"/>
        <v>NOEC</v>
      </c>
      <c r="BG1009" s="96" t="str">
        <f>IF(BF1009="","",IF(ISNUMBER(VLOOKUP(BF1009,'Conversion factors'!$B$35:$C$52,2,FALSE)),"y","n"))</f>
        <v>y</v>
      </c>
      <c r="BH1009" s="99" t="s">
        <v>1512</v>
      </c>
      <c r="BI1009" s="19" t="s">
        <v>1643</v>
      </c>
      <c r="BJ1009" s="100"/>
    </row>
    <row r="1010" spans="1:62" s="103" customFormat="1" ht="15.75" customHeight="1" x14ac:dyDescent="0.2">
      <c r="A1010" s="18"/>
      <c r="B1010" s="19">
        <v>309</v>
      </c>
      <c r="C1010" s="19"/>
      <c r="D1010" s="19">
        <v>115778</v>
      </c>
      <c r="E1010" s="19" t="s">
        <v>1224</v>
      </c>
      <c r="F1010" s="93">
        <v>2009</v>
      </c>
      <c r="G1010" s="19" t="s">
        <v>1066</v>
      </c>
      <c r="H1010" s="19"/>
      <c r="I1010" s="19" t="s">
        <v>41</v>
      </c>
      <c r="J1010" s="19" t="s">
        <v>63</v>
      </c>
      <c r="K1010" s="19" t="s">
        <v>64</v>
      </c>
      <c r="L1010" s="19" t="s">
        <v>65</v>
      </c>
      <c r="M1010" s="19" t="s">
        <v>260</v>
      </c>
      <c r="N1010" s="19" t="s">
        <v>66</v>
      </c>
      <c r="O1010" s="19" t="s">
        <v>338</v>
      </c>
      <c r="P1010" s="19" t="s">
        <v>53</v>
      </c>
      <c r="Q1010" s="19"/>
      <c r="R1010" s="19" t="s">
        <v>76</v>
      </c>
      <c r="S1010" s="19" t="s">
        <v>534</v>
      </c>
      <c r="T1010" s="19" t="s">
        <v>44</v>
      </c>
      <c r="U1010" s="19" t="s">
        <v>44</v>
      </c>
      <c r="V1010" s="19" t="s">
        <v>85</v>
      </c>
      <c r="W1010" s="19" t="s">
        <v>231</v>
      </c>
      <c r="X1010" s="19" t="s">
        <v>46</v>
      </c>
      <c r="Y1010" s="29"/>
      <c r="Z1010" s="19"/>
      <c r="AA1010" s="19"/>
      <c r="AB1010" s="19" t="s">
        <v>1067</v>
      </c>
      <c r="AC1010" s="19" t="s">
        <v>214</v>
      </c>
      <c r="AD1010" s="19"/>
      <c r="AE1010" s="19">
        <v>82.4</v>
      </c>
      <c r="AF1010" s="19">
        <v>82.4</v>
      </c>
      <c r="AG1010" s="19" t="s">
        <v>270</v>
      </c>
      <c r="AH1010" s="19"/>
      <c r="AI1010" s="19"/>
      <c r="AJ1010" s="19">
        <v>7.5</v>
      </c>
      <c r="AK1010" s="19" t="s">
        <v>544</v>
      </c>
      <c r="AL1010" s="19"/>
      <c r="AM1010" s="19" t="s">
        <v>234</v>
      </c>
      <c r="AN1010" s="19" t="s">
        <v>234</v>
      </c>
      <c r="AO1010" s="19" t="s">
        <v>235</v>
      </c>
      <c r="AP1010" s="94"/>
      <c r="AQ1010" s="19" t="s">
        <v>1068</v>
      </c>
      <c r="AR1010" s="19" t="s">
        <v>1069</v>
      </c>
      <c r="AS1010" s="19"/>
      <c r="AT1010" s="65" t="str">
        <f t="shared" si="278"/>
        <v>Y</v>
      </c>
      <c r="AU1010" s="65" t="str">
        <f t="shared" si="306"/>
        <v>Y</v>
      </c>
      <c r="AV1010" s="65" t="str">
        <f t="shared" si="310"/>
        <v>Y</v>
      </c>
      <c r="AW1010" s="99"/>
      <c r="AX1010" s="99"/>
      <c r="AY1010" s="19"/>
      <c r="AZ1010" s="96" t="str">
        <f t="shared" si="307"/>
        <v>EC50</v>
      </c>
      <c r="BA1010" s="96">
        <f>IF(AZ1010="n","n",VLOOKUP(AZ1010,'Conversion factors'!$C$4:$D$24,2,FALSE))</f>
        <v>5</v>
      </c>
      <c r="BB1010" s="96">
        <f t="shared" si="308"/>
        <v>4.3600000000000003</v>
      </c>
      <c r="BC1010" s="97"/>
      <c r="BD1010" s="96" t="str">
        <f t="shared" si="280"/>
        <v>Chronic</v>
      </c>
      <c r="BE1010" s="96" t="str">
        <f t="shared" si="309"/>
        <v>y</v>
      </c>
      <c r="BF1010" s="98" t="str">
        <f t="shared" si="281"/>
        <v>EC50</v>
      </c>
      <c r="BG1010" s="96" t="str">
        <f>IF(BF1010="","",IF(ISNUMBER(VLOOKUP(BF1010,'Conversion factors'!$B$35:$C$52,2,FALSE)),"y","n"))</f>
        <v>n</v>
      </c>
      <c r="BH1010" s="99" t="s">
        <v>1464</v>
      </c>
      <c r="BI1010" s="100"/>
      <c r="BJ1010" s="100"/>
    </row>
    <row r="1011" spans="1:62" s="103" customFormat="1" ht="15.75" customHeight="1" x14ac:dyDescent="0.2">
      <c r="A1011" s="18"/>
      <c r="B1011" s="19">
        <v>309</v>
      </c>
      <c r="C1011" s="19"/>
      <c r="D1011" s="19">
        <v>115778</v>
      </c>
      <c r="E1011" s="19" t="s">
        <v>1224</v>
      </c>
      <c r="F1011" s="93">
        <v>2009</v>
      </c>
      <c r="G1011" s="19" t="s">
        <v>1066</v>
      </c>
      <c r="H1011" s="19"/>
      <c r="I1011" s="19" t="s">
        <v>41</v>
      </c>
      <c r="J1011" s="19" t="s">
        <v>63</v>
      </c>
      <c r="K1011" s="19" t="s">
        <v>64</v>
      </c>
      <c r="L1011" s="19" t="s">
        <v>65</v>
      </c>
      <c r="M1011" s="19" t="s">
        <v>260</v>
      </c>
      <c r="N1011" s="19" t="s">
        <v>66</v>
      </c>
      <c r="O1011" s="19" t="s">
        <v>338</v>
      </c>
      <c r="P1011" s="19" t="s">
        <v>53</v>
      </c>
      <c r="Q1011" s="19"/>
      <c r="R1011" s="19" t="s">
        <v>76</v>
      </c>
      <c r="S1011" s="19" t="s">
        <v>534</v>
      </c>
      <c r="T1011" s="19" t="s">
        <v>55</v>
      </c>
      <c r="U1011" s="19" t="s">
        <v>55</v>
      </c>
      <c r="V1011" s="19" t="s">
        <v>85</v>
      </c>
      <c r="W1011" s="19" t="s">
        <v>231</v>
      </c>
      <c r="X1011" s="19" t="s">
        <v>46</v>
      </c>
      <c r="Y1011" s="29"/>
      <c r="Z1011" s="19"/>
      <c r="AA1011" s="19"/>
      <c r="AB1011" s="19" t="s">
        <v>1071</v>
      </c>
      <c r="AC1011" s="19" t="s">
        <v>214</v>
      </c>
      <c r="AD1011" s="19"/>
      <c r="AE1011" s="19">
        <v>82.4</v>
      </c>
      <c r="AF1011" s="19">
        <v>82.4</v>
      </c>
      <c r="AG1011" s="19" t="s">
        <v>270</v>
      </c>
      <c r="AH1011" s="19"/>
      <c r="AI1011" s="19"/>
      <c r="AJ1011" s="19">
        <v>7.5</v>
      </c>
      <c r="AK1011" s="19" t="s">
        <v>544</v>
      </c>
      <c r="AL1011" s="19"/>
      <c r="AM1011" s="19" t="s">
        <v>234</v>
      </c>
      <c r="AN1011" s="19" t="s">
        <v>234</v>
      </c>
      <c r="AO1011" s="19" t="s">
        <v>235</v>
      </c>
      <c r="AP1011" s="94"/>
      <c r="AQ1011" s="19" t="s">
        <v>1068</v>
      </c>
      <c r="AR1011" s="19" t="s">
        <v>1069</v>
      </c>
      <c r="AS1011" s="19"/>
      <c r="AT1011" s="65" t="str">
        <f t="shared" si="278"/>
        <v>Y</v>
      </c>
      <c r="AU1011" s="65" t="str">
        <f t="shared" si="306"/>
        <v>Y</v>
      </c>
      <c r="AV1011" s="65" t="str">
        <f t="shared" si="310"/>
        <v>Y</v>
      </c>
      <c r="AW1011" s="99"/>
      <c r="AX1011" s="99"/>
      <c r="AY1011" s="19"/>
      <c r="AZ1011" s="96" t="str">
        <f t="shared" si="307"/>
        <v>LOEC</v>
      </c>
      <c r="BA1011" s="96">
        <f>IF(AZ1011="n","n",VLOOKUP(AZ1011,'Conversion factors'!$C$4:$D$24,2,FALSE))</f>
        <v>2.5</v>
      </c>
      <c r="BB1011" s="96">
        <f t="shared" si="308"/>
        <v>10.040000000000001</v>
      </c>
      <c r="BC1011" s="97"/>
      <c r="BD1011" s="96" t="str">
        <f t="shared" si="280"/>
        <v>Chronic</v>
      </c>
      <c r="BE1011" s="96" t="str">
        <f t="shared" si="309"/>
        <v>y</v>
      </c>
      <c r="BF1011" s="98" t="str">
        <f t="shared" si="281"/>
        <v>LOEC</v>
      </c>
      <c r="BG1011" s="96" t="str">
        <f>IF(BF1011="","",IF(ISNUMBER(VLOOKUP(BF1011,'Conversion factors'!$B$35:$C$52,2,FALSE)),"y","n"))</f>
        <v>n</v>
      </c>
      <c r="BH1011" s="99" t="s">
        <v>1464</v>
      </c>
      <c r="BI1011" s="100"/>
      <c r="BJ1011" s="100"/>
    </row>
    <row r="1012" spans="1:62" s="103" customFormat="1" ht="15.75" customHeight="1" x14ac:dyDescent="0.2">
      <c r="A1012" s="18"/>
      <c r="B1012" s="19">
        <v>309</v>
      </c>
      <c r="C1012" s="19"/>
      <c r="D1012" s="19">
        <v>115778</v>
      </c>
      <c r="E1012" s="19" t="s">
        <v>1224</v>
      </c>
      <c r="F1012" s="93">
        <v>2009</v>
      </c>
      <c r="G1012" s="19" t="s">
        <v>1066</v>
      </c>
      <c r="H1012" s="19"/>
      <c r="I1012" s="19" t="s">
        <v>41</v>
      </c>
      <c r="J1012" s="19" t="s">
        <v>63</v>
      </c>
      <c r="K1012" s="19" t="s">
        <v>64</v>
      </c>
      <c r="L1012" s="99" t="s">
        <v>65</v>
      </c>
      <c r="M1012" s="19" t="s">
        <v>260</v>
      </c>
      <c r="N1012" s="19" t="s">
        <v>66</v>
      </c>
      <c r="O1012" s="19" t="s">
        <v>338</v>
      </c>
      <c r="P1012" s="19" t="s">
        <v>53</v>
      </c>
      <c r="Q1012" s="19"/>
      <c r="R1012" s="19" t="s">
        <v>76</v>
      </c>
      <c r="S1012" s="19" t="s">
        <v>534</v>
      </c>
      <c r="T1012" s="19" t="s">
        <v>54</v>
      </c>
      <c r="U1012" s="19" t="s">
        <v>54</v>
      </c>
      <c r="V1012" s="19" t="s">
        <v>85</v>
      </c>
      <c r="W1012" s="19" t="s">
        <v>231</v>
      </c>
      <c r="X1012" s="19" t="s">
        <v>46</v>
      </c>
      <c r="Y1012" s="29"/>
      <c r="Z1012" s="19"/>
      <c r="AA1012" s="19"/>
      <c r="AB1012" s="19" t="s">
        <v>420</v>
      </c>
      <c r="AC1012" s="19" t="s">
        <v>214</v>
      </c>
      <c r="AD1012" s="19"/>
      <c r="AE1012" s="19">
        <v>82.4</v>
      </c>
      <c r="AF1012" s="19">
        <v>82.4</v>
      </c>
      <c r="AG1012" s="19" t="s">
        <v>270</v>
      </c>
      <c r="AH1012" s="19"/>
      <c r="AI1012" s="19"/>
      <c r="AJ1012" s="101">
        <v>7.5</v>
      </c>
      <c r="AK1012" s="19" t="s">
        <v>544</v>
      </c>
      <c r="AL1012" s="19"/>
      <c r="AM1012" s="19"/>
      <c r="AN1012" s="19" t="s">
        <v>234</v>
      </c>
      <c r="AO1012" s="19" t="s">
        <v>235</v>
      </c>
      <c r="AP1012" s="94"/>
      <c r="AQ1012" s="19" t="s">
        <v>1068</v>
      </c>
      <c r="AR1012" s="19" t="s">
        <v>1069</v>
      </c>
      <c r="AS1012" s="19"/>
      <c r="AT1012" s="65" t="str">
        <f t="shared" si="278"/>
        <v>Y</v>
      </c>
      <c r="AU1012" s="65" t="str">
        <f t="shared" si="306"/>
        <v>Y</v>
      </c>
      <c r="AV1012" s="65" t="str">
        <f t="shared" si="310"/>
        <v>Y</v>
      </c>
      <c r="AW1012" s="99"/>
      <c r="AX1012" s="99" t="s">
        <v>1643</v>
      </c>
      <c r="AY1012" s="19"/>
      <c r="AZ1012" s="96" t="str">
        <f t="shared" si="307"/>
        <v>NOEC</v>
      </c>
      <c r="BA1012" s="96">
        <f>IF(AZ1012="n","n",VLOOKUP(AZ1012,'Conversion factors'!$C$4:$D$24,2,FALSE))</f>
        <v>1</v>
      </c>
      <c r="BB1012" s="96">
        <f t="shared" si="308"/>
        <v>13</v>
      </c>
      <c r="BC1012" s="97"/>
      <c r="BD1012" s="96" t="str">
        <f t="shared" si="280"/>
        <v>Chronic</v>
      </c>
      <c r="BE1012" s="96" t="str">
        <f t="shared" si="309"/>
        <v>y</v>
      </c>
      <c r="BF1012" s="98" t="str">
        <f t="shared" si="281"/>
        <v>NOEC</v>
      </c>
      <c r="BG1012" s="96" t="str">
        <f>IF(BF1012="","",IF(ISNUMBER(VLOOKUP(BF1012,'Conversion factors'!$B$35:$C$52,2,FALSE)),"y","n"))</f>
        <v>y</v>
      </c>
      <c r="BH1012" s="99" t="s">
        <v>1512</v>
      </c>
      <c r="BI1012" s="19" t="s">
        <v>1643</v>
      </c>
      <c r="BJ1012" s="100"/>
    </row>
    <row r="1013" spans="1:62" s="103" customFormat="1" ht="15.75" customHeight="1" x14ac:dyDescent="0.2">
      <c r="A1013" s="18"/>
      <c r="B1013" s="19">
        <v>314</v>
      </c>
      <c r="C1013" s="19"/>
      <c r="D1013" s="19">
        <v>118322</v>
      </c>
      <c r="E1013" s="19" t="s">
        <v>1224</v>
      </c>
      <c r="F1013" s="93">
        <v>2009</v>
      </c>
      <c r="G1013" s="19" t="s">
        <v>1107</v>
      </c>
      <c r="H1013" s="19"/>
      <c r="I1013" s="19" t="s">
        <v>41</v>
      </c>
      <c r="J1013" s="19" t="s">
        <v>63</v>
      </c>
      <c r="K1013" s="19" t="s">
        <v>64</v>
      </c>
      <c r="L1013" s="19" t="s">
        <v>65</v>
      </c>
      <c r="M1013" s="19" t="s">
        <v>260</v>
      </c>
      <c r="N1013" s="19" t="s">
        <v>66</v>
      </c>
      <c r="O1013" s="19" t="s">
        <v>67</v>
      </c>
      <c r="P1013" s="19" t="s">
        <v>53</v>
      </c>
      <c r="Q1013" s="19"/>
      <c r="R1013" s="19" t="s">
        <v>237</v>
      </c>
      <c r="S1013" s="19" t="s">
        <v>79</v>
      </c>
      <c r="T1013" s="19" t="s">
        <v>56</v>
      </c>
      <c r="U1013" s="19" t="s">
        <v>44</v>
      </c>
      <c r="V1013" s="19" t="s">
        <v>85</v>
      </c>
      <c r="W1013" s="19" t="s">
        <v>45</v>
      </c>
      <c r="X1013" s="19" t="s">
        <v>46</v>
      </c>
      <c r="Y1013" s="29"/>
      <c r="Z1013" s="19"/>
      <c r="AA1013" s="19"/>
      <c r="AB1013" s="19" t="s">
        <v>1110</v>
      </c>
      <c r="AC1013" s="19" t="s">
        <v>1322</v>
      </c>
      <c r="AD1013" s="19"/>
      <c r="AE1013" s="19"/>
      <c r="AF1013" s="19"/>
      <c r="AG1013" s="19" t="s">
        <v>1109</v>
      </c>
      <c r="AH1013" s="19"/>
      <c r="AI1013" s="19"/>
      <c r="AJ1013" s="19" t="s">
        <v>1503</v>
      </c>
      <c r="AK1013" s="19" t="s">
        <v>234</v>
      </c>
      <c r="AL1013" s="19"/>
      <c r="AM1013" s="19" t="s">
        <v>234</v>
      </c>
      <c r="AN1013" s="19" t="s">
        <v>234</v>
      </c>
      <c r="AO1013" s="19" t="s">
        <v>235</v>
      </c>
      <c r="AP1013" s="94"/>
      <c r="AQ1013" s="19" t="s">
        <v>102</v>
      </c>
      <c r="AR1013" s="19" t="s">
        <v>241</v>
      </c>
      <c r="AS1013" s="19"/>
      <c r="AT1013" s="65" t="str">
        <f t="shared" si="278"/>
        <v>N</v>
      </c>
      <c r="AU1013" s="65" t="str">
        <f t="shared" si="306"/>
        <v>N</v>
      </c>
      <c r="AV1013" s="65" t="str">
        <f t="shared" si="310"/>
        <v>N</v>
      </c>
      <c r="AW1013" s="99"/>
      <c r="AX1013" s="99"/>
      <c r="AY1013" s="19"/>
      <c r="AZ1013" s="96" t="str">
        <f t="shared" si="307"/>
        <v>n</v>
      </c>
      <c r="BA1013" s="96" t="str">
        <f>IF(AZ1013="n","n",VLOOKUP(AZ1013,'Conversion factors'!$C$4:$D$24,2,FALSE))</f>
        <v>n</v>
      </c>
      <c r="BB1013" s="96" t="str">
        <f t="shared" si="308"/>
        <v>n</v>
      </c>
      <c r="BC1013" s="97"/>
      <c r="BD1013" s="96" t="str">
        <f t="shared" si="280"/>
        <v>n</v>
      </c>
      <c r="BE1013" s="96" t="str">
        <f t="shared" si="309"/>
        <v>n</v>
      </c>
      <c r="BF1013" s="98" t="str">
        <f t="shared" si="281"/>
        <v/>
      </c>
      <c r="BG1013" s="96" t="str">
        <f>IF(BF1013="","",IF(ISNUMBER(VLOOKUP(BF1013,'Conversion factors'!$B$35:$C$52,2,FALSE)),"y","n"))</f>
        <v/>
      </c>
      <c r="BH1013" s="99" t="s">
        <v>1464</v>
      </c>
      <c r="BI1013" s="100"/>
      <c r="BJ1013" s="100"/>
    </row>
    <row r="1014" spans="1:62" s="103" customFormat="1" ht="15.75" customHeight="1" x14ac:dyDescent="0.2">
      <c r="A1014" s="18"/>
      <c r="B1014" s="19">
        <v>314</v>
      </c>
      <c r="C1014" s="19"/>
      <c r="D1014" s="19">
        <v>118322</v>
      </c>
      <c r="E1014" s="19" t="s">
        <v>1224</v>
      </c>
      <c r="F1014" s="93">
        <v>2009</v>
      </c>
      <c r="G1014" s="19" t="s">
        <v>1107</v>
      </c>
      <c r="H1014" s="19"/>
      <c r="I1014" s="19" t="s">
        <v>41</v>
      </c>
      <c r="J1014" s="19" t="s">
        <v>63</v>
      </c>
      <c r="K1014" s="19" t="s">
        <v>64</v>
      </c>
      <c r="L1014" s="19" t="s">
        <v>65</v>
      </c>
      <c r="M1014" s="19" t="s">
        <v>260</v>
      </c>
      <c r="N1014" s="19" t="s">
        <v>66</v>
      </c>
      <c r="O1014" s="19" t="s">
        <v>67</v>
      </c>
      <c r="P1014" s="19" t="s">
        <v>53</v>
      </c>
      <c r="Q1014" s="19"/>
      <c r="R1014" s="19" t="s">
        <v>237</v>
      </c>
      <c r="S1014" s="19" t="s">
        <v>414</v>
      </c>
      <c r="T1014" s="19" t="s">
        <v>54</v>
      </c>
      <c r="U1014" s="19" t="s">
        <v>54</v>
      </c>
      <c r="V1014" s="19" t="s">
        <v>85</v>
      </c>
      <c r="W1014" s="19" t="s">
        <v>45</v>
      </c>
      <c r="X1014" s="19" t="s">
        <v>46</v>
      </c>
      <c r="Y1014" s="29"/>
      <c r="Z1014" s="19"/>
      <c r="AA1014" s="19"/>
      <c r="AB1014" s="19" t="s">
        <v>262</v>
      </c>
      <c r="AC1014" s="19" t="s">
        <v>1322</v>
      </c>
      <c r="AD1014" s="19"/>
      <c r="AE1014" s="19"/>
      <c r="AF1014" s="19"/>
      <c r="AG1014" s="19" t="s">
        <v>1109</v>
      </c>
      <c r="AH1014" s="19"/>
      <c r="AI1014" s="19"/>
      <c r="AJ1014" s="19" t="s">
        <v>1503</v>
      </c>
      <c r="AK1014" s="19" t="s">
        <v>234</v>
      </c>
      <c r="AL1014" s="19"/>
      <c r="AM1014" s="19" t="s">
        <v>234</v>
      </c>
      <c r="AN1014" s="19" t="s">
        <v>234</v>
      </c>
      <c r="AO1014" s="19" t="s">
        <v>235</v>
      </c>
      <c r="AP1014" s="94"/>
      <c r="AQ1014" s="19" t="s">
        <v>102</v>
      </c>
      <c r="AR1014" s="19" t="s">
        <v>241</v>
      </c>
      <c r="AS1014" s="19"/>
      <c r="AT1014" s="65" t="str">
        <f t="shared" si="278"/>
        <v>N</v>
      </c>
      <c r="AU1014" s="65" t="str">
        <f t="shared" si="306"/>
        <v>N</v>
      </c>
      <c r="AV1014" s="65" t="str">
        <f t="shared" si="310"/>
        <v>N</v>
      </c>
      <c r="AW1014" s="99"/>
      <c r="AX1014" s="99"/>
      <c r="AY1014" s="19"/>
      <c r="AZ1014" s="96" t="str">
        <f t="shared" si="307"/>
        <v>n</v>
      </c>
      <c r="BA1014" s="96" t="str">
        <f>IF(AZ1014="n","n",VLOOKUP(AZ1014,'Conversion factors'!$C$4:$D$24,2,FALSE))</f>
        <v>n</v>
      </c>
      <c r="BB1014" s="96" t="str">
        <f t="shared" si="308"/>
        <v>n</v>
      </c>
      <c r="BC1014" s="97"/>
      <c r="BD1014" s="96" t="str">
        <f t="shared" si="280"/>
        <v>n</v>
      </c>
      <c r="BE1014" s="96" t="str">
        <f t="shared" si="309"/>
        <v>n</v>
      </c>
      <c r="BF1014" s="98" t="str">
        <f t="shared" si="281"/>
        <v/>
      </c>
      <c r="BG1014" s="96" t="str">
        <f>IF(BF1014="","",IF(ISNUMBER(VLOOKUP(BF1014,'Conversion factors'!$B$35:$C$52,2,FALSE)),"y","n"))</f>
        <v/>
      </c>
      <c r="BH1014" s="99"/>
      <c r="BI1014" s="120"/>
      <c r="BJ1014" s="120"/>
    </row>
    <row r="1015" spans="1:62" s="103" customFormat="1" ht="15.75" customHeight="1" x14ac:dyDescent="0.2">
      <c r="A1015" s="18"/>
      <c r="B1015" s="19">
        <v>314</v>
      </c>
      <c r="C1015" s="19"/>
      <c r="D1015" s="19">
        <v>118322</v>
      </c>
      <c r="E1015" s="19" t="s">
        <v>1224</v>
      </c>
      <c r="F1015" s="93">
        <v>2009</v>
      </c>
      <c r="G1015" s="19" t="s">
        <v>1107</v>
      </c>
      <c r="H1015" s="19"/>
      <c r="I1015" s="19" t="s">
        <v>41</v>
      </c>
      <c r="J1015" s="19" t="s">
        <v>63</v>
      </c>
      <c r="K1015" s="19" t="s">
        <v>64</v>
      </c>
      <c r="L1015" s="19" t="s">
        <v>65</v>
      </c>
      <c r="M1015" s="19" t="s">
        <v>260</v>
      </c>
      <c r="N1015" s="19" t="s">
        <v>66</v>
      </c>
      <c r="O1015" s="19" t="s">
        <v>67</v>
      </c>
      <c r="P1015" s="19" t="s">
        <v>53</v>
      </c>
      <c r="Q1015" s="19"/>
      <c r="R1015" s="19" t="s">
        <v>76</v>
      </c>
      <c r="S1015" s="19" t="s">
        <v>534</v>
      </c>
      <c r="T1015" s="19" t="s">
        <v>346</v>
      </c>
      <c r="U1015" s="19" t="s">
        <v>346</v>
      </c>
      <c r="V1015" s="19" t="s">
        <v>85</v>
      </c>
      <c r="W1015" s="19" t="s">
        <v>45</v>
      </c>
      <c r="X1015" s="19" t="s">
        <v>46</v>
      </c>
      <c r="Y1015" s="29"/>
      <c r="Z1015" s="19"/>
      <c r="AA1015" s="19"/>
      <c r="AB1015" s="19" t="s">
        <v>1108</v>
      </c>
      <c r="AC1015" s="19" t="s">
        <v>1322</v>
      </c>
      <c r="AD1015" s="19"/>
      <c r="AE1015" s="19"/>
      <c r="AF1015" s="19"/>
      <c r="AG1015" s="19" t="s">
        <v>1109</v>
      </c>
      <c r="AH1015" s="19"/>
      <c r="AI1015" s="19"/>
      <c r="AJ1015" s="19" t="s">
        <v>1503</v>
      </c>
      <c r="AK1015" s="19" t="s">
        <v>234</v>
      </c>
      <c r="AL1015" s="19"/>
      <c r="AM1015" s="19" t="s">
        <v>234</v>
      </c>
      <c r="AN1015" s="19" t="s">
        <v>234</v>
      </c>
      <c r="AO1015" s="19" t="s">
        <v>235</v>
      </c>
      <c r="AP1015" s="94"/>
      <c r="AQ1015" s="19" t="s">
        <v>102</v>
      </c>
      <c r="AR1015" s="19" t="s">
        <v>241</v>
      </c>
      <c r="AS1015" s="19"/>
      <c r="AT1015" s="65" t="str">
        <f t="shared" si="278"/>
        <v>N</v>
      </c>
      <c r="AU1015" s="65" t="str">
        <f t="shared" si="306"/>
        <v>N</v>
      </c>
      <c r="AV1015" s="65" t="str">
        <f t="shared" si="310"/>
        <v>N</v>
      </c>
      <c r="AW1015" s="99"/>
      <c r="AX1015" s="99"/>
      <c r="AY1015" s="19"/>
      <c r="AZ1015" s="96" t="str">
        <f t="shared" si="307"/>
        <v>n</v>
      </c>
      <c r="BA1015" s="96" t="str">
        <f>IF(AZ1015="n","n",VLOOKUP(AZ1015,'Conversion factors'!$C$4:$D$24,2,FALSE))</f>
        <v>n</v>
      </c>
      <c r="BB1015" s="96" t="str">
        <f t="shared" si="308"/>
        <v>n</v>
      </c>
      <c r="BC1015" s="97"/>
      <c r="BD1015" s="96" t="str">
        <f t="shared" si="280"/>
        <v>n</v>
      </c>
      <c r="BE1015" s="96" t="str">
        <f t="shared" si="309"/>
        <v>n</v>
      </c>
      <c r="BF1015" s="98" t="str">
        <f t="shared" si="281"/>
        <v/>
      </c>
      <c r="BG1015" s="96" t="str">
        <f>IF(BF1015="","",IF(ISNUMBER(VLOOKUP(BF1015,'Conversion factors'!$B$35:$C$52,2,FALSE)),"y","n"))</f>
        <v/>
      </c>
      <c r="BH1015" s="99" t="s">
        <v>1464</v>
      </c>
      <c r="BI1015" s="100"/>
      <c r="BJ1015" s="100"/>
    </row>
    <row r="1016" spans="1:62" s="103" customFormat="1" ht="15.75" customHeight="1" x14ac:dyDescent="0.2">
      <c r="A1016" s="18"/>
      <c r="B1016" s="19">
        <v>314</v>
      </c>
      <c r="C1016" s="19"/>
      <c r="D1016" s="19">
        <v>118322</v>
      </c>
      <c r="E1016" s="19" t="s">
        <v>1224</v>
      </c>
      <c r="F1016" s="93">
        <v>2009</v>
      </c>
      <c r="G1016" s="19" t="s">
        <v>1107</v>
      </c>
      <c r="H1016" s="19"/>
      <c r="I1016" s="19" t="s">
        <v>41</v>
      </c>
      <c r="J1016" s="19" t="s">
        <v>63</v>
      </c>
      <c r="K1016" s="19" t="s">
        <v>64</v>
      </c>
      <c r="L1016" s="19" t="s">
        <v>65</v>
      </c>
      <c r="M1016" s="19" t="s">
        <v>260</v>
      </c>
      <c r="N1016" s="19" t="s">
        <v>66</v>
      </c>
      <c r="O1016" s="19" t="s">
        <v>67</v>
      </c>
      <c r="P1016" s="19" t="s">
        <v>53</v>
      </c>
      <c r="Q1016" s="19"/>
      <c r="R1016" s="19" t="s">
        <v>76</v>
      </c>
      <c r="S1016" s="19" t="s">
        <v>534</v>
      </c>
      <c r="T1016" s="19" t="s">
        <v>54</v>
      </c>
      <c r="U1016" s="19" t="s">
        <v>54</v>
      </c>
      <c r="V1016" s="19" t="s">
        <v>85</v>
      </c>
      <c r="W1016" s="19" t="s">
        <v>45</v>
      </c>
      <c r="X1016" s="19" t="s">
        <v>46</v>
      </c>
      <c r="Y1016" s="29"/>
      <c r="Z1016" s="19"/>
      <c r="AA1016" s="19"/>
      <c r="AB1016" s="19" t="s">
        <v>959</v>
      </c>
      <c r="AC1016" s="19" t="s">
        <v>1322</v>
      </c>
      <c r="AD1016" s="19"/>
      <c r="AE1016" s="19"/>
      <c r="AF1016" s="19"/>
      <c r="AG1016" s="19" t="s">
        <v>1109</v>
      </c>
      <c r="AH1016" s="19"/>
      <c r="AI1016" s="19"/>
      <c r="AJ1016" s="19" t="s">
        <v>1503</v>
      </c>
      <c r="AK1016" s="19" t="s">
        <v>234</v>
      </c>
      <c r="AL1016" s="19"/>
      <c r="AM1016" s="19" t="s">
        <v>234</v>
      </c>
      <c r="AN1016" s="19" t="s">
        <v>234</v>
      </c>
      <c r="AO1016" s="19" t="s">
        <v>235</v>
      </c>
      <c r="AP1016" s="94"/>
      <c r="AQ1016" s="19" t="s">
        <v>102</v>
      </c>
      <c r="AR1016" s="19" t="s">
        <v>241</v>
      </c>
      <c r="AS1016" s="19"/>
      <c r="AT1016" s="65" t="str">
        <f t="shared" si="278"/>
        <v>N</v>
      </c>
      <c r="AU1016" s="65" t="str">
        <f t="shared" si="306"/>
        <v>N</v>
      </c>
      <c r="AV1016" s="65" t="str">
        <f t="shared" si="310"/>
        <v>N</v>
      </c>
      <c r="AW1016" s="99"/>
      <c r="AX1016" s="99"/>
      <c r="AY1016" s="19"/>
      <c r="AZ1016" s="96" t="str">
        <f t="shared" si="307"/>
        <v>n</v>
      </c>
      <c r="BA1016" s="96" t="str">
        <f>IF(AZ1016="n","n",VLOOKUP(AZ1016,'Conversion factors'!$C$4:$D$24,2,FALSE))</f>
        <v>n</v>
      </c>
      <c r="BB1016" s="96" t="str">
        <f t="shared" si="308"/>
        <v>n</v>
      </c>
      <c r="BC1016" s="97"/>
      <c r="BD1016" s="96" t="str">
        <f t="shared" si="280"/>
        <v>n</v>
      </c>
      <c r="BE1016" s="96" t="str">
        <f t="shared" si="309"/>
        <v>n</v>
      </c>
      <c r="BF1016" s="98" t="str">
        <f t="shared" si="281"/>
        <v/>
      </c>
      <c r="BG1016" s="96" t="str">
        <f>IF(BF1016="","",IF(ISNUMBER(VLOOKUP(BF1016,'Conversion factors'!$B$35:$C$52,2,FALSE)),"y","n"))</f>
        <v/>
      </c>
      <c r="BH1016" s="99"/>
      <c r="BI1016" s="100"/>
      <c r="BJ1016" s="100"/>
    </row>
    <row r="1017" spans="1:62" s="103" customFormat="1" ht="15.75" customHeight="1" x14ac:dyDescent="0.2">
      <c r="A1017" s="18"/>
      <c r="B1017" s="35">
        <v>101</v>
      </c>
      <c r="C1017" s="35"/>
      <c r="D1017" s="35"/>
      <c r="E1017" s="19" t="s">
        <v>62</v>
      </c>
      <c r="F1017" s="93">
        <v>2015</v>
      </c>
      <c r="G1017" s="19" t="s">
        <v>1491</v>
      </c>
      <c r="H1017" s="19" t="s">
        <v>53</v>
      </c>
      <c r="I1017" s="19" t="s">
        <v>41</v>
      </c>
      <c r="J1017" s="19" t="s">
        <v>63</v>
      </c>
      <c r="K1017" s="19" t="s">
        <v>64</v>
      </c>
      <c r="L1017" s="19" t="s">
        <v>65</v>
      </c>
      <c r="M1017" s="19" t="s">
        <v>260</v>
      </c>
      <c r="N1017" s="19" t="s">
        <v>66</v>
      </c>
      <c r="O1017" s="19" t="s">
        <v>67</v>
      </c>
      <c r="P1017" s="19" t="s">
        <v>53</v>
      </c>
      <c r="Q1017" s="19"/>
      <c r="R1017" s="19" t="s">
        <v>68</v>
      </c>
      <c r="S1017" s="19" t="s">
        <v>69</v>
      </c>
      <c r="T1017" s="19" t="s">
        <v>49</v>
      </c>
      <c r="U1017" s="19" t="s">
        <v>49</v>
      </c>
      <c r="V1017" s="19" t="s">
        <v>70</v>
      </c>
      <c r="W1017" s="19"/>
      <c r="X1017" s="19" t="s">
        <v>46</v>
      </c>
      <c r="Y1017" s="19"/>
      <c r="Z1017" s="19"/>
      <c r="AA1017" s="19"/>
      <c r="AB1017" s="19">
        <v>89.300394715242433</v>
      </c>
      <c r="AC1017" s="19" t="s">
        <v>214</v>
      </c>
      <c r="AD1017" s="19"/>
      <c r="AE1017" s="19">
        <v>181</v>
      </c>
      <c r="AF1017" s="19">
        <v>181</v>
      </c>
      <c r="AG1017" s="19"/>
      <c r="AH1017" s="19"/>
      <c r="AI1017" s="19"/>
      <c r="AJ1017" s="19">
        <f>MEDIAN(8.4,8.7)</f>
        <v>8.5500000000000007</v>
      </c>
      <c r="AK1017" s="19" t="s">
        <v>71</v>
      </c>
      <c r="AL1017" s="19"/>
      <c r="AM1017" s="19" t="s">
        <v>72</v>
      </c>
      <c r="AN1017" s="19">
        <v>127</v>
      </c>
      <c r="AO1017" s="19"/>
      <c r="AP1017" s="94" t="s">
        <v>73</v>
      </c>
      <c r="AQ1017" s="19">
        <v>25</v>
      </c>
      <c r="AR1017" s="19"/>
      <c r="AS1017" s="19"/>
      <c r="AT1017" s="65" t="str">
        <f t="shared" si="278"/>
        <v>Y</v>
      </c>
      <c r="AU1017" s="65" t="str">
        <f t="shared" si="306"/>
        <v>N</v>
      </c>
      <c r="AV1017" s="65" t="s">
        <v>162</v>
      </c>
      <c r="AW1017" s="99" t="s">
        <v>1483</v>
      </c>
      <c r="AX1017" s="99"/>
      <c r="AY1017" s="19"/>
      <c r="AZ1017" s="96" t="str">
        <f t="shared" si="307"/>
        <v>n</v>
      </c>
      <c r="BA1017" s="96" t="str">
        <f>IF(AZ1017="n","n",VLOOKUP(AZ1017,'Conversion factors'!$C$4:$D$24,2,FALSE))</f>
        <v>n</v>
      </c>
      <c r="BB1017" s="96" t="str">
        <f t="shared" si="308"/>
        <v>n</v>
      </c>
      <c r="BC1017" s="121"/>
      <c r="BD1017" s="96" t="str">
        <f t="shared" si="280"/>
        <v>n</v>
      </c>
      <c r="BE1017" s="96" t="str">
        <f t="shared" si="309"/>
        <v>n</v>
      </c>
      <c r="BF1017" s="119" t="str">
        <f t="shared" si="281"/>
        <v/>
      </c>
      <c r="BG1017" s="96" t="str">
        <f>IF(BF1017="","",IF(ISNUMBER(VLOOKUP(BF1017,'Conversion factors'!$B$35:$C$52,2,FALSE)),"y","n"))</f>
        <v/>
      </c>
      <c r="BH1017" s="122"/>
      <c r="BI1017" s="119"/>
      <c r="BJ1017" s="119"/>
    </row>
    <row r="1018" spans="1:62" s="103" customFormat="1" ht="15.75" customHeight="1" x14ac:dyDescent="0.2">
      <c r="A1018" s="18"/>
      <c r="B1018" s="35">
        <v>101</v>
      </c>
      <c r="C1018" s="35"/>
      <c r="D1018" s="35"/>
      <c r="E1018" s="19" t="s">
        <v>62</v>
      </c>
      <c r="F1018" s="93">
        <v>2015</v>
      </c>
      <c r="G1018" s="19" t="s">
        <v>1491</v>
      </c>
      <c r="H1018" s="19" t="s">
        <v>53</v>
      </c>
      <c r="I1018" s="19" t="s">
        <v>41</v>
      </c>
      <c r="J1018" s="19" t="s">
        <v>63</v>
      </c>
      <c r="K1018" s="19" t="s">
        <v>64</v>
      </c>
      <c r="L1018" s="99" t="s">
        <v>65</v>
      </c>
      <c r="M1018" s="19" t="s">
        <v>260</v>
      </c>
      <c r="N1018" s="19" t="s">
        <v>66</v>
      </c>
      <c r="O1018" s="19" t="s">
        <v>67</v>
      </c>
      <c r="P1018" s="19" t="s">
        <v>53</v>
      </c>
      <c r="Q1018" s="19"/>
      <c r="R1018" s="19" t="s">
        <v>68</v>
      </c>
      <c r="S1018" s="19" t="s">
        <v>69</v>
      </c>
      <c r="T1018" s="19" t="s">
        <v>49</v>
      </c>
      <c r="U1018" s="19" t="s">
        <v>49</v>
      </c>
      <c r="V1018" s="19" t="s">
        <v>70</v>
      </c>
      <c r="W1018" s="19"/>
      <c r="X1018" s="19" t="s">
        <v>46</v>
      </c>
      <c r="Y1018" s="19"/>
      <c r="Z1018" s="19"/>
      <c r="AA1018" s="19"/>
      <c r="AB1018" s="19">
        <v>46.6</v>
      </c>
      <c r="AC1018" s="19" t="s">
        <v>214</v>
      </c>
      <c r="AD1018" s="19"/>
      <c r="AE1018" s="19">
        <v>40</v>
      </c>
      <c r="AF1018" s="19">
        <v>40</v>
      </c>
      <c r="AG1018" s="19"/>
      <c r="AH1018" s="19"/>
      <c r="AI1018" s="19"/>
      <c r="AJ1018" s="19">
        <f>MEDIAN(7.1,7.9)</f>
        <v>7.5</v>
      </c>
      <c r="AK1018" s="19" t="s">
        <v>74</v>
      </c>
      <c r="AL1018" s="19"/>
      <c r="AM1018" s="19"/>
      <c r="AN1018" s="19">
        <v>28</v>
      </c>
      <c r="AO1018" s="19"/>
      <c r="AP1018" s="94" t="s">
        <v>73</v>
      </c>
      <c r="AQ1018" s="19">
        <v>25</v>
      </c>
      <c r="AR1018" s="19"/>
      <c r="AS1018" s="19"/>
      <c r="AT1018" s="65" t="str">
        <f t="shared" si="278"/>
        <v>Y</v>
      </c>
      <c r="AU1018" s="65" t="str">
        <f t="shared" si="306"/>
        <v>Y</v>
      </c>
      <c r="AV1018" s="65" t="str">
        <f>AU1018</f>
        <v>Y</v>
      </c>
      <c r="AW1018" s="122"/>
      <c r="AX1018" s="122"/>
      <c r="AY1018" s="19"/>
      <c r="AZ1018" s="96" t="str">
        <f t="shared" si="307"/>
        <v>EC10</v>
      </c>
      <c r="BA1018" s="96">
        <f>IF(AZ1018="n","n",VLOOKUP(AZ1018,'Conversion factors'!$C$4:$D$24,2,FALSE))</f>
        <v>1</v>
      </c>
      <c r="BB1018" s="96">
        <f t="shared" si="308"/>
        <v>46.6</v>
      </c>
      <c r="BC1018" s="121"/>
      <c r="BD1018" s="96" t="str">
        <f t="shared" si="280"/>
        <v>Chronic</v>
      </c>
      <c r="BE1018" s="96" t="str">
        <f t="shared" si="309"/>
        <v>y</v>
      </c>
      <c r="BF1018" s="119" t="str">
        <f t="shared" si="281"/>
        <v>EC10</v>
      </c>
      <c r="BG1018" s="96" t="str">
        <f>IF(BF1018="","",IF(ISNUMBER(VLOOKUP(BF1018,'Conversion factors'!$B$35:$C$52,2,FALSE)),"y","n"))</f>
        <v>y</v>
      </c>
      <c r="BH1018" s="122"/>
      <c r="BI1018" s="119"/>
      <c r="BJ1018" s="119"/>
    </row>
    <row r="1019" spans="1:62" s="103" customFormat="1" ht="15.75" customHeight="1" x14ac:dyDescent="0.2">
      <c r="A1019" s="18"/>
      <c r="B1019" s="35">
        <v>101</v>
      </c>
      <c r="C1019" s="35"/>
      <c r="D1019" s="35"/>
      <c r="E1019" s="19" t="s">
        <v>62</v>
      </c>
      <c r="F1019" s="93">
        <v>2015</v>
      </c>
      <c r="G1019" s="19" t="s">
        <v>1491</v>
      </c>
      <c r="H1019" s="19" t="s">
        <v>53</v>
      </c>
      <c r="I1019" s="19" t="s">
        <v>41</v>
      </c>
      <c r="J1019" s="19" t="s">
        <v>63</v>
      </c>
      <c r="K1019" s="19" t="s">
        <v>64</v>
      </c>
      <c r="L1019" s="19" t="s">
        <v>65</v>
      </c>
      <c r="M1019" s="19" t="s">
        <v>260</v>
      </c>
      <c r="N1019" s="19" t="s">
        <v>66</v>
      </c>
      <c r="O1019" s="19" t="s">
        <v>67</v>
      </c>
      <c r="P1019" s="19" t="s">
        <v>53</v>
      </c>
      <c r="Q1019" s="19"/>
      <c r="R1019" s="19" t="s">
        <v>68</v>
      </c>
      <c r="S1019" s="19" t="s">
        <v>69</v>
      </c>
      <c r="T1019" s="19" t="s">
        <v>44</v>
      </c>
      <c r="U1019" s="19" t="s">
        <v>44</v>
      </c>
      <c r="V1019" s="19" t="s">
        <v>70</v>
      </c>
      <c r="W1019" s="19"/>
      <c r="X1019" s="19" t="s">
        <v>46</v>
      </c>
      <c r="Y1019" s="19"/>
      <c r="Z1019" s="19"/>
      <c r="AA1019" s="19"/>
      <c r="AB1019" s="19">
        <v>119</v>
      </c>
      <c r="AC1019" s="19" t="s">
        <v>214</v>
      </c>
      <c r="AD1019" s="19"/>
      <c r="AE1019" s="19">
        <v>181</v>
      </c>
      <c r="AF1019" s="19">
        <v>181</v>
      </c>
      <c r="AG1019" s="19"/>
      <c r="AH1019" s="19"/>
      <c r="AI1019" s="19"/>
      <c r="AJ1019" s="19">
        <f>MEDIAN(8.5,8.7)</f>
        <v>8.6</v>
      </c>
      <c r="AK1019" s="19" t="s">
        <v>75</v>
      </c>
      <c r="AL1019" s="19"/>
      <c r="AM1019" s="19" t="s">
        <v>72</v>
      </c>
      <c r="AN1019" s="19">
        <v>127</v>
      </c>
      <c r="AO1019" s="19"/>
      <c r="AP1019" s="94" t="s">
        <v>73</v>
      </c>
      <c r="AQ1019" s="19">
        <v>25</v>
      </c>
      <c r="AR1019" s="19"/>
      <c r="AS1019" s="19"/>
      <c r="AT1019" s="65" t="str">
        <f t="shared" si="278"/>
        <v>Y</v>
      </c>
      <c r="AU1019" s="65" t="str">
        <f t="shared" si="306"/>
        <v>N</v>
      </c>
      <c r="AV1019" s="65" t="s">
        <v>162</v>
      </c>
      <c r="AW1019" s="99" t="s">
        <v>1483</v>
      </c>
      <c r="AX1019" s="99"/>
      <c r="AY1019" s="19"/>
      <c r="AZ1019" s="96" t="str">
        <f t="shared" si="307"/>
        <v>n</v>
      </c>
      <c r="BA1019" s="96" t="str">
        <f>IF(AZ1019="n","n",VLOOKUP(AZ1019,'Conversion factors'!$C$4:$D$24,2,FALSE))</f>
        <v>n</v>
      </c>
      <c r="BB1019" s="96" t="str">
        <f t="shared" si="308"/>
        <v>n</v>
      </c>
      <c r="BC1019" s="121"/>
      <c r="BD1019" s="96" t="str">
        <f t="shared" si="280"/>
        <v>n</v>
      </c>
      <c r="BE1019" s="96" t="str">
        <f t="shared" si="309"/>
        <v>n</v>
      </c>
      <c r="BF1019" s="119" t="str">
        <f t="shared" si="281"/>
        <v/>
      </c>
      <c r="BG1019" s="96" t="str">
        <f>IF(BF1019="","",IF(ISNUMBER(VLOOKUP(BF1019,'Conversion factors'!$B$35:$C$52,2,FALSE)),"y","n"))</f>
        <v/>
      </c>
      <c r="BH1019" s="122" t="s">
        <v>1467</v>
      </c>
      <c r="BI1019" s="119"/>
      <c r="BJ1019" s="119"/>
    </row>
    <row r="1020" spans="1:62" s="103" customFormat="1" ht="15.75" customHeight="1" x14ac:dyDescent="0.2">
      <c r="A1020" s="18"/>
      <c r="B1020" s="35">
        <v>101</v>
      </c>
      <c r="C1020" s="35"/>
      <c r="D1020" s="35"/>
      <c r="E1020" s="19" t="s">
        <v>62</v>
      </c>
      <c r="F1020" s="93">
        <v>2015</v>
      </c>
      <c r="G1020" s="19" t="s">
        <v>1491</v>
      </c>
      <c r="H1020" s="19" t="s">
        <v>53</v>
      </c>
      <c r="I1020" s="19" t="s">
        <v>41</v>
      </c>
      <c r="J1020" s="19" t="s">
        <v>63</v>
      </c>
      <c r="K1020" s="19" t="s">
        <v>64</v>
      </c>
      <c r="L1020" s="99" t="s">
        <v>65</v>
      </c>
      <c r="M1020" s="19" t="s">
        <v>260</v>
      </c>
      <c r="N1020" s="19" t="s">
        <v>66</v>
      </c>
      <c r="O1020" s="19" t="s">
        <v>67</v>
      </c>
      <c r="P1020" s="19" t="s">
        <v>53</v>
      </c>
      <c r="Q1020" s="19"/>
      <c r="R1020" s="19" t="s">
        <v>68</v>
      </c>
      <c r="S1020" s="19" t="s">
        <v>69</v>
      </c>
      <c r="T1020" s="19" t="s">
        <v>44</v>
      </c>
      <c r="U1020" s="19" t="s">
        <v>44</v>
      </c>
      <c r="V1020" s="19" t="s">
        <v>70</v>
      </c>
      <c r="W1020" s="19"/>
      <c r="X1020" s="19" t="s">
        <v>46</v>
      </c>
      <c r="Y1020" s="19"/>
      <c r="Z1020" s="19"/>
      <c r="AA1020" s="19"/>
      <c r="AB1020" s="19">
        <v>61.8</v>
      </c>
      <c r="AC1020" s="19" t="s">
        <v>214</v>
      </c>
      <c r="AD1020" s="19"/>
      <c r="AE1020" s="19">
        <v>40</v>
      </c>
      <c r="AF1020" s="19">
        <v>40</v>
      </c>
      <c r="AG1020" s="19"/>
      <c r="AH1020" s="19"/>
      <c r="AI1020" s="19"/>
      <c r="AJ1020" s="19">
        <f>MEDIAN(7.1,7.9)</f>
        <v>7.5</v>
      </c>
      <c r="AK1020" s="19" t="s">
        <v>74</v>
      </c>
      <c r="AL1020" s="19"/>
      <c r="AM1020" s="19" t="s">
        <v>72</v>
      </c>
      <c r="AN1020" s="19">
        <v>28</v>
      </c>
      <c r="AO1020" s="19"/>
      <c r="AP1020" s="94" t="s">
        <v>73</v>
      </c>
      <c r="AQ1020" s="19">
        <v>25</v>
      </c>
      <c r="AR1020" s="19"/>
      <c r="AS1020" s="19"/>
      <c r="AT1020" s="65" t="str">
        <f t="shared" si="278"/>
        <v>Y</v>
      </c>
      <c r="AU1020" s="65" t="str">
        <f t="shared" si="306"/>
        <v>Y</v>
      </c>
      <c r="AV1020" s="65" t="str">
        <f t="shared" ref="AV1020:AV1039" si="311">AU1020</f>
        <v>Y</v>
      </c>
      <c r="AW1020" s="122"/>
      <c r="AX1020" s="122"/>
      <c r="AY1020" s="19"/>
      <c r="AZ1020" s="96" t="str">
        <f t="shared" si="307"/>
        <v>EC50</v>
      </c>
      <c r="BA1020" s="96">
        <f>IF(AZ1020="n","n",VLOOKUP(AZ1020,'Conversion factors'!$C$4:$D$24,2,FALSE))</f>
        <v>5</v>
      </c>
      <c r="BB1020" s="96">
        <f t="shared" si="308"/>
        <v>12.36</v>
      </c>
      <c r="BC1020" s="121"/>
      <c r="BD1020" s="96" t="str">
        <f t="shared" si="280"/>
        <v>Chronic</v>
      </c>
      <c r="BE1020" s="96" t="str">
        <f t="shared" si="309"/>
        <v>y</v>
      </c>
      <c r="BF1020" s="119" t="str">
        <f t="shared" si="281"/>
        <v>EC50</v>
      </c>
      <c r="BG1020" s="96" t="str">
        <f>IF(BF1020="","",IF(ISNUMBER(VLOOKUP(BF1020,'Conversion factors'!$B$35:$C$52,2,FALSE)),"y","n"))</f>
        <v>n</v>
      </c>
      <c r="BH1020" s="122" t="s">
        <v>1467</v>
      </c>
      <c r="BI1020" s="119"/>
      <c r="BJ1020" s="119"/>
    </row>
    <row r="1021" spans="1:62" ht="15.75" customHeight="1" x14ac:dyDescent="0.2">
      <c r="A1021" s="36"/>
      <c r="F1021" s="93">
        <v>2021</v>
      </c>
      <c r="G1021" s="19" t="s">
        <v>1705</v>
      </c>
      <c r="H1021" s="19" t="s">
        <v>53</v>
      </c>
      <c r="I1021" s="19" t="s">
        <v>1706</v>
      </c>
      <c r="J1021" s="19" t="s">
        <v>63</v>
      </c>
      <c r="K1021" s="19" t="s">
        <v>64</v>
      </c>
      <c r="L1021" s="99" t="s">
        <v>65</v>
      </c>
      <c r="M1021" s="19" t="s">
        <v>260</v>
      </c>
      <c r="N1021" s="19" t="s">
        <v>66</v>
      </c>
      <c r="O1021" s="19" t="s">
        <v>67</v>
      </c>
      <c r="P1021" s="19" t="s">
        <v>53</v>
      </c>
      <c r="R1021" s="19" t="s">
        <v>163</v>
      </c>
      <c r="S1021" s="19" t="s">
        <v>76</v>
      </c>
      <c r="T1021" s="19" t="s">
        <v>927</v>
      </c>
      <c r="U1021" s="19" t="s">
        <v>927</v>
      </c>
      <c r="V1021" s="99">
        <v>7</v>
      </c>
      <c r="W1021" s="99" t="s">
        <v>45</v>
      </c>
      <c r="X1021" s="19" t="s">
        <v>46</v>
      </c>
      <c r="Y1021" s="99"/>
      <c r="Z1021" s="99"/>
      <c r="AA1021" s="99"/>
      <c r="AB1021" s="93">
        <v>67</v>
      </c>
      <c r="AC1021" s="19" t="s">
        <v>214</v>
      </c>
      <c r="AE1021" s="19">
        <v>292</v>
      </c>
      <c r="AH1021" s="20">
        <v>74</v>
      </c>
      <c r="AI1021" s="20">
        <v>26</v>
      </c>
      <c r="AJ1021" s="101">
        <v>8.11</v>
      </c>
      <c r="AK1021" s="101">
        <v>8.11</v>
      </c>
      <c r="AN1021" s="20">
        <v>227</v>
      </c>
      <c r="AP1021" s="94">
        <v>0.62</v>
      </c>
      <c r="AT1021" s="65" t="str">
        <f t="shared" si="278"/>
        <v>Y</v>
      </c>
      <c r="AU1021" s="65" t="str">
        <f t="shared" si="306"/>
        <v>Y</v>
      </c>
      <c r="AV1021" s="65" t="str">
        <f>AU1021</f>
        <v>Y</v>
      </c>
      <c r="AW1021" s="20"/>
      <c r="AX1021" s="20"/>
      <c r="AZ1021" s="96" t="str">
        <f t="shared" si="307"/>
        <v>EC20</v>
      </c>
      <c r="BA1021" s="96">
        <f>IF(AZ1021="n","n",VLOOKUP(AZ1021,'Conversion factors'!$C$4:$D$24,2,FALSE))</f>
        <v>1</v>
      </c>
      <c r="BB1021" s="96">
        <f t="shared" si="308"/>
        <v>67</v>
      </c>
      <c r="BC1021" s="97"/>
      <c r="BD1021" s="96" t="str">
        <f t="shared" si="280"/>
        <v>Chronic</v>
      </c>
      <c r="BE1021" s="96" t="str">
        <f t="shared" si="309"/>
        <v>y</v>
      </c>
      <c r="BF1021" s="98" t="str">
        <f t="shared" si="281"/>
        <v>EC20</v>
      </c>
      <c r="BG1021" s="96" t="s">
        <v>1714</v>
      </c>
      <c r="BH1021" s="99"/>
    </row>
    <row r="1022" spans="1:62" ht="15.75" customHeight="1" x14ac:dyDescent="0.2">
      <c r="A1022" s="36"/>
      <c r="F1022" s="93">
        <v>2021</v>
      </c>
      <c r="G1022" s="19" t="s">
        <v>1705</v>
      </c>
      <c r="H1022" s="19" t="s">
        <v>53</v>
      </c>
      <c r="I1022" s="19" t="s">
        <v>1707</v>
      </c>
      <c r="J1022" s="19" t="s">
        <v>63</v>
      </c>
      <c r="K1022" s="19" t="s">
        <v>64</v>
      </c>
      <c r="L1022" s="99" t="s">
        <v>65</v>
      </c>
      <c r="M1022" s="19" t="s">
        <v>260</v>
      </c>
      <c r="N1022" s="19" t="s">
        <v>66</v>
      </c>
      <c r="O1022" s="19" t="s">
        <v>67</v>
      </c>
      <c r="P1022" s="19" t="s">
        <v>53</v>
      </c>
      <c r="R1022" s="19" t="s">
        <v>163</v>
      </c>
      <c r="S1022" s="19" t="s">
        <v>76</v>
      </c>
      <c r="T1022" s="19" t="s">
        <v>927</v>
      </c>
      <c r="U1022" s="19" t="s">
        <v>927</v>
      </c>
      <c r="V1022" s="99">
        <v>7</v>
      </c>
      <c r="W1022" s="99" t="s">
        <v>45</v>
      </c>
      <c r="X1022" s="19" t="s">
        <v>46</v>
      </c>
      <c r="Y1022" s="99"/>
      <c r="Z1022" s="99"/>
      <c r="AA1022" s="99"/>
      <c r="AB1022" s="93">
        <v>75</v>
      </c>
      <c r="AC1022" s="19" t="s">
        <v>214</v>
      </c>
      <c r="AE1022" s="19">
        <v>24</v>
      </c>
      <c r="AH1022" s="20">
        <v>6.3</v>
      </c>
      <c r="AI1022" s="20">
        <v>1.9</v>
      </c>
      <c r="AJ1022" s="101">
        <v>7.39</v>
      </c>
      <c r="AK1022" s="101">
        <v>7.39</v>
      </c>
      <c r="AN1022" s="20">
        <v>32</v>
      </c>
      <c r="AP1022" s="94">
        <v>0.41</v>
      </c>
      <c r="AT1022" s="65" t="str">
        <f t="shared" ref="AT1022:AT1029" si="312">IF(F1022&lt;1980,"N",IF(AC1022="M","Y",IF(AC1022="SM","Y","N")))</f>
        <v>Y</v>
      </c>
      <c r="AU1022" s="65" t="str">
        <f t="shared" ref="AU1022:AU1029" si="313">IF(AT1022="N","N",IF(AJ1022&lt;6,"N",IF(AJ1022&gt;8.5,"N","Y")))</f>
        <v>Y</v>
      </c>
      <c r="AV1022" s="65" t="str">
        <f t="shared" ref="AV1022:AV1029" si="314">AU1022</f>
        <v>Y</v>
      </c>
      <c r="AW1022" s="20"/>
      <c r="AX1022" s="20"/>
      <c r="AZ1022" s="96" t="str">
        <f t="shared" si="307"/>
        <v>EC20</v>
      </c>
      <c r="BA1022" s="96">
        <f>IF(AZ1022="n","n",VLOOKUP(AZ1022,'Conversion factors'!$C$4:$D$24,2,FALSE))</f>
        <v>1</v>
      </c>
      <c r="BB1022" s="96">
        <f t="shared" si="308"/>
        <v>75</v>
      </c>
      <c r="BC1022" s="97"/>
      <c r="BD1022" s="96" t="str">
        <f t="shared" si="280"/>
        <v>Chronic</v>
      </c>
      <c r="BE1022" s="96" t="str">
        <f t="shared" si="309"/>
        <v>y</v>
      </c>
      <c r="BF1022" s="98" t="str">
        <f t="shared" si="281"/>
        <v>EC20</v>
      </c>
      <c r="BG1022" s="96" t="s">
        <v>1714</v>
      </c>
      <c r="BH1022" s="99"/>
    </row>
    <row r="1023" spans="1:62" ht="15.75" customHeight="1" x14ac:dyDescent="0.2">
      <c r="A1023" s="36"/>
      <c r="F1023" s="93">
        <v>2021</v>
      </c>
      <c r="G1023" s="19" t="s">
        <v>1705</v>
      </c>
      <c r="H1023" s="19" t="s">
        <v>53</v>
      </c>
      <c r="I1023" s="19" t="s">
        <v>1708</v>
      </c>
      <c r="J1023" s="19" t="s">
        <v>63</v>
      </c>
      <c r="K1023" s="19" t="s">
        <v>64</v>
      </c>
      <c r="L1023" s="99" t="s">
        <v>65</v>
      </c>
      <c r="M1023" s="19" t="s">
        <v>260</v>
      </c>
      <c r="N1023" s="19" t="s">
        <v>66</v>
      </c>
      <c r="O1023" s="19" t="s">
        <v>67</v>
      </c>
      <c r="P1023" s="19" t="s">
        <v>53</v>
      </c>
      <c r="R1023" s="19" t="s">
        <v>163</v>
      </c>
      <c r="S1023" s="19" t="s">
        <v>76</v>
      </c>
      <c r="T1023" s="19" t="s">
        <v>927</v>
      </c>
      <c r="U1023" s="19" t="s">
        <v>927</v>
      </c>
      <c r="V1023" s="99">
        <v>7</v>
      </c>
      <c r="W1023" s="99" t="s">
        <v>45</v>
      </c>
      <c r="X1023" s="19" t="s">
        <v>46</v>
      </c>
      <c r="Y1023" s="99"/>
      <c r="Z1023" s="99"/>
      <c r="AA1023" s="99"/>
      <c r="AB1023" s="93">
        <v>90</v>
      </c>
      <c r="AC1023" s="19" t="s">
        <v>214</v>
      </c>
      <c r="AE1023" s="19">
        <v>18</v>
      </c>
      <c r="AH1023" s="20">
        <v>3.2</v>
      </c>
      <c r="AI1023" s="20">
        <v>2.2000000000000002</v>
      </c>
      <c r="AJ1023" s="101">
        <v>6.58</v>
      </c>
      <c r="AK1023" s="101">
        <v>6.58</v>
      </c>
      <c r="AN1023" s="20">
        <v>13</v>
      </c>
      <c r="AP1023" s="94">
        <v>29</v>
      </c>
      <c r="AT1023" s="65" t="str">
        <f t="shared" si="312"/>
        <v>Y</v>
      </c>
      <c r="AU1023" s="65" t="str">
        <f t="shared" si="313"/>
        <v>Y</v>
      </c>
      <c r="AV1023" s="65" t="str">
        <f t="shared" si="314"/>
        <v>Y</v>
      </c>
      <c r="AW1023" s="20"/>
      <c r="AX1023" s="20"/>
      <c r="AZ1023" s="96" t="str">
        <f t="shared" si="307"/>
        <v>EC20</v>
      </c>
      <c r="BA1023" s="96">
        <f>IF(AZ1023="n","n",VLOOKUP(AZ1023,'Conversion factors'!$C$4:$D$24,2,FALSE))</f>
        <v>1</v>
      </c>
      <c r="BB1023" s="96">
        <f t="shared" si="308"/>
        <v>90</v>
      </c>
      <c r="BC1023" s="97"/>
      <c r="BD1023" s="96" t="str">
        <f t="shared" si="280"/>
        <v>Chronic</v>
      </c>
      <c r="BE1023" s="96" t="str">
        <f t="shared" si="309"/>
        <v>y</v>
      </c>
      <c r="BF1023" s="98" t="str">
        <f t="shared" si="281"/>
        <v>EC20</v>
      </c>
      <c r="BG1023" s="96" t="s">
        <v>1714</v>
      </c>
      <c r="BH1023" s="99"/>
    </row>
    <row r="1024" spans="1:62" ht="15.75" customHeight="1" x14ac:dyDescent="0.2">
      <c r="A1024" s="36"/>
      <c r="F1024" s="93">
        <v>2021</v>
      </c>
      <c r="G1024" s="19" t="s">
        <v>1705</v>
      </c>
      <c r="H1024" s="19" t="s">
        <v>53</v>
      </c>
      <c r="I1024" s="19" t="s">
        <v>1709</v>
      </c>
      <c r="J1024" s="19" t="s">
        <v>63</v>
      </c>
      <c r="K1024" s="19" t="s">
        <v>64</v>
      </c>
      <c r="L1024" s="99" t="s">
        <v>65</v>
      </c>
      <c r="M1024" s="19" t="s">
        <v>260</v>
      </c>
      <c r="N1024" s="19" t="s">
        <v>66</v>
      </c>
      <c r="O1024" s="19" t="s">
        <v>67</v>
      </c>
      <c r="P1024" s="19" t="s">
        <v>53</v>
      </c>
      <c r="R1024" s="19" t="s">
        <v>163</v>
      </c>
      <c r="S1024" s="19" t="s">
        <v>76</v>
      </c>
      <c r="T1024" s="19" t="s">
        <v>927</v>
      </c>
      <c r="U1024" s="19" t="s">
        <v>927</v>
      </c>
      <c r="V1024" s="99">
        <v>7</v>
      </c>
      <c r="W1024" s="99" t="s">
        <v>45</v>
      </c>
      <c r="X1024" s="19" t="s">
        <v>46</v>
      </c>
      <c r="Y1024" s="99"/>
      <c r="Z1024" s="99"/>
      <c r="AA1024" s="99"/>
      <c r="AB1024" s="93">
        <v>43</v>
      </c>
      <c r="AC1024" s="19" t="s">
        <v>214</v>
      </c>
      <c r="AE1024" s="19">
        <v>377</v>
      </c>
      <c r="AH1024" s="20">
        <v>80</v>
      </c>
      <c r="AI1024" s="20">
        <v>43</v>
      </c>
      <c r="AJ1024" s="101">
        <v>8.41</v>
      </c>
      <c r="AK1024" s="101">
        <v>8.41</v>
      </c>
      <c r="AN1024" s="20">
        <v>260</v>
      </c>
      <c r="AP1024" s="94">
        <v>3</v>
      </c>
      <c r="AT1024" s="65" t="str">
        <f t="shared" si="312"/>
        <v>Y</v>
      </c>
      <c r="AU1024" s="65" t="str">
        <f t="shared" si="313"/>
        <v>Y</v>
      </c>
      <c r="AV1024" s="65" t="str">
        <f t="shared" si="314"/>
        <v>Y</v>
      </c>
      <c r="AW1024" s="20"/>
      <c r="AX1024" s="20"/>
      <c r="AZ1024" s="96" t="str">
        <f t="shared" si="307"/>
        <v>EC20</v>
      </c>
      <c r="BA1024" s="96">
        <f>IF(AZ1024="n","n",VLOOKUP(AZ1024,'Conversion factors'!$C$4:$D$24,2,FALSE))</f>
        <v>1</v>
      </c>
      <c r="BB1024" s="96">
        <f t="shared" si="308"/>
        <v>43</v>
      </c>
      <c r="BC1024" s="97"/>
      <c r="BD1024" s="96" t="str">
        <f t="shared" si="280"/>
        <v>Chronic</v>
      </c>
      <c r="BE1024" s="96" t="str">
        <f t="shared" si="309"/>
        <v>y</v>
      </c>
      <c r="BF1024" s="98" t="str">
        <f t="shared" si="281"/>
        <v>EC20</v>
      </c>
      <c r="BG1024" s="96" t="s">
        <v>1714</v>
      </c>
      <c r="BH1024" s="99"/>
    </row>
    <row r="1025" spans="1:62" ht="15.75" customHeight="1" x14ac:dyDescent="0.2">
      <c r="A1025" s="36"/>
      <c r="F1025" s="93">
        <v>2021</v>
      </c>
      <c r="G1025" s="19" t="s">
        <v>1705</v>
      </c>
      <c r="H1025" s="19" t="s">
        <v>53</v>
      </c>
      <c r="I1025" s="19" t="s">
        <v>1710</v>
      </c>
      <c r="J1025" s="19" t="s">
        <v>63</v>
      </c>
      <c r="K1025" s="19" t="s">
        <v>64</v>
      </c>
      <c r="L1025" s="99" t="s">
        <v>65</v>
      </c>
      <c r="M1025" s="19" t="s">
        <v>260</v>
      </c>
      <c r="N1025" s="19" t="s">
        <v>66</v>
      </c>
      <c r="O1025" s="19" t="s">
        <v>67</v>
      </c>
      <c r="P1025" s="19" t="s">
        <v>53</v>
      </c>
      <c r="R1025" s="19" t="s">
        <v>163</v>
      </c>
      <c r="S1025" s="19" t="s">
        <v>76</v>
      </c>
      <c r="T1025" s="19" t="s">
        <v>927</v>
      </c>
      <c r="U1025" s="19" t="s">
        <v>927</v>
      </c>
      <c r="V1025" s="99">
        <v>7</v>
      </c>
      <c r="W1025" s="99" t="s">
        <v>45</v>
      </c>
      <c r="X1025" s="19" t="s">
        <v>46</v>
      </c>
      <c r="Y1025" s="99"/>
      <c r="Z1025" s="99"/>
      <c r="AA1025" s="99"/>
      <c r="AB1025" s="93">
        <v>39</v>
      </c>
      <c r="AC1025" s="19" t="s">
        <v>214</v>
      </c>
      <c r="AE1025" s="19">
        <v>323</v>
      </c>
      <c r="AH1025" s="20">
        <v>68</v>
      </c>
      <c r="AI1025" s="20">
        <v>37</v>
      </c>
      <c r="AJ1025" s="101">
        <v>7.06</v>
      </c>
      <c r="AK1025" s="101">
        <v>7.06</v>
      </c>
      <c r="AN1025" s="20">
        <v>262</v>
      </c>
      <c r="AP1025" s="94">
        <v>5</v>
      </c>
      <c r="AT1025" s="65" t="str">
        <f t="shared" si="312"/>
        <v>Y</v>
      </c>
      <c r="AU1025" s="65" t="str">
        <f t="shared" si="313"/>
        <v>Y</v>
      </c>
      <c r="AV1025" s="65" t="str">
        <f t="shared" si="314"/>
        <v>Y</v>
      </c>
      <c r="AW1025" s="20"/>
      <c r="AX1025" s="20"/>
      <c r="AZ1025" s="96" t="str">
        <f t="shared" si="307"/>
        <v>EC20</v>
      </c>
      <c r="BA1025" s="96">
        <f>IF(AZ1025="n","n",VLOOKUP(AZ1025,'Conversion factors'!$C$4:$D$24,2,FALSE))</f>
        <v>1</v>
      </c>
      <c r="BB1025" s="96">
        <f t="shared" si="308"/>
        <v>39</v>
      </c>
      <c r="BC1025" s="97"/>
      <c r="BD1025" s="96" t="str">
        <f t="shared" si="280"/>
        <v>Chronic</v>
      </c>
      <c r="BE1025" s="96" t="str">
        <f t="shared" si="309"/>
        <v>y</v>
      </c>
      <c r="BF1025" s="98" t="str">
        <f t="shared" si="281"/>
        <v>EC20</v>
      </c>
      <c r="BG1025" s="96" t="s">
        <v>1714</v>
      </c>
      <c r="BH1025" s="99"/>
    </row>
    <row r="1026" spans="1:62" ht="15.75" customHeight="1" x14ac:dyDescent="0.2">
      <c r="A1026" s="36"/>
      <c r="F1026" s="93">
        <v>2021</v>
      </c>
      <c r="G1026" s="19" t="s">
        <v>1705</v>
      </c>
      <c r="H1026" s="19" t="s">
        <v>53</v>
      </c>
      <c r="I1026" s="19" t="s">
        <v>1708</v>
      </c>
      <c r="J1026" s="19" t="s">
        <v>1712</v>
      </c>
      <c r="K1026" s="19" t="s">
        <v>64</v>
      </c>
      <c r="L1026" s="99" t="s">
        <v>151</v>
      </c>
      <c r="M1026" s="99" t="s">
        <v>153</v>
      </c>
      <c r="N1026" s="19" t="s">
        <v>66</v>
      </c>
      <c r="O1026" s="19" t="s">
        <v>1259</v>
      </c>
      <c r="P1026" s="19"/>
      <c r="R1026" s="19" t="s">
        <v>1253</v>
      </c>
      <c r="S1026" s="19" t="s">
        <v>1713</v>
      </c>
      <c r="T1026" s="19" t="s">
        <v>927</v>
      </c>
      <c r="U1026" s="19" t="s">
        <v>927</v>
      </c>
      <c r="V1026" s="99">
        <v>14</v>
      </c>
      <c r="W1026" s="99" t="s">
        <v>45</v>
      </c>
      <c r="X1026" s="19" t="s">
        <v>46</v>
      </c>
      <c r="Y1026" s="99"/>
      <c r="Z1026" s="99"/>
      <c r="AA1026" s="99"/>
      <c r="AB1026" s="93">
        <v>45</v>
      </c>
      <c r="AC1026" s="19" t="s">
        <v>214</v>
      </c>
      <c r="AE1026" s="19">
        <v>18</v>
      </c>
      <c r="AH1026" s="20">
        <v>3.2</v>
      </c>
      <c r="AI1026" s="20">
        <v>2.2000000000000002</v>
      </c>
      <c r="AJ1026" s="101">
        <v>6.58</v>
      </c>
      <c r="AK1026" s="101">
        <v>6.58</v>
      </c>
      <c r="AN1026" s="20">
        <v>13</v>
      </c>
      <c r="AP1026" s="94">
        <v>29</v>
      </c>
      <c r="AQ1026" s="20">
        <v>25</v>
      </c>
      <c r="AT1026" s="65" t="str">
        <f t="shared" si="312"/>
        <v>Y</v>
      </c>
      <c r="AU1026" s="65" t="str">
        <f t="shared" si="313"/>
        <v>Y</v>
      </c>
      <c r="AV1026" s="65" t="str">
        <f t="shared" si="314"/>
        <v>Y</v>
      </c>
      <c r="AW1026" s="20"/>
      <c r="AX1026" s="20"/>
      <c r="AZ1026" s="96" t="str">
        <f t="shared" si="307"/>
        <v>EC20</v>
      </c>
      <c r="BA1026" s="96">
        <f>IF(AZ1026="n","n",VLOOKUP(AZ1026,'Conversion factors'!$C$4:$D$24,2,FALSE))</f>
        <v>1</v>
      </c>
      <c r="BB1026" s="96">
        <f t="shared" si="308"/>
        <v>45</v>
      </c>
      <c r="BC1026" s="97"/>
      <c r="BD1026" s="96" t="str">
        <f t="shared" si="280"/>
        <v>Chronic</v>
      </c>
      <c r="BE1026" s="96" t="str">
        <f t="shared" si="309"/>
        <v>y</v>
      </c>
      <c r="BF1026" s="98" t="str">
        <f t="shared" si="281"/>
        <v>EC20</v>
      </c>
      <c r="BG1026" s="96" t="s">
        <v>1714</v>
      </c>
      <c r="BH1026" s="20"/>
    </row>
    <row r="1027" spans="1:62" ht="15.75" customHeight="1" x14ac:dyDescent="0.2">
      <c r="A1027" s="36"/>
      <c r="F1027" s="93">
        <v>2021</v>
      </c>
      <c r="G1027" s="19" t="s">
        <v>1705</v>
      </c>
      <c r="H1027" s="19" t="s">
        <v>53</v>
      </c>
      <c r="I1027" s="19" t="s">
        <v>1711</v>
      </c>
      <c r="J1027" s="19" t="s">
        <v>1712</v>
      </c>
      <c r="K1027" s="19" t="s">
        <v>64</v>
      </c>
      <c r="L1027" s="99" t="s">
        <v>151</v>
      </c>
      <c r="M1027" s="99" t="s">
        <v>153</v>
      </c>
      <c r="N1027" s="19" t="s">
        <v>66</v>
      </c>
      <c r="O1027" s="19" t="s">
        <v>1259</v>
      </c>
      <c r="P1027" s="19"/>
      <c r="R1027" s="19" t="s">
        <v>1253</v>
      </c>
      <c r="S1027" s="19" t="s">
        <v>1713</v>
      </c>
      <c r="T1027" s="19" t="s">
        <v>927</v>
      </c>
      <c r="U1027" s="19" t="s">
        <v>927</v>
      </c>
      <c r="V1027" s="99">
        <v>14</v>
      </c>
      <c r="W1027" s="99" t="s">
        <v>45</v>
      </c>
      <c r="X1027" s="19" t="s">
        <v>46</v>
      </c>
      <c r="Y1027" s="99"/>
      <c r="Z1027" s="99"/>
      <c r="AA1027" s="99"/>
      <c r="AB1027" s="93">
        <v>55</v>
      </c>
      <c r="AC1027" s="19" t="s">
        <v>214</v>
      </c>
      <c r="AE1027" s="19">
        <v>27</v>
      </c>
      <c r="AH1027" s="20">
        <v>5.0999999999999996</v>
      </c>
      <c r="AI1027" s="20">
        <v>3.4</v>
      </c>
      <c r="AJ1027" s="101">
        <v>6.83</v>
      </c>
      <c r="AK1027" s="101">
        <v>6.83</v>
      </c>
      <c r="AN1027" s="20">
        <v>16</v>
      </c>
      <c r="AP1027" s="94">
        <v>41</v>
      </c>
      <c r="AQ1027" s="20">
        <v>25</v>
      </c>
      <c r="AT1027" s="65" t="str">
        <f t="shared" si="312"/>
        <v>Y</v>
      </c>
      <c r="AU1027" s="65" t="str">
        <f t="shared" si="313"/>
        <v>Y</v>
      </c>
      <c r="AV1027" s="65" t="str">
        <f t="shared" si="314"/>
        <v>Y</v>
      </c>
      <c r="AW1027" s="20"/>
      <c r="AX1027" s="20"/>
      <c r="AZ1027" s="96" t="str">
        <f t="shared" si="307"/>
        <v>EC20</v>
      </c>
      <c r="BA1027" s="96">
        <f>IF(AZ1027="n","n",VLOOKUP(AZ1027,'Conversion factors'!$C$4:$D$24,2,FALSE))</f>
        <v>1</v>
      </c>
      <c r="BB1027" s="96">
        <f t="shared" si="308"/>
        <v>55</v>
      </c>
      <c r="BC1027" s="97"/>
      <c r="BD1027" s="96" t="str">
        <f t="shared" si="280"/>
        <v>Chronic</v>
      </c>
      <c r="BE1027" s="96" t="str">
        <f t="shared" si="309"/>
        <v>y</v>
      </c>
      <c r="BF1027" s="98" t="str">
        <f t="shared" si="281"/>
        <v>EC20</v>
      </c>
      <c r="BG1027" s="96" t="str">
        <f>IF(BF1027="","",IF(ISNUMBER(VLOOKUP(BF1027,'Conversion factors'!$B$35:$C$52,2,FALSE)),"y","n"))</f>
        <v>y</v>
      </c>
      <c r="BH1027" s="20"/>
    </row>
    <row r="1028" spans="1:62" ht="15.75" customHeight="1" x14ac:dyDescent="0.2">
      <c r="A1028" s="36"/>
      <c r="F1028" s="93">
        <v>2021</v>
      </c>
      <c r="G1028" s="19" t="s">
        <v>1705</v>
      </c>
      <c r="H1028" s="19" t="s">
        <v>53</v>
      </c>
      <c r="I1028" s="19" t="s">
        <v>1710</v>
      </c>
      <c r="J1028" s="19" t="s">
        <v>1712</v>
      </c>
      <c r="K1028" s="19" t="s">
        <v>64</v>
      </c>
      <c r="L1028" s="99" t="s">
        <v>151</v>
      </c>
      <c r="M1028" s="99" t="s">
        <v>153</v>
      </c>
      <c r="N1028" s="19" t="s">
        <v>66</v>
      </c>
      <c r="O1028" s="19" t="s">
        <v>1259</v>
      </c>
      <c r="P1028" s="19"/>
      <c r="R1028" s="19" t="s">
        <v>1253</v>
      </c>
      <c r="S1028" s="19" t="s">
        <v>1713</v>
      </c>
      <c r="T1028" s="19" t="s">
        <v>927</v>
      </c>
      <c r="U1028" s="19" t="s">
        <v>927</v>
      </c>
      <c r="V1028" s="99">
        <v>14</v>
      </c>
      <c r="W1028" s="99" t="s">
        <v>45</v>
      </c>
      <c r="X1028" s="19" t="s">
        <v>46</v>
      </c>
      <c r="Y1028" s="99"/>
      <c r="Z1028" s="99"/>
      <c r="AA1028" s="99"/>
      <c r="AB1028" s="93">
        <v>25</v>
      </c>
      <c r="AC1028" s="19" t="s">
        <v>214</v>
      </c>
      <c r="AE1028" s="19">
        <v>323</v>
      </c>
      <c r="AH1028" s="20">
        <v>68</v>
      </c>
      <c r="AI1028" s="20">
        <v>37</v>
      </c>
      <c r="AJ1028" s="101">
        <v>7.06</v>
      </c>
      <c r="AK1028" s="101">
        <v>7.06</v>
      </c>
      <c r="AN1028" s="20">
        <v>262</v>
      </c>
      <c r="AP1028" s="94">
        <v>5</v>
      </c>
      <c r="AQ1028" s="20">
        <v>25</v>
      </c>
      <c r="AT1028" s="65" t="str">
        <f t="shared" si="312"/>
        <v>Y</v>
      </c>
      <c r="AU1028" s="65" t="str">
        <f t="shared" si="313"/>
        <v>Y</v>
      </c>
      <c r="AV1028" s="65" t="str">
        <f t="shared" si="314"/>
        <v>Y</v>
      </c>
      <c r="AW1028" s="20"/>
      <c r="AX1028" s="20"/>
      <c r="AZ1028" s="96" t="str">
        <f t="shared" si="307"/>
        <v>EC20</v>
      </c>
      <c r="BA1028" s="96">
        <f>IF(AZ1028="n","n",VLOOKUP(AZ1028,'Conversion factors'!$C$4:$D$24,2,FALSE))</f>
        <v>1</v>
      </c>
      <c r="BB1028" s="96">
        <f t="shared" si="308"/>
        <v>25</v>
      </c>
      <c r="BC1028" s="97"/>
      <c r="BD1028" s="96" t="str">
        <f t="shared" si="280"/>
        <v>Chronic</v>
      </c>
      <c r="BE1028" s="96" t="str">
        <f t="shared" si="309"/>
        <v>y</v>
      </c>
      <c r="BF1028" s="98" t="str">
        <f t="shared" si="281"/>
        <v>EC20</v>
      </c>
      <c r="BG1028" s="96" t="str">
        <f>IF(BF1028="","",IF(ISNUMBER(VLOOKUP(BF1028,'Conversion factors'!$B$35:$C$52,2,FALSE)),"y","n"))</f>
        <v>y</v>
      </c>
      <c r="BH1028" s="20"/>
    </row>
    <row r="1029" spans="1:62" ht="15.75" customHeight="1" x14ac:dyDescent="0.2">
      <c r="A1029" s="36"/>
      <c r="F1029" s="93">
        <v>2020</v>
      </c>
      <c r="G1029" s="19" t="s">
        <v>1718</v>
      </c>
      <c r="H1029" s="19" t="s">
        <v>53</v>
      </c>
      <c r="I1029" s="19" t="s">
        <v>1716</v>
      </c>
      <c r="J1029" s="19" t="s">
        <v>1712</v>
      </c>
      <c r="K1029" s="19" t="s">
        <v>64</v>
      </c>
      <c r="L1029" s="99" t="s">
        <v>151</v>
      </c>
      <c r="M1029" s="99" t="s">
        <v>153</v>
      </c>
      <c r="N1029" s="19" t="s">
        <v>66</v>
      </c>
      <c r="O1029" s="19" t="s">
        <v>1717</v>
      </c>
      <c r="P1029" s="19"/>
      <c r="R1029" s="19" t="s">
        <v>1621</v>
      </c>
      <c r="S1029" s="19" t="s">
        <v>1621</v>
      </c>
      <c r="T1029" s="19" t="s">
        <v>927</v>
      </c>
      <c r="U1029" s="19" t="s">
        <v>927</v>
      </c>
      <c r="V1029" s="99">
        <v>14</v>
      </c>
      <c r="W1029" s="99" t="s">
        <v>45</v>
      </c>
      <c r="X1029" s="19" t="s">
        <v>46</v>
      </c>
      <c r="Y1029" s="99"/>
      <c r="Z1029" s="99"/>
      <c r="AA1029" s="99"/>
      <c r="AB1029" s="93">
        <v>10</v>
      </c>
      <c r="AC1029" s="19" t="s">
        <v>214</v>
      </c>
      <c r="AE1029" s="19">
        <v>100</v>
      </c>
      <c r="AJ1029" s="101">
        <v>8.3000000000000007</v>
      </c>
      <c r="AK1029" s="101"/>
      <c r="AP1029" s="94">
        <v>2</v>
      </c>
      <c r="AT1029" s="65" t="str">
        <f t="shared" si="312"/>
        <v>Y</v>
      </c>
      <c r="AU1029" s="65" t="str">
        <f t="shared" si="313"/>
        <v>Y</v>
      </c>
      <c r="AV1029" s="65" t="str">
        <f t="shared" si="314"/>
        <v>Y</v>
      </c>
      <c r="AW1029" s="20"/>
      <c r="AX1029" s="20"/>
      <c r="AZ1029" s="96" t="str">
        <f t="shared" si="307"/>
        <v>EC20</v>
      </c>
      <c r="BA1029" s="96">
        <f>IF(AZ1029="n","n",VLOOKUP(AZ1029,'Conversion factors'!$C$4:$D$24,2,FALSE))</f>
        <v>1</v>
      </c>
      <c r="BB1029" s="96">
        <f t="shared" ref="BB1029" si="315">IF(BA1029="n","n",AB1029/BA1029)</f>
        <v>10</v>
      </c>
      <c r="BC1029" s="97"/>
      <c r="BD1029" s="96" t="str">
        <f t="shared" si="280"/>
        <v>Chronic</v>
      </c>
      <c r="BE1029" s="96" t="str">
        <f t="shared" si="309"/>
        <v>y</v>
      </c>
      <c r="BF1029" s="98" t="str">
        <f t="shared" si="281"/>
        <v>EC20</v>
      </c>
      <c r="BG1029" s="96" t="str">
        <f>IF(BF1029="","",IF(ISNUMBER(VLOOKUP(BF1029,'Conversion factors'!$B$35:$C$52,2,FALSE)),"y","n"))</f>
        <v>y</v>
      </c>
      <c r="BH1029" s="20"/>
    </row>
    <row r="1030" spans="1:62" s="103" customFormat="1" ht="15.75" customHeight="1" x14ac:dyDescent="0.2">
      <c r="A1030" s="18"/>
      <c r="B1030" s="107">
        <v>108</v>
      </c>
      <c r="C1030" s="36">
        <v>203318</v>
      </c>
      <c r="D1030" s="36">
        <v>3318</v>
      </c>
      <c r="E1030" s="93" t="s">
        <v>1324</v>
      </c>
      <c r="F1030" s="93">
        <v>1985</v>
      </c>
      <c r="G1030" s="19" t="s">
        <v>1473</v>
      </c>
      <c r="H1030" s="19" t="s">
        <v>155</v>
      </c>
      <c r="I1030" s="19" t="s">
        <v>41</v>
      </c>
      <c r="J1030" s="19" t="s">
        <v>111</v>
      </c>
      <c r="K1030" s="19" t="s">
        <v>64</v>
      </c>
      <c r="L1030" s="99" t="s">
        <v>65</v>
      </c>
      <c r="M1030" s="19" t="s">
        <v>260</v>
      </c>
      <c r="N1030" s="114" t="s">
        <v>66</v>
      </c>
      <c r="O1030" s="19" t="s">
        <v>67</v>
      </c>
      <c r="P1030" s="19" t="s">
        <v>51</v>
      </c>
      <c r="Q1030" s="19"/>
      <c r="R1030" s="19" t="s">
        <v>68</v>
      </c>
      <c r="S1030" s="19" t="s">
        <v>68</v>
      </c>
      <c r="T1030" s="19" t="s">
        <v>54</v>
      </c>
      <c r="U1030" s="19" t="s">
        <v>54</v>
      </c>
      <c r="V1030" s="93">
        <v>7</v>
      </c>
      <c r="W1030" s="93" t="s">
        <v>45</v>
      </c>
      <c r="X1030" s="19" t="s">
        <v>46</v>
      </c>
      <c r="Y1030" s="29"/>
      <c r="Z1030" s="93"/>
      <c r="AA1030" s="93"/>
      <c r="AB1030" s="93">
        <v>58</v>
      </c>
      <c r="AC1030" s="19" t="s">
        <v>214</v>
      </c>
      <c r="AD1030" s="93"/>
      <c r="AE1030" s="19">
        <v>376</v>
      </c>
      <c r="AF1030" s="19">
        <v>376</v>
      </c>
      <c r="AG1030" s="19"/>
      <c r="AH1030" s="19"/>
      <c r="AI1030" s="19"/>
      <c r="AJ1030" s="101">
        <v>7.9</v>
      </c>
      <c r="AK1030" s="19">
        <v>7.9</v>
      </c>
      <c r="AL1030" s="19"/>
      <c r="AM1030" s="19"/>
      <c r="AN1030" s="19"/>
      <c r="AO1030" s="19"/>
      <c r="AP1030" s="94"/>
      <c r="AQ1030" s="19" t="s">
        <v>113</v>
      </c>
      <c r="AR1030" s="108" t="s">
        <v>200</v>
      </c>
      <c r="AS1030" s="19"/>
      <c r="AT1030" s="65" t="str">
        <f t="shared" si="278"/>
        <v>Y</v>
      </c>
      <c r="AU1030" s="65" t="str">
        <f t="shared" si="306"/>
        <v>Y</v>
      </c>
      <c r="AV1030" s="65" t="str">
        <f t="shared" si="311"/>
        <v>Y</v>
      </c>
      <c r="AW1030" s="122"/>
      <c r="AX1030" s="122"/>
      <c r="AY1030" s="93"/>
      <c r="AZ1030" s="96" t="str">
        <f t="shared" si="307"/>
        <v>NOEC</v>
      </c>
      <c r="BA1030" s="96">
        <f>IF(AZ1030="n","n",VLOOKUP(AZ1030,'Conversion factors'!$C$4:$D$24,2,FALSE))</f>
        <v>1</v>
      </c>
      <c r="BB1030" s="96">
        <f t="shared" si="308"/>
        <v>58</v>
      </c>
      <c r="BC1030" s="97"/>
      <c r="BD1030" s="96" t="str">
        <f t="shared" si="280"/>
        <v>Chronic</v>
      </c>
      <c r="BE1030" s="96" t="str">
        <f t="shared" si="309"/>
        <v>y</v>
      </c>
      <c r="BF1030" s="98" t="str">
        <f t="shared" si="281"/>
        <v>NOEC</v>
      </c>
      <c r="BG1030" s="96" t="str">
        <f>IF(BF1030="","",IF(ISNUMBER(VLOOKUP(BF1030,'Conversion factors'!$B$35:$C$52,2,FALSE)),"y","n"))</f>
        <v>y</v>
      </c>
      <c r="BH1030" s="99"/>
      <c r="BI1030" s="100"/>
      <c r="BJ1030" s="100"/>
    </row>
    <row r="1031" spans="1:62" s="103" customFormat="1" ht="15.75" customHeight="1" x14ac:dyDescent="0.2">
      <c r="A1031" s="18"/>
      <c r="B1031" s="107">
        <v>108</v>
      </c>
      <c r="C1031" s="36">
        <v>203318</v>
      </c>
      <c r="D1031" s="36">
        <v>3318</v>
      </c>
      <c r="E1031" s="93" t="s">
        <v>1324</v>
      </c>
      <c r="F1031" s="93">
        <v>1985</v>
      </c>
      <c r="G1031" s="19" t="s">
        <v>1473</v>
      </c>
      <c r="H1031" s="19" t="s">
        <v>155</v>
      </c>
      <c r="I1031" s="19" t="s">
        <v>41</v>
      </c>
      <c r="J1031" s="19" t="s">
        <v>111</v>
      </c>
      <c r="K1031" s="19" t="s">
        <v>64</v>
      </c>
      <c r="L1031" s="99" t="s">
        <v>65</v>
      </c>
      <c r="M1031" s="19" t="s">
        <v>260</v>
      </c>
      <c r="N1031" s="114" t="s">
        <v>66</v>
      </c>
      <c r="O1031" s="19" t="s">
        <v>67</v>
      </c>
      <c r="P1031" s="19" t="s">
        <v>51</v>
      </c>
      <c r="Q1031" s="19"/>
      <c r="R1031" s="19" t="s">
        <v>68</v>
      </c>
      <c r="S1031" s="19" t="s">
        <v>68</v>
      </c>
      <c r="T1031" s="19" t="s">
        <v>54</v>
      </c>
      <c r="U1031" s="19" t="s">
        <v>54</v>
      </c>
      <c r="V1031" s="93">
        <v>7</v>
      </c>
      <c r="W1031" s="93" t="s">
        <v>45</v>
      </c>
      <c r="X1031" s="19" t="s">
        <v>46</v>
      </c>
      <c r="Y1031" s="29"/>
      <c r="Z1031" s="93"/>
      <c r="AA1031" s="93"/>
      <c r="AB1031" s="93">
        <v>140</v>
      </c>
      <c r="AC1031" s="19" t="s">
        <v>214</v>
      </c>
      <c r="AD1031" s="93"/>
      <c r="AE1031" s="19">
        <v>362</v>
      </c>
      <c r="AF1031" s="19">
        <v>362</v>
      </c>
      <c r="AG1031" s="19"/>
      <c r="AH1031" s="19"/>
      <c r="AI1031" s="19"/>
      <c r="AJ1031" s="101">
        <v>7.7</v>
      </c>
      <c r="AK1031" s="19">
        <v>7.7</v>
      </c>
      <c r="AL1031" s="19"/>
      <c r="AM1031" s="19"/>
      <c r="AN1031" s="19"/>
      <c r="AO1031" s="19"/>
      <c r="AP1031" s="94"/>
      <c r="AQ1031" s="19" t="s">
        <v>113</v>
      </c>
      <c r="AR1031" s="108" t="s">
        <v>200</v>
      </c>
      <c r="AS1031" s="19"/>
      <c r="AT1031" s="65" t="str">
        <f t="shared" si="278"/>
        <v>Y</v>
      </c>
      <c r="AU1031" s="65" t="str">
        <f t="shared" si="306"/>
        <v>Y</v>
      </c>
      <c r="AV1031" s="65" t="str">
        <f t="shared" si="311"/>
        <v>Y</v>
      </c>
      <c r="AW1031" s="122"/>
      <c r="AX1031" s="122"/>
      <c r="AY1031" s="93"/>
      <c r="AZ1031" s="96" t="str">
        <f t="shared" si="307"/>
        <v>NOEC</v>
      </c>
      <c r="BA1031" s="96">
        <f>IF(AZ1031="n","n",VLOOKUP(AZ1031,'Conversion factors'!$C$4:$D$24,2,FALSE))</f>
        <v>1</v>
      </c>
      <c r="BB1031" s="96">
        <f t="shared" si="308"/>
        <v>140</v>
      </c>
      <c r="BC1031" s="97"/>
      <c r="BD1031" s="96" t="str">
        <f t="shared" si="280"/>
        <v>Chronic</v>
      </c>
      <c r="BE1031" s="96" t="str">
        <f t="shared" si="309"/>
        <v>y</v>
      </c>
      <c r="BF1031" s="98" t="str">
        <f t="shared" si="281"/>
        <v>NOEC</v>
      </c>
      <c r="BG1031" s="96" t="str">
        <f>IF(BF1031="","",IF(ISNUMBER(VLOOKUP(BF1031,'Conversion factors'!$B$35:$C$52,2,FALSE)),"y","n"))</f>
        <v>y</v>
      </c>
      <c r="BH1031" s="99"/>
      <c r="BI1031" s="100"/>
      <c r="BJ1031" s="100"/>
    </row>
    <row r="1032" spans="1:62" s="103" customFormat="1" ht="15.75" customHeight="1" x14ac:dyDescent="0.2">
      <c r="A1032" s="18"/>
      <c r="B1032" s="107"/>
      <c r="C1032" s="36"/>
      <c r="D1032" s="36"/>
      <c r="E1032" s="93" t="s">
        <v>1476</v>
      </c>
      <c r="F1032" s="93">
        <v>1986</v>
      </c>
      <c r="G1032" s="19" t="s">
        <v>1477</v>
      </c>
      <c r="H1032" s="19" t="s">
        <v>162</v>
      </c>
      <c r="I1032" s="19" t="s">
        <v>1475</v>
      </c>
      <c r="J1032" s="19" t="s">
        <v>87</v>
      </c>
      <c r="K1032" s="19" t="s">
        <v>64</v>
      </c>
      <c r="L1032" s="99" t="s">
        <v>151</v>
      </c>
      <c r="M1032" s="19" t="s">
        <v>260</v>
      </c>
      <c r="N1032" s="19" t="s">
        <v>66</v>
      </c>
      <c r="O1032" s="19" t="s">
        <v>187</v>
      </c>
      <c r="P1032" s="19" t="s">
        <v>162</v>
      </c>
      <c r="Q1032" s="19"/>
      <c r="R1032" s="19" t="s">
        <v>76</v>
      </c>
      <c r="S1032" s="19" t="s">
        <v>163</v>
      </c>
      <c r="T1032" s="19" t="s">
        <v>54</v>
      </c>
      <c r="U1032" s="19" t="s">
        <v>54</v>
      </c>
      <c r="V1032" s="93">
        <v>21</v>
      </c>
      <c r="W1032" s="93" t="s">
        <v>45</v>
      </c>
      <c r="X1032" s="19" t="s">
        <v>46</v>
      </c>
      <c r="Y1032" s="29"/>
      <c r="Z1032" s="93"/>
      <c r="AA1032" s="93"/>
      <c r="AB1032" s="93">
        <v>74</v>
      </c>
      <c r="AC1032" s="19" t="s">
        <v>214</v>
      </c>
      <c r="AD1032" s="93"/>
      <c r="AE1032" s="19">
        <v>45</v>
      </c>
      <c r="AF1032" s="19">
        <v>45</v>
      </c>
      <c r="AG1032" s="19"/>
      <c r="AH1032" s="19"/>
      <c r="AI1032" s="19"/>
      <c r="AJ1032" s="19">
        <f>MEDIAN(7.4,8.2)</f>
        <v>7.8</v>
      </c>
      <c r="AK1032" s="19" t="s">
        <v>166</v>
      </c>
      <c r="AL1032" s="19"/>
      <c r="AM1032" s="19"/>
      <c r="AN1032" s="19">
        <v>42</v>
      </c>
      <c r="AO1032" s="19"/>
      <c r="AP1032" s="94"/>
      <c r="AQ1032" s="19">
        <v>18</v>
      </c>
      <c r="AR1032" s="108"/>
      <c r="AS1032" s="19"/>
      <c r="AT1032" s="65" t="str">
        <f t="shared" si="278"/>
        <v>Y</v>
      </c>
      <c r="AU1032" s="65" t="str">
        <f t="shared" si="306"/>
        <v>Y</v>
      </c>
      <c r="AV1032" s="65" t="str">
        <f t="shared" si="311"/>
        <v>Y</v>
      </c>
      <c r="AW1032" s="99"/>
      <c r="AX1032" s="99"/>
      <c r="AY1032" s="93"/>
      <c r="AZ1032" s="96" t="str">
        <f t="shared" si="307"/>
        <v>NOEC</v>
      </c>
      <c r="BA1032" s="96">
        <f>IF(AZ1032="n","n",VLOOKUP(AZ1032,'Conversion factors'!$C$4:$D$24,2,FALSE))</f>
        <v>1</v>
      </c>
      <c r="BB1032" s="96">
        <f t="shared" si="308"/>
        <v>74</v>
      </c>
      <c r="BC1032" s="97"/>
      <c r="BD1032" s="96" t="str">
        <f t="shared" si="280"/>
        <v>Chronic</v>
      </c>
      <c r="BE1032" s="96" t="str">
        <f t="shared" si="309"/>
        <v>y</v>
      </c>
      <c r="BF1032" s="98" t="str">
        <f t="shared" si="281"/>
        <v>NOEC</v>
      </c>
      <c r="BG1032" s="96" t="str">
        <f>IF(BF1032="","",IF(ISNUMBER(VLOOKUP(BF1032,'Conversion factors'!$B$35:$C$52,2,FALSE)),"y","n"))</f>
        <v>y</v>
      </c>
      <c r="BH1032" s="99" t="s">
        <v>1518</v>
      </c>
      <c r="BI1032" s="100"/>
      <c r="BJ1032" s="100"/>
    </row>
    <row r="1033" spans="1:62" s="103" customFormat="1" ht="15.75" customHeight="1" x14ac:dyDescent="0.2">
      <c r="A1033" s="18"/>
      <c r="B1033" s="107">
        <v>104</v>
      </c>
      <c r="C1033" s="36">
        <v>202022</v>
      </c>
      <c r="D1033" s="36">
        <v>2022</v>
      </c>
      <c r="E1033" s="93" t="s">
        <v>1324</v>
      </c>
      <c r="F1033" s="93">
        <v>1972</v>
      </c>
      <c r="G1033" s="19" t="s">
        <v>1478</v>
      </c>
      <c r="H1033" s="19" t="s">
        <v>162</v>
      </c>
      <c r="I1033" s="19" t="s">
        <v>41</v>
      </c>
      <c r="J1033" s="19" t="s">
        <v>87</v>
      </c>
      <c r="K1033" s="19" t="s">
        <v>64</v>
      </c>
      <c r="L1033" s="99" t="s">
        <v>151</v>
      </c>
      <c r="M1033" s="19" t="s">
        <v>260</v>
      </c>
      <c r="N1033" s="19" t="s">
        <v>66</v>
      </c>
      <c r="O1033" s="19" t="s">
        <v>160</v>
      </c>
      <c r="P1033" s="19" t="s">
        <v>162</v>
      </c>
      <c r="Q1033" s="19"/>
      <c r="R1033" s="19" t="s">
        <v>237</v>
      </c>
      <c r="S1033" s="19" t="s">
        <v>164</v>
      </c>
      <c r="T1033" s="19" t="s">
        <v>56</v>
      </c>
      <c r="U1033" s="19" t="s">
        <v>44</v>
      </c>
      <c r="V1033" s="93">
        <v>21</v>
      </c>
      <c r="W1033" s="93" t="s">
        <v>45</v>
      </c>
      <c r="X1033" s="19" t="s">
        <v>46</v>
      </c>
      <c r="Y1033" s="29"/>
      <c r="Z1033" s="93"/>
      <c r="AA1033" s="93"/>
      <c r="AB1033" s="93">
        <v>158</v>
      </c>
      <c r="AC1033" s="19" t="s">
        <v>214</v>
      </c>
      <c r="AD1033" s="93"/>
      <c r="AE1033" s="19">
        <v>45.3</v>
      </c>
      <c r="AF1033" s="19">
        <v>45.3</v>
      </c>
      <c r="AG1033" s="19"/>
      <c r="AH1033" s="19"/>
      <c r="AI1033" s="19"/>
      <c r="AJ1033" s="19">
        <f>MEDIAN(7.4,8.2)</f>
        <v>7.8</v>
      </c>
      <c r="AK1033" s="19" t="s">
        <v>166</v>
      </c>
      <c r="AL1033" s="19"/>
      <c r="AM1033" s="19" t="s">
        <v>48</v>
      </c>
      <c r="AN1033" s="19">
        <v>42.3</v>
      </c>
      <c r="AO1033" s="19"/>
      <c r="AP1033" s="94"/>
      <c r="AQ1033" s="19" t="s">
        <v>88</v>
      </c>
      <c r="AR1033" s="108" t="s">
        <v>200</v>
      </c>
      <c r="AS1033" s="19"/>
      <c r="AT1033" s="65" t="str">
        <f t="shared" si="278"/>
        <v>N</v>
      </c>
      <c r="AU1033" s="65" t="str">
        <f t="shared" si="306"/>
        <v>N</v>
      </c>
      <c r="AV1033" s="65" t="str">
        <f t="shared" si="311"/>
        <v>N</v>
      </c>
      <c r="AW1033" s="99" t="s">
        <v>1543</v>
      </c>
      <c r="AX1033" s="99"/>
      <c r="AY1033" s="93"/>
      <c r="AZ1033" s="96" t="str">
        <f t="shared" si="307"/>
        <v>n</v>
      </c>
      <c r="BA1033" s="96" t="str">
        <f>IF(AZ1033="n","n",VLOOKUP(AZ1033,'Conversion factors'!$C$4:$D$24,2,FALSE))</f>
        <v>n</v>
      </c>
      <c r="BB1033" s="96" t="str">
        <f t="shared" si="308"/>
        <v>n</v>
      </c>
      <c r="BC1033" s="97"/>
      <c r="BD1033" s="96" t="str">
        <f t="shared" si="280"/>
        <v>n</v>
      </c>
      <c r="BE1033" s="96" t="str">
        <f t="shared" si="309"/>
        <v>n</v>
      </c>
      <c r="BF1033" s="98" t="str">
        <f t="shared" si="281"/>
        <v/>
      </c>
      <c r="BG1033" s="96" t="str">
        <f>IF(BF1033="","",IF(ISNUMBER(VLOOKUP(BF1033,'Conversion factors'!$B$35:$C$52,2,FALSE)),"y","n"))</f>
        <v/>
      </c>
      <c r="BH1033" s="99"/>
      <c r="BI1033" s="100"/>
      <c r="BJ1033" s="100"/>
    </row>
    <row r="1034" spans="1:62" s="103" customFormat="1" ht="15.75" customHeight="1" x14ac:dyDescent="0.2">
      <c r="A1034" s="18"/>
      <c r="B1034" s="107">
        <v>104</v>
      </c>
      <c r="C1034" s="36">
        <v>202022</v>
      </c>
      <c r="D1034" s="36">
        <v>2022</v>
      </c>
      <c r="E1034" s="93" t="s">
        <v>1324</v>
      </c>
      <c r="F1034" s="93">
        <v>1972</v>
      </c>
      <c r="G1034" s="19" t="s">
        <v>1478</v>
      </c>
      <c r="H1034" s="19" t="s">
        <v>162</v>
      </c>
      <c r="I1034" s="19" t="s">
        <v>41</v>
      </c>
      <c r="J1034" s="19" t="s">
        <v>87</v>
      </c>
      <c r="K1034" s="19" t="s">
        <v>64</v>
      </c>
      <c r="L1034" s="99" t="s">
        <v>151</v>
      </c>
      <c r="M1034" s="19" t="s">
        <v>260</v>
      </c>
      <c r="N1034" s="19" t="s">
        <v>66</v>
      </c>
      <c r="O1034" s="19" t="s">
        <v>160</v>
      </c>
      <c r="P1034" s="19" t="s">
        <v>162</v>
      </c>
      <c r="Q1034" s="19"/>
      <c r="R1034" s="19" t="s">
        <v>76</v>
      </c>
      <c r="S1034" s="19" t="s">
        <v>163</v>
      </c>
      <c r="T1034" s="19" t="s">
        <v>44</v>
      </c>
      <c r="U1034" s="19" t="s">
        <v>44</v>
      </c>
      <c r="V1034" s="93">
        <v>21</v>
      </c>
      <c r="W1034" s="93" t="s">
        <v>45</v>
      </c>
      <c r="X1034" s="19" t="s">
        <v>46</v>
      </c>
      <c r="Y1034" s="29"/>
      <c r="Z1034" s="93"/>
      <c r="AA1034" s="93"/>
      <c r="AB1034" s="93">
        <v>102</v>
      </c>
      <c r="AC1034" s="19" t="s">
        <v>214</v>
      </c>
      <c r="AD1034" s="93"/>
      <c r="AE1034" s="19">
        <v>45.3</v>
      </c>
      <c r="AF1034" s="19">
        <v>45.3</v>
      </c>
      <c r="AG1034" s="19"/>
      <c r="AH1034" s="19"/>
      <c r="AI1034" s="19"/>
      <c r="AJ1034" s="19">
        <f>MEDIAN(7.4,8.2)</f>
        <v>7.8</v>
      </c>
      <c r="AK1034" s="19" t="s">
        <v>166</v>
      </c>
      <c r="AL1034" s="19"/>
      <c r="AM1034" s="19" t="s">
        <v>48</v>
      </c>
      <c r="AN1034" s="19">
        <v>42.3</v>
      </c>
      <c r="AO1034" s="19"/>
      <c r="AP1034" s="94"/>
      <c r="AQ1034" s="19" t="s">
        <v>88</v>
      </c>
      <c r="AR1034" s="108" t="s">
        <v>200</v>
      </c>
      <c r="AS1034" s="19"/>
      <c r="AT1034" s="65" t="str">
        <f t="shared" si="278"/>
        <v>N</v>
      </c>
      <c r="AU1034" s="65" t="str">
        <f t="shared" si="306"/>
        <v>N</v>
      </c>
      <c r="AV1034" s="65" t="str">
        <f t="shared" si="311"/>
        <v>N</v>
      </c>
      <c r="AW1034" s="99" t="s">
        <v>1543</v>
      </c>
      <c r="AX1034" s="99"/>
      <c r="AY1034" s="93"/>
      <c r="AZ1034" s="96" t="str">
        <f t="shared" si="307"/>
        <v>n</v>
      </c>
      <c r="BA1034" s="96" t="str">
        <f>IF(AZ1034="n","n",VLOOKUP(AZ1034,'Conversion factors'!$C$4:$D$24,2,FALSE))</f>
        <v>n</v>
      </c>
      <c r="BB1034" s="96" t="str">
        <f t="shared" si="308"/>
        <v>n</v>
      </c>
      <c r="BC1034" s="97"/>
      <c r="BD1034" s="96" t="str">
        <f t="shared" si="280"/>
        <v>n</v>
      </c>
      <c r="BE1034" s="96" t="str">
        <f t="shared" si="309"/>
        <v>n</v>
      </c>
      <c r="BF1034" s="98" t="str">
        <f t="shared" si="281"/>
        <v/>
      </c>
      <c r="BG1034" s="96" t="str">
        <f>IF(BF1034="","",IF(ISNUMBER(VLOOKUP(BF1034,'Conversion factors'!$B$35:$C$52,2,FALSE)),"y","n"))</f>
        <v/>
      </c>
      <c r="BH1034" s="99"/>
      <c r="BI1034" s="100"/>
      <c r="BJ1034" s="100"/>
    </row>
    <row r="1035" spans="1:62" s="103" customFormat="1" ht="15.75" customHeight="1" x14ac:dyDescent="0.2">
      <c r="A1035" s="18"/>
      <c r="B1035" s="107">
        <v>104</v>
      </c>
      <c r="C1035" s="36">
        <v>202022</v>
      </c>
      <c r="D1035" s="36">
        <v>2022</v>
      </c>
      <c r="E1035" s="93" t="s">
        <v>1324</v>
      </c>
      <c r="F1035" s="93">
        <v>1972</v>
      </c>
      <c r="G1035" s="19" t="s">
        <v>1478</v>
      </c>
      <c r="H1035" s="19" t="s">
        <v>162</v>
      </c>
      <c r="I1035" s="19" t="s">
        <v>41</v>
      </c>
      <c r="J1035" s="19" t="s">
        <v>87</v>
      </c>
      <c r="K1035" s="19" t="s">
        <v>64</v>
      </c>
      <c r="L1035" s="99" t="s">
        <v>151</v>
      </c>
      <c r="M1035" s="19" t="s">
        <v>260</v>
      </c>
      <c r="N1035" s="19" t="s">
        <v>66</v>
      </c>
      <c r="O1035" s="19" t="s">
        <v>160</v>
      </c>
      <c r="P1035" s="19" t="s">
        <v>162</v>
      </c>
      <c r="Q1035" s="19"/>
      <c r="R1035" s="19" t="s">
        <v>76</v>
      </c>
      <c r="S1035" s="19" t="s">
        <v>163</v>
      </c>
      <c r="T1035" s="19" t="s">
        <v>165</v>
      </c>
      <c r="U1035" s="19" t="s">
        <v>165</v>
      </c>
      <c r="V1035" s="93">
        <v>21</v>
      </c>
      <c r="W1035" s="93" t="s">
        <v>45</v>
      </c>
      <c r="X1035" s="19" t="s">
        <v>46</v>
      </c>
      <c r="Y1035" s="29"/>
      <c r="Z1035" s="93"/>
      <c r="AA1035" s="93"/>
      <c r="AB1035" s="93">
        <v>70</v>
      </c>
      <c r="AC1035" s="19" t="s">
        <v>214</v>
      </c>
      <c r="AD1035" s="93"/>
      <c r="AE1035" s="19">
        <v>45.3</v>
      </c>
      <c r="AF1035" s="19">
        <v>45.3</v>
      </c>
      <c r="AG1035" s="19"/>
      <c r="AH1035" s="19"/>
      <c r="AI1035" s="19"/>
      <c r="AJ1035" s="19">
        <f>MEDIAN(7.4,8.2)</f>
        <v>7.8</v>
      </c>
      <c r="AK1035" s="19" t="s">
        <v>166</v>
      </c>
      <c r="AL1035" s="19"/>
      <c r="AM1035" s="19" t="s">
        <v>48</v>
      </c>
      <c r="AN1035" s="19">
        <v>42.3</v>
      </c>
      <c r="AO1035" s="19"/>
      <c r="AP1035" s="94"/>
      <c r="AQ1035" s="19" t="s">
        <v>88</v>
      </c>
      <c r="AR1035" s="108" t="s">
        <v>200</v>
      </c>
      <c r="AS1035" s="19"/>
      <c r="AT1035" s="65" t="str">
        <f t="shared" si="278"/>
        <v>N</v>
      </c>
      <c r="AU1035" s="65" t="str">
        <f t="shared" si="306"/>
        <v>N</v>
      </c>
      <c r="AV1035" s="65" t="str">
        <f t="shared" si="311"/>
        <v>N</v>
      </c>
      <c r="AW1035" s="99" t="s">
        <v>1543</v>
      </c>
      <c r="AX1035" s="99"/>
      <c r="AY1035" s="93"/>
      <c r="AZ1035" s="96" t="str">
        <f t="shared" si="307"/>
        <v>n</v>
      </c>
      <c r="BA1035" s="96" t="str">
        <f>IF(AZ1035="n","n",VLOOKUP(AZ1035,'Conversion factors'!$C$4:$D$24,2,FALSE))</f>
        <v>n</v>
      </c>
      <c r="BB1035" s="96" t="str">
        <f t="shared" si="308"/>
        <v>n</v>
      </c>
      <c r="BC1035" s="97"/>
      <c r="BD1035" s="96" t="str">
        <f t="shared" si="280"/>
        <v>n</v>
      </c>
      <c r="BE1035" s="96" t="str">
        <f t="shared" si="309"/>
        <v>n</v>
      </c>
      <c r="BF1035" s="98" t="str">
        <f t="shared" si="281"/>
        <v/>
      </c>
      <c r="BG1035" s="96" t="str">
        <f>IF(BF1035="","",IF(ISNUMBER(VLOOKUP(BF1035,'Conversion factors'!$B$35:$C$52,2,FALSE)),"y","n"))</f>
        <v/>
      </c>
      <c r="BH1035" s="99"/>
      <c r="BI1035" s="100"/>
      <c r="BJ1035" s="100"/>
    </row>
    <row r="1036" spans="1:62" s="103" customFormat="1" ht="15.75" customHeight="1" x14ac:dyDescent="0.2">
      <c r="A1036" s="18"/>
      <c r="B1036" s="107"/>
      <c r="C1036" s="36"/>
      <c r="D1036" s="36"/>
      <c r="E1036" s="93" t="s">
        <v>1584</v>
      </c>
      <c r="F1036" s="93">
        <v>1991</v>
      </c>
      <c r="G1036" s="19" t="s">
        <v>1605</v>
      </c>
      <c r="H1036" s="19" t="s">
        <v>162</v>
      </c>
      <c r="I1036" s="19" t="s">
        <v>41</v>
      </c>
      <c r="J1036" s="19" t="s">
        <v>87</v>
      </c>
      <c r="K1036" s="19" t="s">
        <v>64</v>
      </c>
      <c r="L1036" s="99" t="s">
        <v>151</v>
      </c>
      <c r="M1036" s="19" t="s">
        <v>260</v>
      </c>
      <c r="N1036" s="19" t="s">
        <v>66</v>
      </c>
      <c r="O1036" s="19" t="s">
        <v>1606</v>
      </c>
      <c r="P1036" s="19" t="s">
        <v>162</v>
      </c>
      <c r="Q1036" s="19"/>
      <c r="R1036" s="19" t="s">
        <v>76</v>
      </c>
      <c r="S1036" s="19" t="s">
        <v>163</v>
      </c>
      <c r="T1036" s="19" t="s">
        <v>54</v>
      </c>
      <c r="U1036" s="19" t="s">
        <v>54</v>
      </c>
      <c r="V1036" s="93">
        <v>21</v>
      </c>
      <c r="W1036" s="93" t="s">
        <v>45</v>
      </c>
      <c r="X1036" s="19" t="s">
        <v>46</v>
      </c>
      <c r="Y1036" s="29"/>
      <c r="Z1036" s="93"/>
      <c r="AA1036" s="93"/>
      <c r="AB1036" s="93">
        <v>100</v>
      </c>
      <c r="AC1036" s="19" t="s">
        <v>214</v>
      </c>
      <c r="AD1036" s="93"/>
      <c r="AE1036" s="19">
        <v>64.900000000000006</v>
      </c>
      <c r="AF1036" s="19">
        <v>64.900000000000006</v>
      </c>
      <c r="AG1036" s="19"/>
      <c r="AH1036" s="19"/>
      <c r="AI1036" s="19"/>
      <c r="AJ1036" s="19">
        <v>7.7</v>
      </c>
      <c r="AK1036" s="19"/>
      <c r="AL1036" s="19"/>
      <c r="AM1036" s="19"/>
      <c r="AN1036" s="19"/>
      <c r="AO1036" s="19"/>
      <c r="AP1036" s="94"/>
      <c r="AQ1036" s="19">
        <v>21</v>
      </c>
      <c r="AR1036" s="108"/>
      <c r="AS1036" s="19"/>
      <c r="AT1036" s="65" t="str">
        <f t="shared" si="278"/>
        <v>Y</v>
      </c>
      <c r="AU1036" s="65" t="str">
        <f t="shared" si="306"/>
        <v>Y</v>
      </c>
      <c r="AV1036" s="65" t="str">
        <f t="shared" si="311"/>
        <v>Y</v>
      </c>
      <c r="AW1036" s="19"/>
      <c r="AX1036" s="99" t="s">
        <v>1644</v>
      </c>
      <c r="AY1036" s="93"/>
      <c r="AZ1036" s="96" t="str">
        <f t="shared" si="307"/>
        <v>NOEC</v>
      </c>
      <c r="BA1036" s="96">
        <f>IF(AZ1036="n","n",VLOOKUP(AZ1036,'Conversion factors'!$C$4:$D$24,2,FALSE))</f>
        <v>1</v>
      </c>
      <c r="BB1036" s="96">
        <f t="shared" si="308"/>
        <v>100</v>
      </c>
      <c r="BC1036" s="97"/>
      <c r="BD1036" s="96" t="str">
        <f t="shared" si="280"/>
        <v>Chronic</v>
      </c>
      <c r="BE1036" s="96" t="str">
        <f t="shared" si="309"/>
        <v>y</v>
      </c>
      <c r="BF1036" s="98" t="str">
        <f t="shared" si="281"/>
        <v>NOEC</v>
      </c>
      <c r="BG1036" s="96" t="str">
        <f>IF(BF1036="","",IF(ISNUMBER(VLOOKUP(BF1036,'Conversion factors'!$B$35:$C$52,2,FALSE)),"y","n"))</f>
        <v>y</v>
      </c>
      <c r="BH1036" s="99"/>
      <c r="BI1036" s="19" t="s">
        <v>1644</v>
      </c>
      <c r="BJ1036" s="100"/>
    </row>
    <row r="1037" spans="1:62" s="103" customFormat="1" ht="15.75" customHeight="1" x14ac:dyDescent="0.2">
      <c r="A1037" s="18"/>
      <c r="B1037" s="107"/>
      <c r="C1037" s="36"/>
      <c r="D1037" s="36"/>
      <c r="E1037" s="93" t="s">
        <v>1584</v>
      </c>
      <c r="F1037" s="93">
        <v>1991</v>
      </c>
      <c r="G1037" s="19" t="s">
        <v>1605</v>
      </c>
      <c r="H1037" s="19" t="s">
        <v>162</v>
      </c>
      <c r="I1037" s="19" t="s">
        <v>41</v>
      </c>
      <c r="J1037" s="19" t="s">
        <v>87</v>
      </c>
      <c r="K1037" s="19" t="s">
        <v>64</v>
      </c>
      <c r="L1037" s="99" t="s">
        <v>151</v>
      </c>
      <c r="M1037" s="19" t="s">
        <v>260</v>
      </c>
      <c r="N1037" s="19" t="s">
        <v>66</v>
      </c>
      <c r="O1037" s="19" t="s">
        <v>1606</v>
      </c>
      <c r="P1037" s="19" t="s">
        <v>162</v>
      </c>
      <c r="Q1037" s="19"/>
      <c r="R1037" s="19" t="s">
        <v>76</v>
      </c>
      <c r="S1037" s="19" t="s">
        <v>163</v>
      </c>
      <c r="T1037" s="19" t="s">
        <v>1062</v>
      </c>
      <c r="U1037" s="19" t="s">
        <v>49</v>
      </c>
      <c r="V1037" s="93">
        <v>21</v>
      </c>
      <c r="W1037" s="93" t="s">
        <v>45</v>
      </c>
      <c r="X1037" s="19" t="s">
        <v>46</v>
      </c>
      <c r="Y1037" s="29"/>
      <c r="Z1037" s="93"/>
      <c r="AA1037" s="93"/>
      <c r="AB1037" s="93">
        <v>67.599999999999994</v>
      </c>
      <c r="AC1037" s="19" t="s">
        <v>214</v>
      </c>
      <c r="AD1037" s="93"/>
      <c r="AE1037" s="19">
        <v>64.900000000000006</v>
      </c>
      <c r="AF1037" s="19">
        <v>64.900000000000006</v>
      </c>
      <c r="AG1037" s="19"/>
      <c r="AH1037" s="19"/>
      <c r="AI1037" s="19"/>
      <c r="AJ1037" s="19">
        <v>7.7</v>
      </c>
      <c r="AK1037" s="19"/>
      <c r="AL1037" s="19"/>
      <c r="AM1037" s="19"/>
      <c r="AN1037" s="19"/>
      <c r="AO1037" s="19"/>
      <c r="AP1037" s="94"/>
      <c r="AQ1037" s="19">
        <v>21</v>
      </c>
      <c r="AR1037" s="108"/>
      <c r="AS1037" s="19"/>
      <c r="AT1037" s="65" t="str">
        <f t="shared" si="278"/>
        <v>Y</v>
      </c>
      <c r="AU1037" s="65" t="str">
        <f t="shared" ref="AU1037" si="316">IF(AT1037="N","N",IF(AJ1037&lt;6,"N",IF(AJ1037&gt;8.5,"N","Y")))</f>
        <v>Y</v>
      </c>
      <c r="AV1037" s="65" t="str">
        <f t="shared" ref="AV1037" si="317">AU1037</f>
        <v>Y</v>
      </c>
      <c r="AW1037" s="19" t="s">
        <v>1607</v>
      </c>
      <c r="AX1037" s="99" t="s">
        <v>1644</v>
      </c>
      <c r="AY1037" s="93"/>
      <c r="AZ1037" s="96" t="str">
        <f t="shared" ref="AZ1037" si="318">IF(AV1037="N","n",T1037)</f>
        <v>IC10</v>
      </c>
      <c r="BA1037" s="96">
        <f>IF(AZ1037="n","n",VLOOKUP(AZ1037,'Conversion factors'!$C$4:$D$24,2,FALSE))</f>
        <v>1</v>
      </c>
      <c r="BB1037" s="96">
        <f t="shared" ref="BB1037" si="319">IF(BA1037="n","n",AB1037/BA1037)</f>
        <v>67.599999999999994</v>
      </c>
      <c r="BC1037" s="97"/>
      <c r="BD1037" s="96" t="str">
        <f t="shared" si="280"/>
        <v>Chronic</v>
      </c>
      <c r="BE1037" s="96" t="str">
        <f t="shared" ref="BE1037" si="320">IF(BD1037="chronic","y","n")</f>
        <v>y</v>
      </c>
      <c r="BF1037" s="98" t="str">
        <f t="shared" si="281"/>
        <v>IC10</v>
      </c>
      <c r="BG1037" s="96" t="str">
        <f>IF(BF1037="","",IF(ISNUMBER(VLOOKUP(BF1037,'Conversion factors'!$B$35:$C$52,2,FALSE)),"y","n"))</f>
        <v>y</v>
      </c>
      <c r="BH1037" s="99"/>
      <c r="BI1037" s="19" t="s">
        <v>1644</v>
      </c>
      <c r="BJ1037" s="100"/>
    </row>
    <row r="1038" spans="1:62" s="103" customFormat="1" ht="15.75" customHeight="1" x14ac:dyDescent="0.2">
      <c r="A1038" s="18"/>
      <c r="B1038" s="107">
        <v>118</v>
      </c>
      <c r="C1038" s="36">
        <v>205227</v>
      </c>
      <c r="D1038" s="36">
        <v>5227</v>
      </c>
      <c r="E1038" s="93" t="s">
        <v>1324</v>
      </c>
      <c r="F1038" s="93">
        <v>1988</v>
      </c>
      <c r="G1038" s="19" t="s">
        <v>1455</v>
      </c>
      <c r="H1038" s="19" t="s">
        <v>162</v>
      </c>
      <c r="I1038" s="19" t="s">
        <v>41</v>
      </c>
      <c r="J1038" s="19" t="s">
        <v>87</v>
      </c>
      <c r="K1038" s="19" t="s">
        <v>64</v>
      </c>
      <c r="L1038" s="99" t="s">
        <v>151</v>
      </c>
      <c r="M1038" s="19" t="s">
        <v>260</v>
      </c>
      <c r="N1038" s="19" t="s">
        <v>66</v>
      </c>
      <c r="O1038" s="19" t="s">
        <v>67</v>
      </c>
      <c r="P1038" s="19" t="s">
        <v>162</v>
      </c>
      <c r="Q1038" s="19"/>
      <c r="R1038" s="19" t="s">
        <v>237</v>
      </c>
      <c r="S1038" s="19" t="s">
        <v>156</v>
      </c>
      <c r="T1038" s="19" t="s">
        <v>52</v>
      </c>
      <c r="U1038" s="19" t="s">
        <v>52</v>
      </c>
      <c r="V1038" s="93">
        <v>50</v>
      </c>
      <c r="W1038" s="93" t="s">
        <v>45</v>
      </c>
      <c r="X1038" s="19" t="s">
        <v>46</v>
      </c>
      <c r="Y1038" s="29"/>
      <c r="Z1038" s="93"/>
      <c r="AA1038" s="93"/>
      <c r="AB1038" s="93">
        <v>87.5</v>
      </c>
      <c r="AC1038" s="19" t="s">
        <v>1322</v>
      </c>
      <c r="AD1038" s="93"/>
      <c r="AE1038" s="19">
        <v>51.9</v>
      </c>
      <c r="AF1038" s="19">
        <v>51.9</v>
      </c>
      <c r="AG1038" s="19"/>
      <c r="AH1038" s="19"/>
      <c r="AI1038" s="19"/>
      <c r="AJ1038" s="19">
        <v>8.39</v>
      </c>
      <c r="AK1038" s="19">
        <v>8.39</v>
      </c>
      <c r="AL1038" s="19"/>
      <c r="AM1038" s="19" t="s">
        <v>189</v>
      </c>
      <c r="AN1038" s="19">
        <v>49</v>
      </c>
      <c r="AO1038" s="19"/>
      <c r="AP1038" s="94">
        <v>1.2</v>
      </c>
      <c r="AQ1038" s="19" t="s">
        <v>97</v>
      </c>
      <c r="AR1038" s="108" t="s">
        <v>200</v>
      </c>
      <c r="AS1038" s="19"/>
      <c r="AT1038" s="65" t="str">
        <f t="shared" si="278"/>
        <v>N</v>
      </c>
      <c r="AU1038" s="65" t="str">
        <f t="shared" si="306"/>
        <v>N</v>
      </c>
      <c r="AV1038" s="65" t="str">
        <f t="shared" si="311"/>
        <v>N</v>
      </c>
      <c r="AW1038" s="19" t="s">
        <v>212</v>
      </c>
      <c r="AX1038" s="19"/>
      <c r="AY1038" s="93"/>
      <c r="AZ1038" s="96" t="str">
        <f t="shared" si="307"/>
        <v>n</v>
      </c>
      <c r="BA1038" s="96" t="str">
        <f>IF(AZ1038="n","n",VLOOKUP(AZ1038,'Conversion factors'!$C$4:$D$24,2,FALSE))</f>
        <v>n</v>
      </c>
      <c r="BB1038" s="96" t="str">
        <f t="shared" si="308"/>
        <v>n</v>
      </c>
      <c r="BC1038" s="97"/>
      <c r="BD1038" s="96" t="str">
        <f t="shared" si="280"/>
        <v>n</v>
      </c>
      <c r="BE1038" s="96" t="str">
        <f t="shared" si="309"/>
        <v>n</v>
      </c>
      <c r="BF1038" s="98" t="str">
        <f t="shared" si="281"/>
        <v/>
      </c>
      <c r="BG1038" s="96" t="str">
        <f>IF(BF1038="","",IF(ISNUMBER(VLOOKUP(BF1038,'Conversion factors'!$B$35:$C$52,2,FALSE)),"y","n"))</f>
        <v/>
      </c>
      <c r="BH1038" s="99"/>
      <c r="BI1038" s="100"/>
      <c r="BJ1038" s="100"/>
    </row>
    <row r="1039" spans="1:62" s="103" customFormat="1" ht="15.75" customHeight="1" x14ac:dyDescent="0.2">
      <c r="A1039" s="18"/>
      <c r="B1039" s="107">
        <v>118</v>
      </c>
      <c r="C1039" s="36">
        <v>205227</v>
      </c>
      <c r="D1039" s="36">
        <v>5227</v>
      </c>
      <c r="E1039" s="93" t="s">
        <v>1324</v>
      </c>
      <c r="F1039" s="93">
        <v>1988</v>
      </c>
      <c r="G1039" s="19" t="s">
        <v>1455</v>
      </c>
      <c r="H1039" s="19" t="s">
        <v>162</v>
      </c>
      <c r="I1039" s="19" t="s">
        <v>41</v>
      </c>
      <c r="J1039" s="19" t="s">
        <v>87</v>
      </c>
      <c r="K1039" s="19" t="s">
        <v>64</v>
      </c>
      <c r="L1039" s="99" t="s">
        <v>151</v>
      </c>
      <c r="M1039" s="19" t="s">
        <v>260</v>
      </c>
      <c r="N1039" s="19" t="s">
        <v>66</v>
      </c>
      <c r="O1039" s="19" t="s">
        <v>67</v>
      </c>
      <c r="P1039" s="19" t="s">
        <v>162</v>
      </c>
      <c r="Q1039" s="19"/>
      <c r="R1039" s="19" t="s">
        <v>237</v>
      </c>
      <c r="S1039" s="19" t="s">
        <v>156</v>
      </c>
      <c r="T1039" s="19" t="s">
        <v>52</v>
      </c>
      <c r="U1039" s="19" t="s">
        <v>52</v>
      </c>
      <c r="V1039" s="93">
        <v>50</v>
      </c>
      <c r="W1039" s="93" t="s">
        <v>45</v>
      </c>
      <c r="X1039" s="19" t="s">
        <v>46</v>
      </c>
      <c r="Y1039" s="29"/>
      <c r="Z1039" s="93"/>
      <c r="AA1039" s="93"/>
      <c r="AB1039" s="93">
        <v>112.5</v>
      </c>
      <c r="AC1039" s="19" t="s">
        <v>1322</v>
      </c>
      <c r="AD1039" s="93"/>
      <c r="AE1039" s="19">
        <v>51.9</v>
      </c>
      <c r="AF1039" s="19">
        <v>51.9</v>
      </c>
      <c r="AG1039" s="19"/>
      <c r="AH1039" s="19"/>
      <c r="AI1039" s="19"/>
      <c r="AJ1039" s="19">
        <v>8.39</v>
      </c>
      <c r="AK1039" s="19">
        <v>8.39</v>
      </c>
      <c r="AL1039" s="19"/>
      <c r="AM1039" s="19" t="s">
        <v>190</v>
      </c>
      <c r="AN1039" s="19">
        <v>49</v>
      </c>
      <c r="AO1039" s="19"/>
      <c r="AP1039" s="94" t="s">
        <v>195</v>
      </c>
      <c r="AQ1039" s="19" t="s">
        <v>97</v>
      </c>
      <c r="AR1039" s="108" t="s">
        <v>200</v>
      </c>
      <c r="AS1039" s="19"/>
      <c r="AT1039" s="65" t="str">
        <f t="shared" si="278"/>
        <v>N</v>
      </c>
      <c r="AU1039" s="65" t="str">
        <f t="shared" si="306"/>
        <v>N</v>
      </c>
      <c r="AV1039" s="65" t="str">
        <f t="shared" si="311"/>
        <v>N</v>
      </c>
      <c r="AW1039" s="99"/>
      <c r="AX1039" s="99"/>
      <c r="AY1039" s="93"/>
      <c r="AZ1039" s="96" t="str">
        <f t="shared" si="307"/>
        <v>n</v>
      </c>
      <c r="BA1039" s="96" t="str">
        <f>IF(AZ1039="n","n",VLOOKUP(AZ1039,'Conversion factors'!$C$4:$D$24,2,FALSE))</f>
        <v>n</v>
      </c>
      <c r="BB1039" s="96" t="str">
        <f t="shared" si="308"/>
        <v>n</v>
      </c>
      <c r="BC1039" s="97"/>
      <c r="BD1039" s="96" t="str">
        <f t="shared" si="280"/>
        <v>n</v>
      </c>
      <c r="BE1039" s="96" t="str">
        <f t="shared" si="309"/>
        <v>n</v>
      </c>
      <c r="BF1039" s="98" t="str">
        <f t="shared" si="281"/>
        <v/>
      </c>
      <c r="BG1039" s="96" t="str">
        <f>IF(BF1039="","",IF(ISNUMBER(VLOOKUP(BF1039,'Conversion factors'!$B$35:$C$52,2,FALSE)),"y","n"))</f>
        <v/>
      </c>
      <c r="BH1039" s="99"/>
      <c r="BI1039" s="100"/>
      <c r="BJ1039" s="100"/>
    </row>
    <row r="1040" spans="1:62" s="103" customFormat="1" ht="15.75" customHeight="1" x14ac:dyDescent="0.2">
      <c r="A1040" s="18"/>
      <c r="B1040" s="107">
        <v>118</v>
      </c>
      <c r="C1040" s="36">
        <v>205227</v>
      </c>
      <c r="D1040" s="36">
        <v>5227</v>
      </c>
      <c r="E1040" s="93" t="s">
        <v>1324</v>
      </c>
      <c r="F1040" s="93">
        <v>1988</v>
      </c>
      <c r="G1040" s="19" t="s">
        <v>1455</v>
      </c>
      <c r="H1040" s="19" t="s">
        <v>162</v>
      </c>
      <c r="I1040" s="19" t="s">
        <v>41</v>
      </c>
      <c r="J1040" s="19" t="s">
        <v>87</v>
      </c>
      <c r="K1040" s="19" t="s">
        <v>64</v>
      </c>
      <c r="L1040" s="99" t="s">
        <v>151</v>
      </c>
      <c r="M1040" s="19" t="s">
        <v>260</v>
      </c>
      <c r="N1040" s="19" t="s">
        <v>66</v>
      </c>
      <c r="O1040" s="19" t="s">
        <v>67</v>
      </c>
      <c r="P1040" s="19" t="s">
        <v>162</v>
      </c>
      <c r="Q1040" s="19"/>
      <c r="R1040" s="19" t="s">
        <v>237</v>
      </c>
      <c r="S1040" s="19" t="s">
        <v>156</v>
      </c>
      <c r="T1040" s="19" t="s">
        <v>52</v>
      </c>
      <c r="U1040" s="19" t="s">
        <v>52</v>
      </c>
      <c r="V1040" s="93">
        <v>50</v>
      </c>
      <c r="W1040" s="93" t="s">
        <v>45</v>
      </c>
      <c r="X1040" s="19" t="s">
        <v>46</v>
      </c>
      <c r="Y1040" s="29"/>
      <c r="Z1040" s="93"/>
      <c r="AA1040" s="93"/>
      <c r="AB1040" s="93">
        <v>120.8</v>
      </c>
      <c r="AC1040" s="19" t="s">
        <v>1322</v>
      </c>
      <c r="AD1040" s="93"/>
      <c r="AE1040" s="19">
        <v>51.9</v>
      </c>
      <c r="AF1040" s="19">
        <v>51.9</v>
      </c>
      <c r="AG1040" s="19"/>
      <c r="AH1040" s="19"/>
      <c r="AI1040" s="19"/>
      <c r="AJ1040" s="19">
        <v>8.39</v>
      </c>
      <c r="AK1040" s="19">
        <v>8.39</v>
      </c>
      <c r="AL1040" s="19"/>
      <c r="AM1040" s="19" t="s">
        <v>191</v>
      </c>
      <c r="AN1040" s="19">
        <v>49</v>
      </c>
      <c r="AO1040" s="19"/>
      <c r="AP1040" s="94" t="s">
        <v>196</v>
      </c>
      <c r="AQ1040" s="19" t="s">
        <v>97</v>
      </c>
      <c r="AR1040" s="108" t="s">
        <v>200</v>
      </c>
      <c r="AS1040" s="19"/>
      <c r="AT1040" s="65" t="str">
        <f t="shared" ref="AT1040:AT1103" si="321">IF(F1040&lt;1980,"N",IF(AC1040="M","Y",IF(AC1040="SM","Y","N")))</f>
        <v>N</v>
      </c>
      <c r="AU1040" s="65" t="str">
        <f t="shared" si="306"/>
        <v>N</v>
      </c>
      <c r="AV1040" s="65" t="s">
        <v>162</v>
      </c>
      <c r="AW1040" s="99" t="s">
        <v>1406</v>
      </c>
      <c r="AX1040" s="99"/>
      <c r="AY1040" s="93"/>
      <c r="AZ1040" s="96" t="str">
        <f t="shared" si="307"/>
        <v>n</v>
      </c>
      <c r="BA1040" s="96" t="str">
        <f>IF(AZ1040="n","n",VLOOKUP(AZ1040,'Conversion factors'!$C$4:$D$24,2,FALSE))</f>
        <v>n</v>
      </c>
      <c r="BB1040" s="96" t="str">
        <f t="shared" si="308"/>
        <v>n</v>
      </c>
      <c r="BC1040" s="97"/>
      <c r="BD1040" s="96" t="str">
        <f t="shared" ref="BD1040:BD1103" si="322">IF(AV1040="N","n",X1040)</f>
        <v>n</v>
      </c>
      <c r="BE1040" s="96" t="str">
        <f t="shared" si="309"/>
        <v>n</v>
      </c>
      <c r="BF1040" s="98" t="str">
        <f t="shared" si="281"/>
        <v/>
      </c>
      <c r="BG1040" s="96" t="str">
        <f>IF(BF1040="","",IF(ISNUMBER(VLOOKUP(BF1040,'Conversion factors'!$B$35:$C$52,2,FALSE)),"y","n"))</f>
        <v/>
      </c>
      <c r="BH1040" s="99"/>
      <c r="BI1040" s="100"/>
      <c r="BJ1040" s="100"/>
    </row>
    <row r="1041" spans="1:62" s="103" customFormat="1" ht="15.75" customHeight="1" x14ac:dyDescent="0.2">
      <c r="A1041" s="18"/>
      <c r="B1041" s="107">
        <v>118</v>
      </c>
      <c r="C1041" s="36">
        <v>205227</v>
      </c>
      <c r="D1041" s="36">
        <v>5227</v>
      </c>
      <c r="E1041" s="93" t="s">
        <v>1324</v>
      </c>
      <c r="F1041" s="93">
        <v>1988</v>
      </c>
      <c r="G1041" s="19" t="s">
        <v>1455</v>
      </c>
      <c r="H1041" s="19" t="s">
        <v>162</v>
      </c>
      <c r="I1041" s="19" t="s">
        <v>41</v>
      </c>
      <c r="J1041" s="19" t="s">
        <v>87</v>
      </c>
      <c r="K1041" s="19" t="s">
        <v>64</v>
      </c>
      <c r="L1041" s="99" t="s">
        <v>151</v>
      </c>
      <c r="M1041" s="19" t="s">
        <v>260</v>
      </c>
      <c r="N1041" s="19" t="s">
        <v>66</v>
      </c>
      <c r="O1041" s="19" t="s">
        <v>67</v>
      </c>
      <c r="P1041" s="19" t="s">
        <v>162</v>
      </c>
      <c r="Q1041" s="19"/>
      <c r="R1041" s="19" t="s">
        <v>237</v>
      </c>
      <c r="S1041" s="19" t="s">
        <v>156</v>
      </c>
      <c r="T1041" s="19" t="s">
        <v>52</v>
      </c>
      <c r="U1041" s="19" t="s">
        <v>52</v>
      </c>
      <c r="V1041" s="93">
        <v>50</v>
      </c>
      <c r="W1041" s="93" t="s">
        <v>45</v>
      </c>
      <c r="X1041" s="19" t="s">
        <v>46</v>
      </c>
      <c r="Y1041" s="29"/>
      <c r="Z1041" s="93"/>
      <c r="AA1041" s="93"/>
      <c r="AB1041" s="93">
        <v>125</v>
      </c>
      <c r="AC1041" s="19" t="s">
        <v>1322</v>
      </c>
      <c r="AD1041" s="93"/>
      <c r="AE1041" s="19">
        <v>101.8</v>
      </c>
      <c r="AF1041" s="19">
        <v>101.8</v>
      </c>
      <c r="AG1041" s="19"/>
      <c r="AH1041" s="19"/>
      <c r="AI1041" s="19"/>
      <c r="AJ1041" s="19">
        <v>8.32</v>
      </c>
      <c r="AK1041" s="19">
        <v>8.32</v>
      </c>
      <c r="AL1041" s="19"/>
      <c r="AM1041" s="19" t="s">
        <v>193</v>
      </c>
      <c r="AN1041" s="19">
        <v>49.6</v>
      </c>
      <c r="AO1041" s="19"/>
      <c r="AP1041" s="94"/>
      <c r="AQ1041" s="19" t="s">
        <v>97</v>
      </c>
      <c r="AR1041" s="108" t="s">
        <v>200</v>
      </c>
      <c r="AS1041" s="19"/>
      <c r="AT1041" s="65" t="str">
        <f t="shared" si="321"/>
        <v>N</v>
      </c>
      <c r="AU1041" s="65" t="str">
        <f t="shared" si="306"/>
        <v>N</v>
      </c>
      <c r="AV1041" s="65" t="s">
        <v>162</v>
      </c>
      <c r="AW1041" s="99" t="s">
        <v>1405</v>
      </c>
      <c r="AX1041" s="99"/>
      <c r="AY1041" s="93"/>
      <c r="AZ1041" s="96" t="str">
        <f t="shared" si="307"/>
        <v>n</v>
      </c>
      <c r="BA1041" s="96" t="str">
        <f>IF(AZ1041="n","n",VLOOKUP(AZ1041,'Conversion factors'!$C$4:$D$24,2,FALSE))</f>
        <v>n</v>
      </c>
      <c r="BB1041" s="96" t="str">
        <f t="shared" si="308"/>
        <v>n</v>
      </c>
      <c r="BC1041" s="97"/>
      <c r="BD1041" s="96" t="str">
        <f t="shared" si="322"/>
        <v>n</v>
      </c>
      <c r="BE1041" s="96" t="str">
        <f t="shared" si="309"/>
        <v>n</v>
      </c>
      <c r="BF1041" s="98" t="str">
        <f t="shared" ref="BF1041:BF1104" si="323">IF(BE1041="n","",AZ1041)</f>
        <v/>
      </c>
      <c r="BG1041" s="96" t="str">
        <f>IF(BF1041="","",IF(ISNUMBER(VLOOKUP(BF1041,'Conversion factors'!$B$35:$C$52,2,FALSE)),"y","n"))</f>
        <v/>
      </c>
      <c r="BH1041" s="99"/>
      <c r="BI1041" s="100"/>
      <c r="BJ1041" s="100"/>
    </row>
    <row r="1042" spans="1:62" s="103" customFormat="1" ht="15.75" customHeight="1" x14ac:dyDescent="0.2">
      <c r="A1042" s="18"/>
      <c r="B1042" s="107">
        <v>118</v>
      </c>
      <c r="C1042" s="36">
        <v>205227</v>
      </c>
      <c r="D1042" s="36">
        <v>5227</v>
      </c>
      <c r="E1042" s="93" t="s">
        <v>1324</v>
      </c>
      <c r="F1042" s="93">
        <v>1988</v>
      </c>
      <c r="G1042" s="19" t="s">
        <v>1455</v>
      </c>
      <c r="H1042" s="19" t="s">
        <v>162</v>
      </c>
      <c r="I1042" s="19" t="s">
        <v>41</v>
      </c>
      <c r="J1042" s="19" t="s">
        <v>87</v>
      </c>
      <c r="K1042" s="19" t="s">
        <v>64</v>
      </c>
      <c r="L1042" s="99" t="s">
        <v>151</v>
      </c>
      <c r="M1042" s="19" t="s">
        <v>260</v>
      </c>
      <c r="N1042" s="19" t="s">
        <v>66</v>
      </c>
      <c r="O1042" s="19" t="s">
        <v>67</v>
      </c>
      <c r="P1042" s="19" t="s">
        <v>162</v>
      </c>
      <c r="Q1042" s="19"/>
      <c r="R1042" s="19" t="s">
        <v>237</v>
      </c>
      <c r="S1042" s="19" t="s">
        <v>156</v>
      </c>
      <c r="T1042" s="19" t="s">
        <v>52</v>
      </c>
      <c r="U1042" s="19" t="s">
        <v>52</v>
      </c>
      <c r="V1042" s="93">
        <v>50</v>
      </c>
      <c r="W1042" s="93" t="s">
        <v>45</v>
      </c>
      <c r="X1042" s="19" t="s">
        <v>46</v>
      </c>
      <c r="Y1042" s="29"/>
      <c r="Z1042" s="93"/>
      <c r="AA1042" s="93"/>
      <c r="AB1042" s="93">
        <v>179.2</v>
      </c>
      <c r="AC1042" s="19" t="s">
        <v>1322</v>
      </c>
      <c r="AD1042" s="93"/>
      <c r="AE1042" s="19">
        <v>197</v>
      </c>
      <c r="AF1042" s="19">
        <v>197</v>
      </c>
      <c r="AG1042" s="19"/>
      <c r="AH1042" s="19"/>
      <c r="AI1042" s="19"/>
      <c r="AJ1042" s="19">
        <v>8.2899999999999991</v>
      </c>
      <c r="AK1042" s="19">
        <v>8.2899999999999991</v>
      </c>
      <c r="AL1042" s="19"/>
      <c r="AM1042" s="19" t="s">
        <v>192</v>
      </c>
      <c r="AN1042" s="19">
        <v>49.7</v>
      </c>
      <c r="AO1042" s="19"/>
      <c r="AP1042" s="94"/>
      <c r="AQ1042" s="19" t="s">
        <v>97</v>
      </c>
      <c r="AR1042" s="108" t="s">
        <v>200</v>
      </c>
      <c r="AS1042" s="19"/>
      <c r="AT1042" s="65" t="str">
        <f t="shared" si="321"/>
        <v>N</v>
      </c>
      <c r="AU1042" s="65" t="str">
        <f t="shared" si="306"/>
        <v>N</v>
      </c>
      <c r="AV1042" s="65" t="str">
        <f>AU1042</f>
        <v>N</v>
      </c>
      <c r="AW1042" s="99"/>
      <c r="AX1042" s="99"/>
      <c r="AY1042" s="93"/>
      <c r="AZ1042" s="96" t="str">
        <f t="shared" si="307"/>
        <v>n</v>
      </c>
      <c r="BA1042" s="96" t="str">
        <f>IF(AZ1042="n","n",VLOOKUP(AZ1042,'Conversion factors'!$C$4:$D$24,2,FALSE))</f>
        <v>n</v>
      </c>
      <c r="BB1042" s="96" t="str">
        <f t="shared" si="308"/>
        <v>n</v>
      </c>
      <c r="BC1042" s="97"/>
      <c r="BD1042" s="96" t="str">
        <f t="shared" si="322"/>
        <v>n</v>
      </c>
      <c r="BE1042" s="96" t="str">
        <f t="shared" si="309"/>
        <v>n</v>
      </c>
      <c r="BF1042" s="98" t="str">
        <f t="shared" si="323"/>
        <v/>
      </c>
      <c r="BG1042" s="96" t="str">
        <f>IF(BF1042="","",IF(ISNUMBER(VLOOKUP(BF1042,'Conversion factors'!$B$35:$C$52,2,FALSE)),"y","n"))</f>
        <v/>
      </c>
      <c r="BH1042" s="99"/>
      <c r="BI1042" s="100"/>
      <c r="BJ1042" s="100"/>
    </row>
    <row r="1043" spans="1:62" s="103" customFormat="1" ht="15.75" customHeight="1" x14ac:dyDescent="0.2">
      <c r="A1043" s="18"/>
      <c r="B1043" s="107">
        <v>118</v>
      </c>
      <c r="C1043" s="36">
        <v>205227</v>
      </c>
      <c r="D1043" s="36">
        <v>5227</v>
      </c>
      <c r="E1043" s="93" t="s">
        <v>1324</v>
      </c>
      <c r="F1043" s="93">
        <v>1988</v>
      </c>
      <c r="G1043" s="19" t="s">
        <v>1455</v>
      </c>
      <c r="H1043" s="19" t="s">
        <v>162</v>
      </c>
      <c r="I1043" s="19" t="s">
        <v>41</v>
      </c>
      <c r="J1043" s="19" t="s">
        <v>87</v>
      </c>
      <c r="K1043" s="19" t="s">
        <v>64</v>
      </c>
      <c r="L1043" s="99" t="s">
        <v>151</v>
      </c>
      <c r="M1043" s="19" t="s">
        <v>260</v>
      </c>
      <c r="N1043" s="19" t="s">
        <v>66</v>
      </c>
      <c r="O1043" s="19" t="s">
        <v>67</v>
      </c>
      <c r="P1043" s="19" t="s">
        <v>162</v>
      </c>
      <c r="Q1043" s="19"/>
      <c r="R1043" s="19" t="s">
        <v>237</v>
      </c>
      <c r="S1043" s="19" t="s">
        <v>156</v>
      </c>
      <c r="T1043" s="19" t="s">
        <v>52</v>
      </c>
      <c r="U1043" s="19" t="s">
        <v>52</v>
      </c>
      <c r="V1043" s="93">
        <v>50</v>
      </c>
      <c r="W1043" s="93" t="s">
        <v>45</v>
      </c>
      <c r="X1043" s="19" t="s">
        <v>46</v>
      </c>
      <c r="Y1043" s="29"/>
      <c r="Z1043" s="93"/>
      <c r="AA1043" s="93"/>
      <c r="AB1043" s="93">
        <v>237.5</v>
      </c>
      <c r="AC1043" s="19" t="s">
        <v>1322</v>
      </c>
      <c r="AD1043" s="93"/>
      <c r="AE1043" s="19">
        <v>197</v>
      </c>
      <c r="AF1043" s="19">
        <v>197</v>
      </c>
      <c r="AG1043" s="19"/>
      <c r="AH1043" s="19"/>
      <c r="AI1043" s="19"/>
      <c r="AJ1043" s="19">
        <v>8.18</v>
      </c>
      <c r="AK1043" s="19">
        <v>8.18</v>
      </c>
      <c r="AL1043" s="19"/>
      <c r="AM1043" s="19" t="s">
        <v>194</v>
      </c>
      <c r="AN1043" s="19">
        <v>49.7</v>
      </c>
      <c r="AO1043" s="19"/>
      <c r="AP1043" s="94" t="s">
        <v>196</v>
      </c>
      <c r="AQ1043" s="19" t="s">
        <v>97</v>
      </c>
      <c r="AR1043" s="108" t="s">
        <v>200</v>
      </c>
      <c r="AS1043" s="19"/>
      <c r="AT1043" s="65" t="str">
        <f t="shared" si="321"/>
        <v>N</v>
      </c>
      <c r="AU1043" s="65" t="str">
        <f t="shared" si="306"/>
        <v>N</v>
      </c>
      <c r="AV1043" s="65" t="s">
        <v>162</v>
      </c>
      <c r="AW1043" s="99" t="s">
        <v>1406</v>
      </c>
      <c r="AX1043" s="99"/>
      <c r="AY1043" s="93"/>
      <c r="AZ1043" s="96" t="str">
        <f t="shared" si="307"/>
        <v>n</v>
      </c>
      <c r="BA1043" s="96" t="str">
        <f>IF(AZ1043="n","n",VLOOKUP(AZ1043,'Conversion factors'!$C$4:$D$24,2,FALSE))</f>
        <v>n</v>
      </c>
      <c r="BB1043" s="96" t="str">
        <f t="shared" si="308"/>
        <v>n</v>
      </c>
      <c r="BC1043" s="97"/>
      <c r="BD1043" s="96" t="str">
        <f t="shared" si="322"/>
        <v>n</v>
      </c>
      <c r="BE1043" s="96" t="str">
        <f t="shared" si="309"/>
        <v>n</v>
      </c>
      <c r="BF1043" s="98" t="str">
        <f t="shared" si="323"/>
        <v/>
      </c>
      <c r="BG1043" s="96" t="str">
        <f>IF(BF1043="","",IF(ISNUMBER(VLOOKUP(BF1043,'Conversion factors'!$B$35:$C$52,2,FALSE)),"y","n"))</f>
        <v/>
      </c>
      <c r="BH1043" s="99"/>
      <c r="BI1043" s="100"/>
      <c r="BJ1043" s="100"/>
    </row>
    <row r="1044" spans="1:62" s="103" customFormat="1" ht="15.75" customHeight="1" x14ac:dyDescent="0.2">
      <c r="A1044" s="18"/>
      <c r="B1044" s="107">
        <v>118</v>
      </c>
      <c r="C1044" s="36">
        <v>205227</v>
      </c>
      <c r="D1044" s="36">
        <v>5227</v>
      </c>
      <c r="E1044" s="93" t="s">
        <v>1324</v>
      </c>
      <c r="F1044" s="93">
        <v>1988</v>
      </c>
      <c r="G1044" s="19" t="s">
        <v>1455</v>
      </c>
      <c r="H1044" s="19" t="s">
        <v>162</v>
      </c>
      <c r="I1044" s="19" t="s">
        <v>41</v>
      </c>
      <c r="J1044" s="19" t="s">
        <v>87</v>
      </c>
      <c r="K1044" s="19" t="s">
        <v>64</v>
      </c>
      <c r="L1044" s="99" t="s">
        <v>151</v>
      </c>
      <c r="M1044" s="19" t="s">
        <v>260</v>
      </c>
      <c r="N1044" s="19" t="s">
        <v>66</v>
      </c>
      <c r="O1044" s="19" t="s">
        <v>67</v>
      </c>
      <c r="P1044" s="19" t="s">
        <v>162</v>
      </c>
      <c r="Q1044" s="19"/>
      <c r="R1044" s="19" t="s">
        <v>76</v>
      </c>
      <c r="S1044" s="19" t="s">
        <v>188</v>
      </c>
      <c r="T1044" s="19" t="s">
        <v>52</v>
      </c>
      <c r="U1044" s="19" t="s">
        <v>52</v>
      </c>
      <c r="V1044" s="93">
        <v>50</v>
      </c>
      <c r="W1044" s="93" t="s">
        <v>45</v>
      </c>
      <c r="X1044" s="19" t="s">
        <v>46</v>
      </c>
      <c r="Y1044" s="29"/>
      <c r="Z1044" s="93"/>
      <c r="AA1044" s="93"/>
      <c r="AB1044" s="93">
        <v>25</v>
      </c>
      <c r="AC1044" s="19" t="s">
        <v>1322</v>
      </c>
      <c r="AD1044" s="93"/>
      <c r="AE1044" s="19">
        <v>51.9</v>
      </c>
      <c r="AF1044" s="19">
        <v>51.9</v>
      </c>
      <c r="AG1044" s="19"/>
      <c r="AH1044" s="19"/>
      <c r="AI1044" s="19"/>
      <c r="AJ1044" s="19">
        <v>8.39</v>
      </c>
      <c r="AK1044" s="19">
        <v>8.39</v>
      </c>
      <c r="AL1044" s="19"/>
      <c r="AM1044" s="19" t="s">
        <v>189</v>
      </c>
      <c r="AN1044" s="19">
        <v>49</v>
      </c>
      <c r="AO1044" s="19"/>
      <c r="AP1044" s="94"/>
      <c r="AQ1044" s="19" t="s">
        <v>97</v>
      </c>
      <c r="AR1044" s="108" t="s">
        <v>200</v>
      </c>
      <c r="AS1044" s="19"/>
      <c r="AT1044" s="65" t="str">
        <f t="shared" si="321"/>
        <v>N</v>
      </c>
      <c r="AU1044" s="65" t="str">
        <f t="shared" si="306"/>
        <v>N</v>
      </c>
      <c r="AV1044" s="65" t="str">
        <f>AU1044</f>
        <v>N</v>
      </c>
      <c r="AW1044" s="99"/>
      <c r="AX1044" s="99"/>
      <c r="AY1044" s="93"/>
      <c r="AZ1044" s="96" t="str">
        <f t="shared" si="307"/>
        <v>n</v>
      </c>
      <c r="BA1044" s="96" t="str">
        <f>IF(AZ1044="n","n",VLOOKUP(AZ1044,'Conversion factors'!$C$4:$D$24,2,FALSE))</f>
        <v>n</v>
      </c>
      <c r="BB1044" s="96" t="str">
        <f t="shared" si="308"/>
        <v>n</v>
      </c>
      <c r="BC1044" s="97"/>
      <c r="BD1044" s="96" t="str">
        <f t="shared" si="322"/>
        <v>n</v>
      </c>
      <c r="BE1044" s="96" t="str">
        <f t="shared" si="309"/>
        <v>n</v>
      </c>
      <c r="BF1044" s="98" t="str">
        <f t="shared" si="323"/>
        <v/>
      </c>
      <c r="BG1044" s="96" t="str">
        <f>IF(BF1044="","",IF(ISNUMBER(VLOOKUP(BF1044,'Conversion factors'!$B$35:$C$52,2,FALSE)),"y","n"))</f>
        <v/>
      </c>
      <c r="BH1044" s="99"/>
      <c r="BI1044" s="100"/>
      <c r="BJ1044" s="100"/>
    </row>
    <row r="1045" spans="1:62" s="103" customFormat="1" ht="15.75" customHeight="1" x14ac:dyDescent="0.2">
      <c r="A1045" s="18"/>
      <c r="B1045" s="107">
        <v>118</v>
      </c>
      <c r="C1045" s="36">
        <v>205227</v>
      </c>
      <c r="D1045" s="36">
        <v>5227</v>
      </c>
      <c r="E1045" s="93" t="s">
        <v>1324</v>
      </c>
      <c r="F1045" s="93">
        <v>1988</v>
      </c>
      <c r="G1045" s="19" t="s">
        <v>1455</v>
      </c>
      <c r="H1045" s="19" t="s">
        <v>162</v>
      </c>
      <c r="I1045" s="19" t="s">
        <v>41</v>
      </c>
      <c r="J1045" s="19" t="s">
        <v>87</v>
      </c>
      <c r="K1045" s="19" t="s">
        <v>64</v>
      </c>
      <c r="L1045" s="99" t="s">
        <v>151</v>
      </c>
      <c r="M1045" s="19" t="s">
        <v>260</v>
      </c>
      <c r="N1045" s="19" t="s">
        <v>66</v>
      </c>
      <c r="O1045" s="19" t="s">
        <v>67</v>
      </c>
      <c r="P1045" s="19" t="s">
        <v>162</v>
      </c>
      <c r="Q1045" s="19"/>
      <c r="R1045" s="19" t="s">
        <v>76</v>
      </c>
      <c r="S1045" s="19" t="s">
        <v>188</v>
      </c>
      <c r="T1045" s="19" t="s">
        <v>52</v>
      </c>
      <c r="U1045" s="19" t="s">
        <v>52</v>
      </c>
      <c r="V1045" s="93">
        <v>50</v>
      </c>
      <c r="W1045" s="93" t="s">
        <v>45</v>
      </c>
      <c r="X1045" s="19" t="s">
        <v>46</v>
      </c>
      <c r="Y1045" s="29"/>
      <c r="Z1045" s="93"/>
      <c r="AA1045" s="93"/>
      <c r="AB1045" s="123" t="s">
        <v>197</v>
      </c>
      <c r="AC1045" s="19" t="s">
        <v>1322</v>
      </c>
      <c r="AD1045" s="93"/>
      <c r="AE1045" s="19">
        <v>51.9</v>
      </c>
      <c r="AF1045" s="19">
        <v>51.9</v>
      </c>
      <c r="AG1045" s="19"/>
      <c r="AH1045" s="19"/>
      <c r="AI1045" s="19"/>
      <c r="AJ1045" s="19">
        <v>8.39</v>
      </c>
      <c r="AK1045" s="19">
        <v>8.39</v>
      </c>
      <c r="AL1045" s="19"/>
      <c r="AM1045" s="19" t="s">
        <v>190</v>
      </c>
      <c r="AN1045" s="19">
        <v>49</v>
      </c>
      <c r="AO1045" s="19"/>
      <c r="AP1045" s="94" t="s">
        <v>195</v>
      </c>
      <c r="AQ1045" s="19" t="s">
        <v>97</v>
      </c>
      <c r="AR1045" s="108" t="s">
        <v>200</v>
      </c>
      <c r="AS1045" s="19"/>
      <c r="AT1045" s="65" t="str">
        <f t="shared" si="321"/>
        <v>N</v>
      </c>
      <c r="AU1045" s="65" t="str">
        <f t="shared" si="306"/>
        <v>N</v>
      </c>
      <c r="AV1045" s="65" t="str">
        <f>AU1045</f>
        <v>N</v>
      </c>
      <c r="AW1045" s="99"/>
      <c r="AX1045" s="99"/>
      <c r="AY1045" s="93"/>
      <c r="AZ1045" s="96" t="str">
        <f t="shared" si="307"/>
        <v>n</v>
      </c>
      <c r="BA1045" s="96" t="str">
        <f>IF(AZ1045="n","n",VLOOKUP(AZ1045,'Conversion factors'!$C$4:$D$24,2,FALSE))</f>
        <v>n</v>
      </c>
      <c r="BB1045" s="96" t="str">
        <f t="shared" si="308"/>
        <v>n</v>
      </c>
      <c r="BC1045" s="97"/>
      <c r="BD1045" s="96" t="str">
        <f t="shared" si="322"/>
        <v>n</v>
      </c>
      <c r="BE1045" s="96" t="str">
        <f t="shared" si="309"/>
        <v>n</v>
      </c>
      <c r="BF1045" s="98" t="str">
        <f t="shared" si="323"/>
        <v/>
      </c>
      <c r="BG1045" s="96" t="str">
        <f>IF(BF1045="","",IF(ISNUMBER(VLOOKUP(BF1045,'Conversion factors'!$B$35:$C$52,2,FALSE)),"y","n"))</f>
        <v/>
      </c>
      <c r="BH1045" s="99"/>
      <c r="BI1045" s="100"/>
      <c r="BJ1045" s="100"/>
    </row>
    <row r="1046" spans="1:62" s="103" customFormat="1" ht="15.75" customHeight="1" x14ac:dyDescent="0.2">
      <c r="A1046" s="18"/>
      <c r="B1046" s="107">
        <v>118</v>
      </c>
      <c r="C1046" s="36">
        <v>205227</v>
      </c>
      <c r="D1046" s="36">
        <v>5227</v>
      </c>
      <c r="E1046" s="93" t="s">
        <v>1324</v>
      </c>
      <c r="F1046" s="93">
        <v>1988</v>
      </c>
      <c r="G1046" s="19" t="s">
        <v>1455</v>
      </c>
      <c r="H1046" s="19" t="s">
        <v>162</v>
      </c>
      <c r="I1046" s="19" t="s">
        <v>41</v>
      </c>
      <c r="J1046" s="19" t="s">
        <v>87</v>
      </c>
      <c r="K1046" s="19" t="s">
        <v>64</v>
      </c>
      <c r="L1046" s="99" t="s">
        <v>151</v>
      </c>
      <c r="M1046" s="19" t="s">
        <v>260</v>
      </c>
      <c r="N1046" s="19" t="s">
        <v>66</v>
      </c>
      <c r="O1046" s="19" t="s">
        <v>67</v>
      </c>
      <c r="P1046" s="19" t="s">
        <v>162</v>
      </c>
      <c r="Q1046" s="19"/>
      <c r="R1046" s="19" t="s">
        <v>76</v>
      </c>
      <c r="S1046" s="19" t="s">
        <v>188</v>
      </c>
      <c r="T1046" s="19" t="s">
        <v>52</v>
      </c>
      <c r="U1046" s="19" t="s">
        <v>52</v>
      </c>
      <c r="V1046" s="93">
        <v>50</v>
      </c>
      <c r="W1046" s="93" t="s">
        <v>45</v>
      </c>
      <c r="X1046" s="19" t="s">
        <v>46</v>
      </c>
      <c r="Y1046" s="29"/>
      <c r="Z1046" s="93"/>
      <c r="AA1046" s="93"/>
      <c r="AB1046" s="93">
        <v>100</v>
      </c>
      <c r="AC1046" s="19" t="s">
        <v>1322</v>
      </c>
      <c r="AD1046" s="93"/>
      <c r="AE1046" s="19">
        <v>51.9</v>
      </c>
      <c r="AF1046" s="19">
        <v>51.9</v>
      </c>
      <c r="AG1046" s="19"/>
      <c r="AH1046" s="19"/>
      <c r="AI1046" s="19"/>
      <c r="AJ1046" s="19">
        <v>8.39</v>
      </c>
      <c r="AK1046" s="19">
        <v>8.39</v>
      </c>
      <c r="AL1046" s="19"/>
      <c r="AM1046" s="19" t="s">
        <v>191</v>
      </c>
      <c r="AN1046" s="19">
        <v>49</v>
      </c>
      <c r="AO1046" s="19"/>
      <c r="AP1046" s="94" t="s">
        <v>196</v>
      </c>
      <c r="AQ1046" s="19" t="s">
        <v>97</v>
      </c>
      <c r="AR1046" s="108" t="s">
        <v>200</v>
      </c>
      <c r="AS1046" s="19"/>
      <c r="AT1046" s="65" t="str">
        <f t="shared" si="321"/>
        <v>N</v>
      </c>
      <c r="AU1046" s="65" t="str">
        <f t="shared" si="306"/>
        <v>N</v>
      </c>
      <c r="AV1046" s="65" t="s">
        <v>162</v>
      </c>
      <c r="AW1046" s="99" t="s">
        <v>1406</v>
      </c>
      <c r="AX1046" s="99"/>
      <c r="AY1046" s="93"/>
      <c r="AZ1046" s="96" t="str">
        <f t="shared" si="307"/>
        <v>n</v>
      </c>
      <c r="BA1046" s="96" t="str">
        <f>IF(AZ1046="n","n",VLOOKUP(AZ1046,'Conversion factors'!$C$4:$D$24,2,FALSE))</f>
        <v>n</v>
      </c>
      <c r="BB1046" s="96" t="str">
        <f t="shared" si="308"/>
        <v>n</v>
      </c>
      <c r="BC1046" s="97"/>
      <c r="BD1046" s="96" t="str">
        <f t="shared" si="322"/>
        <v>n</v>
      </c>
      <c r="BE1046" s="96" t="str">
        <f t="shared" si="309"/>
        <v>n</v>
      </c>
      <c r="BF1046" s="98" t="str">
        <f t="shared" si="323"/>
        <v/>
      </c>
      <c r="BG1046" s="96" t="str">
        <f>IF(BF1046="","",IF(ISNUMBER(VLOOKUP(BF1046,'Conversion factors'!$B$35:$C$52,2,FALSE)),"y","n"))</f>
        <v/>
      </c>
      <c r="BH1046" s="99"/>
      <c r="BI1046" s="100"/>
      <c r="BJ1046" s="100"/>
    </row>
    <row r="1047" spans="1:62" s="103" customFormat="1" ht="15.75" customHeight="1" x14ac:dyDescent="0.2">
      <c r="A1047" s="18"/>
      <c r="B1047" s="107">
        <v>118</v>
      </c>
      <c r="C1047" s="36">
        <v>205227</v>
      </c>
      <c r="D1047" s="36">
        <v>5227</v>
      </c>
      <c r="E1047" s="93" t="s">
        <v>1324</v>
      </c>
      <c r="F1047" s="93">
        <v>1988</v>
      </c>
      <c r="G1047" s="19" t="s">
        <v>1455</v>
      </c>
      <c r="H1047" s="19" t="s">
        <v>162</v>
      </c>
      <c r="I1047" s="19" t="s">
        <v>41</v>
      </c>
      <c r="J1047" s="19" t="s">
        <v>87</v>
      </c>
      <c r="K1047" s="19" t="s">
        <v>64</v>
      </c>
      <c r="L1047" s="99" t="s">
        <v>151</v>
      </c>
      <c r="M1047" s="19" t="s">
        <v>260</v>
      </c>
      <c r="N1047" s="19" t="s">
        <v>66</v>
      </c>
      <c r="O1047" s="19" t="s">
        <v>67</v>
      </c>
      <c r="P1047" s="19" t="s">
        <v>162</v>
      </c>
      <c r="Q1047" s="19"/>
      <c r="R1047" s="19" t="s">
        <v>76</v>
      </c>
      <c r="S1047" s="19" t="s">
        <v>188</v>
      </c>
      <c r="T1047" s="19" t="s">
        <v>52</v>
      </c>
      <c r="U1047" s="19" t="s">
        <v>52</v>
      </c>
      <c r="V1047" s="93">
        <v>50</v>
      </c>
      <c r="W1047" s="93" t="s">
        <v>45</v>
      </c>
      <c r="X1047" s="19" t="s">
        <v>46</v>
      </c>
      <c r="Y1047" s="29"/>
      <c r="Z1047" s="93"/>
      <c r="AA1047" s="93"/>
      <c r="AB1047" s="93">
        <v>87.5</v>
      </c>
      <c r="AC1047" s="19" t="s">
        <v>1322</v>
      </c>
      <c r="AD1047" s="93"/>
      <c r="AE1047" s="19">
        <v>101.8</v>
      </c>
      <c r="AF1047" s="19">
        <v>101.8</v>
      </c>
      <c r="AG1047" s="19"/>
      <c r="AH1047" s="19"/>
      <c r="AI1047" s="19"/>
      <c r="AJ1047" s="19">
        <v>8.32</v>
      </c>
      <c r="AK1047" s="19">
        <v>8.32</v>
      </c>
      <c r="AL1047" s="19"/>
      <c r="AM1047" s="19" t="s">
        <v>193</v>
      </c>
      <c r="AN1047" s="19">
        <v>49.6</v>
      </c>
      <c r="AO1047" s="19"/>
      <c r="AP1047" s="94"/>
      <c r="AQ1047" s="19" t="s">
        <v>97</v>
      </c>
      <c r="AR1047" s="108" t="s">
        <v>200</v>
      </c>
      <c r="AS1047" s="19"/>
      <c r="AT1047" s="65" t="str">
        <f t="shared" si="321"/>
        <v>N</v>
      </c>
      <c r="AU1047" s="65" t="str">
        <f t="shared" si="306"/>
        <v>N</v>
      </c>
      <c r="AV1047" s="65" t="s">
        <v>162</v>
      </c>
      <c r="AW1047" s="99" t="s">
        <v>1405</v>
      </c>
      <c r="AX1047" s="99"/>
      <c r="AY1047" s="93"/>
      <c r="AZ1047" s="96" t="str">
        <f t="shared" si="307"/>
        <v>n</v>
      </c>
      <c r="BA1047" s="96" t="str">
        <f>IF(AZ1047="n","n",VLOOKUP(AZ1047,'Conversion factors'!$C$4:$D$24,2,FALSE))</f>
        <v>n</v>
      </c>
      <c r="BB1047" s="96" t="str">
        <f t="shared" si="308"/>
        <v>n</v>
      </c>
      <c r="BC1047" s="97"/>
      <c r="BD1047" s="96" t="str">
        <f t="shared" si="322"/>
        <v>n</v>
      </c>
      <c r="BE1047" s="96" t="str">
        <f t="shared" si="309"/>
        <v>n</v>
      </c>
      <c r="BF1047" s="98" t="str">
        <f t="shared" si="323"/>
        <v/>
      </c>
      <c r="BG1047" s="96" t="str">
        <f>IF(BF1047="","",IF(ISNUMBER(VLOOKUP(BF1047,'Conversion factors'!$B$35:$C$52,2,FALSE)),"y","n"))</f>
        <v/>
      </c>
      <c r="BH1047" s="99"/>
      <c r="BI1047" s="100"/>
      <c r="BJ1047" s="100"/>
    </row>
    <row r="1048" spans="1:62" s="103" customFormat="1" ht="15.75" customHeight="1" x14ac:dyDescent="0.2">
      <c r="A1048" s="18"/>
      <c r="B1048" s="107">
        <v>118</v>
      </c>
      <c r="C1048" s="36">
        <v>205227</v>
      </c>
      <c r="D1048" s="36">
        <v>5227</v>
      </c>
      <c r="E1048" s="93" t="s">
        <v>1324</v>
      </c>
      <c r="F1048" s="93">
        <v>1988</v>
      </c>
      <c r="G1048" s="19" t="s">
        <v>1455</v>
      </c>
      <c r="H1048" s="19" t="s">
        <v>162</v>
      </c>
      <c r="I1048" s="19" t="s">
        <v>41</v>
      </c>
      <c r="J1048" s="19" t="s">
        <v>87</v>
      </c>
      <c r="K1048" s="19" t="s">
        <v>64</v>
      </c>
      <c r="L1048" s="99" t="s">
        <v>151</v>
      </c>
      <c r="M1048" s="19" t="s">
        <v>260</v>
      </c>
      <c r="N1048" s="19" t="s">
        <v>66</v>
      </c>
      <c r="O1048" s="19" t="s">
        <v>67</v>
      </c>
      <c r="P1048" s="19" t="s">
        <v>162</v>
      </c>
      <c r="Q1048" s="19"/>
      <c r="R1048" s="19" t="s">
        <v>76</v>
      </c>
      <c r="S1048" s="19" t="s">
        <v>188</v>
      </c>
      <c r="T1048" s="19" t="s">
        <v>52</v>
      </c>
      <c r="U1048" s="19" t="s">
        <v>52</v>
      </c>
      <c r="V1048" s="93">
        <v>50</v>
      </c>
      <c r="W1048" s="93" t="s">
        <v>45</v>
      </c>
      <c r="X1048" s="19" t="s">
        <v>46</v>
      </c>
      <c r="Y1048" s="29"/>
      <c r="Z1048" s="93"/>
      <c r="AA1048" s="93"/>
      <c r="AB1048" s="93">
        <v>175</v>
      </c>
      <c r="AC1048" s="19" t="s">
        <v>1322</v>
      </c>
      <c r="AD1048" s="93"/>
      <c r="AE1048" s="19">
        <v>197</v>
      </c>
      <c r="AF1048" s="19">
        <v>197</v>
      </c>
      <c r="AG1048" s="19"/>
      <c r="AH1048" s="19"/>
      <c r="AI1048" s="19"/>
      <c r="AJ1048" s="19">
        <v>8.2899999999999991</v>
      </c>
      <c r="AK1048" s="19">
        <v>8.2899999999999991</v>
      </c>
      <c r="AL1048" s="19"/>
      <c r="AM1048" s="19" t="s">
        <v>192</v>
      </c>
      <c r="AN1048" s="19">
        <v>49.7</v>
      </c>
      <c r="AO1048" s="19"/>
      <c r="AP1048" s="94"/>
      <c r="AQ1048" s="19" t="s">
        <v>97</v>
      </c>
      <c r="AR1048" s="108" t="s">
        <v>200</v>
      </c>
      <c r="AS1048" s="19"/>
      <c r="AT1048" s="65" t="str">
        <f t="shared" si="321"/>
        <v>N</v>
      </c>
      <c r="AU1048" s="65" t="str">
        <f t="shared" si="306"/>
        <v>N</v>
      </c>
      <c r="AV1048" s="65" t="str">
        <f>AU1048</f>
        <v>N</v>
      </c>
      <c r="AW1048" s="99"/>
      <c r="AX1048" s="99"/>
      <c r="AY1048" s="93"/>
      <c r="AZ1048" s="96" t="str">
        <f t="shared" si="307"/>
        <v>n</v>
      </c>
      <c r="BA1048" s="96" t="str">
        <f>IF(AZ1048="n","n",VLOOKUP(AZ1048,'Conversion factors'!$C$4:$D$24,2,FALSE))</f>
        <v>n</v>
      </c>
      <c r="BB1048" s="96" t="str">
        <f t="shared" si="308"/>
        <v>n</v>
      </c>
      <c r="BC1048" s="97"/>
      <c r="BD1048" s="96" t="str">
        <f t="shared" si="322"/>
        <v>n</v>
      </c>
      <c r="BE1048" s="96" t="str">
        <f t="shared" si="309"/>
        <v>n</v>
      </c>
      <c r="BF1048" s="98" t="str">
        <f t="shared" si="323"/>
        <v/>
      </c>
      <c r="BG1048" s="96" t="str">
        <f>IF(BF1048="","",IF(ISNUMBER(VLOOKUP(BF1048,'Conversion factors'!$B$35:$C$52,2,FALSE)),"y","n"))</f>
        <v/>
      </c>
      <c r="BH1048" s="99"/>
      <c r="BI1048" s="100"/>
      <c r="BJ1048" s="100"/>
    </row>
    <row r="1049" spans="1:62" s="103" customFormat="1" ht="15.75" customHeight="1" x14ac:dyDescent="0.2">
      <c r="A1049" s="18"/>
      <c r="B1049" s="107">
        <v>118</v>
      </c>
      <c r="C1049" s="36">
        <v>205227</v>
      </c>
      <c r="D1049" s="36">
        <v>5227</v>
      </c>
      <c r="E1049" s="93" t="s">
        <v>1324</v>
      </c>
      <c r="F1049" s="93">
        <v>1988</v>
      </c>
      <c r="G1049" s="19" t="s">
        <v>1455</v>
      </c>
      <c r="H1049" s="19" t="s">
        <v>162</v>
      </c>
      <c r="I1049" s="19" t="s">
        <v>41</v>
      </c>
      <c r="J1049" s="19" t="s">
        <v>87</v>
      </c>
      <c r="K1049" s="19" t="s">
        <v>64</v>
      </c>
      <c r="L1049" s="99" t="s">
        <v>151</v>
      </c>
      <c r="M1049" s="19" t="s">
        <v>260</v>
      </c>
      <c r="N1049" s="19" t="s">
        <v>66</v>
      </c>
      <c r="O1049" s="19" t="s">
        <v>67</v>
      </c>
      <c r="P1049" s="19" t="s">
        <v>162</v>
      </c>
      <c r="Q1049" s="19"/>
      <c r="R1049" s="19" t="s">
        <v>76</v>
      </c>
      <c r="S1049" s="19" t="s">
        <v>188</v>
      </c>
      <c r="T1049" s="19" t="s">
        <v>52</v>
      </c>
      <c r="U1049" s="19" t="s">
        <v>52</v>
      </c>
      <c r="V1049" s="93">
        <v>50</v>
      </c>
      <c r="W1049" s="93" t="s">
        <v>45</v>
      </c>
      <c r="X1049" s="19" t="s">
        <v>46</v>
      </c>
      <c r="Y1049" s="29"/>
      <c r="Z1049" s="93"/>
      <c r="AA1049" s="93"/>
      <c r="AB1049" s="93">
        <v>225</v>
      </c>
      <c r="AC1049" s="19" t="s">
        <v>1322</v>
      </c>
      <c r="AD1049" s="93"/>
      <c r="AE1049" s="19">
        <v>197</v>
      </c>
      <c r="AF1049" s="19">
        <v>197</v>
      </c>
      <c r="AG1049" s="19"/>
      <c r="AH1049" s="19"/>
      <c r="AI1049" s="19"/>
      <c r="AJ1049" s="19">
        <v>8.18</v>
      </c>
      <c r="AK1049" s="19">
        <v>8.18</v>
      </c>
      <c r="AL1049" s="19"/>
      <c r="AM1049" s="19" t="s">
        <v>194</v>
      </c>
      <c r="AN1049" s="19">
        <v>49.7</v>
      </c>
      <c r="AO1049" s="19"/>
      <c r="AP1049" s="94" t="s">
        <v>196</v>
      </c>
      <c r="AQ1049" s="19" t="s">
        <v>97</v>
      </c>
      <c r="AR1049" s="108" t="s">
        <v>200</v>
      </c>
      <c r="AS1049" s="19"/>
      <c r="AT1049" s="65" t="str">
        <f t="shared" si="321"/>
        <v>N</v>
      </c>
      <c r="AU1049" s="65" t="str">
        <f t="shared" si="306"/>
        <v>N</v>
      </c>
      <c r="AV1049" s="65" t="s">
        <v>162</v>
      </c>
      <c r="AW1049" s="99" t="s">
        <v>1406</v>
      </c>
      <c r="AX1049" s="99"/>
      <c r="AY1049" s="93"/>
      <c r="AZ1049" s="96" t="str">
        <f t="shared" si="307"/>
        <v>n</v>
      </c>
      <c r="BA1049" s="96" t="str">
        <f>IF(AZ1049="n","n",VLOOKUP(AZ1049,'Conversion factors'!$C$4:$D$24,2,FALSE))</f>
        <v>n</v>
      </c>
      <c r="BB1049" s="96" t="str">
        <f t="shared" si="308"/>
        <v>n</v>
      </c>
      <c r="BC1049" s="97"/>
      <c r="BD1049" s="96" t="str">
        <f t="shared" si="322"/>
        <v>n</v>
      </c>
      <c r="BE1049" s="96" t="str">
        <f t="shared" si="309"/>
        <v>n</v>
      </c>
      <c r="BF1049" s="98" t="str">
        <f t="shared" si="323"/>
        <v/>
      </c>
      <c r="BG1049" s="96" t="str">
        <f>IF(BF1049="","",IF(ISNUMBER(VLOOKUP(BF1049,'Conversion factors'!$B$35:$C$52,2,FALSE)),"y","n"))</f>
        <v/>
      </c>
      <c r="BH1049" s="99"/>
      <c r="BI1049" s="100"/>
      <c r="BJ1049" s="100"/>
    </row>
    <row r="1050" spans="1:62" s="103" customFormat="1" ht="15.75" customHeight="1" x14ac:dyDescent="0.2">
      <c r="A1050" s="18"/>
      <c r="B1050" s="19">
        <v>198</v>
      </c>
      <c r="C1050" s="19"/>
      <c r="D1050" s="19">
        <v>45212</v>
      </c>
      <c r="E1050" s="19" t="s">
        <v>1224</v>
      </c>
      <c r="F1050" s="93">
        <v>1991</v>
      </c>
      <c r="G1050" s="19" t="s">
        <v>409</v>
      </c>
      <c r="H1050" s="19" t="s">
        <v>162</v>
      </c>
      <c r="I1050" s="19" t="s">
        <v>41</v>
      </c>
      <c r="J1050" s="19" t="s">
        <v>87</v>
      </c>
      <c r="K1050" s="19" t="s">
        <v>64</v>
      </c>
      <c r="L1050" s="99" t="s">
        <v>151</v>
      </c>
      <c r="M1050" s="19" t="s">
        <v>260</v>
      </c>
      <c r="N1050" s="19" t="s">
        <v>66</v>
      </c>
      <c r="O1050" s="19" t="s">
        <v>338</v>
      </c>
      <c r="P1050" s="19" t="s">
        <v>162</v>
      </c>
      <c r="Q1050" s="19"/>
      <c r="R1050" s="19" t="s">
        <v>81</v>
      </c>
      <c r="S1050" s="19" t="s">
        <v>402</v>
      </c>
      <c r="T1050" s="19" t="s">
        <v>55</v>
      </c>
      <c r="U1050" s="19" t="s">
        <v>55</v>
      </c>
      <c r="V1050" s="19" t="s">
        <v>94</v>
      </c>
      <c r="W1050" s="19" t="s">
        <v>231</v>
      </c>
      <c r="X1050" s="19" t="s">
        <v>46</v>
      </c>
      <c r="Y1050" s="29"/>
      <c r="Z1050" s="19"/>
      <c r="AA1050" s="19"/>
      <c r="AB1050" s="19" t="s">
        <v>415</v>
      </c>
      <c r="AC1050" s="19" t="s">
        <v>214</v>
      </c>
      <c r="AD1050" s="19"/>
      <c r="AE1050" s="19">
        <v>225</v>
      </c>
      <c r="AF1050" s="19">
        <v>225</v>
      </c>
      <c r="AG1050" s="19" t="s">
        <v>270</v>
      </c>
      <c r="AH1050" s="19"/>
      <c r="AI1050" s="19"/>
      <c r="AJ1050" s="19">
        <v>8.1</v>
      </c>
      <c r="AK1050" s="19" t="s">
        <v>412</v>
      </c>
      <c r="AL1050" s="19"/>
      <c r="AM1050" s="19" t="s">
        <v>234</v>
      </c>
      <c r="AN1050" s="19" t="s">
        <v>234</v>
      </c>
      <c r="AO1050" s="19" t="s">
        <v>235</v>
      </c>
      <c r="AP1050" s="94"/>
      <c r="AQ1050" s="19" t="s">
        <v>97</v>
      </c>
      <c r="AR1050" s="19" t="s">
        <v>241</v>
      </c>
      <c r="AS1050" s="19"/>
      <c r="AT1050" s="65" t="str">
        <f t="shared" si="321"/>
        <v>Y</v>
      </c>
      <c r="AU1050" s="65" t="str">
        <f t="shared" si="306"/>
        <v>Y</v>
      </c>
      <c r="AV1050" s="65" t="s">
        <v>162</v>
      </c>
      <c r="AW1050" s="99" t="s">
        <v>1483</v>
      </c>
      <c r="AX1050" s="99"/>
      <c r="AY1050" s="19"/>
      <c r="AZ1050" s="96" t="str">
        <f t="shared" si="307"/>
        <v>n</v>
      </c>
      <c r="BA1050" s="96" t="str">
        <f>IF(AZ1050="n","n",VLOOKUP(AZ1050,'Conversion factors'!$C$4:$D$24,2,FALSE))</f>
        <v>n</v>
      </c>
      <c r="BB1050" s="96" t="str">
        <f t="shared" si="308"/>
        <v>n</v>
      </c>
      <c r="BC1050" s="97"/>
      <c r="BD1050" s="96" t="str">
        <f t="shared" si="322"/>
        <v>n</v>
      </c>
      <c r="BE1050" s="96" t="str">
        <f t="shared" si="309"/>
        <v>n</v>
      </c>
      <c r="BF1050" s="98" t="str">
        <f t="shared" si="323"/>
        <v/>
      </c>
      <c r="BG1050" s="96" t="str">
        <f>IF(BF1050="","",IF(ISNUMBER(VLOOKUP(BF1050,'Conversion factors'!$B$35:$C$52,2,FALSE)),"y","n"))</f>
        <v/>
      </c>
      <c r="BH1050" s="99"/>
    </row>
    <row r="1051" spans="1:62" s="103" customFormat="1" ht="15.75" customHeight="1" x14ac:dyDescent="0.2">
      <c r="A1051" s="18"/>
      <c r="B1051" s="19">
        <v>198</v>
      </c>
      <c r="C1051" s="19"/>
      <c r="D1051" s="19">
        <v>45212</v>
      </c>
      <c r="E1051" s="19" t="s">
        <v>1224</v>
      </c>
      <c r="F1051" s="93">
        <v>1991</v>
      </c>
      <c r="G1051" s="19" t="s">
        <v>409</v>
      </c>
      <c r="H1051" s="19" t="s">
        <v>162</v>
      </c>
      <c r="I1051" s="19" t="s">
        <v>41</v>
      </c>
      <c r="J1051" s="19" t="s">
        <v>87</v>
      </c>
      <c r="K1051" s="19" t="s">
        <v>64</v>
      </c>
      <c r="L1051" s="99" t="s">
        <v>151</v>
      </c>
      <c r="M1051" s="19" t="s">
        <v>260</v>
      </c>
      <c r="N1051" s="19" t="s">
        <v>66</v>
      </c>
      <c r="O1051" s="19" t="s">
        <v>338</v>
      </c>
      <c r="P1051" s="19" t="s">
        <v>162</v>
      </c>
      <c r="Q1051" s="19"/>
      <c r="R1051" s="19" t="s">
        <v>237</v>
      </c>
      <c r="S1051" s="19" t="s">
        <v>79</v>
      </c>
      <c r="T1051" s="19" t="s">
        <v>56</v>
      </c>
      <c r="U1051" s="19" t="s">
        <v>44</v>
      </c>
      <c r="V1051" s="19" t="s">
        <v>94</v>
      </c>
      <c r="W1051" s="19" t="s">
        <v>231</v>
      </c>
      <c r="X1051" s="19" t="s">
        <v>46</v>
      </c>
      <c r="Y1051" s="29"/>
      <c r="Z1051" s="19"/>
      <c r="AA1051" s="19"/>
      <c r="AB1051" s="19" t="s">
        <v>413</v>
      </c>
      <c r="AC1051" s="19" t="s">
        <v>214</v>
      </c>
      <c r="AD1051" s="19"/>
      <c r="AE1051" s="19">
        <v>225</v>
      </c>
      <c r="AF1051" s="19">
        <v>225</v>
      </c>
      <c r="AG1051" s="19" t="s">
        <v>270</v>
      </c>
      <c r="AH1051" s="19"/>
      <c r="AI1051" s="19"/>
      <c r="AJ1051" s="19">
        <v>8.1</v>
      </c>
      <c r="AK1051" s="19" t="s">
        <v>412</v>
      </c>
      <c r="AL1051" s="19"/>
      <c r="AM1051" s="19" t="s">
        <v>234</v>
      </c>
      <c r="AN1051" s="19" t="s">
        <v>234</v>
      </c>
      <c r="AO1051" s="19" t="s">
        <v>235</v>
      </c>
      <c r="AP1051" s="94"/>
      <c r="AQ1051" s="19" t="s">
        <v>97</v>
      </c>
      <c r="AR1051" s="19" t="s">
        <v>241</v>
      </c>
      <c r="AS1051" s="19"/>
      <c r="AT1051" s="65" t="str">
        <f t="shared" si="321"/>
        <v>Y</v>
      </c>
      <c r="AU1051" s="65" t="str">
        <f t="shared" si="306"/>
        <v>Y</v>
      </c>
      <c r="AV1051" s="65" t="s">
        <v>162</v>
      </c>
      <c r="AW1051" s="99" t="s">
        <v>1483</v>
      </c>
      <c r="AX1051" s="99"/>
      <c r="AY1051" s="19"/>
      <c r="AZ1051" s="96" t="str">
        <f t="shared" si="307"/>
        <v>n</v>
      </c>
      <c r="BA1051" s="96" t="str">
        <f>IF(AZ1051="n","n",VLOOKUP(AZ1051,'Conversion factors'!$C$4:$D$24,2,FALSE))</f>
        <v>n</v>
      </c>
      <c r="BB1051" s="96" t="str">
        <f t="shared" si="308"/>
        <v>n</v>
      </c>
      <c r="BC1051" s="97"/>
      <c r="BD1051" s="96" t="str">
        <f t="shared" si="322"/>
        <v>n</v>
      </c>
      <c r="BE1051" s="96" t="str">
        <f t="shared" si="309"/>
        <v>n</v>
      </c>
      <c r="BF1051" s="98" t="str">
        <f t="shared" si="323"/>
        <v/>
      </c>
      <c r="BG1051" s="96" t="str">
        <f>IF(BF1051="","",IF(ISNUMBER(VLOOKUP(BF1051,'Conversion factors'!$B$35:$C$52,2,FALSE)),"y","n"))</f>
        <v/>
      </c>
      <c r="BH1051" s="99"/>
    </row>
    <row r="1052" spans="1:62" s="103" customFormat="1" ht="15.75" customHeight="1" x14ac:dyDescent="0.2">
      <c r="A1052" s="18"/>
      <c r="B1052" s="19">
        <v>198</v>
      </c>
      <c r="C1052" s="19"/>
      <c r="D1052" s="19">
        <v>45212</v>
      </c>
      <c r="E1052" s="19" t="s">
        <v>1224</v>
      </c>
      <c r="F1052" s="93">
        <v>1991</v>
      </c>
      <c r="G1052" s="19" t="s">
        <v>409</v>
      </c>
      <c r="H1052" s="19" t="s">
        <v>162</v>
      </c>
      <c r="I1052" s="19" t="s">
        <v>41</v>
      </c>
      <c r="J1052" s="19" t="s">
        <v>87</v>
      </c>
      <c r="K1052" s="19" t="s">
        <v>64</v>
      </c>
      <c r="L1052" s="99" t="s">
        <v>151</v>
      </c>
      <c r="M1052" s="19" t="s">
        <v>260</v>
      </c>
      <c r="N1052" s="19" t="s">
        <v>66</v>
      </c>
      <c r="O1052" s="19" t="s">
        <v>338</v>
      </c>
      <c r="P1052" s="19" t="s">
        <v>162</v>
      </c>
      <c r="Q1052" s="19"/>
      <c r="R1052" s="19" t="s">
        <v>237</v>
      </c>
      <c r="S1052" s="19" t="s">
        <v>414</v>
      </c>
      <c r="T1052" s="19" t="s">
        <v>55</v>
      </c>
      <c r="U1052" s="19" t="s">
        <v>55</v>
      </c>
      <c r="V1052" s="19" t="s">
        <v>94</v>
      </c>
      <c r="W1052" s="19" t="s">
        <v>231</v>
      </c>
      <c r="X1052" s="19" t="s">
        <v>46</v>
      </c>
      <c r="Y1052" s="29"/>
      <c r="Z1052" s="19"/>
      <c r="AA1052" s="19"/>
      <c r="AB1052" s="19" t="s">
        <v>242</v>
      </c>
      <c r="AC1052" s="19" t="s">
        <v>214</v>
      </c>
      <c r="AD1052" s="19"/>
      <c r="AE1052" s="19">
        <v>225</v>
      </c>
      <c r="AF1052" s="19">
        <v>225</v>
      </c>
      <c r="AG1052" s="19" t="s">
        <v>270</v>
      </c>
      <c r="AH1052" s="19"/>
      <c r="AI1052" s="19"/>
      <c r="AJ1052" s="19">
        <v>8.1</v>
      </c>
      <c r="AK1052" s="19" t="s">
        <v>412</v>
      </c>
      <c r="AL1052" s="19"/>
      <c r="AM1052" s="19" t="s">
        <v>234</v>
      </c>
      <c r="AN1052" s="19" t="s">
        <v>234</v>
      </c>
      <c r="AO1052" s="19" t="s">
        <v>235</v>
      </c>
      <c r="AP1052" s="94"/>
      <c r="AQ1052" s="19" t="s">
        <v>97</v>
      </c>
      <c r="AR1052" s="19" t="s">
        <v>241</v>
      </c>
      <c r="AS1052" s="19"/>
      <c r="AT1052" s="65" t="str">
        <f t="shared" si="321"/>
        <v>Y</v>
      </c>
      <c r="AU1052" s="65" t="str">
        <f t="shared" si="306"/>
        <v>Y</v>
      </c>
      <c r="AV1052" s="65" t="s">
        <v>162</v>
      </c>
      <c r="AW1052" s="99" t="s">
        <v>1483</v>
      </c>
      <c r="AX1052" s="99"/>
      <c r="AY1052" s="19"/>
      <c r="AZ1052" s="96" t="str">
        <f t="shared" si="307"/>
        <v>n</v>
      </c>
      <c r="BA1052" s="96" t="str">
        <f>IF(AZ1052="n","n",VLOOKUP(AZ1052,'Conversion factors'!$C$4:$D$24,2,FALSE))</f>
        <v>n</v>
      </c>
      <c r="BB1052" s="96" t="str">
        <f t="shared" si="308"/>
        <v>n</v>
      </c>
      <c r="BC1052" s="97"/>
      <c r="BD1052" s="96" t="str">
        <f t="shared" si="322"/>
        <v>n</v>
      </c>
      <c r="BE1052" s="96" t="str">
        <f t="shared" si="309"/>
        <v>n</v>
      </c>
      <c r="BF1052" s="98" t="str">
        <f t="shared" si="323"/>
        <v/>
      </c>
      <c r="BG1052" s="96" t="str">
        <f>IF(BF1052="","",IF(ISNUMBER(VLOOKUP(BF1052,'Conversion factors'!$B$35:$C$52,2,FALSE)),"y","n"))</f>
        <v/>
      </c>
      <c r="BH1052" s="99"/>
    </row>
    <row r="1053" spans="1:62" s="103" customFormat="1" ht="15.75" customHeight="1" x14ac:dyDescent="0.2">
      <c r="A1053" s="18"/>
      <c r="B1053" s="19">
        <v>198</v>
      </c>
      <c r="C1053" s="19"/>
      <c r="D1053" s="19">
        <v>45212</v>
      </c>
      <c r="E1053" s="19" t="s">
        <v>1224</v>
      </c>
      <c r="F1053" s="93">
        <v>1991</v>
      </c>
      <c r="G1053" s="19" t="s">
        <v>409</v>
      </c>
      <c r="H1053" s="19" t="s">
        <v>162</v>
      </c>
      <c r="I1053" s="19" t="s">
        <v>41</v>
      </c>
      <c r="J1053" s="19" t="s">
        <v>87</v>
      </c>
      <c r="K1053" s="19" t="s">
        <v>64</v>
      </c>
      <c r="L1053" s="99" t="s">
        <v>151</v>
      </c>
      <c r="M1053" s="19" t="s">
        <v>260</v>
      </c>
      <c r="N1053" s="19" t="s">
        <v>66</v>
      </c>
      <c r="O1053" s="19" t="s">
        <v>235</v>
      </c>
      <c r="P1053" s="19" t="s">
        <v>162</v>
      </c>
      <c r="Q1053" s="19"/>
      <c r="R1053" s="19" t="s">
        <v>256</v>
      </c>
      <c r="S1053" s="19" t="s">
        <v>410</v>
      </c>
      <c r="T1053" s="19" t="s">
        <v>49</v>
      </c>
      <c r="U1053" s="19" t="s">
        <v>49</v>
      </c>
      <c r="V1053" s="19" t="s">
        <v>94</v>
      </c>
      <c r="W1053" s="19" t="s">
        <v>231</v>
      </c>
      <c r="X1053" s="19" t="s">
        <v>46</v>
      </c>
      <c r="Y1053" s="29"/>
      <c r="Z1053" s="19"/>
      <c r="AA1053" s="19"/>
      <c r="AB1053" s="19">
        <v>420</v>
      </c>
      <c r="AC1053" s="19" t="s">
        <v>214</v>
      </c>
      <c r="AD1053" s="19"/>
      <c r="AE1053" s="19">
        <v>225</v>
      </c>
      <c r="AF1053" s="19">
        <v>225</v>
      </c>
      <c r="AG1053" s="19" t="s">
        <v>270</v>
      </c>
      <c r="AH1053" s="19"/>
      <c r="AI1053" s="19"/>
      <c r="AJ1053" s="19">
        <v>8.1</v>
      </c>
      <c r="AK1053" s="19" t="s">
        <v>412</v>
      </c>
      <c r="AL1053" s="19"/>
      <c r="AM1053" s="19" t="s">
        <v>234</v>
      </c>
      <c r="AN1053" s="19" t="s">
        <v>234</v>
      </c>
      <c r="AO1053" s="19" t="s">
        <v>235</v>
      </c>
      <c r="AP1053" s="94"/>
      <c r="AQ1053" s="19" t="s">
        <v>97</v>
      </c>
      <c r="AR1053" s="19" t="s">
        <v>241</v>
      </c>
      <c r="AS1053" s="19"/>
      <c r="AT1053" s="65" t="str">
        <f t="shared" si="321"/>
        <v>Y</v>
      </c>
      <c r="AU1053" s="65" t="str">
        <f t="shared" si="306"/>
        <v>Y</v>
      </c>
      <c r="AV1053" s="65" t="s">
        <v>162</v>
      </c>
      <c r="AW1053" s="99" t="s">
        <v>1483</v>
      </c>
      <c r="AX1053" s="99"/>
      <c r="AY1053" s="19"/>
      <c r="AZ1053" s="96" t="str">
        <f t="shared" si="307"/>
        <v>n</v>
      </c>
      <c r="BA1053" s="96" t="str">
        <f>IF(AZ1053="n","n",VLOOKUP(AZ1053,'Conversion factors'!$C$4:$D$24,2,FALSE))</f>
        <v>n</v>
      </c>
      <c r="BB1053" s="96" t="str">
        <f t="shared" si="308"/>
        <v>n</v>
      </c>
      <c r="BC1053" s="97"/>
      <c r="BD1053" s="96" t="str">
        <f t="shared" si="322"/>
        <v>n</v>
      </c>
      <c r="BE1053" s="96" t="str">
        <f t="shared" si="309"/>
        <v>n</v>
      </c>
      <c r="BF1053" s="98" t="str">
        <f t="shared" si="323"/>
        <v/>
      </c>
      <c r="BG1053" s="96" t="str">
        <f>IF(BF1053="","",IF(ISNUMBER(VLOOKUP(BF1053,'Conversion factors'!$B$35:$C$52,2,FALSE)),"y","n"))</f>
        <v/>
      </c>
      <c r="BH1053" s="99"/>
    </row>
    <row r="1054" spans="1:62" s="103" customFormat="1" ht="15.75" customHeight="1" x14ac:dyDescent="0.2">
      <c r="A1054" s="18"/>
      <c r="B1054" s="19">
        <v>198</v>
      </c>
      <c r="C1054" s="19"/>
      <c r="D1054" s="19">
        <v>45212</v>
      </c>
      <c r="E1054" s="19" t="s">
        <v>1224</v>
      </c>
      <c r="F1054" s="93">
        <v>1991</v>
      </c>
      <c r="G1054" s="19" t="s">
        <v>409</v>
      </c>
      <c r="H1054" s="19" t="s">
        <v>162</v>
      </c>
      <c r="I1054" s="19" t="s">
        <v>41</v>
      </c>
      <c r="J1054" s="19" t="s">
        <v>87</v>
      </c>
      <c r="K1054" s="19" t="s">
        <v>64</v>
      </c>
      <c r="L1054" s="99" t="s">
        <v>151</v>
      </c>
      <c r="M1054" s="19" t="s">
        <v>260</v>
      </c>
      <c r="N1054" s="19" t="s">
        <v>66</v>
      </c>
      <c r="O1054" s="19" t="s">
        <v>235</v>
      </c>
      <c r="P1054" s="19" t="s">
        <v>162</v>
      </c>
      <c r="Q1054" s="19"/>
      <c r="R1054" s="19" t="s">
        <v>256</v>
      </c>
      <c r="S1054" s="19" t="s">
        <v>410</v>
      </c>
      <c r="T1054" s="19" t="s">
        <v>44</v>
      </c>
      <c r="U1054" s="19" t="s">
        <v>44</v>
      </c>
      <c r="V1054" s="19" t="s">
        <v>94</v>
      </c>
      <c r="W1054" s="19" t="s">
        <v>231</v>
      </c>
      <c r="X1054" s="19" t="s">
        <v>46</v>
      </c>
      <c r="Y1054" s="29"/>
      <c r="Z1054" s="19"/>
      <c r="AA1054" s="19"/>
      <c r="AB1054" s="19" t="s">
        <v>411</v>
      </c>
      <c r="AC1054" s="19" t="s">
        <v>214</v>
      </c>
      <c r="AD1054" s="19"/>
      <c r="AE1054" s="19">
        <v>225</v>
      </c>
      <c r="AF1054" s="19">
        <v>225</v>
      </c>
      <c r="AG1054" s="19" t="s">
        <v>270</v>
      </c>
      <c r="AH1054" s="19"/>
      <c r="AI1054" s="19"/>
      <c r="AJ1054" s="19">
        <v>8.1</v>
      </c>
      <c r="AK1054" s="19" t="s">
        <v>412</v>
      </c>
      <c r="AL1054" s="19"/>
      <c r="AM1054" s="19" t="s">
        <v>234</v>
      </c>
      <c r="AN1054" s="19" t="s">
        <v>234</v>
      </c>
      <c r="AO1054" s="19" t="s">
        <v>235</v>
      </c>
      <c r="AP1054" s="94"/>
      <c r="AQ1054" s="19" t="s">
        <v>97</v>
      </c>
      <c r="AR1054" s="19" t="s">
        <v>241</v>
      </c>
      <c r="AS1054" s="19"/>
      <c r="AT1054" s="65" t="str">
        <f t="shared" si="321"/>
        <v>Y</v>
      </c>
      <c r="AU1054" s="65" t="str">
        <f t="shared" si="306"/>
        <v>Y</v>
      </c>
      <c r="AV1054" s="65" t="s">
        <v>162</v>
      </c>
      <c r="AW1054" s="99" t="s">
        <v>1483</v>
      </c>
      <c r="AX1054" s="99"/>
      <c r="AY1054" s="19"/>
      <c r="AZ1054" s="96" t="str">
        <f t="shared" si="307"/>
        <v>n</v>
      </c>
      <c r="BA1054" s="96" t="str">
        <f>IF(AZ1054="n","n",VLOOKUP(AZ1054,'Conversion factors'!$C$4:$D$24,2,FALSE))</f>
        <v>n</v>
      </c>
      <c r="BB1054" s="96" t="str">
        <f t="shared" si="308"/>
        <v>n</v>
      </c>
      <c r="BC1054" s="97"/>
      <c r="BD1054" s="96" t="str">
        <f t="shared" si="322"/>
        <v>n</v>
      </c>
      <c r="BE1054" s="96" t="str">
        <f t="shared" si="309"/>
        <v>n</v>
      </c>
      <c r="BF1054" s="98" t="str">
        <f t="shared" si="323"/>
        <v/>
      </c>
      <c r="BG1054" s="96" t="str">
        <f>IF(BF1054="","",IF(ISNUMBER(VLOOKUP(BF1054,'Conversion factors'!$B$35:$C$52,2,FALSE)),"y","n"))</f>
        <v/>
      </c>
      <c r="BH1054" s="99"/>
    </row>
    <row r="1055" spans="1:62" s="103" customFormat="1" ht="15.75" customHeight="1" x14ac:dyDescent="0.2">
      <c r="A1055" s="18"/>
      <c r="B1055" s="19">
        <v>198</v>
      </c>
      <c r="C1055" s="19"/>
      <c r="D1055" s="19">
        <v>45212</v>
      </c>
      <c r="E1055" s="19" t="s">
        <v>1224</v>
      </c>
      <c r="F1055" s="93">
        <v>1991</v>
      </c>
      <c r="G1055" s="19" t="s">
        <v>409</v>
      </c>
      <c r="H1055" s="19" t="s">
        <v>162</v>
      </c>
      <c r="I1055" s="19" t="s">
        <v>41</v>
      </c>
      <c r="J1055" s="19" t="s">
        <v>87</v>
      </c>
      <c r="K1055" s="19" t="s">
        <v>64</v>
      </c>
      <c r="L1055" s="99" t="s">
        <v>151</v>
      </c>
      <c r="M1055" s="19" t="s">
        <v>260</v>
      </c>
      <c r="N1055" s="19" t="s">
        <v>66</v>
      </c>
      <c r="O1055" s="19" t="s">
        <v>338</v>
      </c>
      <c r="P1055" s="19" t="s">
        <v>162</v>
      </c>
      <c r="Q1055" s="19"/>
      <c r="R1055" s="19" t="s">
        <v>256</v>
      </c>
      <c r="S1055" s="19" t="s">
        <v>416</v>
      </c>
      <c r="T1055" s="19" t="s">
        <v>55</v>
      </c>
      <c r="U1055" s="19" t="s">
        <v>55</v>
      </c>
      <c r="V1055" s="19" t="s">
        <v>94</v>
      </c>
      <c r="W1055" s="19" t="s">
        <v>231</v>
      </c>
      <c r="X1055" s="19" t="s">
        <v>46</v>
      </c>
      <c r="Y1055" s="29"/>
      <c r="Z1055" s="19"/>
      <c r="AA1055" s="19"/>
      <c r="AB1055" s="19" t="s">
        <v>242</v>
      </c>
      <c r="AC1055" s="19" t="s">
        <v>214</v>
      </c>
      <c r="AD1055" s="19"/>
      <c r="AE1055" s="19">
        <v>225</v>
      </c>
      <c r="AF1055" s="19">
        <v>225</v>
      </c>
      <c r="AG1055" s="19" t="s">
        <v>270</v>
      </c>
      <c r="AH1055" s="19"/>
      <c r="AI1055" s="19"/>
      <c r="AJ1055" s="19">
        <v>8.1</v>
      </c>
      <c r="AK1055" s="19" t="s">
        <v>412</v>
      </c>
      <c r="AL1055" s="19"/>
      <c r="AM1055" s="19" t="s">
        <v>234</v>
      </c>
      <c r="AN1055" s="19" t="s">
        <v>234</v>
      </c>
      <c r="AO1055" s="19" t="s">
        <v>235</v>
      </c>
      <c r="AP1055" s="94"/>
      <c r="AQ1055" s="19" t="s">
        <v>97</v>
      </c>
      <c r="AR1055" s="19" t="s">
        <v>241</v>
      </c>
      <c r="AS1055" s="19"/>
      <c r="AT1055" s="65" t="str">
        <f t="shared" si="321"/>
        <v>Y</v>
      </c>
      <c r="AU1055" s="65" t="str">
        <f t="shared" si="306"/>
        <v>Y</v>
      </c>
      <c r="AV1055" s="65" t="s">
        <v>162</v>
      </c>
      <c r="AW1055" s="99" t="s">
        <v>1483</v>
      </c>
      <c r="AX1055" s="99"/>
      <c r="AY1055" s="19"/>
      <c r="AZ1055" s="96" t="str">
        <f t="shared" si="307"/>
        <v>n</v>
      </c>
      <c r="BA1055" s="96" t="str">
        <f>IF(AZ1055="n","n",VLOOKUP(AZ1055,'Conversion factors'!$C$4:$D$24,2,FALSE))</f>
        <v>n</v>
      </c>
      <c r="BB1055" s="96" t="str">
        <f t="shared" si="308"/>
        <v>n</v>
      </c>
      <c r="BC1055" s="97"/>
      <c r="BD1055" s="96" t="str">
        <f t="shared" si="322"/>
        <v>n</v>
      </c>
      <c r="BE1055" s="96" t="str">
        <f t="shared" si="309"/>
        <v>n</v>
      </c>
      <c r="BF1055" s="98" t="str">
        <f t="shared" si="323"/>
        <v/>
      </c>
      <c r="BG1055" s="96" t="str">
        <f>IF(BF1055="","",IF(ISNUMBER(VLOOKUP(BF1055,'Conversion factors'!$B$35:$C$52,2,FALSE)),"y","n"))</f>
        <v/>
      </c>
      <c r="BH1055" s="99"/>
    </row>
    <row r="1056" spans="1:62" s="103" customFormat="1" ht="15.75" customHeight="1" x14ac:dyDescent="0.2">
      <c r="A1056" s="18"/>
      <c r="B1056" s="19">
        <v>218</v>
      </c>
      <c r="C1056" s="19"/>
      <c r="D1056" s="19">
        <v>62308</v>
      </c>
      <c r="E1056" s="19" t="s">
        <v>1224</v>
      </c>
      <c r="F1056" s="93">
        <v>2002</v>
      </c>
      <c r="G1056" s="19" t="s">
        <v>527</v>
      </c>
      <c r="H1056" s="19" t="s">
        <v>162</v>
      </c>
      <c r="I1056" s="19" t="s">
        <v>41</v>
      </c>
      <c r="J1056" s="19" t="s">
        <v>87</v>
      </c>
      <c r="K1056" s="19" t="s">
        <v>64</v>
      </c>
      <c r="L1056" s="99" t="s">
        <v>151</v>
      </c>
      <c r="M1056" s="19" t="s">
        <v>260</v>
      </c>
      <c r="N1056" s="19" t="s">
        <v>66</v>
      </c>
      <c r="O1056" s="19" t="s">
        <v>292</v>
      </c>
      <c r="P1056" s="19" t="s">
        <v>162</v>
      </c>
      <c r="Q1056" s="19"/>
      <c r="R1056" s="19" t="s">
        <v>256</v>
      </c>
      <c r="S1056" s="19" t="s">
        <v>309</v>
      </c>
      <c r="T1056" s="19" t="s">
        <v>465</v>
      </c>
      <c r="U1056" s="19" t="s">
        <v>54</v>
      </c>
      <c r="V1056" s="19" t="s">
        <v>94</v>
      </c>
      <c r="W1056" s="19" t="s">
        <v>231</v>
      </c>
      <c r="X1056" s="19" t="s">
        <v>46</v>
      </c>
      <c r="Y1056" s="29"/>
      <c r="Z1056" s="19"/>
      <c r="AA1056" s="19"/>
      <c r="AB1056" s="19" t="s">
        <v>242</v>
      </c>
      <c r="AC1056" s="19" t="s">
        <v>214</v>
      </c>
      <c r="AD1056" s="19"/>
      <c r="AE1056" s="19">
        <v>280</v>
      </c>
      <c r="AF1056" s="19">
        <v>280</v>
      </c>
      <c r="AG1056" s="19" t="s">
        <v>270</v>
      </c>
      <c r="AH1056" s="19"/>
      <c r="AI1056" s="19"/>
      <c r="AJ1056" s="19">
        <v>7.8</v>
      </c>
      <c r="AK1056" s="19">
        <v>7.8</v>
      </c>
      <c r="AL1056" s="19"/>
      <c r="AM1056" s="19" t="s">
        <v>234</v>
      </c>
      <c r="AN1056" s="19" t="s">
        <v>529</v>
      </c>
      <c r="AO1056" s="19" t="s">
        <v>270</v>
      </c>
      <c r="AP1056" s="94"/>
      <c r="AQ1056" s="19" t="s">
        <v>97</v>
      </c>
      <c r="AR1056" s="19" t="s">
        <v>241</v>
      </c>
      <c r="AS1056" s="19"/>
      <c r="AT1056" s="65" t="str">
        <f t="shared" si="321"/>
        <v>Y</v>
      </c>
      <c r="AU1056" s="65" t="str">
        <f t="shared" si="306"/>
        <v>Y</v>
      </c>
      <c r="AV1056" s="65" t="s">
        <v>162</v>
      </c>
      <c r="AW1056" s="19" t="s">
        <v>1328</v>
      </c>
      <c r="AX1056" s="19"/>
      <c r="AY1056" s="19"/>
      <c r="AZ1056" s="96" t="str">
        <f t="shared" si="307"/>
        <v>n</v>
      </c>
      <c r="BA1056" s="96" t="str">
        <f>IF(AZ1056="n","n",VLOOKUP(AZ1056,'Conversion factors'!$C$4:$D$24,2,FALSE))</f>
        <v>n</v>
      </c>
      <c r="BB1056" s="96" t="str">
        <f t="shared" si="308"/>
        <v>n</v>
      </c>
      <c r="BC1056" s="97"/>
      <c r="BD1056" s="96" t="str">
        <f t="shared" si="322"/>
        <v>n</v>
      </c>
      <c r="BE1056" s="96" t="str">
        <f t="shared" si="309"/>
        <v>n</v>
      </c>
      <c r="BF1056" s="98" t="str">
        <f t="shared" si="323"/>
        <v/>
      </c>
      <c r="BG1056" s="96" t="str">
        <f>IF(BF1056="","",IF(ISNUMBER(VLOOKUP(BF1056,'Conversion factors'!$B$35:$C$52,2,FALSE)),"y","n"))</f>
        <v/>
      </c>
      <c r="BH1056" s="99" t="s">
        <v>1513</v>
      </c>
    </row>
    <row r="1057" spans="1:61" s="103" customFormat="1" ht="15.75" customHeight="1" x14ac:dyDescent="0.2">
      <c r="A1057" s="18"/>
      <c r="B1057" s="19">
        <v>218</v>
      </c>
      <c r="C1057" s="19"/>
      <c r="D1057" s="19">
        <v>62308</v>
      </c>
      <c r="E1057" s="19" t="s">
        <v>1224</v>
      </c>
      <c r="F1057" s="93">
        <v>2002</v>
      </c>
      <c r="G1057" s="19" t="s">
        <v>527</v>
      </c>
      <c r="H1057" s="19" t="s">
        <v>162</v>
      </c>
      <c r="I1057" s="19" t="s">
        <v>41</v>
      </c>
      <c r="J1057" s="19" t="s">
        <v>87</v>
      </c>
      <c r="K1057" s="19" t="s">
        <v>64</v>
      </c>
      <c r="L1057" s="99" t="s">
        <v>151</v>
      </c>
      <c r="M1057" s="19" t="s">
        <v>260</v>
      </c>
      <c r="N1057" s="19" t="s">
        <v>66</v>
      </c>
      <c r="O1057" s="19" t="s">
        <v>292</v>
      </c>
      <c r="P1057" s="19" t="s">
        <v>162</v>
      </c>
      <c r="Q1057" s="19"/>
      <c r="R1057" s="19" t="s">
        <v>256</v>
      </c>
      <c r="S1057" s="19" t="s">
        <v>309</v>
      </c>
      <c r="T1057" s="19" t="s">
        <v>465</v>
      </c>
      <c r="U1057" s="19" t="s">
        <v>54</v>
      </c>
      <c r="V1057" s="19" t="s">
        <v>94</v>
      </c>
      <c r="W1057" s="19" t="s">
        <v>231</v>
      </c>
      <c r="X1057" s="19" t="s">
        <v>46</v>
      </c>
      <c r="Y1057" s="29"/>
      <c r="Z1057" s="19"/>
      <c r="AA1057" s="19"/>
      <c r="AB1057" s="19" t="s">
        <v>242</v>
      </c>
      <c r="AC1057" s="19" t="s">
        <v>214</v>
      </c>
      <c r="AD1057" s="19"/>
      <c r="AE1057" s="19">
        <v>280</v>
      </c>
      <c r="AF1057" s="19">
        <v>280</v>
      </c>
      <c r="AG1057" s="19" t="s">
        <v>270</v>
      </c>
      <c r="AH1057" s="19"/>
      <c r="AI1057" s="19"/>
      <c r="AJ1057" s="19">
        <v>7.8</v>
      </c>
      <c r="AK1057" s="19">
        <v>7.8</v>
      </c>
      <c r="AL1057" s="19"/>
      <c r="AM1057" s="19" t="s">
        <v>234</v>
      </c>
      <c r="AN1057" s="19" t="s">
        <v>529</v>
      </c>
      <c r="AO1057" s="19" t="s">
        <v>270</v>
      </c>
      <c r="AP1057" s="94"/>
      <c r="AQ1057" s="19" t="s">
        <v>97</v>
      </c>
      <c r="AR1057" s="19" t="s">
        <v>241</v>
      </c>
      <c r="AS1057" s="19"/>
      <c r="AT1057" s="65" t="str">
        <f t="shared" si="321"/>
        <v>Y</v>
      </c>
      <c r="AU1057" s="65" t="str">
        <f t="shared" si="306"/>
        <v>Y</v>
      </c>
      <c r="AV1057" s="65" t="s">
        <v>162</v>
      </c>
      <c r="AW1057" s="19" t="s">
        <v>1328</v>
      </c>
      <c r="AX1057" s="19"/>
      <c r="AY1057" s="19"/>
      <c r="AZ1057" s="96" t="str">
        <f t="shared" si="307"/>
        <v>n</v>
      </c>
      <c r="BA1057" s="96" t="str">
        <f>IF(AZ1057="n","n",VLOOKUP(AZ1057,'Conversion factors'!$C$4:$D$24,2,FALSE))</f>
        <v>n</v>
      </c>
      <c r="BB1057" s="96" t="str">
        <f t="shared" si="308"/>
        <v>n</v>
      </c>
      <c r="BC1057" s="97"/>
      <c r="BD1057" s="96" t="str">
        <f t="shared" si="322"/>
        <v>n</v>
      </c>
      <c r="BE1057" s="96" t="str">
        <f t="shared" si="309"/>
        <v>n</v>
      </c>
      <c r="BF1057" s="98" t="str">
        <f t="shared" si="323"/>
        <v/>
      </c>
      <c r="BG1057" s="96" t="str">
        <f>IF(BF1057="","",IF(ISNUMBER(VLOOKUP(BF1057,'Conversion factors'!$B$35:$C$52,2,FALSE)),"y","n"))</f>
        <v/>
      </c>
      <c r="BH1057" s="99" t="s">
        <v>1513</v>
      </c>
    </row>
    <row r="1058" spans="1:61" s="103" customFormat="1" ht="15.75" customHeight="1" x14ac:dyDescent="0.2">
      <c r="A1058" s="18"/>
      <c r="B1058" s="19">
        <v>218</v>
      </c>
      <c r="C1058" s="19"/>
      <c r="D1058" s="19">
        <v>62308</v>
      </c>
      <c r="E1058" s="19" t="s">
        <v>1224</v>
      </c>
      <c r="F1058" s="93">
        <v>2002</v>
      </c>
      <c r="G1058" s="19" t="s">
        <v>527</v>
      </c>
      <c r="H1058" s="19" t="s">
        <v>162</v>
      </c>
      <c r="I1058" s="19" t="s">
        <v>41</v>
      </c>
      <c r="J1058" s="19" t="s">
        <v>87</v>
      </c>
      <c r="K1058" s="19" t="s">
        <v>64</v>
      </c>
      <c r="L1058" s="99" t="s">
        <v>151</v>
      </c>
      <c r="M1058" s="19" t="s">
        <v>260</v>
      </c>
      <c r="N1058" s="19" t="s">
        <v>66</v>
      </c>
      <c r="O1058" s="19" t="s">
        <v>292</v>
      </c>
      <c r="P1058" s="19" t="s">
        <v>162</v>
      </c>
      <c r="Q1058" s="19"/>
      <c r="R1058" s="19" t="s">
        <v>76</v>
      </c>
      <c r="S1058" s="19" t="s">
        <v>528</v>
      </c>
      <c r="T1058" s="19" t="s">
        <v>465</v>
      </c>
      <c r="U1058" s="19" t="s">
        <v>54</v>
      </c>
      <c r="V1058" s="19" t="s">
        <v>94</v>
      </c>
      <c r="W1058" s="19" t="s">
        <v>231</v>
      </c>
      <c r="X1058" s="19" t="s">
        <v>46</v>
      </c>
      <c r="Y1058" s="29"/>
      <c r="Z1058" s="19"/>
      <c r="AA1058" s="19"/>
      <c r="AB1058" s="19" t="s">
        <v>242</v>
      </c>
      <c r="AC1058" s="19" t="s">
        <v>214</v>
      </c>
      <c r="AD1058" s="19"/>
      <c r="AE1058" s="19">
        <v>280</v>
      </c>
      <c r="AF1058" s="19">
        <v>280</v>
      </c>
      <c r="AG1058" s="19" t="s">
        <v>270</v>
      </c>
      <c r="AH1058" s="19"/>
      <c r="AI1058" s="19"/>
      <c r="AJ1058" s="19">
        <v>7.8</v>
      </c>
      <c r="AK1058" s="19">
        <v>7.8</v>
      </c>
      <c r="AL1058" s="19"/>
      <c r="AM1058" s="19" t="s">
        <v>234</v>
      </c>
      <c r="AN1058" s="19" t="s">
        <v>529</v>
      </c>
      <c r="AO1058" s="19" t="s">
        <v>270</v>
      </c>
      <c r="AP1058" s="94"/>
      <c r="AQ1058" s="19" t="s">
        <v>97</v>
      </c>
      <c r="AR1058" s="19" t="s">
        <v>241</v>
      </c>
      <c r="AS1058" s="19"/>
      <c r="AT1058" s="65" t="str">
        <f t="shared" si="321"/>
        <v>Y</v>
      </c>
      <c r="AU1058" s="65" t="str">
        <f t="shared" si="306"/>
        <v>Y</v>
      </c>
      <c r="AV1058" s="65" t="s">
        <v>162</v>
      </c>
      <c r="AW1058" s="19" t="s">
        <v>1328</v>
      </c>
      <c r="AX1058" s="19"/>
      <c r="AY1058" s="19"/>
      <c r="AZ1058" s="96" t="str">
        <f t="shared" si="307"/>
        <v>n</v>
      </c>
      <c r="BA1058" s="96" t="str">
        <f>IF(AZ1058="n","n",VLOOKUP(AZ1058,'Conversion factors'!$C$4:$D$24,2,FALSE))</f>
        <v>n</v>
      </c>
      <c r="BB1058" s="96" t="str">
        <f t="shared" si="308"/>
        <v>n</v>
      </c>
      <c r="BC1058" s="97"/>
      <c r="BD1058" s="96" t="str">
        <f t="shared" si="322"/>
        <v>n</v>
      </c>
      <c r="BE1058" s="96" t="str">
        <f t="shared" si="309"/>
        <v>n</v>
      </c>
      <c r="BF1058" s="98" t="str">
        <f t="shared" si="323"/>
        <v/>
      </c>
      <c r="BG1058" s="96" t="str">
        <f>IF(BF1058="","",IF(ISNUMBER(VLOOKUP(BF1058,'Conversion factors'!$B$35:$C$52,2,FALSE)),"y","n"))</f>
        <v/>
      </c>
      <c r="BH1058" s="99" t="s">
        <v>1513</v>
      </c>
    </row>
    <row r="1059" spans="1:61" s="103" customFormat="1" ht="15.75" customHeight="1" x14ac:dyDescent="0.2">
      <c r="A1059" s="18"/>
      <c r="B1059" s="19">
        <v>218</v>
      </c>
      <c r="C1059" s="19"/>
      <c r="D1059" s="19">
        <v>62308</v>
      </c>
      <c r="E1059" s="19" t="s">
        <v>1224</v>
      </c>
      <c r="F1059" s="93">
        <v>2002</v>
      </c>
      <c r="G1059" s="19" t="s">
        <v>527</v>
      </c>
      <c r="H1059" s="19" t="s">
        <v>162</v>
      </c>
      <c r="I1059" s="19" t="s">
        <v>41</v>
      </c>
      <c r="J1059" s="19" t="s">
        <v>87</v>
      </c>
      <c r="K1059" s="19" t="s">
        <v>64</v>
      </c>
      <c r="L1059" s="99" t="s">
        <v>151</v>
      </c>
      <c r="M1059" s="19" t="s">
        <v>260</v>
      </c>
      <c r="N1059" s="19" t="s">
        <v>66</v>
      </c>
      <c r="O1059" s="19" t="s">
        <v>292</v>
      </c>
      <c r="P1059" s="19" t="s">
        <v>162</v>
      </c>
      <c r="Q1059" s="19"/>
      <c r="R1059" s="19" t="s">
        <v>76</v>
      </c>
      <c r="S1059" s="19" t="s">
        <v>528</v>
      </c>
      <c r="T1059" s="19" t="s">
        <v>465</v>
      </c>
      <c r="U1059" s="19" t="s">
        <v>54</v>
      </c>
      <c r="V1059" s="19" t="s">
        <v>94</v>
      </c>
      <c r="W1059" s="19" t="s">
        <v>231</v>
      </c>
      <c r="X1059" s="19" t="s">
        <v>46</v>
      </c>
      <c r="Y1059" s="29"/>
      <c r="Z1059" s="19"/>
      <c r="AA1059" s="19"/>
      <c r="AB1059" s="19" t="s">
        <v>242</v>
      </c>
      <c r="AC1059" s="19" t="s">
        <v>214</v>
      </c>
      <c r="AD1059" s="19"/>
      <c r="AE1059" s="19">
        <v>280</v>
      </c>
      <c r="AF1059" s="19">
        <v>280</v>
      </c>
      <c r="AG1059" s="19" t="s">
        <v>270</v>
      </c>
      <c r="AH1059" s="19"/>
      <c r="AI1059" s="19"/>
      <c r="AJ1059" s="19">
        <v>7.8</v>
      </c>
      <c r="AK1059" s="19">
        <v>7.8</v>
      </c>
      <c r="AL1059" s="19"/>
      <c r="AM1059" s="19" t="s">
        <v>234</v>
      </c>
      <c r="AN1059" s="19" t="s">
        <v>529</v>
      </c>
      <c r="AO1059" s="19" t="s">
        <v>270</v>
      </c>
      <c r="AP1059" s="94"/>
      <c r="AQ1059" s="19" t="s">
        <v>97</v>
      </c>
      <c r="AR1059" s="19" t="s">
        <v>241</v>
      </c>
      <c r="AS1059" s="19"/>
      <c r="AT1059" s="65" t="str">
        <f t="shared" si="321"/>
        <v>Y</v>
      </c>
      <c r="AU1059" s="65" t="str">
        <f t="shared" si="306"/>
        <v>Y</v>
      </c>
      <c r="AV1059" s="65" t="s">
        <v>162</v>
      </c>
      <c r="AW1059" s="19" t="s">
        <v>1328</v>
      </c>
      <c r="AX1059" s="19"/>
      <c r="AY1059" s="19"/>
      <c r="AZ1059" s="96" t="str">
        <f t="shared" si="307"/>
        <v>n</v>
      </c>
      <c r="BA1059" s="96" t="str">
        <f>IF(AZ1059="n","n",VLOOKUP(AZ1059,'Conversion factors'!$C$4:$D$24,2,FALSE))</f>
        <v>n</v>
      </c>
      <c r="BB1059" s="96" t="str">
        <f t="shared" si="308"/>
        <v>n</v>
      </c>
      <c r="BC1059" s="97"/>
      <c r="BD1059" s="96" t="str">
        <f t="shared" si="322"/>
        <v>n</v>
      </c>
      <c r="BE1059" s="96" t="str">
        <f t="shared" si="309"/>
        <v>n</v>
      </c>
      <c r="BF1059" s="98" t="str">
        <f t="shared" si="323"/>
        <v/>
      </c>
      <c r="BG1059" s="96" t="str">
        <f>IF(BF1059="","",IF(ISNUMBER(VLOOKUP(BF1059,'Conversion factors'!$B$35:$C$52,2,FALSE)),"y","n"))</f>
        <v/>
      </c>
      <c r="BH1059" s="99" t="s">
        <v>1513</v>
      </c>
    </row>
    <row r="1060" spans="1:61" s="103" customFormat="1" ht="15.75" customHeight="1" x14ac:dyDescent="0.2">
      <c r="A1060" s="18"/>
      <c r="B1060" s="19">
        <v>220</v>
      </c>
      <c r="C1060" s="19"/>
      <c r="D1060" s="19">
        <v>62445</v>
      </c>
      <c r="E1060" s="19" t="s">
        <v>1224</v>
      </c>
      <c r="F1060" s="93">
        <v>2001</v>
      </c>
      <c r="G1060" s="19" t="s">
        <v>512</v>
      </c>
      <c r="H1060" s="19" t="s">
        <v>162</v>
      </c>
      <c r="I1060" s="19" t="s">
        <v>41</v>
      </c>
      <c r="J1060" s="19" t="s">
        <v>87</v>
      </c>
      <c r="K1060" s="19" t="s">
        <v>64</v>
      </c>
      <c r="L1060" s="99" t="s">
        <v>151</v>
      </c>
      <c r="M1060" s="19" t="s">
        <v>260</v>
      </c>
      <c r="N1060" s="19" t="s">
        <v>66</v>
      </c>
      <c r="O1060" s="19" t="s">
        <v>292</v>
      </c>
      <c r="P1060" s="19" t="s">
        <v>162</v>
      </c>
      <c r="Q1060" s="19"/>
      <c r="R1060" s="19" t="s">
        <v>537</v>
      </c>
      <c r="S1060" s="19" t="s">
        <v>402</v>
      </c>
      <c r="T1060" s="19" t="s">
        <v>454</v>
      </c>
      <c r="U1060" s="19" t="s">
        <v>454</v>
      </c>
      <c r="V1060" s="19" t="s">
        <v>94</v>
      </c>
      <c r="W1060" s="19" t="s">
        <v>231</v>
      </c>
      <c r="X1060" s="19" t="s">
        <v>46</v>
      </c>
      <c r="Y1060" s="29"/>
      <c r="Z1060" s="19"/>
      <c r="AA1060" s="19"/>
      <c r="AB1060" s="19" t="s">
        <v>535</v>
      </c>
      <c r="AC1060" s="19" t="s">
        <v>214</v>
      </c>
      <c r="AD1060" s="19"/>
      <c r="AE1060" s="19">
        <v>280</v>
      </c>
      <c r="AF1060" s="19">
        <v>280</v>
      </c>
      <c r="AG1060" s="19" t="s">
        <v>270</v>
      </c>
      <c r="AH1060" s="19"/>
      <c r="AI1060" s="19"/>
      <c r="AJ1060" s="19">
        <v>7.8</v>
      </c>
      <c r="AK1060" s="19">
        <v>7.8</v>
      </c>
      <c r="AL1060" s="19"/>
      <c r="AM1060" s="19" t="s">
        <v>234</v>
      </c>
      <c r="AN1060" s="19" t="s">
        <v>536</v>
      </c>
      <c r="AO1060" s="19" t="s">
        <v>270</v>
      </c>
      <c r="AP1060" s="94"/>
      <c r="AQ1060" s="19" t="s">
        <v>97</v>
      </c>
      <c r="AR1060" s="19" t="s">
        <v>241</v>
      </c>
      <c r="AS1060" s="19"/>
      <c r="AT1060" s="65" t="str">
        <f t="shared" si="321"/>
        <v>Y</v>
      </c>
      <c r="AU1060" s="65" t="str">
        <f t="shared" si="306"/>
        <v>Y</v>
      </c>
      <c r="AV1060" s="65" t="str">
        <f>AU1060</f>
        <v>Y</v>
      </c>
      <c r="AW1060" s="99"/>
      <c r="AX1060" s="99"/>
      <c r="AY1060" s="19"/>
      <c r="AZ1060" s="96" t="str">
        <f t="shared" si="307"/>
        <v>LOEL</v>
      </c>
      <c r="BA1060" s="96">
        <f>IF(AZ1060="n","n",VLOOKUP(AZ1060,'Conversion factors'!$C$4:$D$24,2,FALSE))</f>
        <v>2.5</v>
      </c>
      <c r="BB1060" s="96">
        <f t="shared" si="308"/>
        <v>180</v>
      </c>
      <c r="BC1060" s="97"/>
      <c r="BD1060" s="96" t="str">
        <f t="shared" si="322"/>
        <v>Chronic</v>
      </c>
      <c r="BE1060" s="96" t="str">
        <f t="shared" si="309"/>
        <v>y</v>
      </c>
      <c r="BF1060" s="98" t="str">
        <f t="shared" si="323"/>
        <v>LOEL</v>
      </c>
      <c r="BG1060" s="96" t="str">
        <f>IF(BF1060="","",IF(ISNUMBER(VLOOKUP(BF1060,'Conversion factors'!$B$35:$C$52,2,FALSE)),"y","n"))</f>
        <v>n</v>
      </c>
      <c r="BH1060" s="99"/>
    </row>
    <row r="1061" spans="1:61" s="103" customFormat="1" ht="15.75" customHeight="1" x14ac:dyDescent="0.2">
      <c r="A1061" s="18"/>
      <c r="B1061" s="19">
        <v>220</v>
      </c>
      <c r="C1061" s="19"/>
      <c r="D1061" s="19">
        <v>62445</v>
      </c>
      <c r="E1061" s="19" t="s">
        <v>1224</v>
      </c>
      <c r="F1061" s="93">
        <v>2001</v>
      </c>
      <c r="G1061" s="19" t="s">
        <v>512</v>
      </c>
      <c r="H1061" s="19" t="s">
        <v>162</v>
      </c>
      <c r="I1061" s="19" t="s">
        <v>41</v>
      </c>
      <c r="J1061" s="19" t="s">
        <v>87</v>
      </c>
      <c r="K1061" s="19" t="s">
        <v>64</v>
      </c>
      <c r="L1061" s="99" t="s">
        <v>151</v>
      </c>
      <c r="M1061" s="19" t="s">
        <v>260</v>
      </c>
      <c r="N1061" s="19" t="s">
        <v>66</v>
      </c>
      <c r="O1061" s="19" t="s">
        <v>292</v>
      </c>
      <c r="P1061" s="19" t="s">
        <v>162</v>
      </c>
      <c r="Q1061" s="19"/>
      <c r="R1061" s="19" t="s">
        <v>537</v>
      </c>
      <c r="S1061" s="19" t="s">
        <v>402</v>
      </c>
      <c r="T1061" s="19" t="s">
        <v>465</v>
      </c>
      <c r="U1061" s="19" t="s">
        <v>54</v>
      </c>
      <c r="V1061" s="19" t="s">
        <v>94</v>
      </c>
      <c r="W1061" s="19" t="s">
        <v>231</v>
      </c>
      <c r="X1061" s="19" t="s">
        <v>46</v>
      </c>
      <c r="Y1061" s="29"/>
      <c r="Z1061" s="19"/>
      <c r="AA1061" s="19"/>
      <c r="AB1061" s="19" t="s">
        <v>538</v>
      </c>
      <c r="AC1061" s="19" t="s">
        <v>214</v>
      </c>
      <c r="AD1061" s="19"/>
      <c r="AE1061" s="19">
        <v>280</v>
      </c>
      <c r="AF1061" s="19">
        <v>280</v>
      </c>
      <c r="AG1061" s="19" t="s">
        <v>270</v>
      </c>
      <c r="AH1061" s="19"/>
      <c r="AI1061" s="19"/>
      <c r="AJ1061" s="19">
        <v>7.8</v>
      </c>
      <c r="AK1061" s="19">
        <v>7.8</v>
      </c>
      <c r="AL1061" s="19"/>
      <c r="AM1061" s="19" t="s">
        <v>234</v>
      </c>
      <c r="AN1061" s="19" t="s">
        <v>536</v>
      </c>
      <c r="AO1061" s="19" t="s">
        <v>270</v>
      </c>
      <c r="AP1061" s="94"/>
      <c r="AQ1061" s="19" t="s">
        <v>97</v>
      </c>
      <c r="AR1061" s="19" t="s">
        <v>241</v>
      </c>
      <c r="AS1061" s="19"/>
      <c r="AT1061" s="65" t="str">
        <f t="shared" si="321"/>
        <v>Y</v>
      </c>
      <c r="AU1061" s="65" t="str">
        <f t="shared" si="306"/>
        <v>Y</v>
      </c>
      <c r="AV1061" s="65" t="s">
        <v>162</v>
      </c>
      <c r="AW1061" s="99" t="s">
        <v>1492</v>
      </c>
      <c r="AX1061" s="99"/>
      <c r="AY1061" s="19"/>
      <c r="AZ1061" s="96" t="str">
        <f t="shared" si="307"/>
        <v>n</v>
      </c>
      <c r="BA1061" s="96" t="str">
        <f>IF(AZ1061="n","n",VLOOKUP(AZ1061,'Conversion factors'!$C$4:$D$24,2,FALSE))</f>
        <v>n</v>
      </c>
      <c r="BB1061" s="96" t="str">
        <f t="shared" si="308"/>
        <v>n</v>
      </c>
      <c r="BC1061" s="97"/>
      <c r="BD1061" s="96" t="str">
        <f t="shared" si="322"/>
        <v>n</v>
      </c>
      <c r="BE1061" s="96" t="str">
        <f t="shared" si="309"/>
        <v>n</v>
      </c>
      <c r="BF1061" s="98" t="str">
        <f t="shared" si="323"/>
        <v/>
      </c>
      <c r="BG1061" s="96" t="str">
        <f>IF(BF1061="","",IF(ISNUMBER(VLOOKUP(BF1061,'Conversion factors'!$B$35:$C$52,2,FALSE)),"y","n"))</f>
        <v/>
      </c>
      <c r="BH1061" s="99" t="s">
        <v>1513</v>
      </c>
    </row>
    <row r="1062" spans="1:61" s="103" customFormat="1" ht="15.75" customHeight="1" x14ac:dyDescent="0.2">
      <c r="A1062" s="18"/>
      <c r="B1062" s="19">
        <v>220</v>
      </c>
      <c r="C1062" s="19"/>
      <c r="D1062" s="19">
        <v>62445</v>
      </c>
      <c r="E1062" s="19" t="s">
        <v>1224</v>
      </c>
      <c r="F1062" s="93">
        <v>2001</v>
      </c>
      <c r="G1062" s="19" t="s">
        <v>512</v>
      </c>
      <c r="H1062" s="19" t="s">
        <v>162</v>
      </c>
      <c r="I1062" s="19" t="s">
        <v>41</v>
      </c>
      <c r="J1062" s="19" t="s">
        <v>87</v>
      </c>
      <c r="K1062" s="19" t="s">
        <v>64</v>
      </c>
      <c r="L1062" s="99" t="s">
        <v>151</v>
      </c>
      <c r="M1062" s="19" t="s">
        <v>260</v>
      </c>
      <c r="N1062" s="19" t="s">
        <v>66</v>
      </c>
      <c r="O1062" s="19" t="s">
        <v>292</v>
      </c>
      <c r="P1062" s="19" t="s">
        <v>162</v>
      </c>
      <c r="Q1062" s="19"/>
      <c r="R1062" s="19" t="s">
        <v>256</v>
      </c>
      <c r="S1062" s="19" t="s">
        <v>416</v>
      </c>
      <c r="T1062" s="19" t="s">
        <v>465</v>
      </c>
      <c r="U1062" s="19" t="s">
        <v>54</v>
      </c>
      <c r="V1062" s="19" t="s">
        <v>94</v>
      </c>
      <c r="W1062" s="19" t="s">
        <v>231</v>
      </c>
      <c r="X1062" s="19" t="s">
        <v>46</v>
      </c>
      <c r="Y1062" s="29"/>
      <c r="Z1062" s="19"/>
      <c r="AA1062" s="19"/>
      <c r="AB1062" s="19" t="s">
        <v>361</v>
      </c>
      <c r="AC1062" s="19" t="s">
        <v>214</v>
      </c>
      <c r="AD1062" s="19"/>
      <c r="AE1062" s="19">
        <v>280</v>
      </c>
      <c r="AF1062" s="19">
        <v>280</v>
      </c>
      <c r="AG1062" s="19" t="s">
        <v>270</v>
      </c>
      <c r="AH1062" s="19"/>
      <c r="AI1062" s="19"/>
      <c r="AJ1062" s="19">
        <v>7.8</v>
      </c>
      <c r="AK1062" s="19">
        <v>7.8</v>
      </c>
      <c r="AL1062" s="19"/>
      <c r="AM1062" s="19"/>
      <c r="AN1062" s="19" t="s">
        <v>536</v>
      </c>
      <c r="AO1062" s="19" t="s">
        <v>270</v>
      </c>
      <c r="AP1062" s="94"/>
      <c r="AQ1062" s="19" t="s">
        <v>97</v>
      </c>
      <c r="AR1062" s="19" t="s">
        <v>241</v>
      </c>
      <c r="AS1062" s="19"/>
      <c r="AT1062" s="65" t="str">
        <f t="shared" si="321"/>
        <v>Y</v>
      </c>
      <c r="AU1062" s="65" t="str">
        <f t="shared" si="306"/>
        <v>Y</v>
      </c>
      <c r="AV1062" s="65" t="str">
        <f>AU1062</f>
        <v>Y</v>
      </c>
      <c r="AW1062" s="99"/>
      <c r="AX1062" s="99"/>
      <c r="AY1062" s="19"/>
      <c r="AZ1062" s="96" t="str">
        <f t="shared" si="307"/>
        <v>NOEL</v>
      </c>
      <c r="BA1062" s="96">
        <f>IF(AZ1062="n","n",VLOOKUP(AZ1062,'Conversion factors'!$C$4:$D$24,2,FALSE))</f>
        <v>1</v>
      </c>
      <c r="BB1062" s="96">
        <f t="shared" si="308"/>
        <v>800</v>
      </c>
      <c r="BC1062" s="97"/>
      <c r="BD1062" s="96" t="str">
        <f t="shared" si="322"/>
        <v>Chronic</v>
      </c>
      <c r="BE1062" s="96" t="str">
        <f t="shared" si="309"/>
        <v>y</v>
      </c>
      <c r="BF1062" s="98" t="str">
        <f t="shared" si="323"/>
        <v>NOEL</v>
      </c>
      <c r="BG1062" s="96" t="str">
        <f>IF(BF1062="","",IF(ISNUMBER(VLOOKUP(BF1062,'Conversion factors'!$B$35:$C$52,2,FALSE)),"y","n"))</f>
        <v>y</v>
      </c>
      <c r="BH1062" s="99" t="s">
        <v>1513</v>
      </c>
    </row>
    <row r="1063" spans="1:61" s="103" customFormat="1" ht="15.75" customHeight="1" x14ac:dyDescent="0.2">
      <c r="A1063" s="18"/>
      <c r="B1063" s="19">
        <v>220</v>
      </c>
      <c r="C1063" s="19"/>
      <c r="D1063" s="19">
        <v>62445</v>
      </c>
      <c r="E1063" s="19" t="s">
        <v>1224</v>
      </c>
      <c r="F1063" s="93">
        <v>2001</v>
      </c>
      <c r="G1063" s="19" t="s">
        <v>512</v>
      </c>
      <c r="H1063" s="19" t="s">
        <v>162</v>
      </c>
      <c r="I1063" s="19" t="s">
        <v>41</v>
      </c>
      <c r="J1063" s="19" t="s">
        <v>87</v>
      </c>
      <c r="K1063" s="19" t="s">
        <v>64</v>
      </c>
      <c r="L1063" s="99" t="s">
        <v>151</v>
      </c>
      <c r="M1063" s="19" t="s">
        <v>260</v>
      </c>
      <c r="N1063" s="19" t="s">
        <v>66</v>
      </c>
      <c r="O1063" s="19" t="s">
        <v>292</v>
      </c>
      <c r="P1063" s="19" t="s">
        <v>162</v>
      </c>
      <c r="Q1063" s="19"/>
      <c r="R1063" s="19" t="s">
        <v>76</v>
      </c>
      <c r="S1063" s="19" t="s">
        <v>534</v>
      </c>
      <c r="T1063" s="19" t="s">
        <v>454</v>
      </c>
      <c r="U1063" s="19" t="s">
        <v>454</v>
      </c>
      <c r="V1063" s="19" t="s">
        <v>94</v>
      </c>
      <c r="W1063" s="19" t="s">
        <v>231</v>
      </c>
      <c r="X1063" s="19" t="s">
        <v>46</v>
      </c>
      <c r="Y1063" s="29"/>
      <c r="Z1063" s="19"/>
      <c r="AA1063" s="19"/>
      <c r="AB1063" s="19" t="s">
        <v>535</v>
      </c>
      <c r="AC1063" s="19" t="s">
        <v>214</v>
      </c>
      <c r="AD1063" s="19"/>
      <c r="AE1063" s="19">
        <v>280</v>
      </c>
      <c r="AF1063" s="19">
        <v>280</v>
      </c>
      <c r="AG1063" s="19" t="s">
        <v>270</v>
      </c>
      <c r="AH1063" s="19"/>
      <c r="AI1063" s="19"/>
      <c r="AJ1063" s="19">
        <v>7.8</v>
      </c>
      <c r="AK1063" s="19">
        <v>7.8</v>
      </c>
      <c r="AL1063" s="19"/>
      <c r="AM1063" s="19" t="s">
        <v>234</v>
      </c>
      <c r="AN1063" s="19" t="s">
        <v>536</v>
      </c>
      <c r="AO1063" s="19" t="s">
        <v>270</v>
      </c>
      <c r="AP1063" s="94"/>
      <c r="AQ1063" s="19" t="s">
        <v>97</v>
      </c>
      <c r="AR1063" s="19" t="s">
        <v>241</v>
      </c>
      <c r="AS1063" s="19"/>
      <c r="AT1063" s="65" t="str">
        <f t="shared" si="321"/>
        <v>Y</v>
      </c>
      <c r="AU1063" s="65" t="str">
        <f t="shared" si="306"/>
        <v>Y</v>
      </c>
      <c r="AV1063" s="65" t="str">
        <f>AU1063</f>
        <v>Y</v>
      </c>
      <c r="AW1063" s="99"/>
      <c r="AX1063" s="99"/>
      <c r="AY1063" s="19"/>
      <c r="AZ1063" s="96" t="str">
        <f t="shared" si="307"/>
        <v>LOEL</v>
      </c>
      <c r="BA1063" s="96">
        <f>IF(AZ1063="n","n",VLOOKUP(AZ1063,'Conversion factors'!$C$4:$D$24,2,FALSE))</f>
        <v>2.5</v>
      </c>
      <c r="BB1063" s="96">
        <f t="shared" si="308"/>
        <v>180</v>
      </c>
      <c r="BC1063" s="97"/>
      <c r="BD1063" s="96" t="str">
        <f t="shared" si="322"/>
        <v>Chronic</v>
      </c>
      <c r="BE1063" s="96" t="str">
        <f t="shared" si="309"/>
        <v>y</v>
      </c>
      <c r="BF1063" s="98" t="str">
        <f t="shared" si="323"/>
        <v>LOEL</v>
      </c>
      <c r="BG1063" s="96" t="str">
        <f>IF(BF1063="","",IF(ISNUMBER(VLOOKUP(BF1063,'Conversion factors'!$B$35:$C$52,2,FALSE)),"y","n"))</f>
        <v>n</v>
      </c>
      <c r="BH1063" s="99"/>
    </row>
    <row r="1064" spans="1:61" s="103" customFormat="1" ht="15.75" customHeight="1" x14ac:dyDescent="0.2">
      <c r="A1064" s="18"/>
      <c r="B1064" s="19">
        <v>220</v>
      </c>
      <c r="C1064" s="19"/>
      <c r="D1064" s="19">
        <v>62445</v>
      </c>
      <c r="E1064" s="19" t="s">
        <v>1224</v>
      </c>
      <c r="F1064" s="93">
        <v>2001</v>
      </c>
      <c r="G1064" s="19" t="s">
        <v>512</v>
      </c>
      <c r="H1064" s="19" t="s">
        <v>162</v>
      </c>
      <c r="I1064" s="19" t="s">
        <v>41</v>
      </c>
      <c r="J1064" s="19" t="s">
        <v>87</v>
      </c>
      <c r="K1064" s="19" t="s">
        <v>64</v>
      </c>
      <c r="L1064" s="99" t="s">
        <v>151</v>
      </c>
      <c r="M1064" s="19" t="s">
        <v>260</v>
      </c>
      <c r="N1064" s="19" t="s">
        <v>66</v>
      </c>
      <c r="O1064" s="19" t="s">
        <v>292</v>
      </c>
      <c r="P1064" s="19" t="s">
        <v>162</v>
      </c>
      <c r="Q1064" s="19"/>
      <c r="R1064" s="19" t="s">
        <v>76</v>
      </c>
      <c r="S1064" s="19" t="s">
        <v>534</v>
      </c>
      <c r="T1064" s="19" t="s">
        <v>465</v>
      </c>
      <c r="U1064" s="19" t="s">
        <v>54</v>
      </c>
      <c r="V1064" s="19" t="s">
        <v>94</v>
      </c>
      <c r="W1064" s="19" t="s">
        <v>231</v>
      </c>
      <c r="X1064" s="19" t="s">
        <v>46</v>
      </c>
      <c r="Y1064" s="29"/>
      <c r="Z1064" s="19"/>
      <c r="AA1064" s="19"/>
      <c r="AB1064" s="19" t="s">
        <v>538</v>
      </c>
      <c r="AC1064" s="19" t="s">
        <v>214</v>
      </c>
      <c r="AD1064" s="19"/>
      <c r="AE1064" s="19">
        <v>280</v>
      </c>
      <c r="AF1064" s="19">
        <v>280</v>
      </c>
      <c r="AG1064" s="19" t="s">
        <v>270</v>
      </c>
      <c r="AH1064" s="19"/>
      <c r="AI1064" s="19"/>
      <c r="AJ1064" s="19">
        <v>7.8</v>
      </c>
      <c r="AK1064" s="19">
        <v>7.8</v>
      </c>
      <c r="AL1064" s="19"/>
      <c r="AM1064" s="19"/>
      <c r="AN1064" s="19" t="s">
        <v>536</v>
      </c>
      <c r="AO1064" s="19" t="s">
        <v>270</v>
      </c>
      <c r="AP1064" s="94"/>
      <c r="AQ1064" s="19" t="s">
        <v>97</v>
      </c>
      <c r="AR1064" s="19" t="s">
        <v>241</v>
      </c>
      <c r="AS1064" s="19"/>
      <c r="AT1064" s="65" t="str">
        <f t="shared" si="321"/>
        <v>Y</v>
      </c>
      <c r="AU1064" s="65" t="str">
        <f t="shared" si="306"/>
        <v>Y</v>
      </c>
      <c r="AV1064" s="65" t="str">
        <f>AU1064</f>
        <v>Y</v>
      </c>
      <c r="AW1064" s="99"/>
      <c r="AX1064" s="99"/>
      <c r="AY1064" s="19"/>
      <c r="AZ1064" s="96" t="str">
        <f t="shared" si="307"/>
        <v>NOEL</v>
      </c>
      <c r="BA1064" s="96">
        <f>IF(AZ1064="n","n",VLOOKUP(AZ1064,'Conversion factors'!$C$4:$D$24,2,FALSE))</f>
        <v>1</v>
      </c>
      <c r="BB1064" s="96">
        <f t="shared" si="308"/>
        <v>300</v>
      </c>
      <c r="BC1064" s="97"/>
      <c r="BD1064" s="96" t="str">
        <f t="shared" si="322"/>
        <v>Chronic</v>
      </c>
      <c r="BE1064" s="96" t="str">
        <f t="shared" si="309"/>
        <v>y</v>
      </c>
      <c r="BF1064" s="98" t="str">
        <f t="shared" si="323"/>
        <v>NOEL</v>
      </c>
      <c r="BG1064" s="96" t="str">
        <f>IF(BF1064="","",IF(ISNUMBER(VLOOKUP(BF1064,'Conversion factors'!$B$35:$C$52,2,FALSE)),"y","n"))</f>
        <v>y</v>
      </c>
      <c r="BH1064" s="99" t="s">
        <v>1518</v>
      </c>
    </row>
    <row r="1065" spans="1:61" s="103" customFormat="1" ht="15.75" customHeight="1" x14ac:dyDescent="0.2">
      <c r="A1065" s="18"/>
      <c r="B1065" s="19">
        <v>234</v>
      </c>
      <c r="C1065" s="19"/>
      <c r="D1065" s="19">
        <v>71981</v>
      </c>
      <c r="E1065" s="19" t="s">
        <v>1224</v>
      </c>
      <c r="F1065" s="93">
        <v>2003</v>
      </c>
      <c r="G1065" s="19" t="s">
        <v>602</v>
      </c>
      <c r="H1065" s="19" t="s">
        <v>162</v>
      </c>
      <c r="I1065" s="19" t="s">
        <v>41</v>
      </c>
      <c r="J1065" s="19" t="s">
        <v>87</v>
      </c>
      <c r="K1065" s="19" t="s">
        <v>64</v>
      </c>
      <c r="L1065" s="99" t="s">
        <v>151</v>
      </c>
      <c r="M1065" s="19" t="s">
        <v>260</v>
      </c>
      <c r="N1065" s="19" t="s">
        <v>66</v>
      </c>
      <c r="O1065" s="19" t="s">
        <v>235</v>
      </c>
      <c r="P1065" s="19" t="s">
        <v>162</v>
      </c>
      <c r="Q1065" s="19"/>
      <c r="R1065" s="19" t="s">
        <v>76</v>
      </c>
      <c r="S1065" s="19" t="s">
        <v>534</v>
      </c>
      <c r="T1065" s="19" t="s">
        <v>49</v>
      </c>
      <c r="U1065" s="19" t="s">
        <v>49</v>
      </c>
      <c r="V1065" s="19" t="s">
        <v>94</v>
      </c>
      <c r="W1065" s="19" t="s">
        <v>231</v>
      </c>
      <c r="X1065" s="19" t="s">
        <v>46</v>
      </c>
      <c r="Y1065" s="29"/>
      <c r="Z1065" s="19"/>
      <c r="AA1065" s="19"/>
      <c r="AB1065" s="19" t="s">
        <v>603</v>
      </c>
      <c r="AC1065" s="19" t="s">
        <v>214</v>
      </c>
      <c r="AD1065" s="19"/>
      <c r="AE1065" s="19">
        <v>240</v>
      </c>
      <c r="AF1065" s="19">
        <v>240</v>
      </c>
      <c r="AG1065" s="19" t="s">
        <v>270</v>
      </c>
      <c r="AH1065" s="19"/>
      <c r="AI1065" s="19"/>
      <c r="AJ1065" s="19">
        <v>6</v>
      </c>
      <c r="AK1065" s="19" t="s">
        <v>424</v>
      </c>
      <c r="AL1065" s="19"/>
      <c r="AM1065" s="19" t="s">
        <v>234</v>
      </c>
      <c r="AN1065" s="19" t="s">
        <v>234</v>
      </c>
      <c r="AO1065" s="19" t="s">
        <v>235</v>
      </c>
      <c r="AP1065" s="94">
        <v>21</v>
      </c>
      <c r="AQ1065" s="19" t="s">
        <v>234</v>
      </c>
      <c r="AR1065" s="19" t="s">
        <v>241</v>
      </c>
      <c r="AS1065" s="19"/>
      <c r="AT1065" s="65" t="str">
        <f t="shared" si="321"/>
        <v>Y</v>
      </c>
      <c r="AU1065" s="65" t="str">
        <f t="shared" si="306"/>
        <v>Y</v>
      </c>
      <c r="AV1065" s="65" t="s">
        <v>162</v>
      </c>
      <c r="AW1065" s="99" t="s">
        <v>1405</v>
      </c>
      <c r="AX1065" s="99"/>
      <c r="AY1065" s="19"/>
      <c r="AZ1065" s="96" t="str">
        <f t="shared" si="307"/>
        <v>n</v>
      </c>
      <c r="BA1065" s="96" t="str">
        <f>IF(AZ1065="n","n",VLOOKUP(AZ1065,'Conversion factors'!$C$4:$D$24,2,FALSE))</f>
        <v>n</v>
      </c>
      <c r="BB1065" s="96" t="str">
        <f t="shared" si="308"/>
        <v>n</v>
      </c>
      <c r="BC1065" s="97"/>
      <c r="BD1065" s="96" t="str">
        <f t="shared" si="322"/>
        <v>n</v>
      </c>
      <c r="BE1065" s="96" t="str">
        <f t="shared" si="309"/>
        <v>n</v>
      </c>
      <c r="BF1065" s="98" t="str">
        <f t="shared" si="323"/>
        <v/>
      </c>
      <c r="BG1065" s="96" t="str">
        <f>IF(BF1065="","",IF(ISNUMBER(VLOOKUP(BF1065,'Conversion factors'!$B$35:$C$52,2,FALSE)),"y","n"))</f>
        <v/>
      </c>
      <c r="BH1065" s="99"/>
    </row>
    <row r="1066" spans="1:61" s="103" customFormat="1" ht="15.75" customHeight="1" x14ac:dyDescent="0.2">
      <c r="A1066" s="18"/>
      <c r="B1066" s="19">
        <v>234</v>
      </c>
      <c r="C1066" s="19"/>
      <c r="D1066" s="19">
        <v>71981</v>
      </c>
      <c r="E1066" s="19" t="s">
        <v>1224</v>
      </c>
      <c r="F1066" s="93">
        <v>2003</v>
      </c>
      <c r="G1066" s="19" t="s">
        <v>602</v>
      </c>
      <c r="H1066" s="19" t="s">
        <v>162</v>
      </c>
      <c r="I1066" s="19" t="s">
        <v>41</v>
      </c>
      <c r="J1066" s="19" t="s">
        <v>87</v>
      </c>
      <c r="K1066" s="19" t="s">
        <v>64</v>
      </c>
      <c r="L1066" s="99" t="s">
        <v>151</v>
      </c>
      <c r="M1066" s="19" t="s">
        <v>260</v>
      </c>
      <c r="N1066" s="19" t="s">
        <v>66</v>
      </c>
      <c r="O1066" s="19" t="s">
        <v>235</v>
      </c>
      <c r="P1066" s="19" t="s">
        <v>162</v>
      </c>
      <c r="Q1066" s="19"/>
      <c r="R1066" s="19" t="s">
        <v>76</v>
      </c>
      <c r="S1066" s="19" t="s">
        <v>534</v>
      </c>
      <c r="T1066" s="19" t="s">
        <v>49</v>
      </c>
      <c r="U1066" s="19" t="s">
        <v>49</v>
      </c>
      <c r="V1066" s="19" t="s">
        <v>94</v>
      </c>
      <c r="W1066" s="19" t="s">
        <v>231</v>
      </c>
      <c r="X1066" s="19" t="s">
        <v>46</v>
      </c>
      <c r="Y1066" s="29"/>
      <c r="Z1066" s="19"/>
      <c r="AA1066" s="19"/>
      <c r="AB1066" s="19" t="s">
        <v>557</v>
      </c>
      <c r="AC1066" s="19" t="s">
        <v>214</v>
      </c>
      <c r="AD1066" s="19"/>
      <c r="AE1066" s="19">
        <v>370</v>
      </c>
      <c r="AF1066" s="19">
        <v>370</v>
      </c>
      <c r="AG1066" s="19" t="s">
        <v>270</v>
      </c>
      <c r="AH1066" s="19"/>
      <c r="AI1066" s="19"/>
      <c r="AJ1066" s="19">
        <v>8</v>
      </c>
      <c r="AK1066" s="19" t="s">
        <v>605</v>
      </c>
      <c r="AL1066" s="19"/>
      <c r="AM1066" s="19"/>
      <c r="AN1066" s="19" t="s">
        <v>234</v>
      </c>
      <c r="AO1066" s="19" t="s">
        <v>235</v>
      </c>
      <c r="AP1066" s="94">
        <v>9.6999999999999993</v>
      </c>
      <c r="AQ1066" s="19" t="s">
        <v>234</v>
      </c>
      <c r="AR1066" s="19" t="s">
        <v>241</v>
      </c>
      <c r="AS1066" s="19"/>
      <c r="AT1066" s="65" t="str">
        <f t="shared" si="321"/>
        <v>Y</v>
      </c>
      <c r="AU1066" s="65" t="str">
        <f t="shared" si="306"/>
        <v>Y</v>
      </c>
      <c r="AV1066" s="65" t="str">
        <f t="shared" ref="AV1066:AV1086" si="324">AU1066</f>
        <v>Y</v>
      </c>
      <c r="AW1066" s="99"/>
      <c r="AX1066" s="99" t="s">
        <v>1643</v>
      </c>
      <c r="AY1066" s="19"/>
      <c r="AZ1066" s="96" t="str">
        <f t="shared" si="307"/>
        <v>EC10</v>
      </c>
      <c r="BA1066" s="96">
        <f>IF(AZ1066="n","n",VLOOKUP(AZ1066,'Conversion factors'!$C$4:$D$24,2,FALSE))</f>
        <v>1</v>
      </c>
      <c r="BB1066" s="96">
        <f t="shared" si="308"/>
        <v>90</v>
      </c>
      <c r="BC1066" s="97"/>
      <c r="BD1066" s="96" t="str">
        <f t="shared" si="322"/>
        <v>Chronic</v>
      </c>
      <c r="BE1066" s="96" t="str">
        <f t="shared" si="309"/>
        <v>y</v>
      </c>
      <c r="BF1066" s="98" t="str">
        <f t="shared" si="323"/>
        <v>EC10</v>
      </c>
      <c r="BG1066" s="96" t="str">
        <f>IF(BF1066="","",IF(ISNUMBER(VLOOKUP(BF1066,'Conversion factors'!$B$35:$C$52,2,FALSE)),"y","n"))</f>
        <v>y</v>
      </c>
      <c r="BH1066" s="99"/>
      <c r="BI1066" s="19" t="s">
        <v>1643</v>
      </c>
    </row>
    <row r="1067" spans="1:61" s="103" customFormat="1" ht="15.75" customHeight="1" x14ac:dyDescent="0.2">
      <c r="A1067" s="18"/>
      <c r="B1067" s="19">
        <v>234</v>
      </c>
      <c r="C1067" s="19"/>
      <c r="D1067" s="19">
        <v>71981</v>
      </c>
      <c r="E1067" s="19" t="s">
        <v>1224</v>
      </c>
      <c r="F1067" s="93">
        <v>2003</v>
      </c>
      <c r="G1067" s="19" t="s">
        <v>602</v>
      </c>
      <c r="H1067" s="19" t="s">
        <v>162</v>
      </c>
      <c r="I1067" s="19" t="s">
        <v>41</v>
      </c>
      <c r="J1067" s="19" t="s">
        <v>87</v>
      </c>
      <c r="K1067" s="19" t="s">
        <v>64</v>
      </c>
      <c r="L1067" s="99" t="s">
        <v>151</v>
      </c>
      <c r="M1067" s="19" t="s">
        <v>260</v>
      </c>
      <c r="N1067" s="19" t="s">
        <v>66</v>
      </c>
      <c r="O1067" s="19" t="s">
        <v>235</v>
      </c>
      <c r="P1067" s="19" t="s">
        <v>162</v>
      </c>
      <c r="Q1067" s="19"/>
      <c r="R1067" s="19" t="s">
        <v>76</v>
      </c>
      <c r="S1067" s="19" t="s">
        <v>534</v>
      </c>
      <c r="T1067" s="19" t="s">
        <v>49</v>
      </c>
      <c r="U1067" s="19" t="s">
        <v>49</v>
      </c>
      <c r="V1067" s="19" t="s">
        <v>94</v>
      </c>
      <c r="W1067" s="19" t="s">
        <v>231</v>
      </c>
      <c r="X1067" s="19" t="s">
        <v>46</v>
      </c>
      <c r="Y1067" s="29"/>
      <c r="Z1067" s="19"/>
      <c r="AA1067" s="19"/>
      <c r="AB1067" s="19" t="s">
        <v>607</v>
      </c>
      <c r="AC1067" s="19" t="s">
        <v>214</v>
      </c>
      <c r="AD1067" s="19"/>
      <c r="AE1067" s="19">
        <v>240</v>
      </c>
      <c r="AF1067" s="19">
        <v>240</v>
      </c>
      <c r="AG1067" s="19" t="s">
        <v>270</v>
      </c>
      <c r="AH1067" s="19"/>
      <c r="AI1067" s="19"/>
      <c r="AJ1067" s="19">
        <v>8.5</v>
      </c>
      <c r="AK1067" s="19" t="s">
        <v>608</v>
      </c>
      <c r="AL1067" s="19"/>
      <c r="AM1067" s="19"/>
      <c r="AN1067" s="19" t="s">
        <v>234</v>
      </c>
      <c r="AO1067" s="19" t="s">
        <v>235</v>
      </c>
      <c r="AP1067" s="94">
        <v>21</v>
      </c>
      <c r="AQ1067" s="19" t="s">
        <v>234</v>
      </c>
      <c r="AR1067" s="19" t="s">
        <v>241</v>
      </c>
      <c r="AS1067" s="19"/>
      <c r="AT1067" s="65" t="str">
        <f t="shared" si="321"/>
        <v>Y</v>
      </c>
      <c r="AU1067" s="65" t="str">
        <f t="shared" si="306"/>
        <v>Y</v>
      </c>
      <c r="AV1067" s="65" t="str">
        <f t="shared" si="324"/>
        <v>Y</v>
      </c>
      <c r="AW1067" s="99"/>
      <c r="AX1067" s="99" t="s">
        <v>1643</v>
      </c>
      <c r="AY1067" s="19"/>
      <c r="AZ1067" s="96" t="str">
        <f t="shared" si="307"/>
        <v>EC10</v>
      </c>
      <c r="BA1067" s="96">
        <f>IF(AZ1067="n","n",VLOOKUP(AZ1067,'Conversion factors'!$C$4:$D$24,2,FALSE))</f>
        <v>1</v>
      </c>
      <c r="BB1067" s="96">
        <f t="shared" si="308"/>
        <v>634</v>
      </c>
      <c r="BC1067" s="97"/>
      <c r="BD1067" s="96" t="str">
        <f t="shared" si="322"/>
        <v>Chronic</v>
      </c>
      <c r="BE1067" s="96" t="str">
        <f t="shared" si="309"/>
        <v>y</v>
      </c>
      <c r="BF1067" s="98" t="str">
        <f t="shared" si="323"/>
        <v>EC10</v>
      </c>
      <c r="BG1067" s="96" t="str">
        <f>IF(BF1067="","",IF(ISNUMBER(VLOOKUP(BF1067,'Conversion factors'!$B$35:$C$52,2,FALSE)),"y","n"))</f>
        <v>y</v>
      </c>
      <c r="BH1067" s="99"/>
      <c r="BI1067" s="19" t="s">
        <v>1643</v>
      </c>
    </row>
    <row r="1068" spans="1:61" s="103" customFormat="1" ht="15.75" customHeight="1" x14ac:dyDescent="0.2">
      <c r="A1068" s="18"/>
      <c r="B1068" s="19">
        <v>234</v>
      </c>
      <c r="C1068" s="19"/>
      <c r="D1068" s="19">
        <v>71981</v>
      </c>
      <c r="E1068" s="19" t="s">
        <v>1224</v>
      </c>
      <c r="F1068" s="93">
        <v>2003</v>
      </c>
      <c r="G1068" s="19" t="s">
        <v>602</v>
      </c>
      <c r="H1068" s="19" t="s">
        <v>162</v>
      </c>
      <c r="I1068" s="19" t="s">
        <v>41</v>
      </c>
      <c r="J1068" s="19" t="s">
        <v>87</v>
      </c>
      <c r="K1068" s="19" t="s">
        <v>64</v>
      </c>
      <c r="L1068" s="99" t="s">
        <v>151</v>
      </c>
      <c r="M1068" s="19" t="s">
        <v>260</v>
      </c>
      <c r="N1068" s="19" t="s">
        <v>66</v>
      </c>
      <c r="O1068" s="19" t="s">
        <v>235</v>
      </c>
      <c r="P1068" s="19" t="s">
        <v>162</v>
      </c>
      <c r="Q1068" s="19"/>
      <c r="R1068" s="19" t="s">
        <v>76</v>
      </c>
      <c r="S1068" s="19" t="s">
        <v>534</v>
      </c>
      <c r="T1068" s="19" t="s">
        <v>49</v>
      </c>
      <c r="U1068" s="19" t="s">
        <v>49</v>
      </c>
      <c r="V1068" s="19" t="s">
        <v>94</v>
      </c>
      <c r="W1068" s="19" t="s">
        <v>231</v>
      </c>
      <c r="X1068" s="19" t="s">
        <v>46</v>
      </c>
      <c r="Y1068" s="29"/>
      <c r="Z1068" s="19"/>
      <c r="AA1068" s="19"/>
      <c r="AB1068" s="19" t="s">
        <v>609</v>
      </c>
      <c r="AC1068" s="19" t="s">
        <v>214</v>
      </c>
      <c r="AD1068" s="19"/>
      <c r="AE1068" s="19">
        <v>445</v>
      </c>
      <c r="AF1068" s="19">
        <v>445</v>
      </c>
      <c r="AG1068" s="19" t="s">
        <v>270</v>
      </c>
      <c r="AH1068" s="19"/>
      <c r="AI1068" s="19"/>
      <c r="AJ1068" s="19">
        <v>7.25</v>
      </c>
      <c r="AK1068" s="19" t="s">
        <v>610</v>
      </c>
      <c r="AL1068" s="19"/>
      <c r="AM1068" s="19"/>
      <c r="AN1068" s="19" t="s">
        <v>234</v>
      </c>
      <c r="AO1068" s="19" t="s">
        <v>235</v>
      </c>
      <c r="AP1068" s="94">
        <v>21</v>
      </c>
      <c r="AQ1068" s="19" t="s">
        <v>234</v>
      </c>
      <c r="AR1068" s="19" t="s">
        <v>241</v>
      </c>
      <c r="AS1068" s="19"/>
      <c r="AT1068" s="65" t="str">
        <f t="shared" si="321"/>
        <v>Y</v>
      </c>
      <c r="AU1068" s="65" t="str">
        <f t="shared" si="306"/>
        <v>Y</v>
      </c>
      <c r="AV1068" s="65" t="str">
        <f t="shared" si="324"/>
        <v>Y</v>
      </c>
      <c r="AW1068" s="99"/>
      <c r="AX1068" s="99" t="s">
        <v>1643</v>
      </c>
      <c r="AY1068" s="19"/>
      <c r="AZ1068" s="96" t="str">
        <f t="shared" si="307"/>
        <v>EC10</v>
      </c>
      <c r="BA1068" s="96">
        <f>IF(AZ1068="n","n",VLOOKUP(AZ1068,'Conversion factors'!$C$4:$D$24,2,FALSE))</f>
        <v>1</v>
      </c>
      <c r="BB1068" s="96">
        <f t="shared" si="308"/>
        <v>308</v>
      </c>
      <c r="BC1068" s="97"/>
      <c r="BD1068" s="96" t="str">
        <f t="shared" si="322"/>
        <v>Chronic</v>
      </c>
      <c r="BE1068" s="96" t="str">
        <f t="shared" si="309"/>
        <v>y</v>
      </c>
      <c r="BF1068" s="98" t="str">
        <f t="shared" si="323"/>
        <v>EC10</v>
      </c>
      <c r="BG1068" s="96" t="str">
        <f>IF(BF1068="","",IF(ISNUMBER(VLOOKUP(BF1068,'Conversion factors'!$B$35:$C$52,2,FALSE)),"y","n"))</f>
        <v>y</v>
      </c>
      <c r="BH1068" s="99"/>
      <c r="BI1068" s="19" t="s">
        <v>1643</v>
      </c>
    </row>
    <row r="1069" spans="1:61" s="103" customFormat="1" ht="15.75" customHeight="1" x14ac:dyDescent="0.2">
      <c r="A1069" s="18"/>
      <c r="B1069" s="19">
        <v>234</v>
      </c>
      <c r="C1069" s="19"/>
      <c r="D1069" s="19">
        <v>71981</v>
      </c>
      <c r="E1069" s="19" t="s">
        <v>1224</v>
      </c>
      <c r="F1069" s="93">
        <v>2003</v>
      </c>
      <c r="G1069" s="19" t="s">
        <v>602</v>
      </c>
      <c r="H1069" s="19" t="s">
        <v>162</v>
      </c>
      <c r="I1069" s="19" t="s">
        <v>41</v>
      </c>
      <c r="J1069" s="19" t="s">
        <v>87</v>
      </c>
      <c r="K1069" s="19" t="s">
        <v>64</v>
      </c>
      <c r="L1069" s="99" t="s">
        <v>151</v>
      </c>
      <c r="M1069" s="19" t="s">
        <v>260</v>
      </c>
      <c r="N1069" s="19" t="s">
        <v>66</v>
      </c>
      <c r="O1069" s="19" t="s">
        <v>235</v>
      </c>
      <c r="P1069" s="19" t="s">
        <v>162</v>
      </c>
      <c r="Q1069" s="19"/>
      <c r="R1069" s="19" t="s">
        <v>76</v>
      </c>
      <c r="S1069" s="19" t="s">
        <v>534</v>
      </c>
      <c r="T1069" s="19" t="s">
        <v>49</v>
      </c>
      <c r="U1069" s="19" t="s">
        <v>49</v>
      </c>
      <c r="V1069" s="19" t="s">
        <v>94</v>
      </c>
      <c r="W1069" s="19" t="s">
        <v>231</v>
      </c>
      <c r="X1069" s="19" t="s">
        <v>46</v>
      </c>
      <c r="Y1069" s="29"/>
      <c r="Z1069" s="19"/>
      <c r="AA1069" s="19"/>
      <c r="AB1069" s="19" t="s">
        <v>612</v>
      </c>
      <c r="AC1069" s="19" t="s">
        <v>214</v>
      </c>
      <c r="AD1069" s="19"/>
      <c r="AE1069" s="19">
        <v>370</v>
      </c>
      <c r="AF1069" s="19">
        <v>370</v>
      </c>
      <c r="AG1069" s="19" t="s">
        <v>270</v>
      </c>
      <c r="AH1069" s="19"/>
      <c r="AI1069" s="19"/>
      <c r="AJ1069" s="19">
        <v>6.5</v>
      </c>
      <c r="AK1069" s="19" t="s">
        <v>613</v>
      </c>
      <c r="AL1069" s="19"/>
      <c r="AM1069" s="19"/>
      <c r="AN1069" s="19" t="s">
        <v>234</v>
      </c>
      <c r="AO1069" s="19" t="s">
        <v>235</v>
      </c>
      <c r="AP1069" s="94">
        <v>32.299999999999997</v>
      </c>
      <c r="AQ1069" s="19" t="s">
        <v>234</v>
      </c>
      <c r="AR1069" s="19" t="s">
        <v>241</v>
      </c>
      <c r="AS1069" s="19"/>
      <c r="AT1069" s="65" t="str">
        <f t="shared" si="321"/>
        <v>Y</v>
      </c>
      <c r="AU1069" s="65" t="str">
        <f t="shared" si="306"/>
        <v>Y</v>
      </c>
      <c r="AV1069" s="65" t="str">
        <f t="shared" si="324"/>
        <v>Y</v>
      </c>
      <c r="AW1069" s="99"/>
      <c r="AX1069" s="99" t="s">
        <v>1643</v>
      </c>
      <c r="AY1069" s="19"/>
      <c r="AZ1069" s="96" t="str">
        <f t="shared" si="307"/>
        <v>EC10</v>
      </c>
      <c r="BA1069" s="96">
        <f>IF(AZ1069="n","n",VLOOKUP(AZ1069,'Conversion factors'!$C$4:$D$24,2,FALSE))</f>
        <v>1</v>
      </c>
      <c r="BB1069" s="96">
        <f t="shared" si="308"/>
        <v>341</v>
      </c>
      <c r="BC1069" s="97"/>
      <c r="BD1069" s="96" t="str">
        <f t="shared" si="322"/>
        <v>Chronic</v>
      </c>
      <c r="BE1069" s="96" t="str">
        <f t="shared" si="309"/>
        <v>y</v>
      </c>
      <c r="BF1069" s="98" t="str">
        <f t="shared" si="323"/>
        <v>EC10</v>
      </c>
      <c r="BG1069" s="96" t="str">
        <f>IF(BF1069="","",IF(ISNUMBER(VLOOKUP(BF1069,'Conversion factors'!$B$35:$C$52,2,FALSE)),"y","n"))</f>
        <v>y</v>
      </c>
      <c r="BH1069" s="99"/>
      <c r="BI1069" s="19" t="s">
        <v>1643</v>
      </c>
    </row>
    <row r="1070" spans="1:61" s="103" customFormat="1" ht="15.75" customHeight="1" x14ac:dyDescent="0.2">
      <c r="A1070" s="18"/>
      <c r="B1070" s="19">
        <v>234</v>
      </c>
      <c r="C1070" s="19"/>
      <c r="D1070" s="19">
        <v>71981</v>
      </c>
      <c r="E1070" s="19" t="s">
        <v>1224</v>
      </c>
      <c r="F1070" s="93">
        <v>2003</v>
      </c>
      <c r="G1070" s="19" t="s">
        <v>602</v>
      </c>
      <c r="H1070" s="19" t="s">
        <v>162</v>
      </c>
      <c r="I1070" s="19" t="s">
        <v>41</v>
      </c>
      <c r="J1070" s="19" t="s">
        <v>87</v>
      </c>
      <c r="K1070" s="19" t="s">
        <v>64</v>
      </c>
      <c r="L1070" s="99" t="s">
        <v>151</v>
      </c>
      <c r="M1070" s="19" t="s">
        <v>260</v>
      </c>
      <c r="N1070" s="19" t="s">
        <v>66</v>
      </c>
      <c r="O1070" s="19" t="s">
        <v>235</v>
      </c>
      <c r="P1070" s="19" t="s">
        <v>162</v>
      </c>
      <c r="Q1070" s="19"/>
      <c r="R1070" s="19" t="s">
        <v>76</v>
      </c>
      <c r="S1070" s="19" t="s">
        <v>534</v>
      </c>
      <c r="T1070" s="19" t="s">
        <v>49</v>
      </c>
      <c r="U1070" s="19" t="s">
        <v>49</v>
      </c>
      <c r="V1070" s="19" t="s">
        <v>94</v>
      </c>
      <c r="W1070" s="19" t="s">
        <v>231</v>
      </c>
      <c r="X1070" s="19" t="s">
        <v>46</v>
      </c>
      <c r="Y1070" s="29"/>
      <c r="Z1070" s="19"/>
      <c r="AA1070" s="19"/>
      <c r="AB1070" s="19" t="s">
        <v>614</v>
      </c>
      <c r="AC1070" s="19" t="s">
        <v>214</v>
      </c>
      <c r="AD1070" s="19"/>
      <c r="AE1070" s="19">
        <v>240</v>
      </c>
      <c r="AF1070" s="19">
        <v>240</v>
      </c>
      <c r="AG1070" s="19" t="s">
        <v>270</v>
      </c>
      <c r="AH1070" s="19"/>
      <c r="AI1070" s="19"/>
      <c r="AJ1070" s="19">
        <v>7.25</v>
      </c>
      <c r="AK1070" s="19" t="s">
        <v>610</v>
      </c>
      <c r="AL1070" s="19"/>
      <c r="AM1070" s="19"/>
      <c r="AN1070" s="19" t="s">
        <v>234</v>
      </c>
      <c r="AO1070" s="19" t="s">
        <v>235</v>
      </c>
      <c r="AP1070" s="94">
        <v>21</v>
      </c>
      <c r="AQ1070" s="19" t="s">
        <v>234</v>
      </c>
      <c r="AR1070" s="19" t="s">
        <v>241</v>
      </c>
      <c r="AS1070" s="19"/>
      <c r="AT1070" s="65" t="str">
        <f t="shared" si="321"/>
        <v>Y</v>
      </c>
      <c r="AU1070" s="65" t="str">
        <f t="shared" si="306"/>
        <v>Y</v>
      </c>
      <c r="AV1070" s="65" t="str">
        <f t="shared" si="324"/>
        <v>Y</v>
      </c>
      <c r="AW1070" s="99"/>
      <c r="AX1070" s="99" t="s">
        <v>1643</v>
      </c>
      <c r="AY1070" s="19"/>
      <c r="AZ1070" s="96" t="str">
        <f t="shared" si="307"/>
        <v>EC10</v>
      </c>
      <c r="BA1070" s="96">
        <f>IF(AZ1070="n","n",VLOOKUP(AZ1070,'Conversion factors'!$C$4:$D$24,2,FALSE))</f>
        <v>1</v>
      </c>
      <c r="BB1070" s="96">
        <f t="shared" si="308"/>
        <v>331</v>
      </c>
      <c r="BC1070" s="97"/>
      <c r="BD1070" s="96" t="str">
        <f t="shared" si="322"/>
        <v>Chronic</v>
      </c>
      <c r="BE1070" s="96" t="str">
        <f t="shared" si="309"/>
        <v>y</v>
      </c>
      <c r="BF1070" s="98" t="str">
        <f t="shared" si="323"/>
        <v>EC10</v>
      </c>
      <c r="BG1070" s="96" t="str">
        <f>IF(BF1070="","",IF(ISNUMBER(VLOOKUP(BF1070,'Conversion factors'!$B$35:$C$52,2,FALSE)),"y","n"))</f>
        <v>y</v>
      </c>
      <c r="BH1070" s="99"/>
      <c r="BI1070" s="19" t="s">
        <v>1643</v>
      </c>
    </row>
    <row r="1071" spans="1:61" s="103" customFormat="1" ht="15.75" customHeight="1" x14ac:dyDescent="0.2">
      <c r="A1071" s="18"/>
      <c r="B1071" s="19">
        <v>234</v>
      </c>
      <c r="C1071" s="19"/>
      <c r="D1071" s="19">
        <v>71981</v>
      </c>
      <c r="E1071" s="19" t="s">
        <v>1224</v>
      </c>
      <c r="F1071" s="93">
        <v>2003</v>
      </c>
      <c r="G1071" s="19" t="s">
        <v>602</v>
      </c>
      <c r="H1071" s="19" t="s">
        <v>162</v>
      </c>
      <c r="I1071" s="19" t="s">
        <v>41</v>
      </c>
      <c r="J1071" s="19" t="s">
        <v>87</v>
      </c>
      <c r="K1071" s="19" t="s">
        <v>64</v>
      </c>
      <c r="L1071" s="99" t="s">
        <v>151</v>
      </c>
      <c r="M1071" s="19" t="s">
        <v>260</v>
      </c>
      <c r="N1071" s="19" t="s">
        <v>66</v>
      </c>
      <c r="O1071" s="19" t="s">
        <v>235</v>
      </c>
      <c r="P1071" s="19" t="s">
        <v>162</v>
      </c>
      <c r="Q1071" s="19"/>
      <c r="R1071" s="19" t="s">
        <v>76</v>
      </c>
      <c r="S1071" s="19" t="s">
        <v>534</v>
      </c>
      <c r="T1071" s="19" t="s">
        <v>49</v>
      </c>
      <c r="U1071" s="19" t="s">
        <v>49</v>
      </c>
      <c r="V1071" s="19" t="s">
        <v>94</v>
      </c>
      <c r="W1071" s="19" t="s">
        <v>231</v>
      </c>
      <c r="X1071" s="19" t="s">
        <v>46</v>
      </c>
      <c r="Y1071" s="29"/>
      <c r="Z1071" s="19"/>
      <c r="AA1071" s="19"/>
      <c r="AB1071" s="19" t="s">
        <v>615</v>
      </c>
      <c r="AC1071" s="19" t="s">
        <v>214</v>
      </c>
      <c r="AD1071" s="19"/>
      <c r="AE1071" s="19">
        <v>35</v>
      </c>
      <c r="AF1071" s="19">
        <v>35</v>
      </c>
      <c r="AG1071" s="19" t="s">
        <v>270</v>
      </c>
      <c r="AH1071" s="19"/>
      <c r="AI1071" s="19"/>
      <c r="AJ1071" s="19">
        <v>7.25</v>
      </c>
      <c r="AK1071" s="19" t="s">
        <v>610</v>
      </c>
      <c r="AL1071" s="19"/>
      <c r="AM1071" s="19"/>
      <c r="AN1071" s="19" t="s">
        <v>234</v>
      </c>
      <c r="AO1071" s="19" t="s">
        <v>235</v>
      </c>
      <c r="AP1071" s="94">
        <v>21</v>
      </c>
      <c r="AQ1071" s="19" t="s">
        <v>234</v>
      </c>
      <c r="AR1071" s="19" t="s">
        <v>241</v>
      </c>
      <c r="AS1071" s="19"/>
      <c r="AT1071" s="65" t="str">
        <f t="shared" si="321"/>
        <v>Y</v>
      </c>
      <c r="AU1071" s="65" t="str">
        <f t="shared" si="306"/>
        <v>Y</v>
      </c>
      <c r="AV1071" s="65" t="str">
        <f t="shared" si="324"/>
        <v>Y</v>
      </c>
      <c r="AW1071" s="99"/>
      <c r="AX1071" s="99" t="s">
        <v>1643</v>
      </c>
      <c r="AY1071" s="19"/>
      <c r="AZ1071" s="96" t="str">
        <f t="shared" si="307"/>
        <v>EC10</v>
      </c>
      <c r="BA1071" s="96">
        <f>IF(AZ1071="n","n",VLOOKUP(AZ1071,'Conversion factors'!$C$4:$D$24,2,FALSE))</f>
        <v>1</v>
      </c>
      <c r="BB1071" s="96">
        <f t="shared" si="308"/>
        <v>328</v>
      </c>
      <c r="BC1071" s="97"/>
      <c r="BD1071" s="96" t="str">
        <f t="shared" si="322"/>
        <v>Chronic</v>
      </c>
      <c r="BE1071" s="96" t="str">
        <f t="shared" si="309"/>
        <v>y</v>
      </c>
      <c r="BF1071" s="98" t="str">
        <f t="shared" si="323"/>
        <v>EC10</v>
      </c>
      <c r="BG1071" s="96" t="str">
        <f>IF(BF1071="","",IF(ISNUMBER(VLOOKUP(BF1071,'Conversion factors'!$B$35:$C$52,2,FALSE)),"y","n"))</f>
        <v>y</v>
      </c>
      <c r="BH1071" s="99"/>
      <c r="BI1071" s="19" t="s">
        <v>1643</v>
      </c>
    </row>
    <row r="1072" spans="1:61" s="103" customFormat="1" ht="15.75" customHeight="1" x14ac:dyDescent="0.2">
      <c r="A1072" s="18"/>
      <c r="B1072" s="19">
        <v>234</v>
      </c>
      <c r="C1072" s="19"/>
      <c r="D1072" s="19">
        <v>71981</v>
      </c>
      <c r="E1072" s="19" t="s">
        <v>1224</v>
      </c>
      <c r="F1072" s="93">
        <v>2003</v>
      </c>
      <c r="G1072" s="19" t="s">
        <v>602</v>
      </c>
      <c r="H1072" s="19" t="s">
        <v>162</v>
      </c>
      <c r="I1072" s="19" t="s">
        <v>41</v>
      </c>
      <c r="J1072" s="19" t="s">
        <v>87</v>
      </c>
      <c r="K1072" s="19" t="s">
        <v>64</v>
      </c>
      <c r="L1072" s="99" t="s">
        <v>151</v>
      </c>
      <c r="M1072" s="19" t="s">
        <v>260</v>
      </c>
      <c r="N1072" s="19" t="s">
        <v>66</v>
      </c>
      <c r="O1072" s="19" t="s">
        <v>235</v>
      </c>
      <c r="P1072" s="19" t="s">
        <v>162</v>
      </c>
      <c r="Q1072" s="19"/>
      <c r="R1072" s="19" t="s">
        <v>76</v>
      </c>
      <c r="S1072" s="19" t="s">
        <v>534</v>
      </c>
      <c r="T1072" s="19" t="s">
        <v>49</v>
      </c>
      <c r="U1072" s="19" t="s">
        <v>49</v>
      </c>
      <c r="V1072" s="19" t="s">
        <v>94</v>
      </c>
      <c r="W1072" s="19" t="s">
        <v>231</v>
      </c>
      <c r="X1072" s="19" t="s">
        <v>46</v>
      </c>
      <c r="Y1072" s="29"/>
      <c r="Z1072" s="19"/>
      <c r="AA1072" s="19"/>
      <c r="AB1072" s="19" t="s">
        <v>616</v>
      </c>
      <c r="AC1072" s="19" t="s">
        <v>214</v>
      </c>
      <c r="AD1072" s="19"/>
      <c r="AE1072" s="19">
        <v>240</v>
      </c>
      <c r="AF1072" s="19">
        <v>240</v>
      </c>
      <c r="AG1072" s="19" t="s">
        <v>270</v>
      </c>
      <c r="AH1072" s="19"/>
      <c r="AI1072" s="19"/>
      <c r="AJ1072" s="19">
        <v>7.25</v>
      </c>
      <c r="AK1072" s="19" t="s">
        <v>610</v>
      </c>
      <c r="AL1072" s="19"/>
      <c r="AM1072" s="19"/>
      <c r="AN1072" s="19" t="s">
        <v>234</v>
      </c>
      <c r="AO1072" s="19" t="s">
        <v>235</v>
      </c>
      <c r="AP1072" s="94">
        <v>21</v>
      </c>
      <c r="AQ1072" s="19" t="s">
        <v>234</v>
      </c>
      <c r="AR1072" s="19" t="s">
        <v>241</v>
      </c>
      <c r="AS1072" s="19"/>
      <c r="AT1072" s="65" t="str">
        <f t="shared" si="321"/>
        <v>Y</v>
      </c>
      <c r="AU1072" s="65" t="str">
        <f t="shared" si="306"/>
        <v>Y</v>
      </c>
      <c r="AV1072" s="65" t="str">
        <f t="shared" si="324"/>
        <v>Y</v>
      </c>
      <c r="AW1072" s="99"/>
      <c r="AX1072" s="99" t="s">
        <v>1643</v>
      </c>
      <c r="AY1072" s="19"/>
      <c r="AZ1072" s="96" t="str">
        <f t="shared" si="307"/>
        <v>EC10</v>
      </c>
      <c r="BA1072" s="96">
        <f>IF(AZ1072="n","n",VLOOKUP(AZ1072,'Conversion factors'!$C$4:$D$24,2,FALSE))</f>
        <v>1</v>
      </c>
      <c r="BB1072" s="96">
        <f t="shared" si="308"/>
        <v>502</v>
      </c>
      <c r="BC1072" s="97"/>
      <c r="BD1072" s="96" t="str">
        <f t="shared" si="322"/>
        <v>Chronic</v>
      </c>
      <c r="BE1072" s="96" t="str">
        <f t="shared" si="309"/>
        <v>y</v>
      </c>
      <c r="BF1072" s="98" t="str">
        <f t="shared" si="323"/>
        <v>EC10</v>
      </c>
      <c r="BG1072" s="96" t="str">
        <f>IF(BF1072="","",IF(ISNUMBER(VLOOKUP(BF1072,'Conversion factors'!$B$35:$C$52,2,FALSE)),"y","n"))</f>
        <v>y</v>
      </c>
      <c r="BH1072" s="99"/>
      <c r="BI1072" s="19" t="s">
        <v>1643</v>
      </c>
    </row>
    <row r="1073" spans="1:61" s="103" customFormat="1" ht="15.75" customHeight="1" x14ac:dyDescent="0.2">
      <c r="A1073" s="18"/>
      <c r="B1073" s="19">
        <v>234</v>
      </c>
      <c r="C1073" s="19"/>
      <c r="D1073" s="19">
        <v>71981</v>
      </c>
      <c r="E1073" s="19" t="s">
        <v>1224</v>
      </c>
      <c r="F1073" s="93">
        <v>2003</v>
      </c>
      <c r="G1073" s="19" t="s">
        <v>602</v>
      </c>
      <c r="H1073" s="19" t="s">
        <v>162</v>
      </c>
      <c r="I1073" s="19" t="s">
        <v>41</v>
      </c>
      <c r="J1073" s="19" t="s">
        <v>87</v>
      </c>
      <c r="K1073" s="19" t="s">
        <v>64</v>
      </c>
      <c r="L1073" s="99" t="s">
        <v>151</v>
      </c>
      <c r="M1073" s="19" t="s">
        <v>260</v>
      </c>
      <c r="N1073" s="19" t="s">
        <v>66</v>
      </c>
      <c r="O1073" s="19" t="s">
        <v>235</v>
      </c>
      <c r="P1073" s="19" t="s">
        <v>162</v>
      </c>
      <c r="Q1073" s="19"/>
      <c r="R1073" s="19" t="s">
        <v>76</v>
      </c>
      <c r="S1073" s="19" t="s">
        <v>534</v>
      </c>
      <c r="T1073" s="19" t="s">
        <v>49</v>
      </c>
      <c r="U1073" s="19" t="s">
        <v>49</v>
      </c>
      <c r="V1073" s="19" t="s">
        <v>94</v>
      </c>
      <c r="W1073" s="19" t="s">
        <v>231</v>
      </c>
      <c r="X1073" s="19" t="s">
        <v>46</v>
      </c>
      <c r="Y1073" s="29"/>
      <c r="Z1073" s="19"/>
      <c r="AA1073" s="19"/>
      <c r="AB1073" s="19" t="s">
        <v>240</v>
      </c>
      <c r="AC1073" s="19" t="s">
        <v>214</v>
      </c>
      <c r="AD1073" s="19"/>
      <c r="AE1073" s="19">
        <v>445</v>
      </c>
      <c r="AF1073" s="19">
        <v>445</v>
      </c>
      <c r="AG1073" s="19" t="s">
        <v>270</v>
      </c>
      <c r="AH1073" s="19"/>
      <c r="AI1073" s="19"/>
      <c r="AJ1073" s="19">
        <v>7.25</v>
      </c>
      <c r="AK1073" s="19" t="s">
        <v>610</v>
      </c>
      <c r="AL1073" s="19"/>
      <c r="AM1073" s="19"/>
      <c r="AN1073" s="19" t="s">
        <v>234</v>
      </c>
      <c r="AO1073" s="19" t="s">
        <v>235</v>
      </c>
      <c r="AP1073" s="94">
        <v>21</v>
      </c>
      <c r="AQ1073" s="19" t="s">
        <v>234</v>
      </c>
      <c r="AR1073" s="19" t="s">
        <v>241</v>
      </c>
      <c r="AS1073" s="19"/>
      <c r="AT1073" s="65" t="str">
        <f t="shared" si="321"/>
        <v>Y</v>
      </c>
      <c r="AU1073" s="65" t="str">
        <f t="shared" si="306"/>
        <v>Y</v>
      </c>
      <c r="AV1073" s="65" t="str">
        <f t="shared" si="324"/>
        <v>Y</v>
      </c>
      <c r="AW1073" s="99"/>
      <c r="AX1073" s="99" t="s">
        <v>1643</v>
      </c>
      <c r="AY1073" s="19"/>
      <c r="AZ1073" s="96" t="str">
        <f t="shared" si="307"/>
        <v>EC10</v>
      </c>
      <c r="BA1073" s="96">
        <f>IF(AZ1073="n","n",VLOOKUP(AZ1073,'Conversion factors'!$C$4:$D$24,2,FALSE))</f>
        <v>1</v>
      </c>
      <c r="BB1073" s="96">
        <f t="shared" si="308"/>
        <v>520</v>
      </c>
      <c r="BC1073" s="97"/>
      <c r="BD1073" s="96" t="str">
        <f t="shared" si="322"/>
        <v>Chronic</v>
      </c>
      <c r="BE1073" s="96" t="str">
        <f t="shared" si="309"/>
        <v>y</v>
      </c>
      <c r="BF1073" s="98" t="str">
        <f t="shared" si="323"/>
        <v>EC10</v>
      </c>
      <c r="BG1073" s="96" t="str">
        <f>IF(BF1073="","",IF(ISNUMBER(VLOOKUP(BF1073,'Conversion factors'!$B$35:$C$52,2,FALSE)),"y","n"))</f>
        <v>y</v>
      </c>
      <c r="BH1073" s="99"/>
      <c r="BI1073" s="19" t="s">
        <v>1643</v>
      </c>
    </row>
    <row r="1074" spans="1:61" s="103" customFormat="1" ht="15.75" customHeight="1" x14ac:dyDescent="0.2">
      <c r="A1074" s="18"/>
      <c r="B1074" s="19">
        <v>234</v>
      </c>
      <c r="C1074" s="19"/>
      <c r="D1074" s="19">
        <v>71981</v>
      </c>
      <c r="E1074" s="19" t="s">
        <v>1224</v>
      </c>
      <c r="F1074" s="93">
        <v>2003</v>
      </c>
      <c r="G1074" s="19" t="s">
        <v>602</v>
      </c>
      <c r="H1074" s="19" t="s">
        <v>162</v>
      </c>
      <c r="I1074" s="19" t="s">
        <v>41</v>
      </c>
      <c r="J1074" s="19" t="s">
        <v>87</v>
      </c>
      <c r="K1074" s="19" t="s">
        <v>64</v>
      </c>
      <c r="L1074" s="99" t="s">
        <v>151</v>
      </c>
      <c r="M1074" s="19" t="s">
        <v>260</v>
      </c>
      <c r="N1074" s="19" t="s">
        <v>66</v>
      </c>
      <c r="O1074" s="19" t="s">
        <v>235</v>
      </c>
      <c r="P1074" s="19" t="s">
        <v>162</v>
      </c>
      <c r="Q1074" s="19"/>
      <c r="R1074" s="19" t="s">
        <v>76</v>
      </c>
      <c r="S1074" s="19" t="s">
        <v>534</v>
      </c>
      <c r="T1074" s="19" t="s">
        <v>49</v>
      </c>
      <c r="U1074" s="19" t="s">
        <v>49</v>
      </c>
      <c r="V1074" s="19" t="s">
        <v>94</v>
      </c>
      <c r="W1074" s="19" t="s">
        <v>231</v>
      </c>
      <c r="X1074" s="19" t="s">
        <v>46</v>
      </c>
      <c r="Y1074" s="29"/>
      <c r="Z1074" s="19"/>
      <c r="AA1074" s="19"/>
      <c r="AB1074" s="19" t="s">
        <v>617</v>
      </c>
      <c r="AC1074" s="19" t="s">
        <v>214</v>
      </c>
      <c r="AD1074" s="19"/>
      <c r="AE1074" s="19">
        <v>240</v>
      </c>
      <c r="AF1074" s="19">
        <v>240</v>
      </c>
      <c r="AG1074" s="19" t="s">
        <v>270</v>
      </c>
      <c r="AH1074" s="19"/>
      <c r="AI1074" s="19"/>
      <c r="AJ1074" s="19">
        <v>7.25</v>
      </c>
      <c r="AK1074" s="19" t="s">
        <v>610</v>
      </c>
      <c r="AL1074" s="19"/>
      <c r="AM1074" s="19"/>
      <c r="AN1074" s="19" t="s">
        <v>234</v>
      </c>
      <c r="AO1074" s="19" t="s">
        <v>235</v>
      </c>
      <c r="AP1074" s="94">
        <v>21</v>
      </c>
      <c r="AQ1074" s="19" t="s">
        <v>234</v>
      </c>
      <c r="AR1074" s="19" t="s">
        <v>241</v>
      </c>
      <c r="AS1074" s="19"/>
      <c r="AT1074" s="65" t="str">
        <f t="shared" si="321"/>
        <v>Y</v>
      </c>
      <c r="AU1074" s="65" t="str">
        <f t="shared" si="306"/>
        <v>Y</v>
      </c>
      <c r="AV1074" s="65" t="str">
        <f t="shared" si="324"/>
        <v>Y</v>
      </c>
      <c r="AW1074" s="99"/>
      <c r="AX1074" s="99" t="s">
        <v>1643</v>
      </c>
      <c r="AY1074" s="19"/>
      <c r="AZ1074" s="96" t="str">
        <f t="shared" si="307"/>
        <v>EC10</v>
      </c>
      <c r="BA1074" s="96">
        <f>IF(AZ1074="n","n",VLOOKUP(AZ1074,'Conversion factors'!$C$4:$D$24,2,FALSE))</f>
        <v>1</v>
      </c>
      <c r="BB1074" s="96">
        <f t="shared" si="308"/>
        <v>394</v>
      </c>
      <c r="BC1074" s="97"/>
      <c r="BD1074" s="96" t="str">
        <f t="shared" si="322"/>
        <v>Chronic</v>
      </c>
      <c r="BE1074" s="96" t="str">
        <f t="shared" si="309"/>
        <v>y</v>
      </c>
      <c r="BF1074" s="98" t="str">
        <f t="shared" si="323"/>
        <v>EC10</v>
      </c>
      <c r="BG1074" s="96" t="str">
        <f>IF(BF1074="","",IF(ISNUMBER(VLOOKUP(BF1074,'Conversion factors'!$B$35:$C$52,2,FALSE)),"y","n"))</f>
        <v>y</v>
      </c>
      <c r="BH1074" s="99"/>
      <c r="BI1074" s="19" t="s">
        <v>1643</v>
      </c>
    </row>
    <row r="1075" spans="1:61" s="103" customFormat="1" ht="15.75" customHeight="1" x14ac:dyDescent="0.2">
      <c r="A1075" s="18"/>
      <c r="B1075" s="19">
        <v>234</v>
      </c>
      <c r="C1075" s="19"/>
      <c r="D1075" s="19">
        <v>71981</v>
      </c>
      <c r="E1075" s="19" t="s">
        <v>1224</v>
      </c>
      <c r="F1075" s="93">
        <v>2003</v>
      </c>
      <c r="G1075" s="19" t="s">
        <v>602</v>
      </c>
      <c r="H1075" s="19" t="s">
        <v>162</v>
      </c>
      <c r="I1075" s="19" t="s">
        <v>41</v>
      </c>
      <c r="J1075" s="19" t="s">
        <v>87</v>
      </c>
      <c r="K1075" s="19" t="s">
        <v>64</v>
      </c>
      <c r="L1075" s="99" t="s">
        <v>151</v>
      </c>
      <c r="M1075" s="19" t="s">
        <v>260</v>
      </c>
      <c r="N1075" s="19" t="s">
        <v>66</v>
      </c>
      <c r="O1075" s="19" t="s">
        <v>235</v>
      </c>
      <c r="P1075" s="19" t="s">
        <v>162</v>
      </c>
      <c r="Q1075" s="19"/>
      <c r="R1075" s="19" t="s">
        <v>76</v>
      </c>
      <c r="S1075" s="19" t="s">
        <v>534</v>
      </c>
      <c r="T1075" s="19" t="s">
        <v>49</v>
      </c>
      <c r="U1075" s="19" t="s">
        <v>49</v>
      </c>
      <c r="V1075" s="19" t="s">
        <v>94</v>
      </c>
      <c r="W1075" s="19" t="s">
        <v>231</v>
      </c>
      <c r="X1075" s="19" t="s">
        <v>46</v>
      </c>
      <c r="Y1075" s="29"/>
      <c r="Z1075" s="19"/>
      <c r="AA1075" s="19"/>
      <c r="AB1075" s="19" t="s">
        <v>618</v>
      </c>
      <c r="AC1075" s="19" t="s">
        <v>214</v>
      </c>
      <c r="AD1075" s="19"/>
      <c r="AE1075" s="19">
        <v>240</v>
      </c>
      <c r="AF1075" s="19">
        <v>240</v>
      </c>
      <c r="AG1075" s="19" t="s">
        <v>270</v>
      </c>
      <c r="AH1075" s="19"/>
      <c r="AI1075" s="19"/>
      <c r="AJ1075" s="101">
        <v>7.25</v>
      </c>
      <c r="AK1075" s="19" t="s">
        <v>610</v>
      </c>
      <c r="AL1075" s="19"/>
      <c r="AM1075" s="19"/>
      <c r="AN1075" s="19" t="s">
        <v>234</v>
      </c>
      <c r="AO1075" s="19" t="s">
        <v>235</v>
      </c>
      <c r="AP1075" s="94">
        <v>2</v>
      </c>
      <c r="AQ1075" s="19" t="s">
        <v>234</v>
      </c>
      <c r="AR1075" s="19" t="s">
        <v>241</v>
      </c>
      <c r="AS1075" s="19"/>
      <c r="AT1075" s="65" t="str">
        <f t="shared" si="321"/>
        <v>Y</v>
      </c>
      <c r="AU1075" s="65" t="str">
        <f t="shared" si="306"/>
        <v>Y</v>
      </c>
      <c r="AV1075" s="65" t="str">
        <f t="shared" si="324"/>
        <v>Y</v>
      </c>
      <c r="AW1075" s="99"/>
      <c r="AX1075" s="99" t="s">
        <v>1643</v>
      </c>
      <c r="AY1075" s="19"/>
      <c r="AZ1075" s="96" t="str">
        <f t="shared" si="307"/>
        <v>EC10</v>
      </c>
      <c r="BA1075" s="96">
        <f>IF(AZ1075="n","n",VLOOKUP(AZ1075,'Conversion factors'!$C$4:$D$24,2,FALSE))</f>
        <v>1</v>
      </c>
      <c r="BB1075" s="96">
        <f t="shared" si="308"/>
        <v>179</v>
      </c>
      <c r="BC1075" s="97"/>
      <c r="BD1075" s="96" t="str">
        <f t="shared" si="322"/>
        <v>Chronic</v>
      </c>
      <c r="BE1075" s="96" t="str">
        <f t="shared" si="309"/>
        <v>y</v>
      </c>
      <c r="BF1075" s="98" t="str">
        <f t="shared" si="323"/>
        <v>EC10</v>
      </c>
      <c r="BG1075" s="96" t="str">
        <f>IF(BF1075="","",IF(ISNUMBER(VLOOKUP(BF1075,'Conversion factors'!$B$35:$C$52,2,FALSE)),"y","n"))</f>
        <v>y</v>
      </c>
      <c r="BH1075" s="99"/>
      <c r="BI1075" s="19" t="s">
        <v>1643</v>
      </c>
    </row>
    <row r="1076" spans="1:61" s="103" customFormat="1" ht="15.75" customHeight="1" x14ac:dyDescent="0.2">
      <c r="A1076" s="18"/>
      <c r="B1076" s="19">
        <v>234</v>
      </c>
      <c r="C1076" s="19"/>
      <c r="D1076" s="19">
        <v>71981</v>
      </c>
      <c r="E1076" s="19" t="s">
        <v>1224</v>
      </c>
      <c r="F1076" s="93">
        <v>2003</v>
      </c>
      <c r="G1076" s="19" t="s">
        <v>602</v>
      </c>
      <c r="H1076" s="19" t="s">
        <v>162</v>
      </c>
      <c r="I1076" s="19" t="s">
        <v>41</v>
      </c>
      <c r="J1076" s="19" t="s">
        <v>87</v>
      </c>
      <c r="K1076" s="19" t="s">
        <v>64</v>
      </c>
      <c r="L1076" s="99" t="s">
        <v>151</v>
      </c>
      <c r="M1076" s="19" t="s">
        <v>260</v>
      </c>
      <c r="N1076" s="19" t="s">
        <v>66</v>
      </c>
      <c r="O1076" s="19" t="s">
        <v>235</v>
      </c>
      <c r="P1076" s="19" t="s">
        <v>162</v>
      </c>
      <c r="Q1076" s="19"/>
      <c r="R1076" s="19" t="s">
        <v>76</v>
      </c>
      <c r="S1076" s="19" t="s">
        <v>534</v>
      </c>
      <c r="T1076" s="19" t="s">
        <v>49</v>
      </c>
      <c r="U1076" s="19" t="s">
        <v>49</v>
      </c>
      <c r="V1076" s="19" t="s">
        <v>94</v>
      </c>
      <c r="W1076" s="19" t="s">
        <v>231</v>
      </c>
      <c r="X1076" s="19" t="s">
        <v>46</v>
      </c>
      <c r="Y1076" s="29"/>
      <c r="Z1076" s="19"/>
      <c r="AA1076" s="19"/>
      <c r="AB1076" s="19" t="s">
        <v>317</v>
      </c>
      <c r="AC1076" s="19" t="s">
        <v>214</v>
      </c>
      <c r="AD1076" s="19"/>
      <c r="AE1076" s="19">
        <v>370</v>
      </c>
      <c r="AF1076" s="19">
        <v>370</v>
      </c>
      <c r="AG1076" s="19" t="s">
        <v>270</v>
      </c>
      <c r="AH1076" s="19"/>
      <c r="AI1076" s="19"/>
      <c r="AJ1076" s="19">
        <v>8</v>
      </c>
      <c r="AK1076" s="19" t="s">
        <v>605</v>
      </c>
      <c r="AL1076" s="19"/>
      <c r="AM1076" s="19"/>
      <c r="AN1076" s="19" t="s">
        <v>234</v>
      </c>
      <c r="AO1076" s="19" t="s">
        <v>235</v>
      </c>
      <c r="AP1076" s="94">
        <v>32.299999999999997</v>
      </c>
      <c r="AQ1076" s="19" t="s">
        <v>234</v>
      </c>
      <c r="AR1076" s="19" t="s">
        <v>241</v>
      </c>
      <c r="AS1076" s="19"/>
      <c r="AT1076" s="65" t="str">
        <f t="shared" si="321"/>
        <v>Y</v>
      </c>
      <c r="AU1076" s="65" t="str">
        <f t="shared" ref="AU1076:AU1139" si="325">IF(AT1076="N","N",IF(AJ1076&lt;6,"N",IF(AJ1076&gt;8.5,"N","Y")))</f>
        <v>Y</v>
      </c>
      <c r="AV1076" s="65" t="str">
        <f t="shared" si="324"/>
        <v>Y</v>
      </c>
      <c r="AW1076" s="99"/>
      <c r="AX1076" s="99" t="s">
        <v>1643</v>
      </c>
      <c r="AY1076" s="19"/>
      <c r="AZ1076" s="96" t="str">
        <f t="shared" si="307"/>
        <v>EC10</v>
      </c>
      <c r="BA1076" s="96">
        <f>IF(AZ1076="n","n",VLOOKUP(AZ1076,'Conversion factors'!$C$4:$D$24,2,FALSE))</f>
        <v>1</v>
      </c>
      <c r="BB1076" s="96">
        <f t="shared" si="308"/>
        <v>600</v>
      </c>
      <c r="BC1076" s="97"/>
      <c r="BD1076" s="96" t="str">
        <f t="shared" si="322"/>
        <v>Chronic</v>
      </c>
      <c r="BE1076" s="96" t="str">
        <f t="shared" si="309"/>
        <v>y</v>
      </c>
      <c r="BF1076" s="98" t="str">
        <f t="shared" si="323"/>
        <v>EC10</v>
      </c>
      <c r="BG1076" s="96" t="str">
        <f>IF(BF1076="","",IF(ISNUMBER(VLOOKUP(BF1076,'Conversion factors'!$B$35:$C$52,2,FALSE)),"y","n"))</f>
        <v>y</v>
      </c>
      <c r="BH1076" s="99"/>
      <c r="BI1076" s="19" t="s">
        <v>1643</v>
      </c>
    </row>
    <row r="1077" spans="1:61" s="103" customFormat="1" ht="15.75" customHeight="1" x14ac:dyDescent="0.2">
      <c r="A1077" s="18"/>
      <c r="B1077" s="19">
        <v>234</v>
      </c>
      <c r="C1077" s="19"/>
      <c r="D1077" s="19">
        <v>71981</v>
      </c>
      <c r="E1077" s="19" t="s">
        <v>1224</v>
      </c>
      <c r="F1077" s="93">
        <v>2003</v>
      </c>
      <c r="G1077" s="19" t="s">
        <v>602</v>
      </c>
      <c r="H1077" s="19" t="s">
        <v>162</v>
      </c>
      <c r="I1077" s="19" t="s">
        <v>41</v>
      </c>
      <c r="J1077" s="19" t="s">
        <v>87</v>
      </c>
      <c r="K1077" s="19" t="s">
        <v>64</v>
      </c>
      <c r="L1077" s="99" t="s">
        <v>151</v>
      </c>
      <c r="M1077" s="19" t="s">
        <v>260</v>
      </c>
      <c r="N1077" s="19" t="s">
        <v>66</v>
      </c>
      <c r="O1077" s="19" t="s">
        <v>235</v>
      </c>
      <c r="P1077" s="19" t="s">
        <v>162</v>
      </c>
      <c r="Q1077" s="19"/>
      <c r="R1077" s="19" t="s">
        <v>76</v>
      </c>
      <c r="S1077" s="19" t="s">
        <v>534</v>
      </c>
      <c r="T1077" s="19" t="s">
        <v>49</v>
      </c>
      <c r="U1077" s="19" t="s">
        <v>49</v>
      </c>
      <c r="V1077" s="19" t="s">
        <v>94</v>
      </c>
      <c r="W1077" s="19" t="s">
        <v>231</v>
      </c>
      <c r="X1077" s="19" t="s">
        <v>46</v>
      </c>
      <c r="Y1077" s="29"/>
      <c r="Z1077" s="19"/>
      <c r="AA1077" s="19"/>
      <c r="AB1077" s="19" t="s">
        <v>620</v>
      </c>
      <c r="AC1077" s="19" t="s">
        <v>214</v>
      </c>
      <c r="AD1077" s="19"/>
      <c r="AE1077" s="19">
        <v>240</v>
      </c>
      <c r="AF1077" s="19">
        <v>240</v>
      </c>
      <c r="AG1077" s="19" t="s">
        <v>270</v>
      </c>
      <c r="AH1077" s="19"/>
      <c r="AI1077" s="19"/>
      <c r="AJ1077" s="19">
        <v>8.5</v>
      </c>
      <c r="AK1077" s="19" t="s">
        <v>608</v>
      </c>
      <c r="AL1077" s="19"/>
      <c r="AM1077" s="19"/>
      <c r="AN1077" s="19" t="s">
        <v>234</v>
      </c>
      <c r="AO1077" s="19" t="s">
        <v>235</v>
      </c>
      <c r="AP1077" s="94">
        <v>21</v>
      </c>
      <c r="AQ1077" s="19" t="s">
        <v>234</v>
      </c>
      <c r="AR1077" s="19" t="s">
        <v>241</v>
      </c>
      <c r="AS1077" s="19"/>
      <c r="AT1077" s="65" t="str">
        <f t="shared" si="321"/>
        <v>Y</v>
      </c>
      <c r="AU1077" s="65" t="str">
        <f t="shared" si="325"/>
        <v>Y</v>
      </c>
      <c r="AV1077" s="65" t="str">
        <f t="shared" si="324"/>
        <v>Y</v>
      </c>
      <c r="AW1077" s="99"/>
      <c r="AX1077" s="99" t="s">
        <v>1643</v>
      </c>
      <c r="AY1077" s="19"/>
      <c r="AZ1077" s="96" t="str">
        <f t="shared" ref="AZ1077:AZ1140" si="326">IF(AV1077="N","n",T1077)</f>
        <v>EC10</v>
      </c>
      <c r="BA1077" s="96">
        <f>IF(AZ1077="n","n",VLOOKUP(AZ1077,'Conversion factors'!$C$4:$D$24,2,FALSE))</f>
        <v>1</v>
      </c>
      <c r="BB1077" s="96">
        <f t="shared" ref="BB1077:BB1140" si="327">IF(BA1077="n","n",AB1077/BA1077)</f>
        <v>991</v>
      </c>
      <c r="BC1077" s="97"/>
      <c r="BD1077" s="96" t="str">
        <f t="shared" si="322"/>
        <v>Chronic</v>
      </c>
      <c r="BE1077" s="96" t="str">
        <f t="shared" ref="BE1077:BE1140" si="328">IF(BD1077="chronic","y","n")</f>
        <v>y</v>
      </c>
      <c r="BF1077" s="98" t="str">
        <f t="shared" si="323"/>
        <v>EC10</v>
      </c>
      <c r="BG1077" s="96" t="str">
        <f>IF(BF1077="","",IF(ISNUMBER(VLOOKUP(BF1077,'Conversion factors'!$B$35:$C$52,2,FALSE)),"y","n"))</f>
        <v>y</v>
      </c>
      <c r="BH1077" s="99"/>
      <c r="BI1077" s="19" t="s">
        <v>1643</v>
      </c>
    </row>
    <row r="1078" spans="1:61" s="103" customFormat="1" ht="15.75" customHeight="1" x14ac:dyDescent="0.2">
      <c r="A1078" s="18"/>
      <c r="B1078" s="19">
        <v>234</v>
      </c>
      <c r="C1078" s="19"/>
      <c r="D1078" s="19">
        <v>71981</v>
      </c>
      <c r="E1078" s="19" t="s">
        <v>1224</v>
      </c>
      <c r="F1078" s="93">
        <v>2003</v>
      </c>
      <c r="G1078" s="19" t="s">
        <v>602</v>
      </c>
      <c r="H1078" s="19" t="s">
        <v>162</v>
      </c>
      <c r="I1078" s="19" t="s">
        <v>41</v>
      </c>
      <c r="J1078" s="19" t="s">
        <v>87</v>
      </c>
      <c r="K1078" s="19" t="s">
        <v>64</v>
      </c>
      <c r="L1078" s="99" t="s">
        <v>151</v>
      </c>
      <c r="M1078" s="19" t="s">
        <v>260</v>
      </c>
      <c r="N1078" s="19" t="s">
        <v>66</v>
      </c>
      <c r="O1078" s="19" t="s">
        <v>235</v>
      </c>
      <c r="P1078" s="19" t="s">
        <v>162</v>
      </c>
      <c r="Q1078" s="19"/>
      <c r="R1078" s="19" t="s">
        <v>76</v>
      </c>
      <c r="S1078" s="19" t="s">
        <v>534</v>
      </c>
      <c r="T1078" s="19" t="s">
        <v>49</v>
      </c>
      <c r="U1078" s="19" t="s">
        <v>49</v>
      </c>
      <c r="V1078" s="19" t="s">
        <v>94</v>
      </c>
      <c r="W1078" s="19" t="s">
        <v>231</v>
      </c>
      <c r="X1078" s="19" t="s">
        <v>46</v>
      </c>
      <c r="Y1078" s="29"/>
      <c r="Z1078" s="19"/>
      <c r="AA1078" s="19"/>
      <c r="AB1078" s="19" t="s">
        <v>621</v>
      </c>
      <c r="AC1078" s="19" t="s">
        <v>214</v>
      </c>
      <c r="AD1078" s="19"/>
      <c r="AE1078" s="19">
        <v>110</v>
      </c>
      <c r="AF1078" s="19">
        <v>110</v>
      </c>
      <c r="AG1078" s="19" t="s">
        <v>270</v>
      </c>
      <c r="AH1078" s="19"/>
      <c r="AI1078" s="19"/>
      <c r="AJ1078" s="19">
        <v>8</v>
      </c>
      <c r="AK1078" s="19" t="s">
        <v>605</v>
      </c>
      <c r="AL1078" s="19"/>
      <c r="AM1078" s="19"/>
      <c r="AN1078" s="19" t="s">
        <v>234</v>
      </c>
      <c r="AO1078" s="19" t="s">
        <v>235</v>
      </c>
      <c r="AP1078" s="94">
        <v>9.6999999999999993</v>
      </c>
      <c r="AQ1078" s="19" t="s">
        <v>234</v>
      </c>
      <c r="AR1078" s="19" t="s">
        <v>241</v>
      </c>
      <c r="AS1078" s="19"/>
      <c r="AT1078" s="65" t="str">
        <f t="shared" si="321"/>
        <v>Y</v>
      </c>
      <c r="AU1078" s="65" t="str">
        <f t="shared" si="325"/>
        <v>Y</v>
      </c>
      <c r="AV1078" s="65" t="str">
        <f t="shared" si="324"/>
        <v>Y</v>
      </c>
      <c r="AW1078" s="99"/>
      <c r="AX1078" s="99" t="s">
        <v>1643</v>
      </c>
      <c r="AY1078" s="19"/>
      <c r="AZ1078" s="96" t="str">
        <f t="shared" si="326"/>
        <v>EC10</v>
      </c>
      <c r="BA1078" s="96">
        <f>IF(AZ1078="n","n",VLOOKUP(AZ1078,'Conversion factors'!$C$4:$D$24,2,FALSE))</f>
        <v>1</v>
      </c>
      <c r="BB1078" s="96">
        <f t="shared" si="327"/>
        <v>233</v>
      </c>
      <c r="BC1078" s="97"/>
      <c r="BD1078" s="96" t="str">
        <f t="shared" si="322"/>
        <v>Chronic</v>
      </c>
      <c r="BE1078" s="96" t="str">
        <f t="shared" si="328"/>
        <v>y</v>
      </c>
      <c r="BF1078" s="98" t="str">
        <f t="shared" si="323"/>
        <v>EC10</v>
      </c>
      <c r="BG1078" s="96" t="str">
        <f>IF(BF1078="","",IF(ISNUMBER(VLOOKUP(BF1078,'Conversion factors'!$B$35:$C$52,2,FALSE)),"y","n"))</f>
        <v>y</v>
      </c>
      <c r="BH1078" s="99"/>
      <c r="BI1078" s="19" t="s">
        <v>1643</v>
      </c>
    </row>
    <row r="1079" spans="1:61" s="103" customFormat="1" ht="15.75" customHeight="1" x14ac:dyDescent="0.2">
      <c r="A1079" s="18"/>
      <c r="B1079" s="19">
        <v>234</v>
      </c>
      <c r="C1079" s="19"/>
      <c r="D1079" s="19">
        <v>71981</v>
      </c>
      <c r="E1079" s="19" t="s">
        <v>1224</v>
      </c>
      <c r="F1079" s="93">
        <v>2003</v>
      </c>
      <c r="G1079" s="19" t="s">
        <v>602</v>
      </c>
      <c r="H1079" s="19" t="s">
        <v>162</v>
      </c>
      <c r="I1079" s="19" t="s">
        <v>41</v>
      </c>
      <c r="J1079" s="19" t="s">
        <v>87</v>
      </c>
      <c r="K1079" s="19" t="s">
        <v>64</v>
      </c>
      <c r="L1079" s="99" t="s">
        <v>151</v>
      </c>
      <c r="M1079" s="19" t="s">
        <v>260</v>
      </c>
      <c r="N1079" s="19" t="s">
        <v>66</v>
      </c>
      <c r="O1079" s="19" t="s">
        <v>235</v>
      </c>
      <c r="P1079" s="19" t="s">
        <v>162</v>
      </c>
      <c r="Q1079" s="19"/>
      <c r="R1079" s="19" t="s">
        <v>76</v>
      </c>
      <c r="S1079" s="19" t="s">
        <v>534</v>
      </c>
      <c r="T1079" s="19" t="s">
        <v>49</v>
      </c>
      <c r="U1079" s="19" t="s">
        <v>49</v>
      </c>
      <c r="V1079" s="19" t="s">
        <v>94</v>
      </c>
      <c r="W1079" s="19" t="s">
        <v>231</v>
      </c>
      <c r="X1079" s="19" t="s">
        <v>46</v>
      </c>
      <c r="Y1079" s="29"/>
      <c r="Z1079" s="19"/>
      <c r="AA1079" s="19"/>
      <c r="AB1079" s="19" t="s">
        <v>623</v>
      </c>
      <c r="AC1079" s="19" t="s">
        <v>214</v>
      </c>
      <c r="AD1079" s="19"/>
      <c r="AE1079" s="19">
        <v>110</v>
      </c>
      <c r="AF1079" s="19">
        <v>110</v>
      </c>
      <c r="AG1079" s="19" t="s">
        <v>270</v>
      </c>
      <c r="AH1079" s="19"/>
      <c r="AI1079" s="19"/>
      <c r="AJ1079" s="19">
        <v>6.5</v>
      </c>
      <c r="AK1079" s="19" t="s">
        <v>613</v>
      </c>
      <c r="AL1079" s="19"/>
      <c r="AM1079" s="19"/>
      <c r="AN1079" s="19" t="s">
        <v>234</v>
      </c>
      <c r="AO1079" s="19" t="s">
        <v>235</v>
      </c>
      <c r="AP1079" s="94">
        <v>32.299999999999997</v>
      </c>
      <c r="AQ1079" s="19" t="s">
        <v>234</v>
      </c>
      <c r="AR1079" s="19" t="s">
        <v>241</v>
      </c>
      <c r="AS1079" s="19"/>
      <c r="AT1079" s="65" t="str">
        <f t="shared" si="321"/>
        <v>Y</v>
      </c>
      <c r="AU1079" s="65" t="str">
        <f t="shared" si="325"/>
        <v>Y</v>
      </c>
      <c r="AV1079" s="65" t="str">
        <f t="shared" si="324"/>
        <v>Y</v>
      </c>
      <c r="AW1079" s="99"/>
      <c r="AX1079" s="99" t="s">
        <v>1643</v>
      </c>
      <c r="AY1079" s="19"/>
      <c r="AZ1079" s="96" t="str">
        <f t="shared" si="326"/>
        <v>EC10</v>
      </c>
      <c r="BA1079" s="96">
        <f>IF(AZ1079="n","n",VLOOKUP(AZ1079,'Conversion factors'!$C$4:$D$24,2,FALSE))</f>
        <v>1</v>
      </c>
      <c r="BB1079" s="96">
        <f t="shared" si="327"/>
        <v>313</v>
      </c>
      <c r="BC1079" s="97"/>
      <c r="BD1079" s="96" t="str">
        <f t="shared" si="322"/>
        <v>Chronic</v>
      </c>
      <c r="BE1079" s="96" t="str">
        <f t="shared" si="328"/>
        <v>y</v>
      </c>
      <c r="BF1079" s="98" t="str">
        <f t="shared" si="323"/>
        <v>EC10</v>
      </c>
      <c r="BG1079" s="96" t="str">
        <f>IF(BF1079="","",IF(ISNUMBER(VLOOKUP(BF1079,'Conversion factors'!$B$35:$C$52,2,FALSE)),"y","n"))</f>
        <v>y</v>
      </c>
      <c r="BH1079" s="99"/>
      <c r="BI1079" s="19" t="s">
        <v>1643</v>
      </c>
    </row>
    <row r="1080" spans="1:61" s="103" customFormat="1" ht="15.75" customHeight="1" x14ac:dyDescent="0.2">
      <c r="A1080" s="18"/>
      <c r="B1080" s="19">
        <v>234</v>
      </c>
      <c r="C1080" s="19"/>
      <c r="D1080" s="19">
        <v>71981</v>
      </c>
      <c r="E1080" s="19" t="s">
        <v>1224</v>
      </c>
      <c r="F1080" s="93">
        <v>2003</v>
      </c>
      <c r="G1080" s="19" t="s">
        <v>602</v>
      </c>
      <c r="H1080" s="19" t="s">
        <v>162</v>
      </c>
      <c r="I1080" s="19" t="s">
        <v>41</v>
      </c>
      <c r="J1080" s="19" t="s">
        <v>87</v>
      </c>
      <c r="K1080" s="19" t="s">
        <v>64</v>
      </c>
      <c r="L1080" s="99" t="s">
        <v>151</v>
      </c>
      <c r="M1080" s="19" t="s">
        <v>260</v>
      </c>
      <c r="N1080" s="19" t="s">
        <v>66</v>
      </c>
      <c r="O1080" s="19" t="s">
        <v>235</v>
      </c>
      <c r="P1080" s="19" t="s">
        <v>162</v>
      </c>
      <c r="Q1080" s="19"/>
      <c r="R1080" s="19" t="s">
        <v>76</v>
      </c>
      <c r="S1080" s="19" t="s">
        <v>534</v>
      </c>
      <c r="T1080" s="19" t="s">
        <v>49</v>
      </c>
      <c r="U1080" s="19" t="s">
        <v>49</v>
      </c>
      <c r="V1080" s="19" t="s">
        <v>94</v>
      </c>
      <c r="W1080" s="19" t="s">
        <v>231</v>
      </c>
      <c r="X1080" s="19" t="s">
        <v>46</v>
      </c>
      <c r="Y1080" s="29"/>
      <c r="Z1080" s="19"/>
      <c r="AA1080" s="19"/>
      <c r="AB1080" s="19" t="s">
        <v>624</v>
      </c>
      <c r="AC1080" s="19" t="s">
        <v>214</v>
      </c>
      <c r="AD1080" s="19"/>
      <c r="AE1080" s="19">
        <v>240</v>
      </c>
      <c r="AF1080" s="19">
        <v>240</v>
      </c>
      <c r="AG1080" s="19" t="s">
        <v>270</v>
      </c>
      <c r="AH1080" s="19"/>
      <c r="AI1080" s="19"/>
      <c r="AJ1080" s="19">
        <v>7.25</v>
      </c>
      <c r="AK1080" s="19" t="s">
        <v>610</v>
      </c>
      <c r="AL1080" s="19"/>
      <c r="AM1080" s="19"/>
      <c r="AN1080" s="19" t="s">
        <v>234</v>
      </c>
      <c r="AO1080" s="19" t="s">
        <v>235</v>
      </c>
      <c r="AP1080" s="94">
        <v>40</v>
      </c>
      <c r="AQ1080" s="19" t="s">
        <v>234</v>
      </c>
      <c r="AR1080" s="19" t="s">
        <v>241</v>
      </c>
      <c r="AS1080" s="19"/>
      <c r="AT1080" s="65" t="str">
        <f t="shared" si="321"/>
        <v>Y</v>
      </c>
      <c r="AU1080" s="65" t="str">
        <f t="shared" si="325"/>
        <v>Y</v>
      </c>
      <c r="AV1080" s="65" t="str">
        <f t="shared" si="324"/>
        <v>Y</v>
      </c>
      <c r="AW1080" s="99"/>
      <c r="AX1080" s="99" t="s">
        <v>1643</v>
      </c>
      <c r="AY1080" s="19"/>
      <c r="AZ1080" s="96" t="str">
        <f t="shared" si="326"/>
        <v>EC10</v>
      </c>
      <c r="BA1080" s="96">
        <f>IF(AZ1080="n","n",VLOOKUP(AZ1080,'Conversion factors'!$C$4:$D$24,2,FALSE))</f>
        <v>1</v>
      </c>
      <c r="BB1080" s="96">
        <f t="shared" si="327"/>
        <v>911</v>
      </c>
      <c r="BC1080" s="97"/>
      <c r="BD1080" s="96" t="str">
        <f t="shared" si="322"/>
        <v>Chronic</v>
      </c>
      <c r="BE1080" s="96" t="str">
        <f t="shared" si="328"/>
        <v>y</v>
      </c>
      <c r="BF1080" s="98" t="str">
        <f t="shared" si="323"/>
        <v>EC10</v>
      </c>
      <c r="BG1080" s="96" t="str">
        <f>IF(BF1080="","",IF(ISNUMBER(VLOOKUP(BF1080,'Conversion factors'!$B$35:$C$52,2,FALSE)),"y","n"))</f>
        <v>y</v>
      </c>
      <c r="BH1080" s="99"/>
      <c r="BI1080" s="19" t="s">
        <v>1643</v>
      </c>
    </row>
    <row r="1081" spans="1:61" s="103" customFormat="1" ht="15.75" customHeight="1" x14ac:dyDescent="0.2">
      <c r="A1081" s="18"/>
      <c r="B1081" s="19">
        <v>234</v>
      </c>
      <c r="C1081" s="19"/>
      <c r="D1081" s="19">
        <v>71981</v>
      </c>
      <c r="E1081" s="19" t="s">
        <v>1224</v>
      </c>
      <c r="F1081" s="93">
        <v>2003</v>
      </c>
      <c r="G1081" s="19" t="s">
        <v>602</v>
      </c>
      <c r="H1081" s="19" t="s">
        <v>162</v>
      </c>
      <c r="I1081" s="19" t="s">
        <v>41</v>
      </c>
      <c r="J1081" s="19" t="s">
        <v>87</v>
      </c>
      <c r="K1081" s="19" t="s">
        <v>64</v>
      </c>
      <c r="L1081" s="99" t="s">
        <v>151</v>
      </c>
      <c r="M1081" s="19" t="s">
        <v>260</v>
      </c>
      <c r="N1081" s="19" t="s">
        <v>66</v>
      </c>
      <c r="O1081" s="19" t="s">
        <v>235</v>
      </c>
      <c r="P1081" s="19" t="s">
        <v>162</v>
      </c>
      <c r="Q1081" s="19"/>
      <c r="R1081" s="19" t="s">
        <v>76</v>
      </c>
      <c r="S1081" s="19" t="s">
        <v>534</v>
      </c>
      <c r="T1081" s="19" t="s">
        <v>49</v>
      </c>
      <c r="U1081" s="19" t="s">
        <v>49</v>
      </c>
      <c r="V1081" s="19" t="s">
        <v>94</v>
      </c>
      <c r="W1081" s="19" t="s">
        <v>231</v>
      </c>
      <c r="X1081" s="19" t="s">
        <v>46</v>
      </c>
      <c r="Y1081" s="29"/>
      <c r="Z1081" s="19"/>
      <c r="AA1081" s="19"/>
      <c r="AB1081" s="19" t="s">
        <v>625</v>
      </c>
      <c r="AC1081" s="19" t="s">
        <v>214</v>
      </c>
      <c r="AD1081" s="19"/>
      <c r="AE1081" s="19">
        <v>370</v>
      </c>
      <c r="AF1081" s="19">
        <v>370</v>
      </c>
      <c r="AG1081" s="19" t="s">
        <v>270</v>
      </c>
      <c r="AH1081" s="19"/>
      <c r="AI1081" s="19"/>
      <c r="AJ1081" s="19">
        <v>6.5</v>
      </c>
      <c r="AK1081" s="19" t="s">
        <v>613</v>
      </c>
      <c r="AL1081" s="19"/>
      <c r="AM1081" s="19"/>
      <c r="AN1081" s="19" t="s">
        <v>234</v>
      </c>
      <c r="AO1081" s="19" t="s">
        <v>235</v>
      </c>
      <c r="AP1081" s="94">
        <v>9.6999999999999993</v>
      </c>
      <c r="AQ1081" s="19" t="s">
        <v>234</v>
      </c>
      <c r="AR1081" s="19" t="s">
        <v>241</v>
      </c>
      <c r="AS1081" s="19"/>
      <c r="AT1081" s="65" t="str">
        <f t="shared" si="321"/>
        <v>Y</v>
      </c>
      <c r="AU1081" s="65" t="str">
        <f t="shared" si="325"/>
        <v>Y</v>
      </c>
      <c r="AV1081" s="65" t="str">
        <f t="shared" si="324"/>
        <v>Y</v>
      </c>
      <c r="AW1081" s="99"/>
      <c r="AX1081" s="99" t="s">
        <v>1643</v>
      </c>
      <c r="AY1081" s="19"/>
      <c r="AZ1081" s="96" t="str">
        <f t="shared" si="326"/>
        <v>EC10</v>
      </c>
      <c r="BA1081" s="96">
        <f>IF(AZ1081="n","n",VLOOKUP(AZ1081,'Conversion factors'!$C$4:$D$24,2,FALSE))</f>
        <v>1</v>
      </c>
      <c r="BB1081" s="96">
        <f t="shared" si="327"/>
        <v>114</v>
      </c>
      <c r="BC1081" s="97"/>
      <c r="BD1081" s="96" t="str">
        <f t="shared" si="322"/>
        <v>Chronic</v>
      </c>
      <c r="BE1081" s="96" t="str">
        <f t="shared" si="328"/>
        <v>y</v>
      </c>
      <c r="BF1081" s="98" t="str">
        <f t="shared" si="323"/>
        <v>EC10</v>
      </c>
      <c r="BG1081" s="96" t="str">
        <f>IF(BF1081="","",IF(ISNUMBER(VLOOKUP(BF1081,'Conversion factors'!$B$35:$C$52,2,FALSE)),"y","n"))</f>
        <v>y</v>
      </c>
      <c r="BH1081" s="99"/>
      <c r="BI1081" s="19" t="s">
        <v>1643</v>
      </c>
    </row>
    <row r="1082" spans="1:61" s="103" customFormat="1" ht="15.75" customHeight="1" x14ac:dyDescent="0.2">
      <c r="A1082" s="18"/>
      <c r="B1082" s="19">
        <v>234</v>
      </c>
      <c r="C1082" s="19"/>
      <c r="D1082" s="19">
        <v>71981</v>
      </c>
      <c r="E1082" s="19" t="s">
        <v>1224</v>
      </c>
      <c r="F1082" s="93">
        <v>2003</v>
      </c>
      <c r="G1082" s="19" t="s">
        <v>602</v>
      </c>
      <c r="H1082" s="19" t="s">
        <v>162</v>
      </c>
      <c r="I1082" s="19" t="s">
        <v>41</v>
      </c>
      <c r="J1082" s="19" t="s">
        <v>87</v>
      </c>
      <c r="K1082" s="19" t="s">
        <v>64</v>
      </c>
      <c r="L1082" s="99" t="s">
        <v>151</v>
      </c>
      <c r="M1082" s="19" t="s">
        <v>260</v>
      </c>
      <c r="N1082" s="19" t="s">
        <v>66</v>
      </c>
      <c r="O1082" s="19" t="s">
        <v>235</v>
      </c>
      <c r="P1082" s="19" t="s">
        <v>162</v>
      </c>
      <c r="Q1082" s="19"/>
      <c r="R1082" s="19" t="s">
        <v>76</v>
      </c>
      <c r="S1082" s="19" t="s">
        <v>534</v>
      </c>
      <c r="T1082" s="19" t="s">
        <v>49</v>
      </c>
      <c r="U1082" s="19" t="s">
        <v>49</v>
      </c>
      <c r="V1082" s="19" t="s">
        <v>94</v>
      </c>
      <c r="W1082" s="19" t="s">
        <v>231</v>
      </c>
      <c r="X1082" s="19" t="s">
        <v>46</v>
      </c>
      <c r="Y1082" s="29"/>
      <c r="Z1082" s="19"/>
      <c r="AA1082" s="19"/>
      <c r="AB1082" s="19" t="s">
        <v>626</v>
      </c>
      <c r="AC1082" s="19" t="s">
        <v>214</v>
      </c>
      <c r="AD1082" s="19"/>
      <c r="AE1082" s="19">
        <v>110</v>
      </c>
      <c r="AF1082" s="19">
        <v>110</v>
      </c>
      <c r="AG1082" s="19" t="s">
        <v>270</v>
      </c>
      <c r="AH1082" s="19"/>
      <c r="AI1082" s="19"/>
      <c r="AJ1082" s="19">
        <v>6.5</v>
      </c>
      <c r="AK1082" s="19" t="s">
        <v>613</v>
      </c>
      <c r="AL1082" s="19"/>
      <c r="AM1082" s="19"/>
      <c r="AN1082" s="19" t="s">
        <v>234</v>
      </c>
      <c r="AO1082" s="19" t="s">
        <v>235</v>
      </c>
      <c r="AP1082" s="94">
        <v>9.6999999999999993</v>
      </c>
      <c r="AQ1082" s="19" t="s">
        <v>234</v>
      </c>
      <c r="AR1082" s="19" t="s">
        <v>241</v>
      </c>
      <c r="AS1082" s="19"/>
      <c r="AT1082" s="65" t="str">
        <f t="shared" si="321"/>
        <v>Y</v>
      </c>
      <c r="AU1082" s="65" t="str">
        <f t="shared" si="325"/>
        <v>Y</v>
      </c>
      <c r="AV1082" s="65" t="str">
        <f t="shared" si="324"/>
        <v>Y</v>
      </c>
      <c r="AW1082" s="99"/>
      <c r="AX1082" s="99" t="s">
        <v>1643</v>
      </c>
      <c r="AY1082" s="19"/>
      <c r="AZ1082" s="96" t="str">
        <f t="shared" si="326"/>
        <v>EC10</v>
      </c>
      <c r="BA1082" s="96">
        <f>IF(AZ1082="n","n",VLOOKUP(AZ1082,'Conversion factors'!$C$4:$D$24,2,FALSE))</f>
        <v>1</v>
      </c>
      <c r="BB1082" s="96">
        <f t="shared" si="327"/>
        <v>277</v>
      </c>
      <c r="BC1082" s="97"/>
      <c r="BD1082" s="96" t="str">
        <f t="shared" si="322"/>
        <v>Chronic</v>
      </c>
      <c r="BE1082" s="96" t="str">
        <f t="shared" si="328"/>
        <v>y</v>
      </c>
      <c r="BF1082" s="98" t="str">
        <f t="shared" si="323"/>
        <v>EC10</v>
      </c>
      <c r="BG1082" s="96" t="str">
        <f>IF(BF1082="","",IF(ISNUMBER(VLOOKUP(BF1082,'Conversion factors'!$B$35:$C$52,2,FALSE)),"y","n"))</f>
        <v>y</v>
      </c>
      <c r="BH1082" s="99"/>
      <c r="BI1082" s="19" t="s">
        <v>1643</v>
      </c>
    </row>
    <row r="1083" spans="1:61" s="103" customFormat="1" ht="15.75" customHeight="1" x14ac:dyDescent="0.2">
      <c r="A1083" s="18"/>
      <c r="B1083" s="19">
        <v>234</v>
      </c>
      <c r="C1083" s="19"/>
      <c r="D1083" s="19">
        <v>71981</v>
      </c>
      <c r="E1083" s="19" t="s">
        <v>1224</v>
      </c>
      <c r="F1083" s="93">
        <v>2003</v>
      </c>
      <c r="G1083" s="19" t="s">
        <v>602</v>
      </c>
      <c r="H1083" s="19" t="s">
        <v>162</v>
      </c>
      <c r="I1083" s="19" t="s">
        <v>41</v>
      </c>
      <c r="J1083" s="19" t="s">
        <v>87</v>
      </c>
      <c r="K1083" s="19" t="s">
        <v>64</v>
      </c>
      <c r="L1083" s="99" t="s">
        <v>151</v>
      </c>
      <c r="M1083" s="19" t="s">
        <v>260</v>
      </c>
      <c r="N1083" s="19" t="s">
        <v>66</v>
      </c>
      <c r="O1083" s="19" t="s">
        <v>235</v>
      </c>
      <c r="P1083" s="19" t="s">
        <v>162</v>
      </c>
      <c r="Q1083" s="19"/>
      <c r="R1083" s="19" t="s">
        <v>76</v>
      </c>
      <c r="S1083" s="19" t="s">
        <v>534</v>
      </c>
      <c r="T1083" s="19" t="s">
        <v>49</v>
      </c>
      <c r="U1083" s="19" t="s">
        <v>49</v>
      </c>
      <c r="V1083" s="19" t="s">
        <v>94</v>
      </c>
      <c r="W1083" s="19" t="s">
        <v>231</v>
      </c>
      <c r="X1083" s="19" t="s">
        <v>46</v>
      </c>
      <c r="Y1083" s="29"/>
      <c r="Z1083" s="19"/>
      <c r="AA1083" s="19"/>
      <c r="AB1083" s="19" t="s">
        <v>627</v>
      </c>
      <c r="AC1083" s="19" t="s">
        <v>214</v>
      </c>
      <c r="AD1083" s="19"/>
      <c r="AE1083" s="19">
        <v>110</v>
      </c>
      <c r="AF1083" s="19">
        <v>110</v>
      </c>
      <c r="AG1083" s="19" t="s">
        <v>270</v>
      </c>
      <c r="AH1083" s="19"/>
      <c r="AI1083" s="19"/>
      <c r="AJ1083" s="19">
        <v>8</v>
      </c>
      <c r="AK1083" s="19" t="s">
        <v>605</v>
      </c>
      <c r="AL1083" s="19"/>
      <c r="AM1083" s="19"/>
      <c r="AN1083" s="19" t="s">
        <v>234</v>
      </c>
      <c r="AO1083" s="19" t="s">
        <v>235</v>
      </c>
      <c r="AP1083" s="94">
        <v>32.299999999999997</v>
      </c>
      <c r="AQ1083" s="19" t="s">
        <v>234</v>
      </c>
      <c r="AR1083" s="19" t="s">
        <v>241</v>
      </c>
      <c r="AS1083" s="19"/>
      <c r="AT1083" s="65" t="str">
        <f t="shared" si="321"/>
        <v>Y</v>
      </c>
      <c r="AU1083" s="65" t="str">
        <f t="shared" si="325"/>
        <v>Y</v>
      </c>
      <c r="AV1083" s="65" t="str">
        <f t="shared" si="324"/>
        <v>Y</v>
      </c>
      <c r="AW1083" s="99"/>
      <c r="AX1083" s="99" t="s">
        <v>1643</v>
      </c>
      <c r="AY1083" s="19"/>
      <c r="AZ1083" s="96" t="str">
        <f t="shared" si="326"/>
        <v>EC10</v>
      </c>
      <c r="BA1083" s="96">
        <f>IF(AZ1083="n","n",VLOOKUP(AZ1083,'Conversion factors'!$C$4:$D$24,2,FALSE))</f>
        <v>1</v>
      </c>
      <c r="BB1083" s="96">
        <f t="shared" si="327"/>
        <v>557</v>
      </c>
      <c r="BC1083" s="97"/>
      <c r="BD1083" s="96" t="str">
        <f t="shared" si="322"/>
        <v>Chronic</v>
      </c>
      <c r="BE1083" s="96" t="str">
        <f t="shared" si="328"/>
        <v>y</v>
      </c>
      <c r="BF1083" s="98" t="str">
        <f t="shared" si="323"/>
        <v>EC10</v>
      </c>
      <c r="BG1083" s="96" t="str">
        <f>IF(BF1083="","",IF(ISNUMBER(VLOOKUP(BF1083,'Conversion factors'!$B$35:$C$52,2,FALSE)),"y","n"))</f>
        <v>y</v>
      </c>
      <c r="BH1083" s="99"/>
      <c r="BI1083" s="19" t="s">
        <v>1643</v>
      </c>
    </row>
    <row r="1084" spans="1:61" s="103" customFormat="1" ht="15.75" customHeight="1" x14ac:dyDescent="0.2">
      <c r="A1084" s="18"/>
      <c r="B1084" s="19">
        <v>234</v>
      </c>
      <c r="C1084" s="19"/>
      <c r="D1084" s="19">
        <v>71981</v>
      </c>
      <c r="E1084" s="19" t="s">
        <v>1224</v>
      </c>
      <c r="F1084" s="93">
        <v>2003</v>
      </c>
      <c r="G1084" s="19" t="s">
        <v>602</v>
      </c>
      <c r="H1084" s="19" t="s">
        <v>162</v>
      </c>
      <c r="I1084" s="19" t="s">
        <v>41</v>
      </c>
      <c r="J1084" s="19" t="s">
        <v>87</v>
      </c>
      <c r="K1084" s="19" t="s">
        <v>64</v>
      </c>
      <c r="L1084" s="99" t="s">
        <v>151</v>
      </c>
      <c r="M1084" s="19" t="s">
        <v>260</v>
      </c>
      <c r="N1084" s="19" t="s">
        <v>66</v>
      </c>
      <c r="O1084" s="19" t="s">
        <v>235</v>
      </c>
      <c r="P1084" s="19" t="s">
        <v>162</v>
      </c>
      <c r="Q1084" s="19"/>
      <c r="R1084" s="19" t="s">
        <v>76</v>
      </c>
      <c r="S1084" s="19" t="s">
        <v>534</v>
      </c>
      <c r="T1084" s="19" t="s">
        <v>44</v>
      </c>
      <c r="U1084" s="19" t="s">
        <v>44</v>
      </c>
      <c r="V1084" s="19" t="s">
        <v>94</v>
      </c>
      <c r="W1084" s="19" t="s">
        <v>231</v>
      </c>
      <c r="X1084" s="19" t="s">
        <v>46</v>
      </c>
      <c r="Y1084" s="29"/>
      <c r="Z1084" s="19"/>
      <c r="AA1084" s="19"/>
      <c r="AB1084" s="19" t="s">
        <v>628</v>
      </c>
      <c r="AC1084" s="19" t="s">
        <v>214</v>
      </c>
      <c r="AD1084" s="19"/>
      <c r="AE1084" s="19">
        <v>240</v>
      </c>
      <c r="AF1084" s="19">
        <v>240</v>
      </c>
      <c r="AG1084" s="19" t="s">
        <v>270</v>
      </c>
      <c r="AH1084" s="19"/>
      <c r="AI1084" s="19"/>
      <c r="AJ1084" s="19">
        <v>7.25</v>
      </c>
      <c r="AK1084" s="19" t="s">
        <v>610</v>
      </c>
      <c r="AL1084" s="19"/>
      <c r="AM1084" s="19" t="s">
        <v>234</v>
      </c>
      <c r="AN1084" s="19" t="s">
        <v>234</v>
      </c>
      <c r="AO1084" s="19" t="s">
        <v>235</v>
      </c>
      <c r="AP1084" s="94">
        <v>40</v>
      </c>
      <c r="AQ1084" s="19" t="s">
        <v>234</v>
      </c>
      <c r="AR1084" s="19" t="s">
        <v>241</v>
      </c>
      <c r="AS1084" s="19"/>
      <c r="AT1084" s="65" t="str">
        <f t="shared" si="321"/>
        <v>Y</v>
      </c>
      <c r="AU1084" s="65" t="str">
        <f t="shared" si="325"/>
        <v>Y</v>
      </c>
      <c r="AV1084" s="65" t="str">
        <f t="shared" si="324"/>
        <v>Y</v>
      </c>
      <c r="AW1084" s="99" t="s">
        <v>1406</v>
      </c>
      <c r="AX1084" s="99"/>
      <c r="AY1084" s="19"/>
      <c r="AZ1084" s="96" t="str">
        <f t="shared" si="326"/>
        <v>EC50</v>
      </c>
      <c r="BA1084" s="96">
        <f>IF(AZ1084="n","n",VLOOKUP(AZ1084,'Conversion factors'!$C$4:$D$24,2,FALSE))</f>
        <v>5</v>
      </c>
      <c r="BB1084" s="96">
        <f t="shared" si="327"/>
        <v>203.8</v>
      </c>
      <c r="BC1084" s="97"/>
      <c r="BD1084" s="96" t="str">
        <f t="shared" si="322"/>
        <v>Chronic</v>
      </c>
      <c r="BE1084" s="96" t="str">
        <f t="shared" si="328"/>
        <v>y</v>
      </c>
      <c r="BF1084" s="98" t="str">
        <f t="shared" si="323"/>
        <v>EC50</v>
      </c>
      <c r="BG1084" s="96" t="str">
        <f>IF(BF1084="","",IF(ISNUMBER(VLOOKUP(BF1084,'Conversion factors'!$B$35:$C$52,2,FALSE)),"y","n"))</f>
        <v>n</v>
      </c>
      <c r="BH1084" s="99"/>
    </row>
    <row r="1085" spans="1:61" s="103" customFormat="1" ht="15.75" customHeight="1" x14ac:dyDescent="0.2">
      <c r="A1085" s="18"/>
      <c r="B1085" s="19">
        <v>234</v>
      </c>
      <c r="C1085" s="19"/>
      <c r="D1085" s="19">
        <v>71981</v>
      </c>
      <c r="E1085" s="19" t="s">
        <v>1224</v>
      </c>
      <c r="F1085" s="93">
        <v>2003</v>
      </c>
      <c r="G1085" s="19" t="s">
        <v>602</v>
      </c>
      <c r="H1085" s="19" t="s">
        <v>162</v>
      </c>
      <c r="I1085" s="19" t="s">
        <v>41</v>
      </c>
      <c r="J1085" s="19" t="s">
        <v>87</v>
      </c>
      <c r="K1085" s="19" t="s">
        <v>64</v>
      </c>
      <c r="L1085" s="99" t="s">
        <v>151</v>
      </c>
      <c r="M1085" s="19" t="s">
        <v>260</v>
      </c>
      <c r="N1085" s="19" t="s">
        <v>66</v>
      </c>
      <c r="O1085" s="19" t="s">
        <v>235</v>
      </c>
      <c r="P1085" s="19" t="s">
        <v>162</v>
      </c>
      <c r="Q1085" s="19"/>
      <c r="R1085" s="19" t="s">
        <v>76</v>
      </c>
      <c r="S1085" s="19" t="s">
        <v>534</v>
      </c>
      <c r="T1085" s="19" t="s">
        <v>44</v>
      </c>
      <c r="U1085" s="19" t="s">
        <v>44</v>
      </c>
      <c r="V1085" s="19" t="s">
        <v>94</v>
      </c>
      <c r="W1085" s="19" t="s">
        <v>231</v>
      </c>
      <c r="X1085" s="19" t="s">
        <v>46</v>
      </c>
      <c r="Y1085" s="29"/>
      <c r="Z1085" s="19"/>
      <c r="AA1085" s="19"/>
      <c r="AB1085" s="19" t="s">
        <v>629</v>
      </c>
      <c r="AC1085" s="19" t="s">
        <v>214</v>
      </c>
      <c r="AD1085" s="19"/>
      <c r="AE1085" s="19">
        <v>110</v>
      </c>
      <c r="AF1085" s="19">
        <v>110</v>
      </c>
      <c r="AG1085" s="19" t="s">
        <v>270</v>
      </c>
      <c r="AH1085" s="19"/>
      <c r="AI1085" s="19"/>
      <c r="AJ1085" s="19">
        <v>8</v>
      </c>
      <c r="AK1085" s="19" t="s">
        <v>605</v>
      </c>
      <c r="AL1085" s="19"/>
      <c r="AM1085" s="19" t="s">
        <v>234</v>
      </c>
      <c r="AN1085" s="19" t="s">
        <v>234</v>
      </c>
      <c r="AO1085" s="19" t="s">
        <v>235</v>
      </c>
      <c r="AP1085" s="94">
        <v>9.6999999999999993</v>
      </c>
      <c r="AQ1085" s="19" t="s">
        <v>234</v>
      </c>
      <c r="AR1085" s="19" t="s">
        <v>241</v>
      </c>
      <c r="AS1085" s="19"/>
      <c r="AT1085" s="65" t="str">
        <f t="shared" si="321"/>
        <v>Y</v>
      </c>
      <c r="AU1085" s="65" t="str">
        <f t="shared" si="325"/>
        <v>Y</v>
      </c>
      <c r="AV1085" s="65" t="str">
        <f t="shared" si="324"/>
        <v>Y</v>
      </c>
      <c r="AW1085" s="99" t="s">
        <v>1406</v>
      </c>
      <c r="AX1085" s="99"/>
      <c r="AY1085" s="19"/>
      <c r="AZ1085" s="96" t="str">
        <f t="shared" si="326"/>
        <v>EC50</v>
      </c>
      <c r="BA1085" s="96">
        <f>IF(AZ1085="n","n",VLOOKUP(AZ1085,'Conversion factors'!$C$4:$D$24,2,FALSE))</f>
        <v>5</v>
      </c>
      <c r="BB1085" s="96">
        <f t="shared" si="327"/>
        <v>69.2</v>
      </c>
      <c r="BC1085" s="97"/>
      <c r="BD1085" s="96" t="str">
        <f t="shared" si="322"/>
        <v>Chronic</v>
      </c>
      <c r="BE1085" s="96" t="str">
        <f t="shared" si="328"/>
        <v>y</v>
      </c>
      <c r="BF1085" s="98" t="str">
        <f t="shared" si="323"/>
        <v>EC50</v>
      </c>
      <c r="BG1085" s="96" t="str">
        <f>IF(BF1085="","",IF(ISNUMBER(VLOOKUP(BF1085,'Conversion factors'!$B$35:$C$52,2,FALSE)),"y","n"))</f>
        <v>n</v>
      </c>
      <c r="BH1085" s="99"/>
    </row>
    <row r="1086" spans="1:61" s="103" customFormat="1" ht="15.75" customHeight="1" x14ac:dyDescent="0.2">
      <c r="A1086" s="18"/>
      <c r="B1086" s="19">
        <v>234</v>
      </c>
      <c r="C1086" s="19"/>
      <c r="D1086" s="19">
        <v>71981</v>
      </c>
      <c r="E1086" s="19" t="s">
        <v>1224</v>
      </c>
      <c r="F1086" s="93">
        <v>2003</v>
      </c>
      <c r="G1086" s="19" t="s">
        <v>602</v>
      </c>
      <c r="H1086" s="19" t="s">
        <v>162</v>
      </c>
      <c r="I1086" s="19" t="s">
        <v>41</v>
      </c>
      <c r="J1086" s="19" t="s">
        <v>87</v>
      </c>
      <c r="K1086" s="19" t="s">
        <v>64</v>
      </c>
      <c r="L1086" s="99" t="s">
        <v>151</v>
      </c>
      <c r="M1086" s="19" t="s">
        <v>260</v>
      </c>
      <c r="N1086" s="19" t="s">
        <v>66</v>
      </c>
      <c r="O1086" s="19" t="s">
        <v>235</v>
      </c>
      <c r="P1086" s="19" t="s">
        <v>162</v>
      </c>
      <c r="Q1086" s="19"/>
      <c r="R1086" s="19" t="s">
        <v>76</v>
      </c>
      <c r="S1086" s="19" t="s">
        <v>534</v>
      </c>
      <c r="T1086" s="19" t="s">
        <v>44</v>
      </c>
      <c r="U1086" s="19" t="s">
        <v>44</v>
      </c>
      <c r="V1086" s="19" t="s">
        <v>94</v>
      </c>
      <c r="W1086" s="19" t="s">
        <v>231</v>
      </c>
      <c r="X1086" s="19" t="s">
        <v>46</v>
      </c>
      <c r="Y1086" s="29"/>
      <c r="Z1086" s="19"/>
      <c r="AA1086" s="19"/>
      <c r="AB1086" s="19" t="s">
        <v>630</v>
      </c>
      <c r="AC1086" s="19" t="s">
        <v>214</v>
      </c>
      <c r="AD1086" s="19"/>
      <c r="AE1086" s="19">
        <v>240</v>
      </c>
      <c r="AF1086" s="19">
        <v>240</v>
      </c>
      <c r="AG1086" s="19" t="s">
        <v>270</v>
      </c>
      <c r="AH1086" s="19"/>
      <c r="AI1086" s="19"/>
      <c r="AJ1086" s="19">
        <v>6</v>
      </c>
      <c r="AK1086" s="19" t="s">
        <v>424</v>
      </c>
      <c r="AL1086" s="19"/>
      <c r="AM1086" s="19" t="s">
        <v>234</v>
      </c>
      <c r="AN1086" s="19" t="s">
        <v>234</v>
      </c>
      <c r="AO1086" s="19" t="s">
        <v>235</v>
      </c>
      <c r="AP1086" s="94">
        <v>21</v>
      </c>
      <c r="AQ1086" s="19" t="s">
        <v>234</v>
      </c>
      <c r="AR1086" s="19" t="s">
        <v>241</v>
      </c>
      <c r="AS1086" s="19"/>
      <c r="AT1086" s="65" t="str">
        <f t="shared" si="321"/>
        <v>Y</v>
      </c>
      <c r="AU1086" s="65" t="str">
        <f t="shared" si="325"/>
        <v>Y</v>
      </c>
      <c r="AV1086" s="65" t="str">
        <f t="shared" si="324"/>
        <v>Y</v>
      </c>
      <c r="AW1086" s="99" t="s">
        <v>1405</v>
      </c>
      <c r="AX1086" s="99"/>
      <c r="AY1086" s="19"/>
      <c r="AZ1086" s="96" t="str">
        <f t="shared" si="326"/>
        <v>EC50</v>
      </c>
      <c r="BA1086" s="96">
        <f>IF(AZ1086="n","n",VLOOKUP(AZ1086,'Conversion factors'!$C$4:$D$24,2,FALSE))</f>
        <v>5</v>
      </c>
      <c r="BB1086" s="96">
        <f t="shared" si="327"/>
        <v>93</v>
      </c>
      <c r="BC1086" s="97"/>
      <c r="BD1086" s="96" t="str">
        <f t="shared" si="322"/>
        <v>Chronic</v>
      </c>
      <c r="BE1086" s="96" t="str">
        <f t="shared" si="328"/>
        <v>y</v>
      </c>
      <c r="BF1086" s="98" t="str">
        <f t="shared" si="323"/>
        <v>EC50</v>
      </c>
      <c r="BG1086" s="96" t="str">
        <f>IF(BF1086="","",IF(ISNUMBER(VLOOKUP(BF1086,'Conversion factors'!$B$35:$C$52,2,FALSE)),"y","n"))</f>
        <v>n</v>
      </c>
      <c r="BH1086" s="99"/>
    </row>
    <row r="1087" spans="1:61" s="103" customFormat="1" ht="15.75" customHeight="1" x14ac:dyDescent="0.2">
      <c r="A1087" s="18"/>
      <c r="B1087" s="19">
        <v>234</v>
      </c>
      <c r="C1087" s="19"/>
      <c r="D1087" s="19">
        <v>71981</v>
      </c>
      <c r="E1087" s="19" t="s">
        <v>1224</v>
      </c>
      <c r="F1087" s="93">
        <v>2003</v>
      </c>
      <c r="G1087" s="19" t="s">
        <v>602</v>
      </c>
      <c r="H1087" s="19" t="s">
        <v>162</v>
      </c>
      <c r="I1087" s="19" t="s">
        <v>41</v>
      </c>
      <c r="J1087" s="19" t="s">
        <v>87</v>
      </c>
      <c r="K1087" s="19" t="s">
        <v>64</v>
      </c>
      <c r="L1087" s="99" t="s">
        <v>151</v>
      </c>
      <c r="M1087" s="19" t="s">
        <v>260</v>
      </c>
      <c r="N1087" s="19" t="s">
        <v>66</v>
      </c>
      <c r="O1087" s="19" t="s">
        <v>235</v>
      </c>
      <c r="P1087" s="19" t="s">
        <v>162</v>
      </c>
      <c r="Q1087" s="19"/>
      <c r="R1087" s="19" t="s">
        <v>76</v>
      </c>
      <c r="S1087" s="19" t="s">
        <v>534</v>
      </c>
      <c r="T1087" s="19" t="s">
        <v>44</v>
      </c>
      <c r="U1087" s="19" t="s">
        <v>44</v>
      </c>
      <c r="V1087" s="19" t="s">
        <v>94</v>
      </c>
      <c r="W1087" s="19" t="s">
        <v>231</v>
      </c>
      <c r="X1087" s="19" t="s">
        <v>46</v>
      </c>
      <c r="Y1087" s="29"/>
      <c r="Z1087" s="19"/>
      <c r="AA1087" s="19"/>
      <c r="AB1087" s="19" t="s">
        <v>631</v>
      </c>
      <c r="AC1087" s="19" t="s">
        <v>214</v>
      </c>
      <c r="AD1087" s="19"/>
      <c r="AE1087" s="19">
        <v>110</v>
      </c>
      <c r="AF1087" s="19">
        <v>110</v>
      </c>
      <c r="AG1087" s="19" t="s">
        <v>270</v>
      </c>
      <c r="AH1087" s="19"/>
      <c r="AI1087" s="19"/>
      <c r="AJ1087" s="19">
        <v>6.5</v>
      </c>
      <c r="AK1087" s="19" t="s">
        <v>613</v>
      </c>
      <c r="AL1087" s="19"/>
      <c r="AM1087" s="19" t="s">
        <v>234</v>
      </c>
      <c r="AN1087" s="19" t="s">
        <v>234</v>
      </c>
      <c r="AO1087" s="19" t="s">
        <v>235</v>
      </c>
      <c r="AP1087" s="94">
        <v>32.299999999999997</v>
      </c>
      <c r="AQ1087" s="19" t="s">
        <v>234</v>
      </c>
      <c r="AR1087" s="19" t="s">
        <v>241</v>
      </c>
      <c r="AS1087" s="19"/>
      <c r="AT1087" s="65" t="str">
        <f t="shared" si="321"/>
        <v>Y</v>
      </c>
      <c r="AU1087" s="65" t="str">
        <f t="shared" si="325"/>
        <v>Y</v>
      </c>
      <c r="AV1087" s="65" t="s">
        <v>162</v>
      </c>
      <c r="AW1087" s="99" t="s">
        <v>1406</v>
      </c>
      <c r="AX1087" s="99"/>
      <c r="AY1087" s="19"/>
      <c r="AZ1087" s="96" t="str">
        <f t="shared" si="326"/>
        <v>n</v>
      </c>
      <c r="BA1087" s="96" t="str">
        <f>IF(AZ1087="n","n",VLOOKUP(AZ1087,'Conversion factors'!$C$4:$D$24,2,FALSE))</f>
        <v>n</v>
      </c>
      <c r="BB1087" s="96" t="str">
        <f t="shared" si="327"/>
        <v>n</v>
      </c>
      <c r="BC1087" s="97"/>
      <c r="BD1087" s="96" t="str">
        <f t="shared" si="322"/>
        <v>n</v>
      </c>
      <c r="BE1087" s="96" t="str">
        <f t="shared" si="328"/>
        <v>n</v>
      </c>
      <c r="BF1087" s="98" t="str">
        <f t="shared" si="323"/>
        <v/>
      </c>
      <c r="BG1087" s="96" t="str">
        <f>IF(BF1087="","",IF(ISNUMBER(VLOOKUP(BF1087,'Conversion factors'!$B$35:$C$52,2,FALSE)),"y","n"))</f>
        <v/>
      </c>
      <c r="BH1087" s="99"/>
    </row>
    <row r="1088" spans="1:61" s="103" customFormat="1" ht="15.75" customHeight="1" x14ac:dyDescent="0.2">
      <c r="A1088" s="18"/>
      <c r="B1088" s="19">
        <v>234</v>
      </c>
      <c r="C1088" s="19"/>
      <c r="D1088" s="19">
        <v>71981</v>
      </c>
      <c r="E1088" s="19" t="s">
        <v>1224</v>
      </c>
      <c r="F1088" s="93">
        <v>2003</v>
      </c>
      <c r="G1088" s="19" t="s">
        <v>602</v>
      </c>
      <c r="H1088" s="19" t="s">
        <v>162</v>
      </c>
      <c r="I1088" s="19" t="s">
        <v>41</v>
      </c>
      <c r="J1088" s="19" t="s">
        <v>87</v>
      </c>
      <c r="K1088" s="19" t="s">
        <v>64</v>
      </c>
      <c r="L1088" s="99" t="s">
        <v>151</v>
      </c>
      <c r="M1088" s="19" t="s">
        <v>260</v>
      </c>
      <c r="N1088" s="19" t="s">
        <v>66</v>
      </c>
      <c r="O1088" s="19" t="s">
        <v>235</v>
      </c>
      <c r="P1088" s="19" t="s">
        <v>162</v>
      </c>
      <c r="Q1088" s="19"/>
      <c r="R1088" s="19" t="s">
        <v>76</v>
      </c>
      <c r="S1088" s="19" t="s">
        <v>534</v>
      </c>
      <c r="T1088" s="19" t="s">
        <v>44</v>
      </c>
      <c r="U1088" s="19" t="s">
        <v>44</v>
      </c>
      <c r="V1088" s="19" t="s">
        <v>94</v>
      </c>
      <c r="W1088" s="19" t="s">
        <v>231</v>
      </c>
      <c r="X1088" s="19" t="s">
        <v>46</v>
      </c>
      <c r="Y1088" s="29"/>
      <c r="Z1088" s="19"/>
      <c r="AA1088" s="19"/>
      <c r="AB1088" s="19" t="s">
        <v>632</v>
      </c>
      <c r="AC1088" s="19" t="s">
        <v>214</v>
      </c>
      <c r="AD1088" s="19"/>
      <c r="AE1088" s="19">
        <v>240</v>
      </c>
      <c r="AF1088" s="19">
        <v>240</v>
      </c>
      <c r="AG1088" s="19" t="s">
        <v>270</v>
      </c>
      <c r="AH1088" s="19"/>
      <c r="AI1088" s="19"/>
      <c r="AJ1088" s="19">
        <v>7.25</v>
      </c>
      <c r="AK1088" s="19" t="s">
        <v>610</v>
      </c>
      <c r="AL1088" s="19"/>
      <c r="AM1088" s="19" t="s">
        <v>234</v>
      </c>
      <c r="AN1088" s="19" t="s">
        <v>234</v>
      </c>
      <c r="AO1088" s="19" t="s">
        <v>235</v>
      </c>
      <c r="AP1088" s="94">
        <v>2</v>
      </c>
      <c r="AQ1088" s="19" t="s">
        <v>234</v>
      </c>
      <c r="AR1088" s="19" t="s">
        <v>241</v>
      </c>
      <c r="AS1088" s="19"/>
      <c r="AT1088" s="65" t="str">
        <f t="shared" si="321"/>
        <v>Y</v>
      </c>
      <c r="AU1088" s="65" t="str">
        <f t="shared" si="325"/>
        <v>Y</v>
      </c>
      <c r="AV1088" s="65" t="s">
        <v>162</v>
      </c>
      <c r="AW1088" s="99" t="s">
        <v>1406</v>
      </c>
      <c r="AX1088" s="99"/>
      <c r="AY1088" s="19"/>
      <c r="AZ1088" s="96" t="str">
        <f t="shared" si="326"/>
        <v>n</v>
      </c>
      <c r="BA1088" s="96" t="str">
        <f>IF(AZ1088="n","n",VLOOKUP(AZ1088,'Conversion factors'!$C$4:$D$24,2,FALSE))</f>
        <v>n</v>
      </c>
      <c r="BB1088" s="96" t="str">
        <f t="shared" si="327"/>
        <v>n</v>
      </c>
      <c r="BC1088" s="97"/>
      <c r="BD1088" s="96" t="str">
        <f t="shared" si="322"/>
        <v>n</v>
      </c>
      <c r="BE1088" s="96" t="str">
        <f t="shared" si="328"/>
        <v>n</v>
      </c>
      <c r="BF1088" s="98" t="str">
        <f t="shared" si="323"/>
        <v/>
      </c>
      <c r="BG1088" s="96" t="str">
        <f>IF(BF1088="","",IF(ISNUMBER(VLOOKUP(BF1088,'Conversion factors'!$B$35:$C$52,2,FALSE)),"y","n"))</f>
        <v/>
      </c>
      <c r="BH1088" s="99"/>
    </row>
    <row r="1089" spans="1:61" s="103" customFormat="1" ht="15.75" customHeight="1" x14ac:dyDescent="0.2">
      <c r="A1089" s="18"/>
      <c r="B1089" s="19">
        <v>234</v>
      </c>
      <c r="C1089" s="19"/>
      <c r="D1089" s="19">
        <v>71981</v>
      </c>
      <c r="E1089" s="19" t="s">
        <v>1224</v>
      </c>
      <c r="F1089" s="93">
        <v>2003</v>
      </c>
      <c r="G1089" s="19" t="s">
        <v>602</v>
      </c>
      <c r="H1089" s="19" t="s">
        <v>162</v>
      </c>
      <c r="I1089" s="19" t="s">
        <v>41</v>
      </c>
      <c r="J1089" s="19" t="s">
        <v>87</v>
      </c>
      <c r="K1089" s="19" t="s">
        <v>64</v>
      </c>
      <c r="L1089" s="99" t="s">
        <v>151</v>
      </c>
      <c r="M1089" s="19" t="s">
        <v>260</v>
      </c>
      <c r="N1089" s="19" t="s">
        <v>66</v>
      </c>
      <c r="O1089" s="19" t="s">
        <v>235</v>
      </c>
      <c r="P1089" s="19" t="s">
        <v>162</v>
      </c>
      <c r="Q1089" s="19"/>
      <c r="R1089" s="19" t="s">
        <v>76</v>
      </c>
      <c r="S1089" s="19" t="s">
        <v>534</v>
      </c>
      <c r="T1089" s="19" t="s">
        <v>44</v>
      </c>
      <c r="U1089" s="19" t="s">
        <v>44</v>
      </c>
      <c r="V1089" s="19" t="s">
        <v>94</v>
      </c>
      <c r="W1089" s="19" t="s">
        <v>231</v>
      </c>
      <c r="X1089" s="19" t="s">
        <v>46</v>
      </c>
      <c r="Y1089" s="29"/>
      <c r="Z1089" s="19"/>
      <c r="AA1089" s="19"/>
      <c r="AB1089" s="19" t="s">
        <v>633</v>
      </c>
      <c r="AC1089" s="19" t="s">
        <v>214</v>
      </c>
      <c r="AD1089" s="19"/>
      <c r="AE1089" s="19">
        <v>370</v>
      </c>
      <c r="AF1089" s="19">
        <v>370</v>
      </c>
      <c r="AG1089" s="19" t="s">
        <v>270</v>
      </c>
      <c r="AH1089" s="19"/>
      <c r="AI1089" s="19"/>
      <c r="AJ1089" s="19">
        <v>6.5</v>
      </c>
      <c r="AK1089" s="19" t="s">
        <v>613</v>
      </c>
      <c r="AL1089" s="19"/>
      <c r="AM1089" s="19" t="s">
        <v>234</v>
      </c>
      <c r="AN1089" s="19" t="s">
        <v>234</v>
      </c>
      <c r="AO1089" s="19" t="s">
        <v>235</v>
      </c>
      <c r="AP1089" s="94">
        <v>32.299999999999997</v>
      </c>
      <c r="AQ1089" s="19" t="s">
        <v>234</v>
      </c>
      <c r="AR1089" s="19" t="s">
        <v>241</v>
      </c>
      <c r="AS1089" s="19"/>
      <c r="AT1089" s="65" t="str">
        <f t="shared" si="321"/>
        <v>Y</v>
      </c>
      <c r="AU1089" s="65" t="str">
        <f t="shared" si="325"/>
        <v>Y</v>
      </c>
      <c r="AV1089" s="65" t="s">
        <v>162</v>
      </c>
      <c r="AW1089" s="99" t="s">
        <v>1406</v>
      </c>
      <c r="AX1089" s="99"/>
      <c r="AY1089" s="19"/>
      <c r="AZ1089" s="96" t="str">
        <f t="shared" si="326"/>
        <v>n</v>
      </c>
      <c r="BA1089" s="96" t="str">
        <f>IF(AZ1089="n","n",VLOOKUP(AZ1089,'Conversion factors'!$C$4:$D$24,2,FALSE))</f>
        <v>n</v>
      </c>
      <c r="BB1089" s="96" t="str">
        <f t="shared" si="327"/>
        <v>n</v>
      </c>
      <c r="BC1089" s="97"/>
      <c r="BD1089" s="96" t="str">
        <f t="shared" si="322"/>
        <v>n</v>
      </c>
      <c r="BE1089" s="96" t="str">
        <f t="shared" si="328"/>
        <v>n</v>
      </c>
      <c r="BF1089" s="98" t="str">
        <f t="shared" si="323"/>
        <v/>
      </c>
      <c r="BG1089" s="96" t="str">
        <f>IF(BF1089="","",IF(ISNUMBER(VLOOKUP(BF1089,'Conversion factors'!$B$35:$C$52,2,FALSE)),"y","n"))</f>
        <v/>
      </c>
      <c r="BH1089" s="99"/>
    </row>
    <row r="1090" spans="1:61" s="103" customFormat="1" ht="15.75" customHeight="1" x14ac:dyDescent="0.2">
      <c r="A1090" s="18"/>
      <c r="B1090" s="19">
        <v>234</v>
      </c>
      <c r="C1090" s="19"/>
      <c r="D1090" s="19">
        <v>71981</v>
      </c>
      <c r="E1090" s="19" t="s">
        <v>1224</v>
      </c>
      <c r="F1090" s="93">
        <v>2003</v>
      </c>
      <c r="G1090" s="19" t="s">
        <v>602</v>
      </c>
      <c r="H1090" s="19" t="s">
        <v>162</v>
      </c>
      <c r="I1090" s="19" t="s">
        <v>41</v>
      </c>
      <c r="J1090" s="19" t="s">
        <v>87</v>
      </c>
      <c r="K1090" s="19" t="s">
        <v>64</v>
      </c>
      <c r="L1090" s="99" t="s">
        <v>151</v>
      </c>
      <c r="M1090" s="19" t="s">
        <v>260</v>
      </c>
      <c r="N1090" s="19" t="s">
        <v>66</v>
      </c>
      <c r="O1090" s="19" t="s">
        <v>235</v>
      </c>
      <c r="P1090" s="19" t="s">
        <v>162</v>
      </c>
      <c r="Q1090" s="19"/>
      <c r="R1090" s="19" t="s">
        <v>76</v>
      </c>
      <c r="S1090" s="19" t="s">
        <v>534</v>
      </c>
      <c r="T1090" s="19" t="s">
        <v>44</v>
      </c>
      <c r="U1090" s="19" t="s">
        <v>44</v>
      </c>
      <c r="V1090" s="19" t="s">
        <v>94</v>
      </c>
      <c r="W1090" s="19" t="s">
        <v>231</v>
      </c>
      <c r="X1090" s="19" t="s">
        <v>46</v>
      </c>
      <c r="Y1090" s="29"/>
      <c r="Z1090" s="19"/>
      <c r="AA1090" s="19"/>
      <c r="AB1090" s="19" t="s">
        <v>634</v>
      </c>
      <c r="AC1090" s="19" t="s">
        <v>214</v>
      </c>
      <c r="AD1090" s="19"/>
      <c r="AE1090" s="19">
        <v>110</v>
      </c>
      <c r="AF1090" s="19">
        <v>110</v>
      </c>
      <c r="AG1090" s="19" t="s">
        <v>270</v>
      </c>
      <c r="AH1090" s="19"/>
      <c r="AI1090" s="19"/>
      <c r="AJ1090" s="19">
        <v>8</v>
      </c>
      <c r="AK1090" s="19" t="s">
        <v>605</v>
      </c>
      <c r="AL1090" s="19"/>
      <c r="AM1090" s="19" t="s">
        <v>234</v>
      </c>
      <c r="AN1090" s="19" t="s">
        <v>234</v>
      </c>
      <c r="AO1090" s="19" t="s">
        <v>235</v>
      </c>
      <c r="AP1090" s="94">
        <v>32.299999999999997</v>
      </c>
      <c r="AQ1090" s="19" t="s">
        <v>234</v>
      </c>
      <c r="AR1090" s="19" t="s">
        <v>241</v>
      </c>
      <c r="AS1090" s="19"/>
      <c r="AT1090" s="65" t="str">
        <f t="shared" si="321"/>
        <v>Y</v>
      </c>
      <c r="AU1090" s="65" t="str">
        <f t="shared" si="325"/>
        <v>Y</v>
      </c>
      <c r="AV1090" s="65" t="s">
        <v>162</v>
      </c>
      <c r="AW1090" s="99" t="s">
        <v>1406</v>
      </c>
      <c r="AX1090" s="99"/>
      <c r="AY1090" s="19"/>
      <c r="AZ1090" s="96" t="str">
        <f t="shared" si="326"/>
        <v>n</v>
      </c>
      <c r="BA1090" s="96" t="str">
        <f>IF(AZ1090="n","n",VLOOKUP(AZ1090,'Conversion factors'!$C$4:$D$24,2,FALSE))</f>
        <v>n</v>
      </c>
      <c r="BB1090" s="96" t="str">
        <f t="shared" si="327"/>
        <v>n</v>
      </c>
      <c r="BC1090" s="97"/>
      <c r="BD1090" s="96" t="str">
        <f t="shared" si="322"/>
        <v>n</v>
      </c>
      <c r="BE1090" s="96" t="str">
        <f t="shared" si="328"/>
        <v>n</v>
      </c>
      <c r="BF1090" s="98" t="str">
        <f t="shared" si="323"/>
        <v/>
      </c>
      <c r="BG1090" s="96" t="str">
        <f>IF(BF1090="","",IF(ISNUMBER(VLOOKUP(BF1090,'Conversion factors'!$B$35:$C$52,2,FALSE)),"y","n"))</f>
        <v/>
      </c>
      <c r="BH1090" s="99"/>
    </row>
    <row r="1091" spans="1:61" s="103" customFormat="1" ht="15.75" customHeight="1" x14ac:dyDescent="0.2">
      <c r="A1091" s="18"/>
      <c r="B1091" s="19">
        <v>234</v>
      </c>
      <c r="C1091" s="19"/>
      <c r="D1091" s="19">
        <v>71981</v>
      </c>
      <c r="E1091" s="19" t="s">
        <v>1224</v>
      </c>
      <c r="F1091" s="93">
        <v>2003</v>
      </c>
      <c r="G1091" s="19" t="s">
        <v>602</v>
      </c>
      <c r="H1091" s="19" t="s">
        <v>162</v>
      </c>
      <c r="I1091" s="19" t="s">
        <v>41</v>
      </c>
      <c r="J1091" s="19" t="s">
        <v>87</v>
      </c>
      <c r="K1091" s="19" t="s">
        <v>64</v>
      </c>
      <c r="L1091" s="99" t="s">
        <v>151</v>
      </c>
      <c r="M1091" s="19" t="s">
        <v>260</v>
      </c>
      <c r="N1091" s="19" t="s">
        <v>66</v>
      </c>
      <c r="O1091" s="19" t="s">
        <v>235</v>
      </c>
      <c r="P1091" s="19" t="s">
        <v>162</v>
      </c>
      <c r="Q1091" s="19"/>
      <c r="R1091" s="19" t="s">
        <v>76</v>
      </c>
      <c r="S1091" s="19" t="s">
        <v>534</v>
      </c>
      <c r="T1091" s="19" t="s">
        <v>44</v>
      </c>
      <c r="U1091" s="19" t="s">
        <v>44</v>
      </c>
      <c r="V1091" s="19" t="s">
        <v>94</v>
      </c>
      <c r="W1091" s="19" t="s">
        <v>231</v>
      </c>
      <c r="X1091" s="19" t="s">
        <v>46</v>
      </c>
      <c r="Y1091" s="29"/>
      <c r="Z1091" s="19"/>
      <c r="AA1091" s="19"/>
      <c r="AB1091" s="19" t="s">
        <v>635</v>
      </c>
      <c r="AC1091" s="19" t="s">
        <v>214</v>
      </c>
      <c r="AD1091" s="19"/>
      <c r="AE1091" s="19">
        <v>240</v>
      </c>
      <c r="AF1091" s="19">
        <v>240</v>
      </c>
      <c r="AG1091" s="19" t="s">
        <v>270</v>
      </c>
      <c r="AH1091" s="19"/>
      <c r="AI1091" s="19"/>
      <c r="AJ1091" s="19">
        <v>7.25</v>
      </c>
      <c r="AK1091" s="19" t="s">
        <v>610</v>
      </c>
      <c r="AL1091" s="19"/>
      <c r="AM1091" s="19" t="s">
        <v>234</v>
      </c>
      <c r="AN1091" s="19" t="s">
        <v>234</v>
      </c>
      <c r="AO1091" s="19" t="s">
        <v>235</v>
      </c>
      <c r="AP1091" s="94">
        <v>21</v>
      </c>
      <c r="AQ1091" s="19" t="s">
        <v>234</v>
      </c>
      <c r="AR1091" s="19" t="s">
        <v>241</v>
      </c>
      <c r="AS1091" s="19"/>
      <c r="AT1091" s="65" t="str">
        <f t="shared" si="321"/>
        <v>Y</v>
      </c>
      <c r="AU1091" s="65" t="str">
        <f t="shared" si="325"/>
        <v>Y</v>
      </c>
      <c r="AV1091" s="65" t="s">
        <v>162</v>
      </c>
      <c r="AW1091" s="99" t="s">
        <v>1406</v>
      </c>
      <c r="AX1091" s="99"/>
      <c r="AY1091" s="19"/>
      <c r="AZ1091" s="96" t="str">
        <f t="shared" si="326"/>
        <v>n</v>
      </c>
      <c r="BA1091" s="96" t="str">
        <f>IF(AZ1091="n","n",VLOOKUP(AZ1091,'Conversion factors'!$C$4:$D$24,2,FALSE))</f>
        <v>n</v>
      </c>
      <c r="BB1091" s="96" t="str">
        <f t="shared" si="327"/>
        <v>n</v>
      </c>
      <c r="BC1091" s="97"/>
      <c r="BD1091" s="96" t="str">
        <f t="shared" si="322"/>
        <v>n</v>
      </c>
      <c r="BE1091" s="96" t="str">
        <f t="shared" si="328"/>
        <v>n</v>
      </c>
      <c r="BF1091" s="98" t="str">
        <f t="shared" si="323"/>
        <v/>
      </c>
      <c r="BG1091" s="96" t="str">
        <f>IF(BF1091="","",IF(ISNUMBER(VLOOKUP(BF1091,'Conversion factors'!$B$35:$C$52,2,FALSE)),"y","n"))</f>
        <v/>
      </c>
      <c r="BH1091" s="99"/>
    </row>
    <row r="1092" spans="1:61" s="103" customFormat="1" ht="15.75" customHeight="1" x14ac:dyDescent="0.2">
      <c r="A1092" s="18"/>
      <c r="B1092" s="19">
        <v>234</v>
      </c>
      <c r="C1092" s="19"/>
      <c r="D1092" s="19">
        <v>71981</v>
      </c>
      <c r="E1092" s="19" t="s">
        <v>1224</v>
      </c>
      <c r="F1092" s="93">
        <v>2003</v>
      </c>
      <c r="G1092" s="19" t="s">
        <v>602</v>
      </c>
      <c r="H1092" s="19" t="s">
        <v>162</v>
      </c>
      <c r="I1092" s="19" t="s">
        <v>41</v>
      </c>
      <c r="J1092" s="19" t="s">
        <v>87</v>
      </c>
      <c r="K1092" s="19" t="s">
        <v>64</v>
      </c>
      <c r="L1092" s="99" t="s">
        <v>151</v>
      </c>
      <c r="M1092" s="19" t="s">
        <v>260</v>
      </c>
      <c r="N1092" s="19" t="s">
        <v>66</v>
      </c>
      <c r="O1092" s="19" t="s">
        <v>235</v>
      </c>
      <c r="P1092" s="19" t="s">
        <v>162</v>
      </c>
      <c r="Q1092" s="19"/>
      <c r="R1092" s="19" t="s">
        <v>76</v>
      </c>
      <c r="S1092" s="19" t="s">
        <v>534</v>
      </c>
      <c r="T1092" s="19" t="s">
        <v>44</v>
      </c>
      <c r="U1092" s="19" t="s">
        <v>44</v>
      </c>
      <c r="V1092" s="19" t="s">
        <v>94</v>
      </c>
      <c r="W1092" s="19" t="s">
        <v>231</v>
      </c>
      <c r="X1092" s="19" t="s">
        <v>46</v>
      </c>
      <c r="Y1092" s="29"/>
      <c r="Z1092" s="19"/>
      <c r="AA1092" s="19"/>
      <c r="AB1092" s="19" t="s">
        <v>636</v>
      </c>
      <c r="AC1092" s="19" t="s">
        <v>214</v>
      </c>
      <c r="AD1092" s="19"/>
      <c r="AE1092" s="19">
        <v>240</v>
      </c>
      <c r="AF1092" s="19">
        <v>240</v>
      </c>
      <c r="AG1092" s="19" t="s">
        <v>270</v>
      </c>
      <c r="AH1092" s="19"/>
      <c r="AI1092" s="19"/>
      <c r="AJ1092" s="19">
        <v>7.25</v>
      </c>
      <c r="AK1092" s="19" t="s">
        <v>610</v>
      </c>
      <c r="AL1092" s="19"/>
      <c r="AM1092" s="19" t="s">
        <v>234</v>
      </c>
      <c r="AN1092" s="19" t="s">
        <v>234</v>
      </c>
      <c r="AO1092" s="19" t="s">
        <v>235</v>
      </c>
      <c r="AP1092" s="94">
        <v>21</v>
      </c>
      <c r="AQ1092" s="19" t="s">
        <v>234</v>
      </c>
      <c r="AR1092" s="19" t="s">
        <v>241</v>
      </c>
      <c r="AS1092" s="19"/>
      <c r="AT1092" s="65" t="str">
        <f t="shared" si="321"/>
        <v>Y</v>
      </c>
      <c r="AU1092" s="65" t="str">
        <f t="shared" si="325"/>
        <v>Y</v>
      </c>
      <c r="AV1092" s="65" t="s">
        <v>162</v>
      </c>
      <c r="AW1092" s="99" t="s">
        <v>1406</v>
      </c>
      <c r="AX1092" s="99"/>
      <c r="AY1092" s="19"/>
      <c r="AZ1092" s="96" t="str">
        <f t="shared" si="326"/>
        <v>n</v>
      </c>
      <c r="BA1092" s="96" t="str">
        <f>IF(AZ1092="n","n",VLOOKUP(AZ1092,'Conversion factors'!$C$4:$D$24,2,FALSE))</f>
        <v>n</v>
      </c>
      <c r="BB1092" s="96" t="str">
        <f t="shared" si="327"/>
        <v>n</v>
      </c>
      <c r="BC1092" s="97"/>
      <c r="BD1092" s="96" t="str">
        <f t="shared" si="322"/>
        <v>n</v>
      </c>
      <c r="BE1092" s="96" t="str">
        <f t="shared" si="328"/>
        <v>n</v>
      </c>
      <c r="BF1092" s="98" t="str">
        <f t="shared" si="323"/>
        <v/>
      </c>
      <c r="BG1092" s="96" t="str">
        <f>IF(BF1092="","",IF(ISNUMBER(VLOOKUP(BF1092,'Conversion factors'!$B$35:$C$52,2,FALSE)),"y","n"))</f>
        <v/>
      </c>
      <c r="BH1092" s="99"/>
    </row>
    <row r="1093" spans="1:61" s="103" customFormat="1" ht="15.75" customHeight="1" x14ac:dyDescent="0.2">
      <c r="A1093" s="18"/>
      <c r="B1093" s="19">
        <v>234</v>
      </c>
      <c r="C1093" s="19"/>
      <c r="D1093" s="19">
        <v>71981</v>
      </c>
      <c r="E1093" s="19" t="s">
        <v>1224</v>
      </c>
      <c r="F1093" s="93">
        <v>2003</v>
      </c>
      <c r="G1093" s="19" t="s">
        <v>602</v>
      </c>
      <c r="H1093" s="19" t="s">
        <v>162</v>
      </c>
      <c r="I1093" s="19" t="s">
        <v>41</v>
      </c>
      <c r="J1093" s="19" t="s">
        <v>87</v>
      </c>
      <c r="K1093" s="19" t="s">
        <v>64</v>
      </c>
      <c r="L1093" s="99" t="s">
        <v>151</v>
      </c>
      <c r="M1093" s="19" t="s">
        <v>260</v>
      </c>
      <c r="N1093" s="19" t="s">
        <v>66</v>
      </c>
      <c r="O1093" s="19" t="s">
        <v>235</v>
      </c>
      <c r="P1093" s="19" t="s">
        <v>162</v>
      </c>
      <c r="Q1093" s="19"/>
      <c r="R1093" s="19" t="s">
        <v>76</v>
      </c>
      <c r="S1093" s="19" t="s">
        <v>534</v>
      </c>
      <c r="T1093" s="19" t="s">
        <v>44</v>
      </c>
      <c r="U1093" s="19" t="s">
        <v>44</v>
      </c>
      <c r="V1093" s="19" t="s">
        <v>94</v>
      </c>
      <c r="W1093" s="19" t="s">
        <v>231</v>
      </c>
      <c r="X1093" s="19" t="s">
        <v>46</v>
      </c>
      <c r="Y1093" s="29"/>
      <c r="Z1093" s="19"/>
      <c r="AA1093" s="19"/>
      <c r="AB1093" s="19" t="s">
        <v>637</v>
      </c>
      <c r="AC1093" s="19" t="s">
        <v>214</v>
      </c>
      <c r="AD1093" s="19"/>
      <c r="AE1093" s="19">
        <v>370</v>
      </c>
      <c r="AF1093" s="19">
        <v>370</v>
      </c>
      <c r="AG1093" s="19" t="s">
        <v>270</v>
      </c>
      <c r="AH1093" s="19"/>
      <c r="AI1093" s="19"/>
      <c r="AJ1093" s="19">
        <v>6.5</v>
      </c>
      <c r="AK1093" s="19" t="s">
        <v>613</v>
      </c>
      <c r="AL1093" s="19"/>
      <c r="AM1093" s="19" t="s">
        <v>234</v>
      </c>
      <c r="AN1093" s="19" t="s">
        <v>234</v>
      </c>
      <c r="AO1093" s="19" t="s">
        <v>235</v>
      </c>
      <c r="AP1093" s="94">
        <v>9.6999999999999993</v>
      </c>
      <c r="AQ1093" s="19" t="s">
        <v>234</v>
      </c>
      <c r="AR1093" s="19" t="s">
        <v>241</v>
      </c>
      <c r="AS1093" s="19"/>
      <c r="AT1093" s="65" t="str">
        <f t="shared" si="321"/>
        <v>Y</v>
      </c>
      <c r="AU1093" s="65" t="str">
        <f t="shared" si="325"/>
        <v>Y</v>
      </c>
      <c r="AV1093" s="65" t="s">
        <v>162</v>
      </c>
      <c r="AW1093" s="99" t="s">
        <v>1406</v>
      </c>
      <c r="AX1093" s="99"/>
      <c r="AY1093" s="19"/>
      <c r="AZ1093" s="96" t="str">
        <f t="shared" si="326"/>
        <v>n</v>
      </c>
      <c r="BA1093" s="96" t="str">
        <f>IF(AZ1093="n","n",VLOOKUP(AZ1093,'Conversion factors'!$C$4:$D$24,2,FALSE))</f>
        <v>n</v>
      </c>
      <c r="BB1093" s="96" t="str">
        <f t="shared" si="327"/>
        <v>n</v>
      </c>
      <c r="BC1093" s="97"/>
      <c r="BD1093" s="96" t="str">
        <f t="shared" si="322"/>
        <v>n</v>
      </c>
      <c r="BE1093" s="96" t="str">
        <f t="shared" si="328"/>
        <v>n</v>
      </c>
      <c r="BF1093" s="98" t="str">
        <f t="shared" si="323"/>
        <v/>
      </c>
      <c r="BG1093" s="96" t="str">
        <f>IF(BF1093="","",IF(ISNUMBER(VLOOKUP(BF1093,'Conversion factors'!$B$35:$C$52,2,FALSE)),"y","n"))</f>
        <v/>
      </c>
      <c r="BH1093" s="99"/>
    </row>
    <row r="1094" spans="1:61" s="103" customFormat="1" ht="15.75" customHeight="1" x14ac:dyDescent="0.2">
      <c r="A1094" s="18"/>
      <c r="B1094" s="19">
        <v>234</v>
      </c>
      <c r="C1094" s="19"/>
      <c r="D1094" s="19">
        <v>71981</v>
      </c>
      <c r="E1094" s="19" t="s">
        <v>1224</v>
      </c>
      <c r="F1094" s="93">
        <v>2003</v>
      </c>
      <c r="G1094" s="19" t="s">
        <v>602</v>
      </c>
      <c r="H1094" s="19" t="s">
        <v>162</v>
      </c>
      <c r="I1094" s="19" t="s">
        <v>41</v>
      </c>
      <c r="J1094" s="19" t="s">
        <v>87</v>
      </c>
      <c r="K1094" s="19" t="s">
        <v>64</v>
      </c>
      <c r="L1094" s="99" t="s">
        <v>151</v>
      </c>
      <c r="M1094" s="19" t="s">
        <v>260</v>
      </c>
      <c r="N1094" s="19" t="s">
        <v>66</v>
      </c>
      <c r="O1094" s="19" t="s">
        <v>235</v>
      </c>
      <c r="P1094" s="19" t="s">
        <v>162</v>
      </c>
      <c r="Q1094" s="19"/>
      <c r="R1094" s="19" t="s">
        <v>76</v>
      </c>
      <c r="S1094" s="19" t="s">
        <v>534</v>
      </c>
      <c r="T1094" s="19" t="s">
        <v>44</v>
      </c>
      <c r="U1094" s="19" t="s">
        <v>44</v>
      </c>
      <c r="V1094" s="19" t="s">
        <v>94</v>
      </c>
      <c r="W1094" s="19" t="s">
        <v>231</v>
      </c>
      <c r="X1094" s="19" t="s">
        <v>46</v>
      </c>
      <c r="Y1094" s="29"/>
      <c r="Z1094" s="19"/>
      <c r="AA1094" s="19"/>
      <c r="AB1094" s="19" t="s">
        <v>638</v>
      </c>
      <c r="AC1094" s="19" t="s">
        <v>214</v>
      </c>
      <c r="AD1094" s="19"/>
      <c r="AE1094" s="19">
        <v>370</v>
      </c>
      <c r="AF1094" s="19">
        <v>370</v>
      </c>
      <c r="AG1094" s="19" t="s">
        <v>270</v>
      </c>
      <c r="AH1094" s="19"/>
      <c r="AI1094" s="19"/>
      <c r="AJ1094" s="19">
        <v>8</v>
      </c>
      <c r="AK1094" s="19" t="s">
        <v>605</v>
      </c>
      <c r="AL1094" s="19"/>
      <c r="AM1094" s="19" t="s">
        <v>234</v>
      </c>
      <c r="AN1094" s="19" t="s">
        <v>234</v>
      </c>
      <c r="AO1094" s="19" t="s">
        <v>235</v>
      </c>
      <c r="AP1094" s="94">
        <v>9.6999999999999993</v>
      </c>
      <c r="AQ1094" s="19" t="s">
        <v>234</v>
      </c>
      <c r="AR1094" s="19" t="s">
        <v>241</v>
      </c>
      <c r="AS1094" s="19"/>
      <c r="AT1094" s="65" t="str">
        <f t="shared" si="321"/>
        <v>Y</v>
      </c>
      <c r="AU1094" s="65" t="str">
        <f t="shared" si="325"/>
        <v>Y</v>
      </c>
      <c r="AV1094" s="65" t="s">
        <v>162</v>
      </c>
      <c r="AW1094" s="99" t="s">
        <v>1406</v>
      </c>
      <c r="AX1094" s="99"/>
      <c r="AY1094" s="19"/>
      <c r="AZ1094" s="96" t="str">
        <f t="shared" si="326"/>
        <v>n</v>
      </c>
      <c r="BA1094" s="96" t="str">
        <f>IF(AZ1094="n","n",VLOOKUP(AZ1094,'Conversion factors'!$C$4:$D$24,2,FALSE))</f>
        <v>n</v>
      </c>
      <c r="BB1094" s="96" t="str">
        <f t="shared" si="327"/>
        <v>n</v>
      </c>
      <c r="BC1094" s="97"/>
      <c r="BD1094" s="96" t="str">
        <f t="shared" si="322"/>
        <v>n</v>
      </c>
      <c r="BE1094" s="96" t="str">
        <f t="shared" si="328"/>
        <v>n</v>
      </c>
      <c r="BF1094" s="98" t="str">
        <f t="shared" si="323"/>
        <v/>
      </c>
      <c r="BG1094" s="96" t="str">
        <f>IF(BF1094="","",IF(ISNUMBER(VLOOKUP(BF1094,'Conversion factors'!$B$35:$C$52,2,FALSE)),"y","n"))</f>
        <v/>
      </c>
      <c r="BH1094" s="99"/>
    </row>
    <row r="1095" spans="1:61" s="103" customFormat="1" ht="15.75" customHeight="1" x14ac:dyDescent="0.2">
      <c r="A1095" s="18"/>
      <c r="B1095" s="19">
        <v>234</v>
      </c>
      <c r="C1095" s="19"/>
      <c r="D1095" s="19">
        <v>71981</v>
      </c>
      <c r="E1095" s="19" t="s">
        <v>1224</v>
      </c>
      <c r="F1095" s="93">
        <v>2003</v>
      </c>
      <c r="G1095" s="19" t="s">
        <v>602</v>
      </c>
      <c r="H1095" s="19" t="s">
        <v>162</v>
      </c>
      <c r="I1095" s="19" t="s">
        <v>41</v>
      </c>
      <c r="J1095" s="19" t="s">
        <v>87</v>
      </c>
      <c r="K1095" s="19" t="s">
        <v>64</v>
      </c>
      <c r="L1095" s="99" t="s">
        <v>151</v>
      </c>
      <c r="M1095" s="19" t="s">
        <v>260</v>
      </c>
      <c r="N1095" s="19" t="s">
        <v>66</v>
      </c>
      <c r="O1095" s="19" t="s">
        <v>235</v>
      </c>
      <c r="P1095" s="19" t="s">
        <v>162</v>
      </c>
      <c r="Q1095" s="19"/>
      <c r="R1095" s="19" t="s">
        <v>76</v>
      </c>
      <c r="S1095" s="19" t="s">
        <v>534</v>
      </c>
      <c r="T1095" s="19" t="s">
        <v>44</v>
      </c>
      <c r="U1095" s="19" t="s">
        <v>44</v>
      </c>
      <c r="V1095" s="19" t="s">
        <v>94</v>
      </c>
      <c r="W1095" s="19" t="s">
        <v>231</v>
      </c>
      <c r="X1095" s="19" t="s">
        <v>46</v>
      </c>
      <c r="Y1095" s="29"/>
      <c r="Z1095" s="19"/>
      <c r="AA1095" s="19"/>
      <c r="AB1095" s="19" t="s">
        <v>639</v>
      </c>
      <c r="AC1095" s="19" t="s">
        <v>214</v>
      </c>
      <c r="AD1095" s="19"/>
      <c r="AE1095" s="19">
        <v>370</v>
      </c>
      <c r="AF1095" s="19">
        <v>370</v>
      </c>
      <c r="AG1095" s="19" t="s">
        <v>270</v>
      </c>
      <c r="AH1095" s="19"/>
      <c r="AI1095" s="19"/>
      <c r="AJ1095" s="19">
        <v>8</v>
      </c>
      <c r="AK1095" s="19" t="s">
        <v>605</v>
      </c>
      <c r="AL1095" s="19"/>
      <c r="AM1095" s="19" t="s">
        <v>234</v>
      </c>
      <c r="AN1095" s="19" t="s">
        <v>234</v>
      </c>
      <c r="AO1095" s="19" t="s">
        <v>235</v>
      </c>
      <c r="AP1095" s="94">
        <v>32.299999999999997</v>
      </c>
      <c r="AQ1095" s="19" t="s">
        <v>234</v>
      </c>
      <c r="AR1095" s="19" t="s">
        <v>241</v>
      </c>
      <c r="AS1095" s="19"/>
      <c r="AT1095" s="65" t="str">
        <f t="shared" si="321"/>
        <v>Y</v>
      </c>
      <c r="AU1095" s="65" t="str">
        <f t="shared" si="325"/>
        <v>Y</v>
      </c>
      <c r="AV1095" s="65" t="s">
        <v>162</v>
      </c>
      <c r="AW1095" s="99" t="s">
        <v>1406</v>
      </c>
      <c r="AX1095" s="99"/>
      <c r="AY1095" s="19"/>
      <c r="AZ1095" s="96" t="str">
        <f t="shared" si="326"/>
        <v>n</v>
      </c>
      <c r="BA1095" s="96" t="str">
        <f>IF(AZ1095="n","n",VLOOKUP(AZ1095,'Conversion factors'!$C$4:$D$24,2,FALSE))</f>
        <v>n</v>
      </c>
      <c r="BB1095" s="96" t="str">
        <f t="shared" si="327"/>
        <v>n</v>
      </c>
      <c r="BC1095" s="97"/>
      <c r="BD1095" s="96" t="str">
        <f t="shared" si="322"/>
        <v>n</v>
      </c>
      <c r="BE1095" s="96" t="str">
        <f t="shared" si="328"/>
        <v>n</v>
      </c>
      <c r="BF1095" s="98" t="str">
        <f t="shared" si="323"/>
        <v/>
      </c>
      <c r="BG1095" s="96" t="str">
        <f>IF(BF1095="","",IF(ISNUMBER(VLOOKUP(BF1095,'Conversion factors'!$B$35:$C$52,2,FALSE)),"y","n"))</f>
        <v/>
      </c>
      <c r="BH1095" s="99"/>
    </row>
    <row r="1096" spans="1:61" s="103" customFormat="1" ht="15.75" customHeight="1" x14ac:dyDescent="0.2">
      <c r="A1096" s="18"/>
      <c r="B1096" s="19">
        <v>234</v>
      </c>
      <c r="C1096" s="19"/>
      <c r="D1096" s="19">
        <v>71981</v>
      </c>
      <c r="E1096" s="19" t="s">
        <v>1224</v>
      </c>
      <c r="F1096" s="93">
        <v>2003</v>
      </c>
      <c r="G1096" s="19" t="s">
        <v>602</v>
      </c>
      <c r="H1096" s="19" t="s">
        <v>162</v>
      </c>
      <c r="I1096" s="19" t="s">
        <v>41</v>
      </c>
      <c r="J1096" s="19" t="s">
        <v>87</v>
      </c>
      <c r="K1096" s="19" t="s">
        <v>64</v>
      </c>
      <c r="L1096" s="99" t="s">
        <v>151</v>
      </c>
      <c r="M1096" s="19" t="s">
        <v>260</v>
      </c>
      <c r="N1096" s="19" t="s">
        <v>66</v>
      </c>
      <c r="O1096" s="19" t="s">
        <v>235</v>
      </c>
      <c r="P1096" s="19" t="s">
        <v>162</v>
      </c>
      <c r="Q1096" s="19"/>
      <c r="R1096" s="19" t="s">
        <v>76</v>
      </c>
      <c r="S1096" s="19" t="s">
        <v>534</v>
      </c>
      <c r="T1096" s="19" t="s">
        <v>44</v>
      </c>
      <c r="U1096" s="19" t="s">
        <v>44</v>
      </c>
      <c r="V1096" s="19" t="s">
        <v>94</v>
      </c>
      <c r="W1096" s="19" t="s">
        <v>231</v>
      </c>
      <c r="X1096" s="19" t="s">
        <v>46</v>
      </c>
      <c r="Y1096" s="29"/>
      <c r="Z1096" s="19"/>
      <c r="AA1096" s="19"/>
      <c r="AB1096" s="19" t="s">
        <v>640</v>
      </c>
      <c r="AC1096" s="19" t="s">
        <v>214</v>
      </c>
      <c r="AD1096" s="19"/>
      <c r="AE1096" s="19">
        <v>35</v>
      </c>
      <c r="AF1096" s="19">
        <v>35</v>
      </c>
      <c r="AG1096" s="19" t="s">
        <v>270</v>
      </c>
      <c r="AH1096" s="19"/>
      <c r="AI1096" s="19"/>
      <c r="AJ1096" s="19">
        <v>7.25</v>
      </c>
      <c r="AK1096" s="19" t="s">
        <v>610</v>
      </c>
      <c r="AL1096" s="19"/>
      <c r="AM1096" s="19" t="s">
        <v>234</v>
      </c>
      <c r="AN1096" s="19" t="s">
        <v>234</v>
      </c>
      <c r="AO1096" s="19" t="s">
        <v>235</v>
      </c>
      <c r="AP1096" s="94">
        <v>21</v>
      </c>
      <c r="AQ1096" s="19" t="s">
        <v>234</v>
      </c>
      <c r="AR1096" s="19" t="s">
        <v>241</v>
      </c>
      <c r="AS1096" s="19"/>
      <c r="AT1096" s="65" t="str">
        <f t="shared" si="321"/>
        <v>Y</v>
      </c>
      <c r="AU1096" s="65" t="str">
        <f t="shared" si="325"/>
        <v>Y</v>
      </c>
      <c r="AV1096" s="65" t="s">
        <v>162</v>
      </c>
      <c r="AW1096" s="99" t="s">
        <v>1406</v>
      </c>
      <c r="AX1096" s="99"/>
      <c r="AY1096" s="19"/>
      <c r="AZ1096" s="96" t="str">
        <f t="shared" si="326"/>
        <v>n</v>
      </c>
      <c r="BA1096" s="96" t="str">
        <f>IF(AZ1096="n","n",VLOOKUP(AZ1096,'Conversion factors'!$C$4:$D$24,2,FALSE))</f>
        <v>n</v>
      </c>
      <c r="BB1096" s="96" t="str">
        <f t="shared" si="327"/>
        <v>n</v>
      </c>
      <c r="BC1096" s="97"/>
      <c r="BD1096" s="96" t="str">
        <f t="shared" si="322"/>
        <v>n</v>
      </c>
      <c r="BE1096" s="96" t="str">
        <f t="shared" si="328"/>
        <v>n</v>
      </c>
      <c r="BF1096" s="98" t="str">
        <f t="shared" si="323"/>
        <v/>
      </c>
      <c r="BG1096" s="96" t="str">
        <f>IF(BF1096="","",IF(ISNUMBER(VLOOKUP(BF1096,'Conversion factors'!$B$35:$C$52,2,FALSE)),"y","n"))</f>
        <v/>
      </c>
      <c r="BH1096" s="99"/>
    </row>
    <row r="1097" spans="1:61" s="103" customFormat="1" ht="15.75" customHeight="1" x14ac:dyDescent="0.2">
      <c r="A1097" s="18"/>
      <c r="B1097" s="19">
        <v>234</v>
      </c>
      <c r="C1097" s="19"/>
      <c r="D1097" s="19">
        <v>71981</v>
      </c>
      <c r="E1097" s="19" t="s">
        <v>1224</v>
      </c>
      <c r="F1097" s="93">
        <v>2003</v>
      </c>
      <c r="G1097" s="19" t="s">
        <v>602</v>
      </c>
      <c r="H1097" s="19" t="s">
        <v>162</v>
      </c>
      <c r="I1097" s="19" t="s">
        <v>41</v>
      </c>
      <c r="J1097" s="19" t="s">
        <v>87</v>
      </c>
      <c r="K1097" s="19" t="s">
        <v>64</v>
      </c>
      <c r="L1097" s="99" t="s">
        <v>151</v>
      </c>
      <c r="M1097" s="19" t="s">
        <v>260</v>
      </c>
      <c r="N1097" s="19" t="s">
        <v>66</v>
      </c>
      <c r="O1097" s="19" t="s">
        <v>235</v>
      </c>
      <c r="P1097" s="19" t="s">
        <v>162</v>
      </c>
      <c r="Q1097" s="19"/>
      <c r="R1097" s="19" t="s">
        <v>76</v>
      </c>
      <c r="S1097" s="19" t="s">
        <v>534</v>
      </c>
      <c r="T1097" s="19" t="s">
        <v>44</v>
      </c>
      <c r="U1097" s="19" t="s">
        <v>44</v>
      </c>
      <c r="V1097" s="19" t="s">
        <v>94</v>
      </c>
      <c r="W1097" s="19" t="s">
        <v>231</v>
      </c>
      <c r="X1097" s="19" t="s">
        <v>46</v>
      </c>
      <c r="Y1097" s="29"/>
      <c r="Z1097" s="19"/>
      <c r="AA1097" s="19"/>
      <c r="AB1097" s="19" t="s">
        <v>641</v>
      </c>
      <c r="AC1097" s="19" t="s">
        <v>214</v>
      </c>
      <c r="AD1097" s="19"/>
      <c r="AE1097" s="19">
        <v>110</v>
      </c>
      <c r="AF1097" s="19">
        <v>110</v>
      </c>
      <c r="AG1097" s="19" t="s">
        <v>270</v>
      </c>
      <c r="AH1097" s="19"/>
      <c r="AI1097" s="19"/>
      <c r="AJ1097" s="19">
        <v>6.5</v>
      </c>
      <c r="AK1097" s="19" t="s">
        <v>613</v>
      </c>
      <c r="AL1097" s="19"/>
      <c r="AM1097" s="19" t="s">
        <v>234</v>
      </c>
      <c r="AN1097" s="19" t="s">
        <v>234</v>
      </c>
      <c r="AO1097" s="19" t="s">
        <v>235</v>
      </c>
      <c r="AP1097" s="94">
        <v>9.6999999999999993</v>
      </c>
      <c r="AQ1097" s="19" t="s">
        <v>234</v>
      </c>
      <c r="AR1097" s="19" t="s">
        <v>241</v>
      </c>
      <c r="AS1097" s="19"/>
      <c r="AT1097" s="65" t="str">
        <f t="shared" si="321"/>
        <v>Y</v>
      </c>
      <c r="AU1097" s="65" t="str">
        <f t="shared" si="325"/>
        <v>Y</v>
      </c>
      <c r="AV1097" s="65" t="s">
        <v>162</v>
      </c>
      <c r="AW1097" s="99" t="s">
        <v>1406</v>
      </c>
      <c r="AX1097" s="99"/>
      <c r="AY1097" s="19"/>
      <c r="AZ1097" s="96" t="str">
        <f t="shared" si="326"/>
        <v>n</v>
      </c>
      <c r="BA1097" s="96" t="str">
        <f>IF(AZ1097="n","n",VLOOKUP(AZ1097,'Conversion factors'!$C$4:$D$24,2,FALSE))</f>
        <v>n</v>
      </c>
      <c r="BB1097" s="96" t="str">
        <f t="shared" si="327"/>
        <v>n</v>
      </c>
      <c r="BC1097" s="97"/>
      <c r="BD1097" s="96" t="str">
        <f t="shared" si="322"/>
        <v>n</v>
      </c>
      <c r="BE1097" s="96" t="str">
        <f t="shared" si="328"/>
        <v>n</v>
      </c>
      <c r="BF1097" s="98" t="str">
        <f t="shared" si="323"/>
        <v/>
      </c>
      <c r="BG1097" s="96" t="str">
        <f>IF(BF1097="","",IF(ISNUMBER(VLOOKUP(BF1097,'Conversion factors'!$B$35:$C$52,2,FALSE)),"y","n"))</f>
        <v/>
      </c>
      <c r="BH1097" s="99"/>
    </row>
    <row r="1098" spans="1:61" s="103" customFormat="1" ht="15.75" customHeight="1" x14ac:dyDescent="0.2">
      <c r="A1098" s="18"/>
      <c r="B1098" s="19">
        <v>234</v>
      </c>
      <c r="C1098" s="19"/>
      <c r="D1098" s="19">
        <v>71981</v>
      </c>
      <c r="E1098" s="19" t="s">
        <v>1224</v>
      </c>
      <c r="F1098" s="93">
        <v>2003</v>
      </c>
      <c r="G1098" s="19" t="s">
        <v>602</v>
      </c>
      <c r="H1098" s="19" t="s">
        <v>162</v>
      </c>
      <c r="I1098" s="19" t="s">
        <v>41</v>
      </c>
      <c r="J1098" s="19" t="s">
        <v>87</v>
      </c>
      <c r="K1098" s="19" t="s">
        <v>64</v>
      </c>
      <c r="L1098" s="99" t="s">
        <v>151</v>
      </c>
      <c r="M1098" s="19" t="s">
        <v>260</v>
      </c>
      <c r="N1098" s="19" t="s">
        <v>66</v>
      </c>
      <c r="O1098" s="19" t="s">
        <v>235</v>
      </c>
      <c r="P1098" s="19" t="s">
        <v>162</v>
      </c>
      <c r="Q1098" s="19"/>
      <c r="R1098" s="19" t="s">
        <v>76</v>
      </c>
      <c r="S1098" s="19" t="s">
        <v>534</v>
      </c>
      <c r="T1098" s="19" t="s">
        <v>44</v>
      </c>
      <c r="U1098" s="19" t="s">
        <v>44</v>
      </c>
      <c r="V1098" s="19" t="s">
        <v>94</v>
      </c>
      <c r="W1098" s="19" t="s">
        <v>231</v>
      </c>
      <c r="X1098" s="19" t="s">
        <v>46</v>
      </c>
      <c r="Y1098" s="29"/>
      <c r="Z1098" s="19"/>
      <c r="AA1098" s="19"/>
      <c r="AB1098" s="19" t="s">
        <v>642</v>
      </c>
      <c r="AC1098" s="19" t="s">
        <v>214</v>
      </c>
      <c r="AD1098" s="19"/>
      <c r="AE1098" s="19">
        <v>240</v>
      </c>
      <c r="AF1098" s="19">
        <v>240</v>
      </c>
      <c r="AG1098" s="19" t="s">
        <v>270</v>
      </c>
      <c r="AH1098" s="19"/>
      <c r="AI1098" s="19"/>
      <c r="AJ1098" s="19">
        <v>7.25</v>
      </c>
      <c r="AK1098" s="19" t="s">
        <v>610</v>
      </c>
      <c r="AL1098" s="19"/>
      <c r="AM1098" s="19" t="s">
        <v>234</v>
      </c>
      <c r="AN1098" s="19" t="s">
        <v>234</v>
      </c>
      <c r="AO1098" s="19" t="s">
        <v>235</v>
      </c>
      <c r="AP1098" s="94">
        <v>21</v>
      </c>
      <c r="AQ1098" s="19" t="s">
        <v>234</v>
      </c>
      <c r="AR1098" s="19" t="s">
        <v>241</v>
      </c>
      <c r="AS1098" s="19"/>
      <c r="AT1098" s="65" t="str">
        <f t="shared" si="321"/>
        <v>Y</v>
      </c>
      <c r="AU1098" s="65" t="str">
        <f t="shared" si="325"/>
        <v>Y</v>
      </c>
      <c r="AV1098" s="65" t="s">
        <v>162</v>
      </c>
      <c r="AW1098" s="99" t="s">
        <v>1406</v>
      </c>
      <c r="AX1098" s="99"/>
      <c r="AY1098" s="19"/>
      <c r="AZ1098" s="96" t="str">
        <f t="shared" si="326"/>
        <v>n</v>
      </c>
      <c r="BA1098" s="96" t="str">
        <f>IF(AZ1098="n","n",VLOOKUP(AZ1098,'Conversion factors'!$C$4:$D$24,2,FALSE))</f>
        <v>n</v>
      </c>
      <c r="BB1098" s="96" t="str">
        <f t="shared" si="327"/>
        <v>n</v>
      </c>
      <c r="BC1098" s="97"/>
      <c r="BD1098" s="96" t="str">
        <f t="shared" si="322"/>
        <v>n</v>
      </c>
      <c r="BE1098" s="96" t="str">
        <f t="shared" si="328"/>
        <v>n</v>
      </c>
      <c r="BF1098" s="98" t="str">
        <f t="shared" si="323"/>
        <v/>
      </c>
      <c r="BG1098" s="96" t="str">
        <f>IF(BF1098="","",IF(ISNUMBER(VLOOKUP(BF1098,'Conversion factors'!$B$35:$C$52,2,FALSE)),"y","n"))</f>
        <v/>
      </c>
      <c r="BH1098" s="99"/>
    </row>
    <row r="1099" spans="1:61" s="103" customFormat="1" ht="15.75" customHeight="1" x14ac:dyDescent="0.2">
      <c r="A1099" s="18"/>
      <c r="B1099" s="19">
        <v>234</v>
      </c>
      <c r="C1099" s="19"/>
      <c r="D1099" s="19">
        <v>71981</v>
      </c>
      <c r="E1099" s="19" t="s">
        <v>1224</v>
      </c>
      <c r="F1099" s="93">
        <v>2003</v>
      </c>
      <c r="G1099" s="19" t="s">
        <v>602</v>
      </c>
      <c r="H1099" s="19" t="s">
        <v>162</v>
      </c>
      <c r="I1099" s="19" t="s">
        <v>41</v>
      </c>
      <c r="J1099" s="19" t="s">
        <v>87</v>
      </c>
      <c r="K1099" s="19" t="s">
        <v>64</v>
      </c>
      <c r="L1099" s="99" t="s">
        <v>151</v>
      </c>
      <c r="M1099" s="19" t="s">
        <v>260</v>
      </c>
      <c r="N1099" s="19" t="s">
        <v>66</v>
      </c>
      <c r="O1099" s="19" t="s">
        <v>235</v>
      </c>
      <c r="P1099" s="19" t="s">
        <v>162</v>
      </c>
      <c r="Q1099" s="19"/>
      <c r="R1099" s="19" t="s">
        <v>76</v>
      </c>
      <c r="S1099" s="19" t="s">
        <v>534</v>
      </c>
      <c r="T1099" s="19" t="s">
        <v>54</v>
      </c>
      <c r="U1099" s="19" t="s">
        <v>54</v>
      </c>
      <c r="V1099" s="19" t="s">
        <v>94</v>
      </c>
      <c r="W1099" s="19" t="s">
        <v>231</v>
      </c>
      <c r="X1099" s="19" t="s">
        <v>46</v>
      </c>
      <c r="Y1099" s="29"/>
      <c r="Z1099" s="19"/>
      <c r="AA1099" s="19"/>
      <c r="AB1099" s="19" t="s">
        <v>643</v>
      </c>
      <c r="AC1099" s="19" t="s">
        <v>214</v>
      </c>
      <c r="AD1099" s="19"/>
      <c r="AE1099" s="19">
        <v>110</v>
      </c>
      <c r="AF1099" s="19">
        <v>110</v>
      </c>
      <c r="AG1099" s="19" t="s">
        <v>270</v>
      </c>
      <c r="AH1099" s="19"/>
      <c r="AI1099" s="19"/>
      <c r="AJ1099" s="19">
        <v>8</v>
      </c>
      <c r="AK1099" s="19" t="s">
        <v>605</v>
      </c>
      <c r="AL1099" s="19"/>
      <c r="AM1099" s="19"/>
      <c r="AN1099" s="19" t="s">
        <v>234</v>
      </c>
      <c r="AO1099" s="19" t="s">
        <v>235</v>
      </c>
      <c r="AP1099" s="94">
        <v>9.6999999999999993</v>
      </c>
      <c r="AQ1099" s="19" t="s">
        <v>234</v>
      </c>
      <c r="AR1099" s="19" t="s">
        <v>241</v>
      </c>
      <c r="AS1099" s="19"/>
      <c r="AT1099" s="65" t="str">
        <f t="shared" si="321"/>
        <v>Y</v>
      </c>
      <c r="AU1099" s="65" t="str">
        <f t="shared" si="325"/>
        <v>Y</v>
      </c>
      <c r="AV1099" s="65" t="str">
        <f t="shared" ref="AV1099:AV1138" si="329">AU1099</f>
        <v>Y</v>
      </c>
      <c r="AW1099" s="99" t="s">
        <v>1406</v>
      </c>
      <c r="AX1099" s="99" t="s">
        <v>1643</v>
      </c>
      <c r="AY1099" s="19"/>
      <c r="AZ1099" s="96" t="str">
        <f t="shared" si="326"/>
        <v>NOEC</v>
      </c>
      <c r="BA1099" s="96">
        <f>IF(AZ1099="n","n",VLOOKUP(AZ1099,'Conversion factors'!$C$4:$D$24,2,FALSE))</f>
        <v>1</v>
      </c>
      <c r="BB1099" s="96">
        <f t="shared" si="327"/>
        <v>209</v>
      </c>
      <c r="BC1099" s="97"/>
      <c r="BD1099" s="96" t="str">
        <f t="shared" si="322"/>
        <v>Chronic</v>
      </c>
      <c r="BE1099" s="96" t="str">
        <f t="shared" si="328"/>
        <v>y</v>
      </c>
      <c r="BF1099" s="98" t="str">
        <f t="shared" si="323"/>
        <v>NOEC</v>
      </c>
      <c r="BG1099" s="96" t="str">
        <f>IF(BF1099="","",IF(ISNUMBER(VLOOKUP(BF1099,'Conversion factors'!$B$35:$C$52,2,FALSE)),"y","n"))</f>
        <v>y</v>
      </c>
      <c r="BH1099" s="99" t="s">
        <v>1474</v>
      </c>
      <c r="BI1099" s="19" t="s">
        <v>1643</v>
      </c>
    </row>
    <row r="1100" spans="1:61" s="103" customFormat="1" ht="15.75" customHeight="1" x14ac:dyDescent="0.2">
      <c r="A1100" s="18"/>
      <c r="B1100" s="19">
        <v>234</v>
      </c>
      <c r="C1100" s="19"/>
      <c r="D1100" s="19">
        <v>71981</v>
      </c>
      <c r="E1100" s="19" t="s">
        <v>1224</v>
      </c>
      <c r="F1100" s="93">
        <v>2003</v>
      </c>
      <c r="G1100" s="19" t="s">
        <v>602</v>
      </c>
      <c r="H1100" s="19" t="s">
        <v>162</v>
      </c>
      <c r="I1100" s="19" t="s">
        <v>41</v>
      </c>
      <c r="J1100" s="19" t="s">
        <v>87</v>
      </c>
      <c r="K1100" s="19" t="s">
        <v>64</v>
      </c>
      <c r="L1100" s="99" t="s">
        <v>151</v>
      </c>
      <c r="M1100" s="19" t="s">
        <v>260</v>
      </c>
      <c r="N1100" s="19" t="s">
        <v>66</v>
      </c>
      <c r="O1100" s="19" t="s">
        <v>235</v>
      </c>
      <c r="P1100" s="19" t="s">
        <v>162</v>
      </c>
      <c r="Q1100" s="19"/>
      <c r="R1100" s="19" t="s">
        <v>76</v>
      </c>
      <c r="S1100" s="19" t="s">
        <v>534</v>
      </c>
      <c r="T1100" s="19" t="s">
        <v>54</v>
      </c>
      <c r="U1100" s="19" t="s">
        <v>54</v>
      </c>
      <c r="V1100" s="19" t="s">
        <v>94</v>
      </c>
      <c r="W1100" s="19" t="s">
        <v>231</v>
      </c>
      <c r="X1100" s="19" t="s">
        <v>46</v>
      </c>
      <c r="Y1100" s="29"/>
      <c r="Z1100" s="19"/>
      <c r="AA1100" s="19"/>
      <c r="AB1100" s="19" t="s">
        <v>358</v>
      </c>
      <c r="AC1100" s="19" t="s">
        <v>214</v>
      </c>
      <c r="AD1100" s="19"/>
      <c r="AE1100" s="19">
        <v>240</v>
      </c>
      <c r="AF1100" s="19">
        <v>240</v>
      </c>
      <c r="AG1100" s="19" t="s">
        <v>270</v>
      </c>
      <c r="AH1100" s="19"/>
      <c r="AI1100" s="19"/>
      <c r="AJ1100" s="19">
        <v>6</v>
      </c>
      <c r="AK1100" s="19" t="s">
        <v>424</v>
      </c>
      <c r="AL1100" s="19"/>
      <c r="AM1100" s="19"/>
      <c r="AN1100" s="19" t="s">
        <v>234</v>
      </c>
      <c r="AO1100" s="19" t="s">
        <v>235</v>
      </c>
      <c r="AP1100" s="94">
        <v>21</v>
      </c>
      <c r="AQ1100" s="19" t="s">
        <v>234</v>
      </c>
      <c r="AR1100" s="19" t="s">
        <v>241</v>
      </c>
      <c r="AS1100" s="19"/>
      <c r="AT1100" s="65" t="str">
        <f t="shared" si="321"/>
        <v>Y</v>
      </c>
      <c r="AU1100" s="65" t="str">
        <f t="shared" si="325"/>
        <v>Y</v>
      </c>
      <c r="AV1100" s="65" t="str">
        <f t="shared" si="329"/>
        <v>Y</v>
      </c>
      <c r="AW1100" s="99" t="s">
        <v>1405</v>
      </c>
      <c r="AX1100" s="99" t="s">
        <v>1643</v>
      </c>
      <c r="AY1100" s="19"/>
      <c r="AZ1100" s="96" t="str">
        <f t="shared" si="326"/>
        <v>NOEC</v>
      </c>
      <c r="BA1100" s="96">
        <f>IF(AZ1100="n","n",VLOOKUP(AZ1100,'Conversion factors'!$C$4:$D$24,2,FALSE))</f>
        <v>1</v>
      </c>
      <c r="BB1100" s="96">
        <f t="shared" si="327"/>
        <v>425</v>
      </c>
      <c r="BC1100" s="97"/>
      <c r="BD1100" s="96" t="str">
        <f t="shared" si="322"/>
        <v>Chronic</v>
      </c>
      <c r="BE1100" s="96" t="str">
        <f t="shared" si="328"/>
        <v>y</v>
      </c>
      <c r="BF1100" s="98" t="str">
        <f t="shared" si="323"/>
        <v>NOEC</v>
      </c>
      <c r="BG1100" s="96" t="str">
        <f>IF(BF1100="","",IF(ISNUMBER(VLOOKUP(BF1100,'Conversion factors'!$B$35:$C$52,2,FALSE)),"y","n"))</f>
        <v>y</v>
      </c>
      <c r="BH1100" s="99" t="s">
        <v>1474</v>
      </c>
      <c r="BI1100" s="19" t="s">
        <v>1643</v>
      </c>
    </row>
    <row r="1101" spans="1:61" s="103" customFormat="1" ht="15.75" customHeight="1" x14ac:dyDescent="0.2">
      <c r="A1101" s="18"/>
      <c r="B1101" s="19">
        <v>234</v>
      </c>
      <c r="C1101" s="19"/>
      <c r="D1101" s="19">
        <v>71981</v>
      </c>
      <c r="E1101" s="19" t="s">
        <v>1224</v>
      </c>
      <c r="F1101" s="93">
        <v>2003</v>
      </c>
      <c r="G1101" s="19" t="s">
        <v>602</v>
      </c>
      <c r="H1101" s="19" t="s">
        <v>162</v>
      </c>
      <c r="I1101" s="19" t="s">
        <v>41</v>
      </c>
      <c r="J1101" s="19" t="s">
        <v>87</v>
      </c>
      <c r="K1101" s="19" t="s">
        <v>64</v>
      </c>
      <c r="L1101" s="99" t="s">
        <v>151</v>
      </c>
      <c r="M1101" s="19" t="s">
        <v>260</v>
      </c>
      <c r="N1101" s="19" t="s">
        <v>66</v>
      </c>
      <c r="O1101" s="19" t="s">
        <v>235</v>
      </c>
      <c r="P1101" s="19" t="s">
        <v>162</v>
      </c>
      <c r="Q1101" s="19"/>
      <c r="R1101" s="19" t="s">
        <v>76</v>
      </c>
      <c r="S1101" s="19" t="s">
        <v>534</v>
      </c>
      <c r="T1101" s="19" t="s">
        <v>54</v>
      </c>
      <c r="U1101" s="19" t="s">
        <v>54</v>
      </c>
      <c r="V1101" s="19" t="s">
        <v>94</v>
      </c>
      <c r="W1101" s="19" t="s">
        <v>231</v>
      </c>
      <c r="X1101" s="19" t="s">
        <v>46</v>
      </c>
      <c r="Y1101" s="29"/>
      <c r="Z1101" s="19"/>
      <c r="AA1101" s="19"/>
      <c r="AB1101" s="19" t="s">
        <v>611</v>
      </c>
      <c r="AC1101" s="19" t="s">
        <v>214</v>
      </c>
      <c r="AD1101" s="19"/>
      <c r="AE1101" s="19">
        <v>35</v>
      </c>
      <c r="AF1101" s="19">
        <v>35</v>
      </c>
      <c r="AG1101" s="19" t="s">
        <v>270</v>
      </c>
      <c r="AH1101" s="19"/>
      <c r="AI1101" s="19"/>
      <c r="AJ1101" s="19">
        <v>7.25</v>
      </c>
      <c r="AK1101" s="19" t="s">
        <v>610</v>
      </c>
      <c r="AL1101" s="19"/>
      <c r="AM1101" s="19"/>
      <c r="AN1101" s="19" t="s">
        <v>234</v>
      </c>
      <c r="AO1101" s="19" t="s">
        <v>235</v>
      </c>
      <c r="AP1101" s="94">
        <v>21</v>
      </c>
      <c r="AQ1101" s="19" t="s">
        <v>234</v>
      </c>
      <c r="AR1101" s="19" t="s">
        <v>241</v>
      </c>
      <c r="AS1101" s="19"/>
      <c r="AT1101" s="65" t="str">
        <f t="shared" si="321"/>
        <v>Y</v>
      </c>
      <c r="AU1101" s="65" t="str">
        <f t="shared" si="325"/>
        <v>Y</v>
      </c>
      <c r="AV1101" s="65" t="str">
        <f t="shared" si="329"/>
        <v>Y</v>
      </c>
      <c r="AW1101" s="99" t="s">
        <v>1406</v>
      </c>
      <c r="AX1101" s="99" t="s">
        <v>1643</v>
      </c>
      <c r="AY1101" s="19"/>
      <c r="AZ1101" s="96" t="str">
        <f t="shared" si="326"/>
        <v>NOEC</v>
      </c>
      <c r="BA1101" s="96">
        <f>IF(AZ1101="n","n",VLOOKUP(AZ1101,'Conversion factors'!$C$4:$D$24,2,FALSE))</f>
        <v>1</v>
      </c>
      <c r="BB1101" s="96">
        <f t="shared" si="327"/>
        <v>445</v>
      </c>
      <c r="BC1101" s="97"/>
      <c r="BD1101" s="96" t="str">
        <f t="shared" si="322"/>
        <v>Chronic</v>
      </c>
      <c r="BE1101" s="96" t="str">
        <f t="shared" si="328"/>
        <v>y</v>
      </c>
      <c r="BF1101" s="98" t="str">
        <f t="shared" si="323"/>
        <v>NOEC</v>
      </c>
      <c r="BG1101" s="96" t="str">
        <f>IF(BF1101="","",IF(ISNUMBER(VLOOKUP(BF1101,'Conversion factors'!$B$35:$C$52,2,FALSE)),"y","n"))</f>
        <v>y</v>
      </c>
      <c r="BH1101" s="99" t="s">
        <v>1474</v>
      </c>
      <c r="BI1101" s="19" t="s">
        <v>1643</v>
      </c>
    </row>
    <row r="1102" spans="1:61" s="103" customFormat="1" ht="15.75" customHeight="1" x14ac:dyDescent="0.2">
      <c r="A1102" s="18"/>
      <c r="B1102" s="19">
        <v>234</v>
      </c>
      <c r="C1102" s="19"/>
      <c r="D1102" s="19">
        <v>71981</v>
      </c>
      <c r="E1102" s="19" t="s">
        <v>1224</v>
      </c>
      <c r="F1102" s="93">
        <v>2003</v>
      </c>
      <c r="G1102" s="19" t="s">
        <v>602</v>
      </c>
      <c r="H1102" s="19" t="s">
        <v>162</v>
      </c>
      <c r="I1102" s="19" t="s">
        <v>41</v>
      </c>
      <c r="J1102" s="19" t="s">
        <v>87</v>
      </c>
      <c r="K1102" s="19" t="s">
        <v>64</v>
      </c>
      <c r="L1102" s="99" t="s">
        <v>151</v>
      </c>
      <c r="M1102" s="19" t="s">
        <v>260</v>
      </c>
      <c r="N1102" s="19" t="s">
        <v>66</v>
      </c>
      <c r="O1102" s="19" t="s">
        <v>235</v>
      </c>
      <c r="P1102" s="19" t="s">
        <v>162</v>
      </c>
      <c r="Q1102" s="19"/>
      <c r="R1102" s="19" t="s">
        <v>76</v>
      </c>
      <c r="S1102" s="19" t="s">
        <v>534</v>
      </c>
      <c r="T1102" s="19" t="s">
        <v>54</v>
      </c>
      <c r="U1102" s="19" t="s">
        <v>54</v>
      </c>
      <c r="V1102" s="19" t="s">
        <v>94</v>
      </c>
      <c r="W1102" s="19" t="s">
        <v>231</v>
      </c>
      <c r="X1102" s="19" t="s">
        <v>46</v>
      </c>
      <c r="Y1102" s="29"/>
      <c r="Z1102" s="19"/>
      <c r="AA1102" s="19"/>
      <c r="AB1102" s="19" t="s">
        <v>644</v>
      </c>
      <c r="AC1102" s="19" t="s">
        <v>214</v>
      </c>
      <c r="AD1102" s="19"/>
      <c r="AE1102" s="19">
        <v>370</v>
      </c>
      <c r="AF1102" s="19">
        <v>370</v>
      </c>
      <c r="AG1102" s="19" t="s">
        <v>270</v>
      </c>
      <c r="AH1102" s="19"/>
      <c r="AI1102" s="19"/>
      <c r="AJ1102" s="19">
        <v>8</v>
      </c>
      <c r="AK1102" s="19" t="s">
        <v>605</v>
      </c>
      <c r="AL1102" s="19"/>
      <c r="AM1102" s="19"/>
      <c r="AN1102" s="19" t="s">
        <v>234</v>
      </c>
      <c r="AO1102" s="19" t="s">
        <v>235</v>
      </c>
      <c r="AP1102" s="94">
        <v>32.299999999999997</v>
      </c>
      <c r="AQ1102" s="19" t="s">
        <v>234</v>
      </c>
      <c r="AR1102" s="19" t="s">
        <v>241</v>
      </c>
      <c r="AS1102" s="19"/>
      <c r="AT1102" s="65" t="str">
        <f t="shared" si="321"/>
        <v>Y</v>
      </c>
      <c r="AU1102" s="65" t="str">
        <f t="shared" si="325"/>
        <v>Y</v>
      </c>
      <c r="AV1102" s="65" t="str">
        <f t="shared" si="329"/>
        <v>Y</v>
      </c>
      <c r="AW1102" s="99" t="s">
        <v>1406</v>
      </c>
      <c r="AX1102" s="99" t="s">
        <v>1643</v>
      </c>
      <c r="AY1102" s="19"/>
      <c r="AZ1102" s="96" t="str">
        <f t="shared" si="326"/>
        <v>NOEC</v>
      </c>
      <c r="BA1102" s="96">
        <f>IF(AZ1102="n","n",VLOOKUP(AZ1102,'Conversion factors'!$C$4:$D$24,2,FALSE))</f>
        <v>1</v>
      </c>
      <c r="BB1102" s="96">
        <f t="shared" si="327"/>
        <v>630</v>
      </c>
      <c r="BC1102" s="97"/>
      <c r="BD1102" s="96" t="str">
        <f t="shared" si="322"/>
        <v>Chronic</v>
      </c>
      <c r="BE1102" s="96" t="str">
        <f t="shared" si="328"/>
        <v>y</v>
      </c>
      <c r="BF1102" s="98" t="str">
        <f t="shared" si="323"/>
        <v>NOEC</v>
      </c>
      <c r="BG1102" s="96" t="str">
        <f>IF(BF1102="","",IF(ISNUMBER(VLOOKUP(BF1102,'Conversion factors'!$B$35:$C$52,2,FALSE)),"y","n"))</f>
        <v>y</v>
      </c>
      <c r="BH1102" s="99" t="s">
        <v>1474</v>
      </c>
      <c r="BI1102" s="19" t="s">
        <v>1643</v>
      </c>
    </row>
    <row r="1103" spans="1:61" s="103" customFormat="1" ht="15.75" customHeight="1" x14ac:dyDescent="0.2">
      <c r="A1103" s="18"/>
      <c r="B1103" s="19">
        <v>234</v>
      </c>
      <c r="C1103" s="19"/>
      <c r="D1103" s="19">
        <v>71981</v>
      </c>
      <c r="E1103" s="19" t="s">
        <v>1224</v>
      </c>
      <c r="F1103" s="93">
        <v>2003</v>
      </c>
      <c r="G1103" s="19" t="s">
        <v>602</v>
      </c>
      <c r="H1103" s="19" t="s">
        <v>162</v>
      </c>
      <c r="I1103" s="19" t="s">
        <v>41</v>
      </c>
      <c r="J1103" s="19" t="s">
        <v>87</v>
      </c>
      <c r="K1103" s="19" t="s">
        <v>64</v>
      </c>
      <c r="L1103" s="99" t="s">
        <v>151</v>
      </c>
      <c r="M1103" s="19" t="s">
        <v>260</v>
      </c>
      <c r="N1103" s="19" t="s">
        <v>66</v>
      </c>
      <c r="O1103" s="19" t="s">
        <v>235</v>
      </c>
      <c r="P1103" s="19" t="s">
        <v>162</v>
      </c>
      <c r="Q1103" s="19"/>
      <c r="R1103" s="19" t="s">
        <v>76</v>
      </c>
      <c r="S1103" s="19" t="s">
        <v>534</v>
      </c>
      <c r="T1103" s="19" t="s">
        <v>54</v>
      </c>
      <c r="U1103" s="19" t="s">
        <v>54</v>
      </c>
      <c r="V1103" s="19" t="s">
        <v>94</v>
      </c>
      <c r="W1103" s="19" t="s">
        <v>231</v>
      </c>
      <c r="X1103" s="19" t="s">
        <v>46</v>
      </c>
      <c r="Y1103" s="29"/>
      <c r="Z1103" s="19"/>
      <c r="AA1103" s="19"/>
      <c r="AB1103" s="19" t="s">
        <v>645</v>
      </c>
      <c r="AC1103" s="19" t="s">
        <v>214</v>
      </c>
      <c r="AD1103" s="19"/>
      <c r="AE1103" s="19">
        <v>240</v>
      </c>
      <c r="AF1103" s="19">
        <v>240</v>
      </c>
      <c r="AG1103" s="19" t="s">
        <v>270</v>
      </c>
      <c r="AH1103" s="19"/>
      <c r="AI1103" s="19"/>
      <c r="AJ1103" s="19">
        <v>7.25</v>
      </c>
      <c r="AK1103" s="19" t="s">
        <v>610</v>
      </c>
      <c r="AL1103" s="19"/>
      <c r="AM1103" s="19"/>
      <c r="AN1103" s="19" t="s">
        <v>234</v>
      </c>
      <c r="AO1103" s="19" t="s">
        <v>235</v>
      </c>
      <c r="AP1103" s="94">
        <v>21</v>
      </c>
      <c r="AQ1103" s="19" t="s">
        <v>234</v>
      </c>
      <c r="AR1103" s="19" t="s">
        <v>241</v>
      </c>
      <c r="AS1103" s="19"/>
      <c r="AT1103" s="65" t="str">
        <f t="shared" si="321"/>
        <v>Y</v>
      </c>
      <c r="AU1103" s="65" t="str">
        <f t="shared" si="325"/>
        <v>Y</v>
      </c>
      <c r="AV1103" s="65" t="str">
        <f t="shared" si="329"/>
        <v>Y</v>
      </c>
      <c r="AW1103" s="99" t="s">
        <v>1406</v>
      </c>
      <c r="AX1103" s="99" t="s">
        <v>1643</v>
      </c>
      <c r="AY1103" s="19"/>
      <c r="AZ1103" s="96" t="str">
        <f t="shared" si="326"/>
        <v>NOEC</v>
      </c>
      <c r="BA1103" s="96">
        <f>IF(AZ1103="n","n",VLOOKUP(AZ1103,'Conversion factors'!$C$4:$D$24,2,FALSE))</f>
        <v>1</v>
      </c>
      <c r="BB1103" s="96">
        <f t="shared" si="327"/>
        <v>320</v>
      </c>
      <c r="BC1103" s="97"/>
      <c r="BD1103" s="96" t="str">
        <f t="shared" si="322"/>
        <v>Chronic</v>
      </c>
      <c r="BE1103" s="96" t="str">
        <f t="shared" si="328"/>
        <v>y</v>
      </c>
      <c r="BF1103" s="98" t="str">
        <f t="shared" si="323"/>
        <v>NOEC</v>
      </c>
      <c r="BG1103" s="96" t="str">
        <f>IF(BF1103="","",IF(ISNUMBER(VLOOKUP(BF1103,'Conversion factors'!$B$35:$C$52,2,FALSE)),"y","n"))</f>
        <v>y</v>
      </c>
      <c r="BH1103" s="99" t="s">
        <v>1474</v>
      </c>
      <c r="BI1103" s="19" t="s">
        <v>1643</v>
      </c>
    </row>
    <row r="1104" spans="1:61" s="103" customFormat="1" ht="15.75" customHeight="1" x14ac:dyDescent="0.2">
      <c r="A1104" s="18"/>
      <c r="B1104" s="19">
        <v>234</v>
      </c>
      <c r="C1104" s="19"/>
      <c r="D1104" s="19">
        <v>71981</v>
      </c>
      <c r="E1104" s="19" t="s">
        <v>1224</v>
      </c>
      <c r="F1104" s="93">
        <v>2003</v>
      </c>
      <c r="G1104" s="19" t="s">
        <v>602</v>
      </c>
      <c r="H1104" s="19" t="s">
        <v>162</v>
      </c>
      <c r="I1104" s="19" t="s">
        <v>41</v>
      </c>
      <c r="J1104" s="19" t="s">
        <v>87</v>
      </c>
      <c r="K1104" s="19" t="s">
        <v>64</v>
      </c>
      <c r="L1104" s="99" t="s">
        <v>151</v>
      </c>
      <c r="M1104" s="19" t="s">
        <v>260</v>
      </c>
      <c r="N1104" s="19" t="s">
        <v>66</v>
      </c>
      <c r="O1104" s="19" t="s">
        <v>235</v>
      </c>
      <c r="P1104" s="19" t="s">
        <v>162</v>
      </c>
      <c r="Q1104" s="19"/>
      <c r="R1104" s="19" t="s">
        <v>76</v>
      </c>
      <c r="S1104" s="19" t="s">
        <v>534</v>
      </c>
      <c r="T1104" s="19" t="s">
        <v>54</v>
      </c>
      <c r="U1104" s="19" t="s">
        <v>54</v>
      </c>
      <c r="V1104" s="19" t="s">
        <v>94</v>
      </c>
      <c r="W1104" s="19" t="s">
        <v>231</v>
      </c>
      <c r="X1104" s="19" t="s">
        <v>46</v>
      </c>
      <c r="Y1104" s="29"/>
      <c r="Z1104" s="19"/>
      <c r="AA1104" s="19"/>
      <c r="AB1104" s="19" t="s">
        <v>611</v>
      </c>
      <c r="AC1104" s="19" t="s">
        <v>214</v>
      </c>
      <c r="AD1104" s="19"/>
      <c r="AE1104" s="19">
        <v>110</v>
      </c>
      <c r="AF1104" s="19">
        <v>110</v>
      </c>
      <c r="AG1104" s="19" t="s">
        <v>270</v>
      </c>
      <c r="AH1104" s="19"/>
      <c r="AI1104" s="19"/>
      <c r="AJ1104" s="19">
        <v>6.5</v>
      </c>
      <c r="AK1104" s="19" t="s">
        <v>613</v>
      </c>
      <c r="AL1104" s="19"/>
      <c r="AM1104" s="19"/>
      <c r="AN1104" s="19" t="s">
        <v>234</v>
      </c>
      <c r="AO1104" s="19" t="s">
        <v>235</v>
      </c>
      <c r="AP1104" s="94">
        <v>32.299999999999997</v>
      </c>
      <c r="AQ1104" s="19" t="s">
        <v>234</v>
      </c>
      <c r="AR1104" s="19" t="s">
        <v>241</v>
      </c>
      <c r="AS1104" s="19"/>
      <c r="AT1104" s="65" t="str">
        <f t="shared" ref="AT1104:AT1167" si="330">IF(F1104&lt;1980,"N",IF(AC1104="M","Y",IF(AC1104="SM","Y","N")))</f>
        <v>Y</v>
      </c>
      <c r="AU1104" s="65" t="str">
        <f t="shared" si="325"/>
        <v>Y</v>
      </c>
      <c r="AV1104" s="65" t="str">
        <f t="shared" si="329"/>
        <v>Y</v>
      </c>
      <c r="AW1104" s="99" t="s">
        <v>1406</v>
      </c>
      <c r="AX1104" s="99" t="s">
        <v>1643</v>
      </c>
      <c r="AY1104" s="19"/>
      <c r="AZ1104" s="96" t="str">
        <f t="shared" si="326"/>
        <v>NOEC</v>
      </c>
      <c r="BA1104" s="96">
        <f>IF(AZ1104="n","n",VLOOKUP(AZ1104,'Conversion factors'!$C$4:$D$24,2,FALSE))</f>
        <v>1</v>
      </c>
      <c r="BB1104" s="96">
        <f t="shared" si="327"/>
        <v>445</v>
      </c>
      <c r="BC1104" s="97"/>
      <c r="BD1104" s="96" t="str">
        <f t="shared" ref="BD1104:BD1167" si="331">IF(AV1104="N","n",X1104)</f>
        <v>Chronic</v>
      </c>
      <c r="BE1104" s="96" t="str">
        <f t="shared" si="328"/>
        <v>y</v>
      </c>
      <c r="BF1104" s="98" t="str">
        <f t="shared" si="323"/>
        <v>NOEC</v>
      </c>
      <c r="BG1104" s="96" t="str">
        <f>IF(BF1104="","",IF(ISNUMBER(VLOOKUP(BF1104,'Conversion factors'!$B$35:$C$52,2,FALSE)),"y","n"))</f>
        <v>y</v>
      </c>
      <c r="BH1104" s="99" t="s">
        <v>1474</v>
      </c>
      <c r="BI1104" s="19" t="s">
        <v>1643</v>
      </c>
    </row>
    <row r="1105" spans="1:61" s="103" customFormat="1" ht="15.75" customHeight="1" x14ac:dyDescent="0.2">
      <c r="A1105" s="18"/>
      <c r="B1105" s="19">
        <v>234</v>
      </c>
      <c r="C1105" s="19"/>
      <c r="D1105" s="19">
        <v>71981</v>
      </c>
      <c r="E1105" s="19" t="s">
        <v>1224</v>
      </c>
      <c r="F1105" s="93">
        <v>2003</v>
      </c>
      <c r="G1105" s="19" t="s">
        <v>602</v>
      </c>
      <c r="H1105" s="19" t="s">
        <v>162</v>
      </c>
      <c r="I1105" s="19" t="s">
        <v>41</v>
      </c>
      <c r="J1105" s="19" t="s">
        <v>87</v>
      </c>
      <c r="K1105" s="19" t="s">
        <v>64</v>
      </c>
      <c r="L1105" s="99" t="s">
        <v>151</v>
      </c>
      <c r="M1105" s="19" t="s">
        <v>260</v>
      </c>
      <c r="N1105" s="19" t="s">
        <v>66</v>
      </c>
      <c r="O1105" s="19" t="s">
        <v>235</v>
      </c>
      <c r="P1105" s="19" t="s">
        <v>162</v>
      </c>
      <c r="Q1105" s="19"/>
      <c r="R1105" s="19" t="s">
        <v>76</v>
      </c>
      <c r="S1105" s="19" t="s">
        <v>534</v>
      </c>
      <c r="T1105" s="19" t="s">
        <v>54</v>
      </c>
      <c r="U1105" s="19" t="s">
        <v>54</v>
      </c>
      <c r="V1105" s="19" t="s">
        <v>94</v>
      </c>
      <c r="W1105" s="19" t="s">
        <v>231</v>
      </c>
      <c r="X1105" s="19" t="s">
        <v>46</v>
      </c>
      <c r="Y1105" s="29"/>
      <c r="Z1105" s="19"/>
      <c r="AA1105" s="19"/>
      <c r="AB1105" s="19" t="s">
        <v>242</v>
      </c>
      <c r="AC1105" s="19" t="s">
        <v>214</v>
      </c>
      <c r="AD1105" s="19"/>
      <c r="AE1105" s="19">
        <v>240</v>
      </c>
      <c r="AF1105" s="19">
        <v>240</v>
      </c>
      <c r="AG1105" s="19" t="s">
        <v>270</v>
      </c>
      <c r="AH1105" s="19"/>
      <c r="AI1105" s="19"/>
      <c r="AJ1105" s="19">
        <v>7.25</v>
      </c>
      <c r="AK1105" s="19" t="s">
        <v>610</v>
      </c>
      <c r="AL1105" s="19"/>
      <c r="AM1105" s="19"/>
      <c r="AN1105" s="19" t="s">
        <v>234</v>
      </c>
      <c r="AO1105" s="19" t="s">
        <v>235</v>
      </c>
      <c r="AP1105" s="94">
        <v>40</v>
      </c>
      <c r="AQ1105" s="19" t="s">
        <v>234</v>
      </c>
      <c r="AR1105" s="19" t="s">
        <v>241</v>
      </c>
      <c r="AS1105" s="19"/>
      <c r="AT1105" s="65" t="str">
        <f t="shared" si="330"/>
        <v>Y</v>
      </c>
      <c r="AU1105" s="65" t="str">
        <f t="shared" si="325"/>
        <v>Y</v>
      </c>
      <c r="AV1105" s="65" t="str">
        <f t="shared" si="329"/>
        <v>Y</v>
      </c>
      <c r="AW1105" s="99" t="s">
        <v>1406</v>
      </c>
      <c r="AX1105" s="99" t="s">
        <v>1643</v>
      </c>
      <c r="AY1105" s="19"/>
      <c r="AZ1105" s="96" t="str">
        <f t="shared" si="326"/>
        <v>NOEC</v>
      </c>
      <c r="BA1105" s="96">
        <f>IF(AZ1105="n","n",VLOOKUP(AZ1105,'Conversion factors'!$C$4:$D$24,2,FALSE))</f>
        <v>1</v>
      </c>
      <c r="BB1105" s="96">
        <f t="shared" si="327"/>
        <v>1000</v>
      </c>
      <c r="BC1105" s="97"/>
      <c r="BD1105" s="96" t="str">
        <f t="shared" si="331"/>
        <v>Chronic</v>
      </c>
      <c r="BE1105" s="96" t="str">
        <f t="shared" si="328"/>
        <v>y</v>
      </c>
      <c r="BF1105" s="98" t="str">
        <f t="shared" ref="BF1105:BF1168" si="332">IF(BE1105="n","",AZ1105)</f>
        <v>NOEC</v>
      </c>
      <c r="BG1105" s="96" t="str">
        <f>IF(BF1105="","",IF(ISNUMBER(VLOOKUP(BF1105,'Conversion factors'!$B$35:$C$52,2,FALSE)),"y","n"))</f>
        <v>y</v>
      </c>
      <c r="BH1105" s="99" t="s">
        <v>1474</v>
      </c>
      <c r="BI1105" s="19" t="s">
        <v>1643</v>
      </c>
    </row>
    <row r="1106" spans="1:61" s="103" customFormat="1" ht="15.75" customHeight="1" x14ac:dyDescent="0.2">
      <c r="A1106" s="18"/>
      <c r="B1106" s="19">
        <v>234</v>
      </c>
      <c r="C1106" s="19"/>
      <c r="D1106" s="19">
        <v>71981</v>
      </c>
      <c r="E1106" s="19" t="s">
        <v>1224</v>
      </c>
      <c r="F1106" s="93">
        <v>2003</v>
      </c>
      <c r="G1106" s="19" t="s">
        <v>602</v>
      </c>
      <c r="H1106" s="19" t="s">
        <v>162</v>
      </c>
      <c r="I1106" s="19" t="s">
        <v>41</v>
      </c>
      <c r="J1106" s="19" t="s">
        <v>87</v>
      </c>
      <c r="K1106" s="19" t="s">
        <v>64</v>
      </c>
      <c r="L1106" s="99" t="s">
        <v>151</v>
      </c>
      <c r="M1106" s="19" t="s">
        <v>260</v>
      </c>
      <c r="N1106" s="19" t="s">
        <v>66</v>
      </c>
      <c r="O1106" s="19" t="s">
        <v>235</v>
      </c>
      <c r="P1106" s="19" t="s">
        <v>162</v>
      </c>
      <c r="Q1106" s="19"/>
      <c r="R1106" s="19" t="s">
        <v>76</v>
      </c>
      <c r="S1106" s="19" t="s">
        <v>534</v>
      </c>
      <c r="T1106" s="19" t="s">
        <v>54</v>
      </c>
      <c r="U1106" s="19" t="s">
        <v>54</v>
      </c>
      <c r="V1106" s="19" t="s">
        <v>94</v>
      </c>
      <c r="W1106" s="19" t="s">
        <v>231</v>
      </c>
      <c r="X1106" s="19" t="s">
        <v>46</v>
      </c>
      <c r="Y1106" s="29"/>
      <c r="Z1106" s="19"/>
      <c r="AA1106" s="19"/>
      <c r="AB1106" s="19" t="s">
        <v>645</v>
      </c>
      <c r="AC1106" s="19" t="s">
        <v>214</v>
      </c>
      <c r="AD1106" s="19"/>
      <c r="AE1106" s="19">
        <v>370</v>
      </c>
      <c r="AF1106" s="19">
        <v>370</v>
      </c>
      <c r="AG1106" s="19" t="s">
        <v>270</v>
      </c>
      <c r="AH1106" s="19"/>
      <c r="AI1106" s="19"/>
      <c r="AJ1106" s="19">
        <v>6.5</v>
      </c>
      <c r="AK1106" s="19" t="s">
        <v>613</v>
      </c>
      <c r="AL1106" s="19"/>
      <c r="AM1106" s="19"/>
      <c r="AN1106" s="19" t="s">
        <v>234</v>
      </c>
      <c r="AO1106" s="19" t="s">
        <v>235</v>
      </c>
      <c r="AP1106" s="94">
        <v>9.6999999999999993</v>
      </c>
      <c r="AQ1106" s="19" t="s">
        <v>234</v>
      </c>
      <c r="AR1106" s="19" t="s">
        <v>241</v>
      </c>
      <c r="AS1106" s="19"/>
      <c r="AT1106" s="65" t="str">
        <f t="shared" si="330"/>
        <v>Y</v>
      </c>
      <c r="AU1106" s="65" t="str">
        <f t="shared" si="325"/>
        <v>Y</v>
      </c>
      <c r="AV1106" s="65" t="str">
        <f t="shared" si="329"/>
        <v>Y</v>
      </c>
      <c r="AW1106" s="99" t="s">
        <v>1406</v>
      </c>
      <c r="AX1106" s="99" t="s">
        <v>1643</v>
      </c>
      <c r="AY1106" s="19"/>
      <c r="AZ1106" s="96" t="str">
        <f t="shared" si="326"/>
        <v>NOEC</v>
      </c>
      <c r="BA1106" s="96">
        <f>IF(AZ1106="n","n",VLOOKUP(AZ1106,'Conversion factors'!$C$4:$D$24,2,FALSE))</f>
        <v>1</v>
      </c>
      <c r="BB1106" s="96">
        <f t="shared" si="327"/>
        <v>320</v>
      </c>
      <c r="BC1106" s="97"/>
      <c r="BD1106" s="96" t="str">
        <f t="shared" si="331"/>
        <v>Chronic</v>
      </c>
      <c r="BE1106" s="96" t="str">
        <f t="shared" si="328"/>
        <v>y</v>
      </c>
      <c r="BF1106" s="98" t="str">
        <f t="shared" si="332"/>
        <v>NOEC</v>
      </c>
      <c r="BG1106" s="96" t="str">
        <f>IF(BF1106="","",IF(ISNUMBER(VLOOKUP(BF1106,'Conversion factors'!$B$35:$C$52,2,FALSE)),"y","n"))</f>
        <v>y</v>
      </c>
      <c r="BH1106" s="99" t="s">
        <v>1474</v>
      </c>
      <c r="BI1106" s="19" t="s">
        <v>1643</v>
      </c>
    </row>
    <row r="1107" spans="1:61" s="103" customFormat="1" ht="15.75" customHeight="1" x14ac:dyDescent="0.2">
      <c r="A1107" s="18"/>
      <c r="B1107" s="19">
        <v>234</v>
      </c>
      <c r="C1107" s="19"/>
      <c r="D1107" s="19">
        <v>71981</v>
      </c>
      <c r="E1107" s="19" t="s">
        <v>1224</v>
      </c>
      <c r="F1107" s="93">
        <v>2003</v>
      </c>
      <c r="G1107" s="19" t="s">
        <v>602</v>
      </c>
      <c r="H1107" s="19" t="s">
        <v>162</v>
      </c>
      <c r="I1107" s="19" t="s">
        <v>41</v>
      </c>
      <c r="J1107" s="19" t="s">
        <v>87</v>
      </c>
      <c r="K1107" s="19" t="s">
        <v>64</v>
      </c>
      <c r="L1107" s="99" t="s">
        <v>151</v>
      </c>
      <c r="M1107" s="19" t="s">
        <v>260</v>
      </c>
      <c r="N1107" s="19" t="s">
        <v>66</v>
      </c>
      <c r="O1107" s="19" t="s">
        <v>235</v>
      </c>
      <c r="P1107" s="19" t="s">
        <v>162</v>
      </c>
      <c r="Q1107" s="19"/>
      <c r="R1107" s="19" t="s">
        <v>76</v>
      </c>
      <c r="S1107" s="19" t="s">
        <v>534</v>
      </c>
      <c r="T1107" s="19" t="s">
        <v>54</v>
      </c>
      <c r="U1107" s="19" t="s">
        <v>54</v>
      </c>
      <c r="V1107" s="19" t="s">
        <v>94</v>
      </c>
      <c r="W1107" s="19" t="s">
        <v>231</v>
      </c>
      <c r="X1107" s="19" t="s">
        <v>46</v>
      </c>
      <c r="Y1107" s="29"/>
      <c r="Z1107" s="19"/>
      <c r="AA1107" s="19"/>
      <c r="AB1107" s="19" t="s">
        <v>643</v>
      </c>
      <c r="AC1107" s="19" t="s">
        <v>214</v>
      </c>
      <c r="AD1107" s="19"/>
      <c r="AE1107" s="19">
        <v>240</v>
      </c>
      <c r="AF1107" s="19">
        <v>240</v>
      </c>
      <c r="AG1107" s="19" t="s">
        <v>270</v>
      </c>
      <c r="AH1107" s="19"/>
      <c r="AI1107" s="19"/>
      <c r="AJ1107" s="19">
        <v>7.25</v>
      </c>
      <c r="AK1107" s="19" t="s">
        <v>610</v>
      </c>
      <c r="AL1107" s="19"/>
      <c r="AM1107" s="19"/>
      <c r="AN1107" s="19" t="s">
        <v>234</v>
      </c>
      <c r="AO1107" s="19" t="s">
        <v>235</v>
      </c>
      <c r="AP1107" s="94">
        <v>2</v>
      </c>
      <c r="AQ1107" s="19" t="s">
        <v>234</v>
      </c>
      <c r="AR1107" s="19" t="s">
        <v>241</v>
      </c>
      <c r="AS1107" s="19"/>
      <c r="AT1107" s="65" t="str">
        <f t="shared" si="330"/>
        <v>Y</v>
      </c>
      <c r="AU1107" s="65" t="str">
        <f t="shared" si="325"/>
        <v>Y</v>
      </c>
      <c r="AV1107" s="65" t="str">
        <f t="shared" si="329"/>
        <v>Y</v>
      </c>
      <c r="AW1107" s="99" t="s">
        <v>1406</v>
      </c>
      <c r="AX1107" s="99" t="s">
        <v>1643</v>
      </c>
      <c r="AY1107" s="19"/>
      <c r="AZ1107" s="96" t="str">
        <f t="shared" si="326"/>
        <v>NOEC</v>
      </c>
      <c r="BA1107" s="96">
        <f>IF(AZ1107="n","n",VLOOKUP(AZ1107,'Conversion factors'!$C$4:$D$24,2,FALSE))</f>
        <v>1</v>
      </c>
      <c r="BB1107" s="96">
        <f t="shared" si="327"/>
        <v>209</v>
      </c>
      <c r="BC1107" s="97"/>
      <c r="BD1107" s="96" t="str">
        <f t="shared" si="331"/>
        <v>Chronic</v>
      </c>
      <c r="BE1107" s="96" t="str">
        <f t="shared" si="328"/>
        <v>y</v>
      </c>
      <c r="BF1107" s="98" t="str">
        <f t="shared" si="332"/>
        <v>NOEC</v>
      </c>
      <c r="BG1107" s="96" t="str">
        <f>IF(BF1107="","",IF(ISNUMBER(VLOOKUP(BF1107,'Conversion factors'!$B$35:$C$52,2,FALSE)),"y","n"))</f>
        <v>y</v>
      </c>
      <c r="BH1107" s="99" t="s">
        <v>1474</v>
      </c>
      <c r="BI1107" s="19" t="s">
        <v>1643</v>
      </c>
    </row>
    <row r="1108" spans="1:61" s="103" customFormat="1" ht="15.75" customHeight="1" x14ac:dyDescent="0.2">
      <c r="A1108" s="18"/>
      <c r="B1108" s="19">
        <v>234</v>
      </c>
      <c r="C1108" s="19"/>
      <c r="D1108" s="19">
        <v>71981</v>
      </c>
      <c r="E1108" s="19" t="s">
        <v>1224</v>
      </c>
      <c r="F1108" s="93">
        <v>2003</v>
      </c>
      <c r="G1108" s="19" t="s">
        <v>602</v>
      </c>
      <c r="H1108" s="19" t="s">
        <v>162</v>
      </c>
      <c r="I1108" s="19" t="s">
        <v>41</v>
      </c>
      <c r="J1108" s="19" t="s">
        <v>87</v>
      </c>
      <c r="K1108" s="19" t="s">
        <v>64</v>
      </c>
      <c r="L1108" s="99" t="s">
        <v>151</v>
      </c>
      <c r="M1108" s="19" t="s">
        <v>260</v>
      </c>
      <c r="N1108" s="19" t="s">
        <v>66</v>
      </c>
      <c r="O1108" s="19" t="s">
        <v>235</v>
      </c>
      <c r="P1108" s="19" t="s">
        <v>162</v>
      </c>
      <c r="Q1108" s="19"/>
      <c r="R1108" s="19" t="s">
        <v>76</v>
      </c>
      <c r="S1108" s="19" t="s">
        <v>534</v>
      </c>
      <c r="T1108" s="19" t="s">
        <v>54</v>
      </c>
      <c r="U1108" s="19" t="s">
        <v>54</v>
      </c>
      <c r="V1108" s="19" t="s">
        <v>94</v>
      </c>
      <c r="W1108" s="19" t="s">
        <v>231</v>
      </c>
      <c r="X1108" s="19" t="s">
        <v>46</v>
      </c>
      <c r="Y1108" s="29"/>
      <c r="Z1108" s="19"/>
      <c r="AA1108" s="19"/>
      <c r="AB1108" s="19" t="s">
        <v>645</v>
      </c>
      <c r="AC1108" s="19" t="s">
        <v>214</v>
      </c>
      <c r="AD1108" s="19"/>
      <c r="AE1108" s="19">
        <v>240</v>
      </c>
      <c r="AF1108" s="19">
        <v>240</v>
      </c>
      <c r="AG1108" s="19" t="s">
        <v>270</v>
      </c>
      <c r="AH1108" s="19"/>
      <c r="AI1108" s="19"/>
      <c r="AJ1108" s="19">
        <v>7.25</v>
      </c>
      <c r="AK1108" s="19" t="s">
        <v>610</v>
      </c>
      <c r="AL1108" s="19"/>
      <c r="AM1108" s="19"/>
      <c r="AN1108" s="19" t="s">
        <v>234</v>
      </c>
      <c r="AO1108" s="19" t="s">
        <v>235</v>
      </c>
      <c r="AP1108" s="94">
        <v>21</v>
      </c>
      <c r="AQ1108" s="19" t="s">
        <v>234</v>
      </c>
      <c r="AR1108" s="19" t="s">
        <v>241</v>
      </c>
      <c r="AS1108" s="19"/>
      <c r="AT1108" s="65" t="str">
        <f t="shared" si="330"/>
        <v>Y</v>
      </c>
      <c r="AU1108" s="65" t="str">
        <f t="shared" si="325"/>
        <v>Y</v>
      </c>
      <c r="AV1108" s="65" t="str">
        <f t="shared" si="329"/>
        <v>Y</v>
      </c>
      <c r="AW1108" s="99" t="s">
        <v>1406</v>
      </c>
      <c r="AX1108" s="99" t="s">
        <v>1643</v>
      </c>
      <c r="AY1108" s="19"/>
      <c r="AZ1108" s="96" t="str">
        <f t="shared" si="326"/>
        <v>NOEC</v>
      </c>
      <c r="BA1108" s="96">
        <f>IF(AZ1108="n","n",VLOOKUP(AZ1108,'Conversion factors'!$C$4:$D$24,2,FALSE))</f>
        <v>1</v>
      </c>
      <c r="BB1108" s="96">
        <f t="shared" si="327"/>
        <v>320</v>
      </c>
      <c r="BC1108" s="97"/>
      <c r="BD1108" s="96" t="str">
        <f t="shared" si="331"/>
        <v>Chronic</v>
      </c>
      <c r="BE1108" s="96" t="str">
        <f t="shared" si="328"/>
        <v>y</v>
      </c>
      <c r="BF1108" s="98" t="str">
        <f t="shared" si="332"/>
        <v>NOEC</v>
      </c>
      <c r="BG1108" s="96" t="str">
        <f>IF(BF1108="","",IF(ISNUMBER(VLOOKUP(BF1108,'Conversion factors'!$B$35:$C$52,2,FALSE)),"y","n"))</f>
        <v>y</v>
      </c>
      <c r="BH1108" s="99" t="s">
        <v>1474</v>
      </c>
      <c r="BI1108" s="19" t="s">
        <v>1643</v>
      </c>
    </row>
    <row r="1109" spans="1:61" s="103" customFormat="1" ht="15.75" customHeight="1" x14ac:dyDescent="0.2">
      <c r="A1109" s="18"/>
      <c r="B1109" s="19">
        <v>234</v>
      </c>
      <c r="C1109" s="19"/>
      <c r="D1109" s="19">
        <v>71981</v>
      </c>
      <c r="E1109" s="19" t="s">
        <v>1224</v>
      </c>
      <c r="F1109" s="93">
        <v>2003</v>
      </c>
      <c r="G1109" s="19" t="s">
        <v>602</v>
      </c>
      <c r="H1109" s="19" t="s">
        <v>162</v>
      </c>
      <c r="I1109" s="19" t="s">
        <v>41</v>
      </c>
      <c r="J1109" s="19" t="s">
        <v>87</v>
      </c>
      <c r="K1109" s="19" t="s">
        <v>64</v>
      </c>
      <c r="L1109" s="99" t="s">
        <v>151</v>
      </c>
      <c r="M1109" s="19" t="s">
        <v>260</v>
      </c>
      <c r="N1109" s="19" t="s">
        <v>66</v>
      </c>
      <c r="O1109" s="19" t="s">
        <v>235</v>
      </c>
      <c r="P1109" s="19" t="s">
        <v>162</v>
      </c>
      <c r="Q1109" s="19"/>
      <c r="R1109" s="19" t="s">
        <v>76</v>
      </c>
      <c r="S1109" s="19" t="s">
        <v>534</v>
      </c>
      <c r="T1109" s="19" t="s">
        <v>54</v>
      </c>
      <c r="U1109" s="19" t="s">
        <v>54</v>
      </c>
      <c r="V1109" s="19" t="s">
        <v>94</v>
      </c>
      <c r="W1109" s="19" t="s">
        <v>231</v>
      </c>
      <c r="X1109" s="19" t="s">
        <v>46</v>
      </c>
      <c r="Y1109" s="29"/>
      <c r="Z1109" s="19"/>
      <c r="AA1109" s="19"/>
      <c r="AB1109" s="19" t="s">
        <v>645</v>
      </c>
      <c r="AC1109" s="19" t="s">
        <v>214</v>
      </c>
      <c r="AD1109" s="19"/>
      <c r="AE1109" s="19">
        <v>110</v>
      </c>
      <c r="AF1109" s="19">
        <v>110</v>
      </c>
      <c r="AG1109" s="19" t="s">
        <v>270</v>
      </c>
      <c r="AH1109" s="19"/>
      <c r="AI1109" s="19"/>
      <c r="AJ1109" s="19">
        <v>6.5</v>
      </c>
      <c r="AK1109" s="19" t="s">
        <v>613</v>
      </c>
      <c r="AL1109" s="19"/>
      <c r="AM1109" s="19"/>
      <c r="AN1109" s="19" t="s">
        <v>234</v>
      </c>
      <c r="AO1109" s="19" t="s">
        <v>235</v>
      </c>
      <c r="AP1109" s="94">
        <v>9.6999999999999993</v>
      </c>
      <c r="AQ1109" s="19" t="s">
        <v>234</v>
      </c>
      <c r="AR1109" s="19" t="s">
        <v>241</v>
      </c>
      <c r="AS1109" s="19"/>
      <c r="AT1109" s="65" t="str">
        <f t="shared" si="330"/>
        <v>Y</v>
      </c>
      <c r="AU1109" s="65" t="str">
        <f t="shared" si="325"/>
        <v>Y</v>
      </c>
      <c r="AV1109" s="65" t="str">
        <f t="shared" si="329"/>
        <v>Y</v>
      </c>
      <c r="AW1109" s="99" t="s">
        <v>1406</v>
      </c>
      <c r="AX1109" s="99" t="s">
        <v>1643</v>
      </c>
      <c r="AY1109" s="19"/>
      <c r="AZ1109" s="96" t="str">
        <f t="shared" si="326"/>
        <v>NOEC</v>
      </c>
      <c r="BA1109" s="96">
        <f>IF(AZ1109="n","n",VLOOKUP(AZ1109,'Conversion factors'!$C$4:$D$24,2,FALSE))</f>
        <v>1</v>
      </c>
      <c r="BB1109" s="96">
        <f t="shared" si="327"/>
        <v>320</v>
      </c>
      <c r="BC1109" s="97"/>
      <c r="BD1109" s="96" t="str">
        <f t="shared" si="331"/>
        <v>Chronic</v>
      </c>
      <c r="BE1109" s="96" t="str">
        <f t="shared" si="328"/>
        <v>y</v>
      </c>
      <c r="BF1109" s="98" t="str">
        <f t="shared" si="332"/>
        <v>NOEC</v>
      </c>
      <c r="BG1109" s="96" t="str">
        <f>IF(BF1109="","",IF(ISNUMBER(VLOOKUP(BF1109,'Conversion factors'!$B$35:$C$52,2,FALSE)),"y","n"))</f>
        <v>y</v>
      </c>
      <c r="BH1109" s="99" t="s">
        <v>1474</v>
      </c>
      <c r="BI1109" s="19" t="s">
        <v>1643</v>
      </c>
    </row>
    <row r="1110" spans="1:61" s="103" customFormat="1" ht="15.75" customHeight="1" x14ac:dyDescent="0.2">
      <c r="A1110" s="18"/>
      <c r="B1110" s="19">
        <v>234</v>
      </c>
      <c r="C1110" s="19"/>
      <c r="D1110" s="19">
        <v>71981</v>
      </c>
      <c r="E1110" s="19" t="s">
        <v>1224</v>
      </c>
      <c r="F1110" s="93">
        <v>2003</v>
      </c>
      <c r="G1110" s="19" t="s">
        <v>602</v>
      </c>
      <c r="H1110" s="19" t="s">
        <v>162</v>
      </c>
      <c r="I1110" s="19" t="s">
        <v>41</v>
      </c>
      <c r="J1110" s="19" t="s">
        <v>87</v>
      </c>
      <c r="K1110" s="19" t="s">
        <v>64</v>
      </c>
      <c r="L1110" s="99" t="s">
        <v>151</v>
      </c>
      <c r="M1110" s="19" t="s">
        <v>260</v>
      </c>
      <c r="N1110" s="19" t="s">
        <v>66</v>
      </c>
      <c r="O1110" s="19" t="s">
        <v>235</v>
      </c>
      <c r="P1110" s="19" t="s">
        <v>162</v>
      </c>
      <c r="Q1110" s="19"/>
      <c r="R1110" s="19" t="s">
        <v>76</v>
      </c>
      <c r="S1110" s="19" t="s">
        <v>534</v>
      </c>
      <c r="T1110" s="19" t="s">
        <v>54</v>
      </c>
      <c r="U1110" s="19" t="s">
        <v>54</v>
      </c>
      <c r="V1110" s="19" t="s">
        <v>94</v>
      </c>
      <c r="W1110" s="19" t="s">
        <v>231</v>
      </c>
      <c r="X1110" s="19" t="s">
        <v>46</v>
      </c>
      <c r="Y1110" s="29"/>
      <c r="Z1110" s="19"/>
      <c r="AA1110" s="19"/>
      <c r="AB1110" s="19" t="s">
        <v>646</v>
      </c>
      <c r="AC1110" s="19" t="s">
        <v>214</v>
      </c>
      <c r="AD1110" s="19"/>
      <c r="AE1110" s="19">
        <v>240</v>
      </c>
      <c r="AF1110" s="19">
        <v>240</v>
      </c>
      <c r="AG1110" s="19" t="s">
        <v>270</v>
      </c>
      <c r="AH1110" s="19"/>
      <c r="AI1110" s="19"/>
      <c r="AJ1110" s="19">
        <v>7.25</v>
      </c>
      <c r="AK1110" s="19" t="s">
        <v>610</v>
      </c>
      <c r="AL1110" s="19"/>
      <c r="AM1110" s="19"/>
      <c r="AN1110" s="19" t="s">
        <v>234</v>
      </c>
      <c r="AO1110" s="19" t="s">
        <v>235</v>
      </c>
      <c r="AP1110" s="94">
        <v>21</v>
      </c>
      <c r="AQ1110" s="19" t="s">
        <v>234</v>
      </c>
      <c r="AR1110" s="19" t="s">
        <v>241</v>
      </c>
      <c r="AS1110" s="19"/>
      <c r="AT1110" s="65" t="str">
        <f t="shared" si="330"/>
        <v>Y</v>
      </c>
      <c r="AU1110" s="65" t="str">
        <f t="shared" si="325"/>
        <v>Y</v>
      </c>
      <c r="AV1110" s="65" t="str">
        <f t="shared" si="329"/>
        <v>Y</v>
      </c>
      <c r="AW1110" s="99" t="s">
        <v>1406</v>
      </c>
      <c r="AX1110" s="99" t="s">
        <v>1643</v>
      </c>
      <c r="AY1110" s="19"/>
      <c r="AZ1110" s="96" t="str">
        <f t="shared" si="326"/>
        <v>NOEC</v>
      </c>
      <c r="BA1110" s="96">
        <f>IF(AZ1110="n","n",VLOOKUP(AZ1110,'Conversion factors'!$C$4:$D$24,2,FALSE))</f>
        <v>1</v>
      </c>
      <c r="BB1110" s="96">
        <f t="shared" si="327"/>
        <v>575</v>
      </c>
      <c r="BC1110" s="97"/>
      <c r="BD1110" s="96" t="str">
        <f t="shared" si="331"/>
        <v>Chronic</v>
      </c>
      <c r="BE1110" s="96" t="str">
        <f t="shared" si="328"/>
        <v>y</v>
      </c>
      <c r="BF1110" s="98" t="str">
        <f t="shared" si="332"/>
        <v>NOEC</v>
      </c>
      <c r="BG1110" s="96" t="str">
        <f>IF(BF1110="","",IF(ISNUMBER(VLOOKUP(BF1110,'Conversion factors'!$B$35:$C$52,2,FALSE)),"y","n"))</f>
        <v>y</v>
      </c>
      <c r="BH1110" s="99" t="s">
        <v>1474</v>
      </c>
      <c r="BI1110" s="19" t="s">
        <v>1643</v>
      </c>
    </row>
    <row r="1111" spans="1:61" s="103" customFormat="1" ht="15.75" customHeight="1" x14ac:dyDescent="0.2">
      <c r="A1111" s="18"/>
      <c r="B1111" s="19">
        <v>234</v>
      </c>
      <c r="C1111" s="19"/>
      <c r="D1111" s="19">
        <v>71981</v>
      </c>
      <c r="E1111" s="19" t="s">
        <v>1224</v>
      </c>
      <c r="F1111" s="93">
        <v>2003</v>
      </c>
      <c r="G1111" s="19" t="s">
        <v>602</v>
      </c>
      <c r="H1111" s="19" t="s">
        <v>162</v>
      </c>
      <c r="I1111" s="19" t="s">
        <v>41</v>
      </c>
      <c r="J1111" s="19" t="s">
        <v>87</v>
      </c>
      <c r="K1111" s="19" t="s">
        <v>64</v>
      </c>
      <c r="L1111" s="99" t="s">
        <v>151</v>
      </c>
      <c r="M1111" s="19" t="s">
        <v>260</v>
      </c>
      <c r="N1111" s="19" t="s">
        <v>66</v>
      </c>
      <c r="O1111" s="19" t="s">
        <v>235</v>
      </c>
      <c r="P1111" s="19" t="s">
        <v>162</v>
      </c>
      <c r="Q1111" s="19"/>
      <c r="R1111" s="19" t="s">
        <v>76</v>
      </c>
      <c r="S1111" s="19" t="s">
        <v>534</v>
      </c>
      <c r="T1111" s="19" t="s">
        <v>54</v>
      </c>
      <c r="U1111" s="19" t="s">
        <v>54</v>
      </c>
      <c r="V1111" s="19" t="s">
        <v>94</v>
      </c>
      <c r="W1111" s="19" t="s">
        <v>231</v>
      </c>
      <c r="X1111" s="19" t="s">
        <v>46</v>
      </c>
      <c r="Y1111" s="29"/>
      <c r="Z1111" s="19"/>
      <c r="AA1111" s="19"/>
      <c r="AB1111" s="19" t="s">
        <v>646</v>
      </c>
      <c r="AC1111" s="19" t="s">
        <v>214</v>
      </c>
      <c r="AD1111" s="19"/>
      <c r="AE1111" s="19">
        <v>445</v>
      </c>
      <c r="AF1111" s="19">
        <v>445</v>
      </c>
      <c r="AG1111" s="19" t="s">
        <v>270</v>
      </c>
      <c r="AH1111" s="19"/>
      <c r="AI1111" s="19"/>
      <c r="AJ1111" s="19">
        <v>7.25</v>
      </c>
      <c r="AK1111" s="19" t="s">
        <v>610</v>
      </c>
      <c r="AL1111" s="19"/>
      <c r="AM1111" s="19"/>
      <c r="AN1111" s="19" t="s">
        <v>234</v>
      </c>
      <c r="AO1111" s="19" t="s">
        <v>235</v>
      </c>
      <c r="AP1111" s="94">
        <v>21</v>
      </c>
      <c r="AQ1111" s="19" t="s">
        <v>234</v>
      </c>
      <c r="AR1111" s="19" t="s">
        <v>241</v>
      </c>
      <c r="AS1111" s="19"/>
      <c r="AT1111" s="65" t="str">
        <f t="shared" si="330"/>
        <v>Y</v>
      </c>
      <c r="AU1111" s="65" t="str">
        <f t="shared" si="325"/>
        <v>Y</v>
      </c>
      <c r="AV1111" s="65" t="str">
        <f t="shared" si="329"/>
        <v>Y</v>
      </c>
      <c r="AW1111" s="99" t="s">
        <v>1406</v>
      </c>
      <c r="AX1111" s="99" t="s">
        <v>1643</v>
      </c>
      <c r="AY1111" s="19"/>
      <c r="AZ1111" s="96" t="str">
        <f t="shared" si="326"/>
        <v>NOEC</v>
      </c>
      <c r="BA1111" s="96">
        <f>IF(AZ1111="n","n",VLOOKUP(AZ1111,'Conversion factors'!$C$4:$D$24,2,FALSE))</f>
        <v>1</v>
      </c>
      <c r="BB1111" s="96">
        <f t="shared" si="327"/>
        <v>575</v>
      </c>
      <c r="BC1111" s="97"/>
      <c r="BD1111" s="96" t="str">
        <f t="shared" si="331"/>
        <v>Chronic</v>
      </c>
      <c r="BE1111" s="96" t="str">
        <f t="shared" si="328"/>
        <v>y</v>
      </c>
      <c r="BF1111" s="98" t="str">
        <f t="shared" si="332"/>
        <v>NOEC</v>
      </c>
      <c r="BG1111" s="96" t="str">
        <f>IF(BF1111="","",IF(ISNUMBER(VLOOKUP(BF1111,'Conversion factors'!$B$35:$C$52,2,FALSE)),"y","n"))</f>
        <v>y</v>
      </c>
      <c r="BH1111" s="99" t="s">
        <v>1474</v>
      </c>
      <c r="BI1111" s="19" t="s">
        <v>1643</v>
      </c>
    </row>
    <row r="1112" spans="1:61" s="103" customFormat="1" ht="15.75" customHeight="1" x14ac:dyDescent="0.2">
      <c r="A1112" s="18"/>
      <c r="B1112" s="19">
        <v>234</v>
      </c>
      <c r="C1112" s="19"/>
      <c r="D1112" s="19">
        <v>71981</v>
      </c>
      <c r="E1112" s="19" t="s">
        <v>1224</v>
      </c>
      <c r="F1112" s="93">
        <v>2003</v>
      </c>
      <c r="G1112" s="19" t="s">
        <v>602</v>
      </c>
      <c r="H1112" s="19" t="s">
        <v>162</v>
      </c>
      <c r="I1112" s="19" t="s">
        <v>41</v>
      </c>
      <c r="J1112" s="19" t="s">
        <v>87</v>
      </c>
      <c r="K1112" s="19" t="s">
        <v>64</v>
      </c>
      <c r="L1112" s="99" t="s">
        <v>151</v>
      </c>
      <c r="M1112" s="19" t="s">
        <v>260</v>
      </c>
      <c r="N1112" s="19" t="s">
        <v>66</v>
      </c>
      <c r="O1112" s="19" t="s">
        <v>235</v>
      </c>
      <c r="P1112" s="19" t="s">
        <v>162</v>
      </c>
      <c r="Q1112" s="19"/>
      <c r="R1112" s="19" t="s">
        <v>76</v>
      </c>
      <c r="S1112" s="19" t="s">
        <v>534</v>
      </c>
      <c r="T1112" s="19" t="s">
        <v>54</v>
      </c>
      <c r="U1112" s="19" t="s">
        <v>54</v>
      </c>
      <c r="V1112" s="19" t="s">
        <v>94</v>
      </c>
      <c r="W1112" s="19" t="s">
        <v>231</v>
      </c>
      <c r="X1112" s="19" t="s">
        <v>46</v>
      </c>
      <c r="Y1112" s="29"/>
      <c r="Z1112" s="19"/>
      <c r="AA1112" s="19"/>
      <c r="AB1112" s="19" t="s">
        <v>645</v>
      </c>
      <c r="AC1112" s="19" t="s">
        <v>214</v>
      </c>
      <c r="AD1112" s="19"/>
      <c r="AE1112" s="19">
        <v>370</v>
      </c>
      <c r="AF1112" s="19">
        <v>370</v>
      </c>
      <c r="AG1112" s="19" t="s">
        <v>270</v>
      </c>
      <c r="AH1112" s="19"/>
      <c r="AI1112" s="19"/>
      <c r="AJ1112" s="19">
        <v>8</v>
      </c>
      <c r="AK1112" s="19" t="s">
        <v>605</v>
      </c>
      <c r="AL1112" s="19"/>
      <c r="AM1112" s="19"/>
      <c r="AN1112" s="19" t="s">
        <v>234</v>
      </c>
      <c r="AO1112" s="19" t="s">
        <v>235</v>
      </c>
      <c r="AP1112" s="94">
        <v>9.6999999999999993</v>
      </c>
      <c r="AQ1112" s="19" t="s">
        <v>234</v>
      </c>
      <c r="AR1112" s="19" t="s">
        <v>241</v>
      </c>
      <c r="AS1112" s="19"/>
      <c r="AT1112" s="65" t="str">
        <f t="shared" si="330"/>
        <v>Y</v>
      </c>
      <c r="AU1112" s="65" t="str">
        <f t="shared" si="325"/>
        <v>Y</v>
      </c>
      <c r="AV1112" s="65" t="str">
        <f t="shared" si="329"/>
        <v>Y</v>
      </c>
      <c r="AW1112" s="99" t="s">
        <v>1406</v>
      </c>
      <c r="AX1112" s="99" t="s">
        <v>1643</v>
      </c>
      <c r="AY1112" s="19"/>
      <c r="AZ1112" s="96" t="str">
        <f t="shared" si="326"/>
        <v>NOEC</v>
      </c>
      <c r="BA1112" s="96">
        <f>IF(AZ1112="n","n",VLOOKUP(AZ1112,'Conversion factors'!$C$4:$D$24,2,FALSE))</f>
        <v>1</v>
      </c>
      <c r="BB1112" s="96">
        <f t="shared" si="327"/>
        <v>320</v>
      </c>
      <c r="BC1112" s="97"/>
      <c r="BD1112" s="96" t="str">
        <f t="shared" si="331"/>
        <v>Chronic</v>
      </c>
      <c r="BE1112" s="96" t="str">
        <f t="shared" si="328"/>
        <v>y</v>
      </c>
      <c r="BF1112" s="98" t="str">
        <f t="shared" si="332"/>
        <v>NOEC</v>
      </c>
      <c r="BG1112" s="96" t="str">
        <f>IF(BF1112="","",IF(ISNUMBER(VLOOKUP(BF1112,'Conversion factors'!$B$35:$C$52,2,FALSE)),"y","n"))</f>
        <v>y</v>
      </c>
      <c r="BH1112" s="99" t="s">
        <v>1474</v>
      </c>
      <c r="BI1112" s="19" t="s">
        <v>1643</v>
      </c>
    </row>
    <row r="1113" spans="1:61" s="103" customFormat="1" ht="15.75" customHeight="1" x14ac:dyDescent="0.2">
      <c r="A1113" s="18"/>
      <c r="B1113" s="19">
        <v>234</v>
      </c>
      <c r="C1113" s="19"/>
      <c r="D1113" s="19">
        <v>71981</v>
      </c>
      <c r="E1113" s="19" t="s">
        <v>1224</v>
      </c>
      <c r="F1113" s="93">
        <v>2003</v>
      </c>
      <c r="G1113" s="19" t="s">
        <v>602</v>
      </c>
      <c r="H1113" s="19" t="s">
        <v>162</v>
      </c>
      <c r="I1113" s="19" t="s">
        <v>41</v>
      </c>
      <c r="J1113" s="19" t="s">
        <v>87</v>
      </c>
      <c r="K1113" s="19" t="s">
        <v>64</v>
      </c>
      <c r="L1113" s="99" t="s">
        <v>151</v>
      </c>
      <c r="M1113" s="19" t="s">
        <v>260</v>
      </c>
      <c r="N1113" s="19" t="s">
        <v>66</v>
      </c>
      <c r="O1113" s="19" t="s">
        <v>235</v>
      </c>
      <c r="P1113" s="19" t="s">
        <v>162</v>
      </c>
      <c r="Q1113" s="19"/>
      <c r="R1113" s="19" t="s">
        <v>76</v>
      </c>
      <c r="S1113" s="19" t="s">
        <v>534</v>
      </c>
      <c r="T1113" s="19" t="s">
        <v>54</v>
      </c>
      <c r="U1113" s="19" t="s">
        <v>54</v>
      </c>
      <c r="V1113" s="19" t="s">
        <v>94</v>
      </c>
      <c r="W1113" s="19" t="s">
        <v>231</v>
      </c>
      <c r="X1113" s="19" t="s">
        <v>46</v>
      </c>
      <c r="Y1113" s="29"/>
      <c r="Z1113" s="19"/>
      <c r="AA1113" s="19"/>
      <c r="AB1113" s="19" t="s">
        <v>644</v>
      </c>
      <c r="AC1113" s="19" t="s">
        <v>214</v>
      </c>
      <c r="AD1113" s="19"/>
      <c r="AE1113" s="19">
        <v>370</v>
      </c>
      <c r="AF1113" s="19">
        <v>370</v>
      </c>
      <c r="AG1113" s="19" t="s">
        <v>270</v>
      </c>
      <c r="AH1113" s="19"/>
      <c r="AI1113" s="19"/>
      <c r="AJ1113" s="19">
        <v>6.5</v>
      </c>
      <c r="AK1113" s="19" t="s">
        <v>613</v>
      </c>
      <c r="AL1113" s="19"/>
      <c r="AM1113" s="19"/>
      <c r="AN1113" s="19" t="s">
        <v>234</v>
      </c>
      <c r="AO1113" s="19" t="s">
        <v>235</v>
      </c>
      <c r="AP1113" s="94">
        <v>32.299999999999997</v>
      </c>
      <c r="AQ1113" s="19" t="s">
        <v>234</v>
      </c>
      <c r="AR1113" s="19" t="s">
        <v>241</v>
      </c>
      <c r="AS1113" s="19"/>
      <c r="AT1113" s="65" t="str">
        <f t="shared" si="330"/>
        <v>Y</v>
      </c>
      <c r="AU1113" s="65" t="str">
        <f t="shared" si="325"/>
        <v>Y</v>
      </c>
      <c r="AV1113" s="65" t="str">
        <f t="shared" si="329"/>
        <v>Y</v>
      </c>
      <c r="AW1113" s="99" t="s">
        <v>1406</v>
      </c>
      <c r="AX1113" s="99" t="s">
        <v>1643</v>
      </c>
      <c r="AY1113" s="19"/>
      <c r="AZ1113" s="96" t="str">
        <f t="shared" si="326"/>
        <v>NOEC</v>
      </c>
      <c r="BA1113" s="96">
        <f>IF(AZ1113="n","n",VLOOKUP(AZ1113,'Conversion factors'!$C$4:$D$24,2,FALSE))</f>
        <v>1</v>
      </c>
      <c r="BB1113" s="96">
        <f t="shared" si="327"/>
        <v>630</v>
      </c>
      <c r="BC1113" s="97"/>
      <c r="BD1113" s="96" t="str">
        <f t="shared" si="331"/>
        <v>Chronic</v>
      </c>
      <c r="BE1113" s="96" t="str">
        <f t="shared" si="328"/>
        <v>y</v>
      </c>
      <c r="BF1113" s="98" t="str">
        <f t="shared" si="332"/>
        <v>NOEC</v>
      </c>
      <c r="BG1113" s="96" t="str">
        <f>IF(BF1113="","",IF(ISNUMBER(VLOOKUP(BF1113,'Conversion factors'!$B$35:$C$52,2,FALSE)),"y","n"))</f>
        <v>y</v>
      </c>
      <c r="BH1113" s="99" t="s">
        <v>1474</v>
      </c>
      <c r="BI1113" s="19" t="s">
        <v>1643</v>
      </c>
    </row>
    <row r="1114" spans="1:61" s="103" customFormat="1" ht="15.75" customHeight="1" x14ac:dyDescent="0.2">
      <c r="A1114" s="18"/>
      <c r="B1114" s="19">
        <v>234</v>
      </c>
      <c r="C1114" s="19"/>
      <c r="D1114" s="19">
        <v>71981</v>
      </c>
      <c r="E1114" s="19" t="s">
        <v>1224</v>
      </c>
      <c r="F1114" s="93">
        <v>2003</v>
      </c>
      <c r="G1114" s="19" t="s">
        <v>602</v>
      </c>
      <c r="H1114" s="19" t="s">
        <v>162</v>
      </c>
      <c r="I1114" s="19" t="s">
        <v>41</v>
      </c>
      <c r="J1114" s="19" t="s">
        <v>87</v>
      </c>
      <c r="K1114" s="19" t="s">
        <v>64</v>
      </c>
      <c r="L1114" s="99" t="s">
        <v>151</v>
      </c>
      <c r="M1114" s="19" t="s">
        <v>260</v>
      </c>
      <c r="N1114" s="19" t="s">
        <v>66</v>
      </c>
      <c r="O1114" s="19" t="s">
        <v>235</v>
      </c>
      <c r="P1114" s="19" t="s">
        <v>162</v>
      </c>
      <c r="Q1114" s="19"/>
      <c r="R1114" s="19" t="s">
        <v>76</v>
      </c>
      <c r="S1114" s="19" t="s">
        <v>534</v>
      </c>
      <c r="T1114" s="19" t="s">
        <v>54</v>
      </c>
      <c r="U1114" s="19" t="s">
        <v>54</v>
      </c>
      <c r="V1114" s="19" t="s">
        <v>94</v>
      </c>
      <c r="W1114" s="19" t="s">
        <v>231</v>
      </c>
      <c r="X1114" s="19" t="s">
        <v>46</v>
      </c>
      <c r="Y1114" s="29"/>
      <c r="Z1114" s="19"/>
      <c r="AA1114" s="19"/>
      <c r="AB1114" s="19" t="s">
        <v>644</v>
      </c>
      <c r="AC1114" s="19" t="s">
        <v>214</v>
      </c>
      <c r="AD1114" s="19"/>
      <c r="AE1114" s="19">
        <v>110</v>
      </c>
      <c r="AF1114" s="19">
        <v>110</v>
      </c>
      <c r="AG1114" s="19" t="s">
        <v>270</v>
      </c>
      <c r="AH1114" s="19"/>
      <c r="AI1114" s="19"/>
      <c r="AJ1114" s="19">
        <v>8</v>
      </c>
      <c r="AK1114" s="19" t="s">
        <v>605</v>
      </c>
      <c r="AL1114" s="19"/>
      <c r="AM1114" s="19"/>
      <c r="AN1114" s="19" t="s">
        <v>234</v>
      </c>
      <c r="AO1114" s="19" t="s">
        <v>235</v>
      </c>
      <c r="AP1114" s="94">
        <v>32.299999999999997</v>
      </c>
      <c r="AQ1114" s="19" t="s">
        <v>234</v>
      </c>
      <c r="AR1114" s="19" t="s">
        <v>241</v>
      </c>
      <c r="AS1114" s="19"/>
      <c r="AT1114" s="65" t="str">
        <f t="shared" si="330"/>
        <v>Y</v>
      </c>
      <c r="AU1114" s="65" t="str">
        <f t="shared" si="325"/>
        <v>Y</v>
      </c>
      <c r="AV1114" s="65" t="str">
        <f t="shared" si="329"/>
        <v>Y</v>
      </c>
      <c r="AW1114" s="99" t="s">
        <v>1406</v>
      </c>
      <c r="AX1114" s="99" t="s">
        <v>1643</v>
      </c>
      <c r="AY1114" s="19"/>
      <c r="AZ1114" s="96" t="str">
        <f t="shared" si="326"/>
        <v>NOEC</v>
      </c>
      <c r="BA1114" s="96">
        <f>IF(AZ1114="n","n",VLOOKUP(AZ1114,'Conversion factors'!$C$4:$D$24,2,FALSE))</f>
        <v>1</v>
      </c>
      <c r="BB1114" s="96">
        <f t="shared" si="327"/>
        <v>630</v>
      </c>
      <c r="BC1114" s="97"/>
      <c r="BD1114" s="96" t="str">
        <f t="shared" si="331"/>
        <v>Chronic</v>
      </c>
      <c r="BE1114" s="96" t="str">
        <f t="shared" si="328"/>
        <v>y</v>
      </c>
      <c r="BF1114" s="98" t="str">
        <f t="shared" si="332"/>
        <v>NOEC</v>
      </c>
      <c r="BG1114" s="96" t="str">
        <f>IF(BF1114="","",IF(ISNUMBER(VLOOKUP(BF1114,'Conversion factors'!$B$35:$C$52,2,FALSE)),"y","n"))</f>
        <v>y</v>
      </c>
      <c r="BH1114" s="99" t="s">
        <v>1474</v>
      </c>
      <c r="BI1114" s="19" t="s">
        <v>1643</v>
      </c>
    </row>
    <row r="1115" spans="1:61" s="103" customFormat="1" ht="15.75" customHeight="1" x14ac:dyDescent="0.2">
      <c r="A1115" s="18"/>
      <c r="B1115" s="19">
        <v>234</v>
      </c>
      <c r="C1115" s="19"/>
      <c r="D1115" s="19">
        <v>71981</v>
      </c>
      <c r="E1115" s="19" t="s">
        <v>1224</v>
      </c>
      <c r="F1115" s="93">
        <v>2003</v>
      </c>
      <c r="G1115" s="19" t="s">
        <v>602</v>
      </c>
      <c r="H1115" s="19" t="s">
        <v>162</v>
      </c>
      <c r="I1115" s="19" t="s">
        <v>41</v>
      </c>
      <c r="J1115" s="19" t="s">
        <v>87</v>
      </c>
      <c r="K1115" s="19" t="s">
        <v>64</v>
      </c>
      <c r="L1115" s="99" t="s">
        <v>151</v>
      </c>
      <c r="M1115" s="19" t="s">
        <v>260</v>
      </c>
      <c r="N1115" s="19" t="s">
        <v>66</v>
      </c>
      <c r="O1115" s="19" t="s">
        <v>235</v>
      </c>
      <c r="P1115" s="19" t="s">
        <v>162</v>
      </c>
      <c r="Q1115" s="19"/>
      <c r="R1115" s="19" t="s">
        <v>76</v>
      </c>
      <c r="S1115" s="19" t="s">
        <v>534</v>
      </c>
      <c r="T1115" s="19" t="s">
        <v>54</v>
      </c>
      <c r="U1115" s="19" t="s">
        <v>54</v>
      </c>
      <c r="V1115" s="19" t="s">
        <v>94</v>
      </c>
      <c r="W1115" s="19" t="s">
        <v>231</v>
      </c>
      <c r="X1115" s="19" t="s">
        <v>46</v>
      </c>
      <c r="Y1115" s="29"/>
      <c r="Z1115" s="19"/>
      <c r="AA1115" s="19"/>
      <c r="AB1115" s="19" t="s">
        <v>644</v>
      </c>
      <c r="AC1115" s="19" t="s">
        <v>214</v>
      </c>
      <c r="AD1115" s="19"/>
      <c r="AE1115" s="19">
        <v>240</v>
      </c>
      <c r="AF1115" s="19">
        <v>240</v>
      </c>
      <c r="AG1115" s="19" t="s">
        <v>270</v>
      </c>
      <c r="AH1115" s="19"/>
      <c r="AI1115" s="19"/>
      <c r="AJ1115" s="19">
        <v>8.5</v>
      </c>
      <c r="AK1115" s="19" t="s">
        <v>608</v>
      </c>
      <c r="AL1115" s="19"/>
      <c r="AM1115" s="19"/>
      <c r="AN1115" s="19" t="s">
        <v>234</v>
      </c>
      <c r="AO1115" s="19" t="s">
        <v>235</v>
      </c>
      <c r="AP1115" s="94">
        <v>21</v>
      </c>
      <c r="AQ1115" s="19" t="s">
        <v>234</v>
      </c>
      <c r="AR1115" s="19" t="s">
        <v>241</v>
      </c>
      <c r="AS1115" s="19"/>
      <c r="AT1115" s="65" t="str">
        <f t="shared" si="330"/>
        <v>Y</v>
      </c>
      <c r="AU1115" s="65" t="str">
        <f t="shared" si="325"/>
        <v>Y</v>
      </c>
      <c r="AV1115" s="65" t="str">
        <f t="shared" si="329"/>
        <v>Y</v>
      </c>
      <c r="AW1115" s="99" t="s">
        <v>1405</v>
      </c>
      <c r="AX1115" s="99" t="s">
        <v>1643</v>
      </c>
      <c r="AY1115" s="19"/>
      <c r="AZ1115" s="96" t="str">
        <f t="shared" si="326"/>
        <v>NOEC</v>
      </c>
      <c r="BA1115" s="96">
        <f>IF(AZ1115="n","n",VLOOKUP(AZ1115,'Conversion factors'!$C$4:$D$24,2,FALSE))</f>
        <v>1</v>
      </c>
      <c r="BB1115" s="96">
        <f t="shared" si="327"/>
        <v>630</v>
      </c>
      <c r="BC1115" s="97"/>
      <c r="BD1115" s="96" t="str">
        <f t="shared" si="331"/>
        <v>Chronic</v>
      </c>
      <c r="BE1115" s="96" t="str">
        <f t="shared" si="328"/>
        <v>y</v>
      </c>
      <c r="BF1115" s="98" t="str">
        <f t="shared" si="332"/>
        <v>NOEC</v>
      </c>
      <c r="BG1115" s="96" t="str">
        <f>IF(BF1115="","",IF(ISNUMBER(VLOOKUP(BF1115,'Conversion factors'!$B$35:$C$52,2,FALSE)),"y","n"))</f>
        <v>y</v>
      </c>
      <c r="BH1115" s="99" t="s">
        <v>1474</v>
      </c>
      <c r="BI1115" s="19" t="s">
        <v>1643</v>
      </c>
    </row>
    <row r="1116" spans="1:61" s="103" customFormat="1" ht="15.75" customHeight="1" x14ac:dyDescent="0.2">
      <c r="A1116" s="18"/>
      <c r="B1116" s="19">
        <v>246</v>
      </c>
      <c r="C1116" s="19"/>
      <c r="D1116" s="19">
        <v>80818</v>
      </c>
      <c r="E1116" s="19" t="s">
        <v>1224</v>
      </c>
      <c r="F1116" s="93">
        <v>2005</v>
      </c>
      <c r="G1116" s="19" t="s">
        <v>512</v>
      </c>
      <c r="H1116" s="19" t="s">
        <v>162</v>
      </c>
      <c r="I1116" s="19" t="s">
        <v>41</v>
      </c>
      <c r="J1116" s="19" t="s">
        <v>87</v>
      </c>
      <c r="K1116" s="19" t="s">
        <v>64</v>
      </c>
      <c r="L1116" s="99" t="s">
        <v>151</v>
      </c>
      <c r="M1116" s="19" t="s">
        <v>260</v>
      </c>
      <c r="N1116" s="19" t="s">
        <v>66</v>
      </c>
      <c r="O1116" s="19" t="s">
        <v>338</v>
      </c>
      <c r="P1116" s="19" t="s">
        <v>162</v>
      </c>
      <c r="Q1116" s="19"/>
      <c r="R1116" s="19" t="s">
        <v>256</v>
      </c>
      <c r="S1116" s="19" t="s">
        <v>416</v>
      </c>
      <c r="T1116" s="19" t="s">
        <v>44</v>
      </c>
      <c r="U1116" s="19" t="s">
        <v>44</v>
      </c>
      <c r="V1116" s="19" t="s">
        <v>94</v>
      </c>
      <c r="W1116" s="19" t="s">
        <v>231</v>
      </c>
      <c r="X1116" s="19" t="s">
        <v>46</v>
      </c>
      <c r="Y1116" s="29"/>
      <c r="Z1116" s="19"/>
      <c r="AA1116" s="19"/>
      <c r="AB1116" s="19" t="s">
        <v>688</v>
      </c>
      <c r="AC1116" s="19" t="s">
        <v>214</v>
      </c>
      <c r="AD1116" s="19"/>
      <c r="AE1116" s="19">
        <v>180</v>
      </c>
      <c r="AF1116" s="19"/>
      <c r="AG1116" s="19" t="s">
        <v>216</v>
      </c>
      <c r="AH1116" s="19"/>
      <c r="AI1116" s="19"/>
      <c r="AJ1116" s="19">
        <v>7.8</v>
      </c>
      <c r="AK1116" s="19" t="s">
        <v>545</v>
      </c>
      <c r="AL1116" s="19"/>
      <c r="AM1116" s="19" t="s">
        <v>234</v>
      </c>
      <c r="AN1116" s="19" t="s">
        <v>234</v>
      </c>
      <c r="AO1116" s="19" t="s">
        <v>235</v>
      </c>
      <c r="AP1116" s="94" t="s">
        <v>1493</v>
      </c>
      <c r="AQ1116" s="19" t="s">
        <v>97</v>
      </c>
      <c r="AR1116" s="19" t="s">
        <v>241</v>
      </c>
      <c r="AS1116" s="19"/>
      <c r="AT1116" s="65" t="str">
        <f t="shared" si="330"/>
        <v>Y</v>
      </c>
      <c r="AU1116" s="65" t="str">
        <f t="shared" si="325"/>
        <v>Y</v>
      </c>
      <c r="AV1116" s="65" t="str">
        <f t="shared" si="329"/>
        <v>Y</v>
      </c>
      <c r="AW1116" s="99"/>
      <c r="AX1116" s="99"/>
      <c r="AY1116" s="19"/>
      <c r="AZ1116" s="96" t="str">
        <f t="shared" si="326"/>
        <v>EC50</v>
      </c>
      <c r="BA1116" s="96">
        <f>IF(AZ1116="n","n",VLOOKUP(AZ1116,'Conversion factors'!$C$4:$D$24,2,FALSE))</f>
        <v>5</v>
      </c>
      <c r="BB1116" s="96">
        <f t="shared" si="327"/>
        <v>24.2</v>
      </c>
      <c r="BC1116" s="97"/>
      <c r="BD1116" s="96" t="str">
        <f t="shared" si="331"/>
        <v>Chronic</v>
      </c>
      <c r="BE1116" s="96" t="str">
        <f t="shared" si="328"/>
        <v>y</v>
      </c>
      <c r="BF1116" s="98" t="str">
        <f t="shared" si="332"/>
        <v>EC50</v>
      </c>
      <c r="BG1116" s="96" t="str">
        <f>IF(BF1116="","",IF(ISNUMBER(VLOOKUP(BF1116,'Conversion factors'!$B$35:$C$52,2,FALSE)),"y","n"))</f>
        <v>n</v>
      </c>
      <c r="BH1116" s="99"/>
    </row>
    <row r="1117" spans="1:61" s="103" customFormat="1" ht="15.75" customHeight="1" x14ac:dyDescent="0.2">
      <c r="A1117" s="18"/>
      <c r="B1117" s="19">
        <v>246</v>
      </c>
      <c r="C1117" s="19"/>
      <c r="D1117" s="19">
        <v>80818</v>
      </c>
      <c r="E1117" s="19" t="s">
        <v>1224</v>
      </c>
      <c r="F1117" s="93">
        <v>2005</v>
      </c>
      <c r="G1117" s="19" t="s">
        <v>512</v>
      </c>
      <c r="H1117" s="19" t="s">
        <v>162</v>
      </c>
      <c r="I1117" s="19" t="s">
        <v>41</v>
      </c>
      <c r="J1117" s="19" t="s">
        <v>87</v>
      </c>
      <c r="K1117" s="19" t="s">
        <v>64</v>
      </c>
      <c r="L1117" s="99" t="s">
        <v>151</v>
      </c>
      <c r="M1117" s="19" t="s">
        <v>260</v>
      </c>
      <c r="N1117" s="19" t="s">
        <v>66</v>
      </c>
      <c r="O1117" s="19" t="s">
        <v>338</v>
      </c>
      <c r="P1117" s="19" t="s">
        <v>162</v>
      </c>
      <c r="Q1117" s="19"/>
      <c r="R1117" s="19" t="s">
        <v>256</v>
      </c>
      <c r="S1117" s="19" t="s">
        <v>416</v>
      </c>
      <c r="T1117" s="19" t="s">
        <v>44</v>
      </c>
      <c r="U1117" s="19" t="s">
        <v>44</v>
      </c>
      <c r="V1117" s="19" t="s">
        <v>94</v>
      </c>
      <c r="W1117" s="19" t="s">
        <v>231</v>
      </c>
      <c r="X1117" s="19" t="s">
        <v>46</v>
      </c>
      <c r="Y1117" s="29"/>
      <c r="Z1117" s="19"/>
      <c r="AA1117" s="19"/>
      <c r="AB1117" s="19" t="s">
        <v>690</v>
      </c>
      <c r="AC1117" s="19" t="s">
        <v>214</v>
      </c>
      <c r="AD1117" s="19"/>
      <c r="AE1117" s="19">
        <v>180</v>
      </c>
      <c r="AF1117" s="19"/>
      <c r="AG1117" s="19" t="s">
        <v>216</v>
      </c>
      <c r="AH1117" s="19"/>
      <c r="AI1117" s="19"/>
      <c r="AJ1117" s="19">
        <v>7.8</v>
      </c>
      <c r="AK1117" s="19" t="s">
        <v>545</v>
      </c>
      <c r="AL1117" s="19"/>
      <c r="AM1117" s="19" t="s">
        <v>234</v>
      </c>
      <c r="AN1117" s="19" t="s">
        <v>234</v>
      </c>
      <c r="AO1117" s="19" t="s">
        <v>235</v>
      </c>
      <c r="AP1117" s="94" t="s">
        <v>1493</v>
      </c>
      <c r="AQ1117" s="19" t="s">
        <v>97</v>
      </c>
      <c r="AR1117" s="19" t="s">
        <v>241</v>
      </c>
      <c r="AS1117" s="19"/>
      <c r="AT1117" s="65" t="str">
        <f t="shared" si="330"/>
        <v>Y</v>
      </c>
      <c r="AU1117" s="65" t="str">
        <f t="shared" si="325"/>
        <v>Y</v>
      </c>
      <c r="AV1117" s="65" t="str">
        <f t="shared" si="329"/>
        <v>Y</v>
      </c>
      <c r="AW1117" s="99"/>
      <c r="AX1117" s="99"/>
      <c r="AY1117" s="19"/>
      <c r="AZ1117" s="96" t="str">
        <f t="shared" si="326"/>
        <v>EC50</v>
      </c>
      <c r="BA1117" s="96">
        <f>IF(AZ1117="n","n",VLOOKUP(AZ1117,'Conversion factors'!$C$4:$D$24,2,FALSE))</f>
        <v>5</v>
      </c>
      <c r="BB1117" s="96">
        <f t="shared" si="327"/>
        <v>34.799999999999997</v>
      </c>
      <c r="BC1117" s="97"/>
      <c r="BD1117" s="96" t="str">
        <f t="shared" si="331"/>
        <v>Chronic</v>
      </c>
      <c r="BE1117" s="96" t="str">
        <f t="shared" si="328"/>
        <v>y</v>
      </c>
      <c r="BF1117" s="98" t="str">
        <f t="shared" si="332"/>
        <v>EC50</v>
      </c>
      <c r="BG1117" s="96" t="str">
        <f>IF(BF1117="","",IF(ISNUMBER(VLOOKUP(BF1117,'Conversion factors'!$B$35:$C$52,2,FALSE)),"y","n"))</f>
        <v>n</v>
      </c>
      <c r="BH1117" s="99"/>
    </row>
    <row r="1118" spans="1:61" s="103" customFormat="1" ht="15.75" customHeight="1" x14ac:dyDescent="0.2">
      <c r="A1118" s="18"/>
      <c r="B1118" s="19">
        <v>246</v>
      </c>
      <c r="C1118" s="19"/>
      <c r="D1118" s="19">
        <v>80818</v>
      </c>
      <c r="E1118" s="19" t="s">
        <v>1224</v>
      </c>
      <c r="F1118" s="93">
        <v>2005</v>
      </c>
      <c r="G1118" s="19" t="s">
        <v>512</v>
      </c>
      <c r="H1118" s="19" t="s">
        <v>162</v>
      </c>
      <c r="I1118" s="19" t="s">
        <v>41</v>
      </c>
      <c r="J1118" s="19" t="s">
        <v>87</v>
      </c>
      <c r="K1118" s="19" t="s">
        <v>64</v>
      </c>
      <c r="L1118" s="99" t="s">
        <v>151</v>
      </c>
      <c r="M1118" s="19" t="s">
        <v>260</v>
      </c>
      <c r="N1118" s="19" t="s">
        <v>66</v>
      </c>
      <c r="O1118" s="19" t="s">
        <v>338</v>
      </c>
      <c r="P1118" s="19" t="s">
        <v>162</v>
      </c>
      <c r="Q1118" s="19"/>
      <c r="R1118" s="19" t="s">
        <v>256</v>
      </c>
      <c r="S1118" s="19" t="s">
        <v>416</v>
      </c>
      <c r="T1118" s="19" t="s">
        <v>44</v>
      </c>
      <c r="U1118" s="19" t="s">
        <v>44</v>
      </c>
      <c r="V1118" s="19" t="s">
        <v>94</v>
      </c>
      <c r="W1118" s="19" t="s">
        <v>231</v>
      </c>
      <c r="X1118" s="19" t="s">
        <v>46</v>
      </c>
      <c r="Y1118" s="29"/>
      <c r="Z1118" s="19"/>
      <c r="AA1118" s="19"/>
      <c r="AB1118" s="19" t="s">
        <v>691</v>
      </c>
      <c r="AC1118" s="19" t="s">
        <v>214</v>
      </c>
      <c r="AD1118" s="19"/>
      <c r="AE1118" s="19">
        <v>180</v>
      </c>
      <c r="AF1118" s="19"/>
      <c r="AG1118" s="19" t="s">
        <v>216</v>
      </c>
      <c r="AH1118" s="19"/>
      <c r="AI1118" s="19"/>
      <c r="AJ1118" s="19">
        <v>7.8</v>
      </c>
      <c r="AK1118" s="19" t="s">
        <v>545</v>
      </c>
      <c r="AL1118" s="19"/>
      <c r="AM1118" s="19" t="s">
        <v>234</v>
      </c>
      <c r="AN1118" s="19" t="s">
        <v>234</v>
      </c>
      <c r="AO1118" s="19" t="s">
        <v>235</v>
      </c>
      <c r="AP1118" s="94" t="s">
        <v>1493</v>
      </c>
      <c r="AQ1118" s="19" t="s">
        <v>97</v>
      </c>
      <c r="AR1118" s="19" t="s">
        <v>241</v>
      </c>
      <c r="AS1118" s="19"/>
      <c r="AT1118" s="65" t="str">
        <f t="shared" si="330"/>
        <v>Y</v>
      </c>
      <c r="AU1118" s="65" t="str">
        <f t="shared" si="325"/>
        <v>Y</v>
      </c>
      <c r="AV1118" s="65" t="str">
        <f t="shared" si="329"/>
        <v>Y</v>
      </c>
      <c r="AW1118" s="99"/>
      <c r="AX1118" s="99"/>
      <c r="AY1118" s="19"/>
      <c r="AZ1118" s="96" t="str">
        <f t="shared" si="326"/>
        <v>EC50</v>
      </c>
      <c r="BA1118" s="96">
        <f>IF(AZ1118="n","n",VLOOKUP(AZ1118,'Conversion factors'!$C$4:$D$24,2,FALSE))</f>
        <v>5</v>
      </c>
      <c r="BB1118" s="96">
        <f t="shared" si="327"/>
        <v>27.8</v>
      </c>
      <c r="BC1118" s="97"/>
      <c r="BD1118" s="96" t="str">
        <f t="shared" si="331"/>
        <v>Chronic</v>
      </c>
      <c r="BE1118" s="96" t="str">
        <f t="shared" si="328"/>
        <v>y</v>
      </c>
      <c r="BF1118" s="98" t="str">
        <f t="shared" si="332"/>
        <v>EC50</v>
      </c>
      <c r="BG1118" s="96" t="str">
        <f>IF(BF1118="","",IF(ISNUMBER(VLOOKUP(BF1118,'Conversion factors'!$B$35:$C$52,2,FALSE)),"y","n"))</f>
        <v>n</v>
      </c>
      <c r="BH1118" s="99"/>
    </row>
    <row r="1119" spans="1:61" s="103" customFormat="1" ht="15.75" customHeight="1" x14ac:dyDescent="0.2">
      <c r="A1119" s="18"/>
      <c r="B1119" s="19">
        <v>246</v>
      </c>
      <c r="C1119" s="19"/>
      <c r="D1119" s="19">
        <v>80818</v>
      </c>
      <c r="E1119" s="19" t="s">
        <v>1224</v>
      </c>
      <c r="F1119" s="93">
        <v>2005</v>
      </c>
      <c r="G1119" s="19" t="s">
        <v>512</v>
      </c>
      <c r="H1119" s="19" t="s">
        <v>162</v>
      </c>
      <c r="I1119" s="19" t="s">
        <v>41</v>
      </c>
      <c r="J1119" s="19" t="s">
        <v>87</v>
      </c>
      <c r="K1119" s="19" t="s">
        <v>64</v>
      </c>
      <c r="L1119" s="99" t="s">
        <v>151</v>
      </c>
      <c r="M1119" s="19" t="s">
        <v>260</v>
      </c>
      <c r="N1119" s="19" t="s">
        <v>66</v>
      </c>
      <c r="O1119" s="19" t="s">
        <v>338</v>
      </c>
      <c r="P1119" s="19" t="s">
        <v>162</v>
      </c>
      <c r="Q1119" s="19"/>
      <c r="R1119" s="19" t="s">
        <v>256</v>
      </c>
      <c r="S1119" s="19" t="s">
        <v>416</v>
      </c>
      <c r="T1119" s="19" t="s">
        <v>44</v>
      </c>
      <c r="U1119" s="19" t="s">
        <v>44</v>
      </c>
      <c r="V1119" s="19" t="s">
        <v>94</v>
      </c>
      <c r="W1119" s="19" t="s">
        <v>231</v>
      </c>
      <c r="X1119" s="19" t="s">
        <v>46</v>
      </c>
      <c r="Y1119" s="29"/>
      <c r="Z1119" s="19"/>
      <c r="AA1119" s="19"/>
      <c r="AB1119" s="19" t="s">
        <v>692</v>
      </c>
      <c r="AC1119" s="19" t="s">
        <v>214</v>
      </c>
      <c r="AD1119" s="19"/>
      <c r="AE1119" s="19">
        <v>180</v>
      </c>
      <c r="AF1119" s="19"/>
      <c r="AG1119" s="19" t="s">
        <v>216</v>
      </c>
      <c r="AH1119" s="19"/>
      <c r="AI1119" s="19"/>
      <c r="AJ1119" s="19">
        <v>7.8</v>
      </c>
      <c r="AK1119" s="19" t="s">
        <v>545</v>
      </c>
      <c r="AL1119" s="19"/>
      <c r="AM1119" s="19" t="s">
        <v>234</v>
      </c>
      <c r="AN1119" s="19" t="s">
        <v>234</v>
      </c>
      <c r="AO1119" s="19" t="s">
        <v>235</v>
      </c>
      <c r="AP1119" s="94" t="s">
        <v>1493</v>
      </c>
      <c r="AQ1119" s="19" t="s">
        <v>97</v>
      </c>
      <c r="AR1119" s="19" t="s">
        <v>241</v>
      </c>
      <c r="AS1119" s="19"/>
      <c r="AT1119" s="65" t="str">
        <f t="shared" si="330"/>
        <v>Y</v>
      </c>
      <c r="AU1119" s="65" t="str">
        <f t="shared" si="325"/>
        <v>Y</v>
      </c>
      <c r="AV1119" s="65" t="str">
        <f t="shared" si="329"/>
        <v>Y</v>
      </c>
      <c r="AW1119" s="99"/>
      <c r="AX1119" s="99"/>
      <c r="AY1119" s="19"/>
      <c r="AZ1119" s="96" t="str">
        <f t="shared" si="326"/>
        <v>EC50</v>
      </c>
      <c r="BA1119" s="96">
        <f>IF(AZ1119="n","n",VLOOKUP(AZ1119,'Conversion factors'!$C$4:$D$24,2,FALSE))</f>
        <v>5</v>
      </c>
      <c r="BB1119" s="96">
        <f t="shared" si="327"/>
        <v>34.6</v>
      </c>
      <c r="BC1119" s="97"/>
      <c r="BD1119" s="96" t="str">
        <f t="shared" si="331"/>
        <v>Chronic</v>
      </c>
      <c r="BE1119" s="96" t="str">
        <f t="shared" si="328"/>
        <v>y</v>
      </c>
      <c r="BF1119" s="98" t="str">
        <f t="shared" si="332"/>
        <v>EC50</v>
      </c>
      <c r="BG1119" s="96" t="str">
        <f>IF(BF1119="","",IF(ISNUMBER(VLOOKUP(BF1119,'Conversion factors'!$B$35:$C$52,2,FALSE)),"y","n"))</f>
        <v>n</v>
      </c>
      <c r="BH1119" s="99"/>
    </row>
    <row r="1120" spans="1:61" s="103" customFormat="1" ht="15.75" customHeight="1" x14ac:dyDescent="0.2">
      <c r="A1120" s="18"/>
      <c r="B1120" s="19">
        <v>246</v>
      </c>
      <c r="C1120" s="19"/>
      <c r="D1120" s="19">
        <v>80818</v>
      </c>
      <c r="E1120" s="19" t="s">
        <v>1224</v>
      </c>
      <c r="F1120" s="93">
        <v>2005</v>
      </c>
      <c r="G1120" s="19" t="s">
        <v>512</v>
      </c>
      <c r="H1120" s="19" t="s">
        <v>162</v>
      </c>
      <c r="I1120" s="19" t="s">
        <v>41</v>
      </c>
      <c r="J1120" s="19" t="s">
        <v>87</v>
      </c>
      <c r="K1120" s="19" t="s">
        <v>64</v>
      </c>
      <c r="L1120" s="99" t="s">
        <v>151</v>
      </c>
      <c r="M1120" s="19" t="s">
        <v>260</v>
      </c>
      <c r="N1120" s="19" t="s">
        <v>66</v>
      </c>
      <c r="O1120" s="19" t="s">
        <v>338</v>
      </c>
      <c r="P1120" s="19" t="s">
        <v>162</v>
      </c>
      <c r="Q1120" s="19"/>
      <c r="R1120" s="19" t="s">
        <v>256</v>
      </c>
      <c r="S1120" s="19" t="s">
        <v>416</v>
      </c>
      <c r="T1120" s="19" t="s">
        <v>44</v>
      </c>
      <c r="U1120" s="19" t="s">
        <v>44</v>
      </c>
      <c r="V1120" s="19" t="s">
        <v>94</v>
      </c>
      <c r="W1120" s="19" t="s">
        <v>231</v>
      </c>
      <c r="X1120" s="19" t="s">
        <v>46</v>
      </c>
      <c r="Y1120" s="29"/>
      <c r="Z1120" s="19"/>
      <c r="AA1120" s="19"/>
      <c r="AB1120" s="19" t="s">
        <v>693</v>
      </c>
      <c r="AC1120" s="19" t="s">
        <v>214</v>
      </c>
      <c r="AD1120" s="19"/>
      <c r="AE1120" s="19">
        <v>180</v>
      </c>
      <c r="AF1120" s="19"/>
      <c r="AG1120" s="19" t="s">
        <v>216</v>
      </c>
      <c r="AH1120" s="19"/>
      <c r="AI1120" s="19"/>
      <c r="AJ1120" s="19">
        <v>7.8</v>
      </c>
      <c r="AK1120" s="19" t="s">
        <v>545</v>
      </c>
      <c r="AL1120" s="19"/>
      <c r="AM1120" s="19" t="s">
        <v>234</v>
      </c>
      <c r="AN1120" s="19" t="s">
        <v>234</v>
      </c>
      <c r="AO1120" s="19" t="s">
        <v>235</v>
      </c>
      <c r="AP1120" s="94" t="s">
        <v>1493</v>
      </c>
      <c r="AQ1120" s="19" t="s">
        <v>97</v>
      </c>
      <c r="AR1120" s="19" t="s">
        <v>241</v>
      </c>
      <c r="AS1120" s="19"/>
      <c r="AT1120" s="65" t="str">
        <f t="shared" si="330"/>
        <v>Y</v>
      </c>
      <c r="AU1120" s="65" t="str">
        <f t="shared" si="325"/>
        <v>Y</v>
      </c>
      <c r="AV1120" s="65" t="str">
        <f t="shared" si="329"/>
        <v>Y</v>
      </c>
      <c r="AW1120" s="99"/>
      <c r="AX1120" s="99"/>
      <c r="AY1120" s="19"/>
      <c r="AZ1120" s="96" t="str">
        <f t="shared" si="326"/>
        <v>EC50</v>
      </c>
      <c r="BA1120" s="96">
        <f>IF(AZ1120="n","n",VLOOKUP(AZ1120,'Conversion factors'!$C$4:$D$24,2,FALSE))</f>
        <v>5</v>
      </c>
      <c r="BB1120" s="96">
        <f t="shared" si="327"/>
        <v>29.6</v>
      </c>
      <c r="BC1120" s="97"/>
      <c r="BD1120" s="96" t="str">
        <f t="shared" si="331"/>
        <v>Chronic</v>
      </c>
      <c r="BE1120" s="96" t="str">
        <f t="shared" si="328"/>
        <v>y</v>
      </c>
      <c r="BF1120" s="98" t="str">
        <f t="shared" si="332"/>
        <v>EC50</v>
      </c>
      <c r="BG1120" s="96" t="str">
        <f>IF(BF1120="","",IF(ISNUMBER(VLOOKUP(BF1120,'Conversion factors'!$B$35:$C$52,2,FALSE)),"y","n"))</f>
        <v>n</v>
      </c>
      <c r="BH1120" s="99"/>
    </row>
    <row r="1121" spans="1:61" s="103" customFormat="1" ht="15.75" customHeight="1" x14ac:dyDescent="0.2">
      <c r="A1121" s="18"/>
      <c r="B1121" s="19">
        <v>246</v>
      </c>
      <c r="C1121" s="19"/>
      <c r="D1121" s="19">
        <v>80818</v>
      </c>
      <c r="E1121" s="19" t="s">
        <v>1224</v>
      </c>
      <c r="F1121" s="93">
        <v>2005</v>
      </c>
      <c r="G1121" s="19" t="s">
        <v>512</v>
      </c>
      <c r="H1121" s="19" t="s">
        <v>162</v>
      </c>
      <c r="I1121" s="19" t="s">
        <v>41</v>
      </c>
      <c r="J1121" s="19" t="s">
        <v>87</v>
      </c>
      <c r="K1121" s="19" t="s">
        <v>64</v>
      </c>
      <c r="L1121" s="99" t="s">
        <v>151</v>
      </c>
      <c r="M1121" s="19" t="s">
        <v>260</v>
      </c>
      <c r="N1121" s="19" t="s">
        <v>66</v>
      </c>
      <c r="O1121" s="19" t="s">
        <v>338</v>
      </c>
      <c r="P1121" s="19" t="s">
        <v>162</v>
      </c>
      <c r="Q1121" s="19"/>
      <c r="R1121" s="19" t="s">
        <v>256</v>
      </c>
      <c r="S1121" s="19" t="s">
        <v>416</v>
      </c>
      <c r="T1121" s="19" t="s">
        <v>44</v>
      </c>
      <c r="U1121" s="19" t="s">
        <v>44</v>
      </c>
      <c r="V1121" s="19" t="s">
        <v>94</v>
      </c>
      <c r="W1121" s="19" t="s">
        <v>231</v>
      </c>
      <c r="X1121" s="19" t="s">
        <v>46</v>
      </c>
      <c r="Y1121" s="29"/>
      <c r="Z1121" s="19"/>
      <c r="AA1121" s="19"/>
      <c r="AB1121" s="19" t="s">
        <v>514</v>
      </c>
      <c r="AC1121" s="19" t="s">
        <v>214</v>
      </c>
      <c r="AD1121" s="19"/>
      <c r="AE1121" s="19">
        <v>180</v>
      </c>
      <c r="AF1121" s="19"/>
      <c r="AG1121" s="19" t="s">
        <v>216</v>
      </c>
      <c r="AH1121" s="19"/>
      <c r="AI1121" s="19"/>
      <c r="AJ1121" s="19">
        <v>7.8</v>
      </c>
      <c r="AK1121" s="19" t="s">
        <v>545</v>
      </c>
      <c r="AL1121" s="19"/>
      <c r="AM1121" s="19" t="s">
        <v>234</v>
      </c>
      <c r="AN1121" s="19" t="s">
        <v>234</v>
      </c>
      <c r="AO1121" s="19" t="s">
        <v>235</v>
      </c>
      <c r="AP1121" s="94" t="s">
        <v>1493</v>
      </c>
      <c r="AQ1121" s="19" t="s">
        <v>97</v>
      </c>
      <c r="AR1121" s="19" t="s">
        <v>241</v>
      </c>
      <c r="AS1121" s="19"/>
      <c r="AT1121" s="65" t="str">
        <f t="shared" si="330"/>
        <v>Y</v>
      </c>
      <c r="AU1121" s="65" t="str">
        <f t="shared" si="325"/>
        <v>Y</v>
      </c>
      <c r="AV1121" s="65" t="str">
        <f t="shared" si="329"/>
        <v>Y</v>
      </c>
      <c r="AW1121" s="99"/>
      <c r="AX1121" s="99"/>
      <c r="AY1121" s="19"/>
      <c r="AZ1121" s="96" t="str">
        <f t="shared" si="326"/>
        <v>EC50</v>
      </c>
      <c r="BA1121" s="96">
        <f>IF(AZ1121="n","n",VLOOKUP(AZ1121,'Conversion factors'!$C$4:$D$24,2,FALSE))</f>
        <v>5</v>
      </c>
      <c r="BB1121" s="96">
        <f t="shared" si="327"/>
        <v>27.6</v>
      </c>
      <c r="BC1121" s="97"/>
      <c r="BD1121" s="96" t="str">
        <f t="shared" si="331"/>
        <v>Chronic</v>
      </c>
      <c r="BE1121" s="96" t="str">
        <f t="shared" si="328"/>
        <v>y</v>
      </c>
      <c r="BF1121" s="98" t="str">
        <f t="shared" si="332"/>
        <v>EC50</v>
      </c>
      <c r="BG1121" s="96" t="str">
        <f>IF(BF1121="","",IF(ISNUMBER(VLOOKUP(BF1121,'Conversion factors'!$B$35:$C$52,2,FALSE)),"y","n"))</f>
        <v>n</v>
      </c>
      <c r="BH1121" s="99"/>
    </row>
    <row r="1122" spans="1:61" s="103" customFormat="1" ht="15.75" customHeight="1" x14ac:dyDescent="0.2">
      <c r="A1122" s="18"/>
      <c r="B1122" s="19">
        <v>246</v>
      </c>
      <c r="C1122" s="19"/>
      <c r="D1122" s="19">
        <v>80818</v>
      </c>
      <c r="E1122" s="19" t="s">
        <v>1224</v>
      </c>
      <c r="F1122" s="93">
        <v>2005</v>
      </c>
      <c r="G1122" s="19" t="s">
        <v>512</v>
      </c>
      <c r="H1122" s="19" t="s">
        <v>162</v>
      </c>
      <c r="I1122" s="19" t="s">
        <v>41</v>
      </c>
      <c r="J1122" s="19" t="s">
        <v>87</v>
      </c>
      <c r="K1122" s="19" t="s">
        <v>64</v>
      </c>
      <c r="L1122" s="99" t="s">
        <v>151</v>
      </c>
      <c r="M1122" s="19" t="s">
        <v>260</v>
      </c>
      <c r="N1122" s="19" t="s">
        <v>66</v>
      </c>
      <c r="O1122" s="19" t="s">
        <v>338</v>
      </c>
      <c r="P1122" s="19" t="s">
        <v>162</v>
      </c>
      <c r="Q1122" s="19"/>
      <c r="R1122" s="19" t="s">
        <v>256</v>
      </c>
      <c r="S1122" s="19" t="s">
        <v>416</v>
      </c>
      <c r="T1122" s="19" t="s">
        <v>44</v>
      </c>
      <c r="U1122" s="19" t="s">
        <v>44</v>
      </c>
      <c r="V1122" s="19" t="s">
        <v>94</v>
      </c>
      <c r="W1122" s="19" t="s">
        <v>231</v>
      </c>
      <c r="X1122" s="19" t="s">
        <v>46</v>
      </c>
      <c r="Y1122" s="29"/>
      <c r="Z1122" s="19"/>
      <c r="AA1122" s="19"/>
      <c r="AB1122" s="19" t="s">
        <v>313</v>
      </c>
      <c r="AC1122" s="19" t="s">
        <v>214</v>
      </c>
      <c r="AD1122" s="19"/>
      <c r="AE1122" s="19">
        <v>180</v>
      </c>
      <c r="AF1122" s="19"/>
      <c r="AG1122" s="19" t="s">
        <v>216</v>
      </c>
      <c r="AH1122" s="19"/>
      <c r="AI1122" s="19"/>
      <c r="AJ1122" s="19">
        <v>7.8</v>
      </c>
      <c r="AK1122" s="19" t="s">
        <v>545</v>
      </c>
      <c r="AL1122" s="19"/>
      <c r="AM1122" s="19" t="s">
        <v>234</v>
      </c>
      <c r="AN1122" s="19" t="s">
        <v>234</v>
      </c>
      <c r="AO1122" s="19" t="s">
        <v>235</v>
      </c>
      <c r="AP1122" s="94" t="s">
        <v>1493</v>
      </c>
      <c r="AQ1122" s="19" t="s">
        <v>97</v>
      </c>
      <c r="AR1122" s="19" t="s">
        <v>241</v>
      </c>
      <c r="AS1122" s="19"/>
      <c r="AT1122" s="65" t="str">
        <f t="shared" si="330"/>
        <v>Y</v>
      </c>
      <c r="AU1122" s="65" t="str">
        <f t="shared" si="325"/>
        <v>Y</v>
      </c>
      <c r="AV1122" s="65" t="str">
        <f t="shared" si="329"/>
        <v>Y</v>
      </c>
      <c r="AW1122" s="99"/>
      <c r="AX1122" s="99"/>
      <c r="AY1122" s="19"/>
      <c r="AZ1122" s="96" t="str">
        <f t="shared" si="326"/>
        <v>EC50</v>
      </c>
      <c r="BA1122" s="96">
        <f>IF(AZ1122="n","n",VLOOKUP(AZ1122,'Conversion factors'!$C$4:$D$24,2,FALSE))</f>
        <v>5</v>
      </c>
      <c r="BB1122" s="96">
        <f t="shared" si="327"/>
        <v>32</v>
      </c>
      <c r="BC1122" s="97"/>
      <c r="BD1122" s="96" t="str">
        <f t="shared" si="331"/>
        <v>Chronic</v>
      </c>
      <c r="BE1122" s="96" t="str">
        <f t="shared" si="328"/>
        <v>y</v>
      </c>
      <c r="BF1122" s="98" t="str">
        <f t="shared" si="332"/>
        <v>EC50</v>
      </c>
      <c r="BG1122" s="96" t="str">
        <f>IF(BF1122="","",IF(ISNUMBER(VLOOKUP(BF1122,'Conversion factors'!$B$35:$C$52,2,FALSE)),"y","n"))</f>
        <v>n</v>
      </c>
      <c r="BH1122" s="99"/>
    </row>
    <row r="1123" spans="1:61" s="103" customFormat="1" ht="15.75" customHeight="1" x14ac:dyDescent="0.2">
      <c r="A1123" s="18"/>
      <c r="B1123" s="19">
        <v>246</v>
      </c>
      <c r="C1123" s="19"/>
      <c r="D1123" s="19">
        <v>80818</v>
      </c>
      <c r="E1123" s="19" t="s">
        <v>1224</v>
      </c>
      <c r="F1123" s="93">
        <v>2005</v>
      </c>
      <c r="G1123" s="19" t="s">
        <v>512</v>
      </c>
      <c r="H1123" s="19" t="s">
        <v>162</v>
      </c>
      <c r="I1123" s="19" t="s">
        <v>41</v>
      </c>
      <c r="J1123" s="19" t="s">
        <v>87</v>
      </c>
      <c r="K1123" s="19" t="s">
        <v>64</v>
      </c>
      <c r="L1123" s="99" t="s">
        <v>151</v>
      </c>
      <c r="M1123" s="19" t="s">
        <v>260</v>
      </c>
      <c r="N1123" s="19" t="s">
        <v>66</v>
      </c>
      <c r="O1123" s="19" t="s">
        <v>338</v>
      </c>
      <c r="P1123" s="19" t="s">
        <v>162</v>
      </c>
      <c r="Q1123" s="19"/>
      <c r="R1123" s="19" t="s">
        <v>256</v>
      </c>
      <c r="S1123" s="19" t="s">
        <v>416</v>
      </c>
      <c r="T1123" s="19" t="s">
        <v>44</v>
      </c>
      <c r="U1123" s="19" t="s">
        <v>44</v>
      </c>
      <c r="V1123" s="19" t="s">
        <v>94</v>
      </c>
      <c r="W1123" s="19" t="s">
        <v>231</v>
      </c>
      <c r="X1123" s="19" t="s">
        <v>46</v>
      </c>
      <c r="Y1123" s="29"/>
      <c r="Z1123" s="19"/>
      <c r="AA1123" s="19"/>
      <c r="AB1123" s="19" t="s">
        <v>696</v>
      </c>
      <c r="AC1123" s="19" t="s">
        <v>214</v>
      </c>
      <c r="AD1123" s="19"/>
      <c r="AE1123" s="19">
        <v>180</v>
      </c>
      <c r="AF1123" s="19"/>
      <c r="AG1123" s="19" t="s">
        <v>216</v>
      </c>
      <c r="AH1123" s="19"/>
      <c r="AI1123" s="19"/>
      <c r="AJ1123" s="19">
        <v>7.8</v>
      </c>
      <c r="AK1123" s="19" t="s">
        <v>545</v>
      </c>
      <c r="AL1123" s="19"/>
      <c r="AM1123" s="19" t="s">
        <v>234</v>
      </c>
      <c r="AN1123" s="19" t="s">
        <v>234</v>
      </c>
      <c r="AO1123" s="19" t="s">
        <v>235</v>
      </c>
      <c r="AP1123" s="94" t="s">
        <v>1493</v>
      </c>
      <c r="AQ1123" s="19" t="s">
        <v>97</v>
      </c>
      <c r="AR1123" s="19" t="s">
        <v>241</v>
      </c>
      <c r="AS1123" s="19"/>
      <c r="AT1123" s="65" t="str">
        <f t="shared" si="330"/>
        <v>Y</v>
      </c>
      <c r="AU1123" s="65" t="str">
        <f t="shared" si="325"/>
        <v>Y</v>
      </c>
      <c r="AV1123" s="65" t="str">
        <f t="shared" si="329"/>
        <v>Y</v>
      </c>
      <c r="AW1123" s="99"/>
      <c r="AX1123" s="99"/>
      <c r="AY1123" s="19"/>
      <c r="AZ1123" s="96" t="str">
        <f t="shared" si="326"/>
        <v>EC50</v>
      </c>
      <c r="BA1123" s="96">
        <f>IF(AZ1123="n","n",VLOOKUP(AZ1123,'Conversion factors'!$C$4:$D$24,2,FALSE))</f>
        <v>5</v>
      </c>
      <c r="BB1123" s="96">
        <f t="shared" si="327"/>
        <v>29</v>
      </c>
      <c r="BC1123" s="97"/>
      <c r="BD1123" s="96" t="str">
        <f t="shared" si="331"/>
        <v>Chronic</v>
      </c>
      <c r="BE1123" s="96" t="str">
        <f t="shared" si="328"/>
        <v>y</v>
      </c>
      <c r="BF1123" s="98" t="str">
        <f t="shared" si="332"/>
        <v>EC50</v>
      </c>
      <c r="BG1123" s="96" t="str">
        <f>IF(BF1123="","",IF(ISNUMBER(VLOOKUP(BF1123,'Conversion factors'!$B$35:$C$52,2,FALSE)),"y","n"))</f>
        <v>n</v>
      </c>
      <c r="BH1123" s="99"/>
    </row>
    <row r="1124" spans="1:61" s="103" customFormat="1" ht="15.75" customHeight="1" x14ac:dyDescent="0.2">
      <c r="A1124" s="18"/>
      <c r="B1124" s="19">
        <v>246</v>
      </c>
      <c r="C1124" s="19"/>
      <c r="D1124" s="19">
        <v>80818</v>
      </c>
      <c r="E1124" s="19" t="s">
        <v>1224</v>
      </c>
      <c r="F1124" s="93">
        <v>2005</v>
      </c>
      <c r="G1124" s="19" t="s">
        <v>512</v>
      </c>
      <c r="H1124" s="19" t="s">
        <v>162</v>
      </c>
      <c r="I1124" s="19" t="s">
        <v>41</v>
      </c>
      <c r="J1124" s="19" t="s">
        <v>87</v>
      </c>
      <c r="K1124" s="19" t="s">
        <v>64</v>
      </c>
      <c r="L1124" s="99" t="s">
        <v>151</v>
      </c>
      <c r="M1124" s="19" t="s">
        <v>260</v>
      </c>
      <c r="N1124" s="19" t="s">
        <v>66</v>
      </c>
      <c r="O1124" s="19" t="s">
        <v>338</v>
      </c>
      <c r="P1124" s="19" t="s">
        <v>162</v>
      </c>
      <c r="Q1124" s="19"/>
      <c r="R1124" s="19" t="s">
        <v>76</v>
      </c>
      <c r="S1124" s="19" t="s">
        <v>528</v>
      </c>
      <c r="T1124" s="19" t="s">
        <v>44</v>
      </c>
      <c r="U1124" s="19" t="s">
        <v>44</v>
      </c>
      <c r="V1124" s="19" t="s">
        <v>94</v>
      </c>
      <c r="W1124" s="19" t="s">
        <v>231</v>
      </c>
      <c r="X1124" s="19" t="s">
        <v>46</v>
      </c>
      <c r="Y1124" s="29"/>
      <c r="Z1124" s="19"/>
      <c r="AA1124" s="19"/>
      <c r="AB1124" s="19" t="s">
        <v>687</v>
      </c>
      <c r="AC1124" s="19" t="s">
        <v>214</v>
      </c>
      <c r="AD1124" s="19"/>
      <c r="AE1124" s="19">
        <v>180</v>
      </c>
      <c r="AF1124" s="19"/>
      <c r="AG1124" s="19" t="s">
        <v>216</v>
      </c>
      <c r="AH1124" s="19"/>
      <c r="AI1124" s="19"/>
      <c r="AJ1124" s="19">
        <v>7.8</v>
      </c>
      <c r="AK1124" s="19" t="s">
        <v>545</v>
      </c>
      <c r="AL1124" s="19"/>
      <c r="AM1124" s="19" t="s">
        <v>234</v>
      </c>
      <c r="AN1124" s="19" t="s">
        <v>234</v>
      </c>
      <c r="AO1124" s="19" t="s">
        <v>235</v>
      </c>
      <c r="AP1124" s="94" t="s">
        <v>1493</v>
      </c>
      <c r="AQ1124" s="19" t="s">
        <v>97</v>
      </c>
      <c r="AR1124" s="19" t="s">
        <v>241</v>
      </c>
      <c r="AS1124" s="19"/>
      <c r="AT1124" s="65" t="str">
        <f t="shared" si="330"/>
        <v>Y</v>
      </c>
      <c r="AU1124" s="65" t="str">
        <f t="shared" si="325"/>
        <v>Y</v>
      </c>
      <c r="AV1124" s="65" t="str">
        <f t="shared" si="329"/>
        <v>Y</v>
      </c>
      <c r="AW1124" s="99"/>
      <c r="AX1124" s="99"/>
      <c r="AY1124" s="19"/>
      <c r="AZ1124" s="96" t="str">
        <f t="shared" si="326"/>
        <v>EC50</v>
      </c>
      <c r="BA1124" s="96">
        <f>IF(AZ1124="n","n",VLOOKUP(AZ1124,'Conversion factors'!$C$4:$D$24,2,FALSE))</f>
        <v>5</v>
      </c>
      <c r="BB1124" s="96">
        <f t="shared" si="327"/>
        <v>23</v>
      </c>
      <c r="BC1124" s="97"/>
      <c r="BD1124" s="96" t="str">
        <f t="shared" si="331"/>
        <v>Chronic</v>
      </c>
      <c r="BE1124" s="96" t="str">
        <f t="shared" si="328"/>
        <v>y</v>
      </c>
      <c r="BF1124" s="98" t="str">
        <f t="shared" si="332"/>
        <v>EC50</v>
      </c>
      <c r="BG1124" s="96" t="str">
        <f>IF(BF1124="","",IF(ISNUMBER(VLOOKUP(BF1124,'Conversion factors'!$B$35:$C$52,2,FALSE)),"y","n"))</f>
        <v>n</v>
      </c>
      <c r="BH1124" s="99"/>
    </row>
    <row r="1125" spans="1:61" s="103" customFormat="1" ht="15.75" customHeight="1" x14ac:dyDescent="0.2">
      <c r="A1125" s="18"/>
      <c r="B1125" s="19">
        <v>246</v>
      </c>
      <c r="C1125" s="19"/>
      <c r="D1125" s="19">
        <v>80818</v>
      </c>
      <c r="E1125" s="19" t="s">
        <v>1224</v>
      </c>
      <c r="F1125" s="93">
        <v>2005</v>
      </c>
      <c r="G1125" s="19" t="s">
        <v>512</v>
      </c>
      <c r="H1125" s="19" t="s">
        <v>162</v>
      </c>
      <c r="I1125" s="19" t="s">
        <v>41</v>
      </c>
      <c r="J1125" s="19" t="s">
        <v>87</v>
      </c>
      <c r="K1125" s="19" t="s">
        <v>64</v>
      </c>
      <c r="L1125" s="99" t="s">
        <v>151</v>
      </c>
      <c r="M1125" s="19" t="s">
        <v>260</v>
      </c>
      <c r="N1125" s="19" t="s">
        <v>66</v>
      </c>
      <c r="O1125" s="19" t="s">
        <v>338</v>
      </c>
      <c r="P1125" s="19" t="s">
        <v>162</v>
      </c>
      <c r="Q1125" s="19"/>
      <c r="R1125" s="19" t="s">
        <v>76</v>
      </c>
      <c r="S1125" s="19" t="s">
        <v>528</v>
      </c>
      <c r="T1125" s="19" t="s">
        <v>44</v>
      </c>
      <c r="U1125" s="19" t="s">
        <v>44</v>
      </c>
      <c r="V1125" s="19" t="s">
        <v>94</v>
      </c>
      <c r="W1125" s="19" t="s">
        <v>231</v>
      </c>
      <c r="X1125" s="19" t="s">
        <v>46</v>
      </c>
      <c r="Y1125" s="29"/>
      <c r="Z1125" s="19"/>
      <c r="AA1125" s="19"/>
      <c r="AB1125" s="19" t="s">
        <v>687</v>
      </c>
      <c r="AC1125" s="19" t="s">
        <v>214</v>
      </c>
      <c r="AD1125" s="19"/>
      <c r="AE1125" s="19">
        <v>180</v>
      </c>
      <c r="AF1125" s="19"/>
      <c r="AG1125" s="19" t="s">
        <v>216</v>
      </c>
      <c r="AH1125" s="19"/>
      <c r="AI1125" s="19"/>
      <c r="AJ1125" s="19">
        <v>7.8</v>
      </c>
      <c r="AK1125" s="19" t="s">
        <v>545</v>
      </c>
      <c r="AL1125" s="19"/>
      <c r="AM1125" s="19" t="s">
        <v>234</v>
      </c>
      <c r="AN1125" s="19" t="s">
        <v>234</v>
      </c>
      <c r="AO1125" s="19" t="s">
        <v>235</v>
      </c>
      <c r="AP1125" s="94" t="s">
        <v>1493</v>
      </c>
      <c r="AQ1125" s="19" t="s">
        <v>97</v>
      </c>
      <c r="AR1125" s="19" t="s">
        <v>241</v>
      </c>
      <c r="AS1125" s="19"/>
      <c r="AT1125" s="65" t="str">
        <f t="shared" si="330"/>
        <v>Y</v>
      </c>
      <c r="AU1125" s="65" t="str">
        <f t="shared" si="325"/>
        <v>Y</v>
      </c>
      <c r="AV1125" s="65" t="str">
        <f t="shared" si="329"/>
        <v>Y</v>
      </c>
      <c r="AW1125" s="99"/>
      <c r="AX1125" s="99"/>
      <c r="AY1125" s="19"/>
      <c r="AZ1125" s="96" t="str">
        <f t="shared" si="326"/>
        <v>EC50</v>
      </c>
      <c r="BA1125" s="96">
        <f>IF(AZ1125="n","n",VLOOKUP(AZ1125,'Conversion factors'!$C$4:$D$24,2,FALSE))</f>
        <v>5</v>
      </c>
      <c r="BB1125" s="96">
        <f t="shared" si="327"/>
        <v>23</v>
      </c>
      <c r="BC1125" s="97"/>
      <c r="BD1125" s="96" t="str">
        <f t="shared" si="331"/>
        <v>Chronic</v>
      </c>
      <c r="BE1125" s="96" t="str">
        <f t="shared" si="328"/>
        <v>y</v>
      </c>
      <c r="BF1125" s="98" t="str">
        <f t="shared" si="332"/>
        <v>EC50</v>
      </c>
      <c r="BG1125" s="96" t="str">
        <f>IF(BF1125="","",IF(ISNUMBER(VLOOKUP(BF1125,'Conversion factors'!$B$35:$C$52,2,FALSE)),"y","n"))</f>
        <v>n</v>
      </c>
      <c r="BH1125" s="99"/>
    </row>
    <row r="1126" spans="1:61" s="103" customFormat="1" ht="15.75" customHeight="1" x14ac:dyDescent="0.2">
      <c r="A1126" s="18"/>
      <c r="B1126" s="19">
        <v>246</v>
      </c>
      <c r="C1126" s="19"/>
      <c r="D1126" s="19">
        <v>80818</v>
      </c>
      <c r="E1126" s="19" t="s">
        <v>1224</v>
      </c>
      <c r="F1126" s="93">
        <v>2005</v>
      </c>
      <c r="G1126" s="19" t="s">
        <v>512</v>
      </c>
      <c r="H1126" s="19" t="s">
        <v>162</v>
      </c>
      <c r="I1126" s="19" t="s">
        <v>41</v>
      </c>
      <c r="J1126" s="19" t="s">
        <v>87</v>
      </c>
      <c r="K1126" s="19" t="s">
        <v>64</v>
      </c>
      <c r="L1126" s="99" t="s">
        <v>151</v>
      </c>
      <c r="M1126" s="19" t="s">
        <v>260</v>
      </c>
      <c r="N1126" s="19" t="s">
        <v>66</v>
      </c>
      <c r="O1126" s="19" t="s">
        <v>338</v>
      </c>
      <c r="P1126" s="19" t="s">
        <v>162</v>
      </c>
      <c r="Q1126" s="19"/>
      <c r="R1126" s="19" t="s">
        <v>76</v>
      </c>
      <c r="S1126" s="19" t="s">
        <v>528</v>
      </c>
      <c r="T1126" s="19" t="s">
        <v>44</v>
      </c>
      <c r="U1126" s="19" t="s">
        <v>44</v>
      </c>
      <c r="V1126" s="19" t="s">
        <v>94</v>
      </c>
      <c r="W1126" s="19" t="s">
        <v>231</v>
      </c>
      <c r="X1126" s="19" t="s">
        <v>46</v>
      </c>
      <c r="Y1126" s="29"/>
      <c r="Z1126" s="19"/>
      <c r="AA1126" s="19"/>
      <c r="AB1126" s="19" t="s">
        <v>689</v>
      </c>
      <c r="AC1126" s="19" t="s">
        <v>214</v>
      </c>
      <c r="AD1126" s="19"/>
      <c r="AE1126" s="19">
        <v>180</v>
      </c>
      <c r="AF1126" s="19"/>
      <c r="AG1126" s="19" t="s">
        <v>216</v>
      </c>
      <c r="AH1126" s="19"/>
      <c r="AI1126" s="19"/>
      <c r="AJ1126" s="19">
        <v>7.8</v>
      </c>
      <c r="AK1126" s="19" t="s">
        <v>545</v>
      </c>
      <c r="AL1126" s="19"/>
      <c r="AM1126" s="19" t="s">
        <v>234</v>
      </c>
      <c r="AN1126" s="19" t="s">
        <v>234</v>
      </c>
      <c r="AO1126" s="19" t="s">
        <v>235</v>
      </c>
      <c r="AP1126" s="94" t="s">
        <v>1493</v>
      </c>
      <c r="AQ1126" s="19" t="s">
        <v>97</v>
      </c>
      <c r="AR1126" s="19" t="s">
        <v>241</v>
      </c>
      <c r="AS1126" s="19"/>
      <c r="AT1126" s="65" t="str">
        <f t="shared" si="330"/>
        <v>Y</v>
      </c>
      <c r="AU1126" s="65" t="str">
        <f t="shared" si="325"/>
        <v>Y</v>
      </c>
      <c r="AV1126" s="65" t="str">
        <f t="shared" si="329"/>
        <v>Y</v>
      </c>
      <c r="AW1126" s="99"/>
      <c r="AX1126" s="99"/>
      <c r="AY1126" s="19"/>
      <c r="AZ1126" s="96" t="str">
        <f t="shared" si="326"/>
        <v>EC50</v>
      </c>
      <c r="BA1126" s="96">
        <f>IF(AZ1126="n","n",VLOOKUP(AZ1126,'Conversion factors'!$C$4:$D$24,2,FALSE))</f>
        <v>5</v>
      </c>
      <c r="BB1126" s="96">
        <f t="shared" si="327"/>
        <v>24.8</v>
      </c>
      <c r="BC1126" s="97"/>
      <c r="BD1126" s="96" t="str">
        <f t="shared" si="331"/>
        <v>Chronic</v>
      </c>
      <c r="BE1126" s="96" t="str">
        <f t="shared" si="328"/>
        <v>y</v>
      </c>
      <c r="BF1126" s="98" t="str">
        <f t="shared" si="332"/>
        <v>EC50</v>
      </c>
      <c r="BG1126" s="96" t="str">
        <f>IF(BF1126="","",IF(ISNUMBER(VLOOKUP(BF1126,'Conversion factors'!$B$35:$C$52,2,FALSE)),"y","n"))</f>
        <v>n</v>
      </c>
      <c r="BH1126" s="99"/>
    </row>
    <row r="1127" spans="1:61" s="103" customFormat="1" ht="15.75" customHeight="1" x14ac:dyDescent="0.2">
      <c r="A1127" s="18"/>
      <c r="B1127" s="19">
        <v>246</v>
      </c>
      <c r="C1127" s="19"/>
      <c r="D1127" s="19">
        <v>80818</v>
      </c>
      <c r="E1127" s="19" t="s">
        <v>1224</v>
      </c>
      <c r="F1127" s="93">
        <v>2005</v>
      </c>
      <c r="G1127" s="19" t="s">
        <v>512</v>
      </c>
      <c r="H1127" s="19" t="s">
        <v>162</v>
      </c>
      <c r="I1127" s="19" t="s">
        <v>41</v>
      </c>
      <c r="J1127" s="19" t="s">
        <v>87</v>
      </c>
      <c r="K1127" s="19" t="s">
        <v>64</v>
      </c>
      <c r="L1127" s="99" t="s">
        <v>151</v>
      </c>
      <c r="M1127" s="19" t="s">
        <v>260</v>
      </c>
      <c r="N1127" s="19" t="s">
        <v>66</v>
      </c>
      <c r="O1127" s="19" t="s">
        <v>338</v>
      </c>
      <c r="P1127" s="19" t="s">
        <v>162</v>
      </c>
      <c r="Q1127" s="19"/>
      <c r="R1127" s="19" t="s">
        <v>76</v>
      </c>
      <c r="S1127" s="19" t="s">
        <v>528</v>
      </c>
      <c r="T1127" s="19" t="s">
        <v>44</v>
      </c>
      <c r="U1127" s="19" t="s">
        <v>44</v>
      </c>
      <c r="V1127" s="19" t="s">
        <v>94</v>
      </c>
      <c r="W1127" s="19" t="s">
        <v>231</v>
      </c>
      <c r="X1127" s="19" t="s">
        <v>46</v>
      </c>
      <c r="Y1127" s="29"/>
      <c r="Z1127" s="19"/>
      <c r="AA1127" s="19"/>
      <c r="AB1127" s="19" t="s">
        <v>415</v>
      </c>
      <c r="AC1127" s="19" t="s">
        <v>214</v>
      </c>
      <c r="AD1127" s="19"/>
      <c r="AE1127" s="19">
        <v>180</v>
      </c>
      <c r="AF1127" s="19"/>
      <c r="AG1127" s="19" t="s">
        <v>216</v>
      </c>
      <c r="AH1127" s="19"/>
      <c r="AI1127" s="19"/>
      <c r="AJ1127" s="19">
        <v>7.8</v>
      </c>
      <c r="AK1127" s="19" t="s">
        <v>545</v>
      </c>
      <c r="AL1127" s="19"/>
      <c r="AM1127" s="19" t="s">
        <v>234</v>
      </c>
      <c r="AN1127" s="19" t="s">
        <v>234</v>
      </c>
      <c r="AO1127" s="19" t="s">
        <v>235</v>
      </c>
      <c r="AP1127" s="94" t="s">
        <v>1493</v>
      </c>
      <c r="AQ1127" s="19" t="s">
        <v>97</v>
      </c>
      <c r="AR1127" s="19" t="s">
        <v>241</v>
      </c>
      <c r="AS1127" s="19"/>
      <c r="AT1127" s="65" t="str">
        <f t="shared" si="330"/>
        <v>Y</v>
      </c>
      <c r="AU1127" s="65" t="str">
        <f t="shared" si="325"/>
        <v>Y</v>
      </c>
      <c r="AV1127" s="65" t="str">
        <f t="shared" si="329"/>
        <v>Y</v>
      </c>
      <c r="AW1127" s="99"/>
      <c r="AX1127" s="99"/>
      <c r="AY1127" s="19"/>
      <c r="AZ1127" s="96" t="str">
        <f t="shared" si="326"/>
        <v>EC50</v>
      </c>
      <c r="BA1127" s="96">
        <f>IF(AZ1127="n","n",VLOOKUP(AZ1127,'Conversion factors'!$C$4:$D$24,2,FALSE))</f>
        <v>5</v>
      </c>
      <c r="BB1127" s="96">
        <f t="shared" si="327"/>
        <v>24</v>
      </c>
      <c r="BC1127" s="97"/>
      <c r="BD1127" s="96" t="str">
        <f t="shared" si="331"/>
        <v>Chronic</v>
      </c>
      <c r="BE1127" s="96" t="str">
        <f t="shared" si="328"/>
        <v>y</v>
      </c>
      <c r="BF1127" s="98" t="str">
        <f t="shared" si="332"/>
        <v>EC50</v>
      </c>
      <c r="BG1127" s="96" t="str">
        <f>IF(BF1127="","",IF(ISNUMBER(VLOOKUP(BF1127,'Conversion factors'!$B$35:$C$52,2,FALSE)),"y","n"))</f>
        <v>n</v>
      </c>
      <c r="BH1127" s="99"/>
    </row>
    <row r="1128" spans="1:61" s="103" customFormat="1" ht="15.75" customHeight="1" x14ac:dyDescent="0.2">
      <c r="A1128" s="18"/>
      <c r="B1128" s="19">
        <v>246</v>
      </c>
      <c r="C1128" s="19"/>
      <c r="D1128" s="19">
        <v>80818</v>
      </c>
      <c r="E1128" s="19" t="s">
        <v>1224</v>
      </c>
      <c r="F1128" s="93">
        <v>2005</v>
      </c>
      <c r="G1128" s="19" t="s">
        <v>512</v>
      </c>
      <c r="H1128" s="19" t="s">
        <v>162</v>
      </c>
      <c r="I1128" s="19" t="s">
        <v>41</v>
      </c>
      <c r="J1128" s="19" t="s">
        <v>87</v>
      </c>
      <c r="K1128" s="19" t="s">
        <v>64</v>
      </c>
      <c r="L1128" s="99" t="s">
        <v>151</v>
      </c>
      <c r="M1128" s="19" t="s">
        <v>260</v>
      </c>
      <c r="N1128" s="19" t="s">
        <v>66</v>
      </c>
      <c r="O1128" s="19" t="s">
        <v>338</v>
      </c>
      <c r="P1128" s="19" t="s">
        <v>162</v>
      </c>
      <c r="Q1128" s="19"/>
      <c r="R1128" s="19" t="s">
        <v>76</v>
      </c>
      <c r="S1128" s="19" t="s">
        <v>528</v>
      </c>
      <c r="T1128" s="19" t="s">
        <v>44</v>
      </c>
      <c r="U1128" s="19" t="s">
        <v>44</v>
      </c>
      <c r="V1128" s="19" t="s">
        <v>94</v>
      </c>
      <c r="W1128" s="19" t="s">
        <v>231</v>
      </c>
      <c r="X1128" s="19" t="s">
        <v>46</v>
      </c>
      <c r="Y1128" s="29"/>
      <c r="Z1128" s="19"/>
      <c r="AA1128" s="19"/>
      <c r="AB1128" s="19" t="s">
        <v>694</v>
      </c>
      <c r="AC1128" s="19" t="s">
        <v>214</v>
      </c>
      <c r="AD1128" s="19"/>
      <c r="AE1128" s="19">
        <v>180</v>
      </c>
      <c r="AF1128" s="19"/>
      <c r="AG1128" s="19" t="s">
        <v>216</v>
      </c>
      <c r="AH1128" s="19"/>
      <c r="AI1128" s="19"/>
      <c r="AJ1128" s="19">
        <v>7.8</v>
      </c>
      <c r="AK1128" s="19" t="s">
        <v>545</v>
      </c>
      <c r="AL1128" s="19"/>
      <c r="AM1128" s="19" t="s">
        <v>234</v>
      </c>
      <c r="AN1128" s="19" t="s">
        <v>234</v>
      </c>
      <c r="AO1128" s="19" t="s">
        <v>235</v>
      </c>
      <c r="AP1128" s="94" t="s">
        <v>1493</v>
      </c>
      <c r="AQ1128" s="19" t="s">
        <v>97</v>
      </c>
      <c r="AR1128" s="19" t="s">
        <v>241</v>
      </c>
      <c r="AS1128" s="19"/>
      <c r="AT1128" s="65" t="str">
        <f t="shared" si="330"/>
        <v>Y</v>
      </c>
      <c r="AU1128" s="65" t="str">
        <f t="shared" si="325"/>
        <v>Y</v>
      </c>
      <c r="AV1128" s="65" t="str">
        <f t="shared" si="329"/>
        <v>Y</v>
      </c>
      <c r="AW1128" s="99"/>
      <c r="AX1128" s="99"/>
      <c r="AY1128" s="19"/>
      <c r="AZ1128" s="96" t="str">
        <f t="shared" si="326"/>
        <v>EC50</v>
      </c>
      <c r="BA1128" s="96">
        <f>IF(AZ1128="n","n",VLOOKUP(AZ1128,'Conversion factors'!$C$4:$D$24,2,FALSE))</f>
        <v>5</v>
      </c>
      <c r="BB1128" s="96">
        <f t="shared" si="327"/>
        <v>24.6</v>
      </c>
      <c r="BC1128" s="97"/>
      <c r="BD1128" s="96" t="str">
        <f t="shared" si="331"/>
        <v>Chronic</v>
      </c>
      <c r="BE1128" s="96" t="str">
        <f t="shared" si="328"/>
        <v>y</v>
      </c>
      <c r="BF1128" s="98" t="str">
        <f t="shared" si="332"/>
        <v>EC50</v>
      </c>
      <c r="BG1128" s="96" t="str">
        <f>IF(BF1128="","",IF(ISNUMBER(VLOOKUP(BF1128,'Conversion factors'!$B$35:$C$52,2,FALSE)),"y","n"))</f>
        <v>n</v>
      </c>
      <c r="BH1128" s="99"/>
    </row>
    <row r="1129" spans="1:61" s="103" customFormat="1" ht="15.75" customHeight="1" x14ac:dyDescent="0.2">
      <c r="A1129" s="18"/>
      <c r="B1129" s="19">
        <v>246</v>
      </c>
      <c r="C1129" s="19"/>
      <c r="D1129" s="19">
        <v>80818</v>
      </c>
      <c r="E1129" s="19" t="s">
        <v>1224</v>
      </c>
      <c r="F1129" s="93">
        <v>2005</v>
      </c>
      <c r="G1129" s="19" t="s">
        <v>512</v>
      </c>
      <c r="H1129" s="19" t="s">
        <v>162</v>
      </c>
      <c r="I1129" s="19" t="s">
        <v>41</v>
      </c>
      <c r="J1129" s="19" t="s">
        <v>87</v>
      </c>
      <c r="K1129" s="19" t="s">
        <v>64</v>
      </c>
      <c r="L1129" s="99" t="s">
        <v>151</v>
      </c>
      <c r="M1129" s="19" t="s">
        <v>260</v>
      </c>
      <c r="N1129" s="19" t="s">
        <v>66</v>
      </c>
      <c r="O1129" s="19" t="s">
        <v>338</v>
      </c>
      <c r="P1129" s="19" t="s">
        <v>162</v>
      </c>
      <c r="Q1129" s="19"/>
      <c r="R1129" s="19" t="s">
        <v>76</v>
      </c>
      <c r="S1129" s="19" t="s">
        <v>528</v>
      </c>
      <c r="T1129" s="19" t="s">
        <v>44</v>
      </c>
      <c r="U1129" s="19" t="s">
        <v>44</v>
      </c>
      <c r="V1129" s="19" t="s">
        <v>94</v>
      </c>
      <c r="W1129" s="19" t="s">
        <v>231</v>
      </c>
      <c r="X1129" s="19" t="s">
        <v>46</v>
      </c>
      <c r="Y1129" s="29"/>
      <c r="Z1129" s="19"/>
      <c r="AA1129" s="19"/>
      <c r="AB1129" s="19" t="s">
        <v>695</v>
      </c>
      <c r="AC1129" s="19" t="s">
        <v>214</v>
      </c>
      <c r="AD1129" s="19"/>
      <c r="AE1129" s="19">
        <v>180</v>
      </c>
      <c r="AF1129" s="19"/>
      <c r="AG1129" s="19" t="s">
        <v>216</v>
      </c>
      <c r="AH1129" s="19"/>
      <c r="AI1129" s="19"/>
      <c r="AJ1129" s="19">
        <v>7.8</v>
      </c>
      <c r="AK1129" s="19" t="s">
        <v>545</v>
      </c>
      <c r="AL1129" s="19"/>
      <c r="AM1129" s="19" t="s">
        <v>234</v>
      </c>
      <c r="AN1129" s="19" t="s">
        <v>234</v>
      </c>
      <c r="AO1129" s="19" t="s">
        <v>235</v>
      </c>
      <c r="AP1129" s="94" t="s">
        <v>1493</v>
      </c>
      <c r="AQ1129" s="19" t="s">
        <v>97</v>
      </c>
      <c r="AR1129" s="19" t="s">
        <v>241</v>
      </c>
      <c r="AS1129" s="19"/>
      <c r="AT1129" s="65" t="str">
        <f t="shared" si="330"/>
        <v>Y</v>
      </c>
      <c r="AU1129" s="65" t="str">
        <f t="shared" si="325"/>
        <v>Y</v>
      </c>
      <c r="AV1129" s="65" t="str">
        <f t="shared" si="329"/>
        <v>Y</v>
      </c>
      <c r="AW1129" s="99"/>
      <c r="AX1129" s="99"/>
      <c r="AY1129" s="19"/>
      <c r="AZ1129" s="96" t="str">
        <f t="shared" si="326"/>
        <v>EC50</v>
      </c>
      <c r="BA1129" s="96">
        <f>IF(AZ1129="n","n",VLOOKUP(AZ1129,'Conversion factors'!$C$4:$D$24,2,FALSE))</f>
        <v>5</v>
      </c>
      <c r="BB1129" s="96">
        <f t="shared" si="327"/>
        <v>18.2</v>
      </c>
      <c r="BC1129" s="97"/>
      <c r="BD1129" s="96" t="str">
        <f t="shared" si="331"/>
        <v>Chronic</v>
      </c>
      <c r="BE1129" s="96" t="str">
        <f t="shared" si="328"/>
        <v>y</v>
      </c>
      <c r="BF1129" s="98" t="str">
        <f t="shared" si="332"/>
        <v>EC50</v>
      </c>
      <c r="BG1129" s="96" t="str">
        <f>IF(BF1129="","",IF(ISNUMBER(VLOOKUP(BF1129,'Conversion factors'!$B$35:$C$52,2,FALSE)),"y","n"))</f>
        <v>n</v>
      </c>
      <c r="BH1129" s="99"/>
    </row>
    <row r="1130" spans="1:61" s="103" customFormat="1" ht="15.75" customHeight="1" x14ac:dyDescent="0.2">
      <c r="A1130" s="18"/>
      <c r="B1130" s="19">
        <v>246</v>
      </c>
      <c r="C1130" s="19"/>
      <c r="D1130" s="19">
        <v>80818</v>
      </c>
      <c r="E1130" s="19" t="s">
        <v>1224</v>
      </c>
      <c r="F1130" s="93">
        <v>2005</v>
      </c>
      <c r="G1130" s="19" t="s">
        <v>512</v>
      </c>
      <c r="H1130" s="19" t="s">
        <v>162</v>
      </c>
      <c r="I1130" s="19" t="s">
        <v>41</v>
      </c>
      <c r="J1130" s="19" t="s">
        <v>87</v>
      </c>
      <c r="K1130" s="19" t="s">
        <v>64</v>
      </c>
      <c r="L1130" s="99" t="s">
        <v>151</v>
      </c>
      <c r="M1130" s="19" t="s">
        <v>260</v>
      </c>
      <c r="N1130" s="19" t="s">
        <v>66</v>
      </c>
      <c r="O1130" s="19" t="s">
        <v>338</v>
      </c>
      <c r="P1130" s="19" t="s">
        <v>162</v>
      </c>
      <c r="Q1130" s="19"/>
      <c r="R1130" s="19" t="s">
        <v>76</v>
      </c>
      <c r="S1130" s="19" t="s">
        <v>528</v>
      </c>
      <c r="T1130" s="19" t="s">
        <v>44</v>
      </c>
      <c r="U1130" s="19" t="s">
        <v>44</v>
      </c>
      <c r="V1130" s="19" t="s">
        <v>94</v>
      </c>
      <c r="W1130" s="19" t="s">
        <v>231</v>
      </c>
      <c r="X1130" s="19" t="s">
        <v>46</v>
      </c>
      <c r="Y1130" s="29"/>
      <c r="Z1130" s="19"/>
      <c r="AA1130" s="19"/>
      <c r="AB1130" s="19" t="s">
        <v>427</v>
      </c>
      <c r="AC1130" s="19" t="s">
        <v>214</v>
      </c>
      <c r="AD1130" s="19"/>
      <c r="AE1130" s="19">
        <v>180</v>
      </c>
      <c r="AF1130" s="19"/>
      <c r="AG1130" s="19" t="s">
        <v>216</v>
      </c>
      <c r="AH1130" s="19"/>
      <c r="AI1130" s="19"/>
      <c r="AJ1130" s="19">
        <v>7.8</v>
      </c>
      <c r="AK1130" s="19" t="s">
        <v>545</v>
      </c>
      <c r="AL1130" s="19"/>
      <c r="AM1130" s="19" t="s">
        <v>234</v>
      </c>
      <c r="AN1130" s="19" t="s">
        <v>234</v>
      </c>
      <c r="AO1130" s="19" t="s">
        <v>235</v>
      </c>
      <c r="AP1130" s="94" t="s">
        <v>1493</v>
      </c>
      <c r="AQ1130" s="19" t="s">
        <v>97</v>
      </c>
      <c r="AR1130" s="19" t="s">
        <v>241</v>
      </c>
      <c r="AS1130" s="19"/>
      <c r="AT1130" s="65" t="str">
        <f t="shared" si="330"/>
        <v>Y</v>
      </c>
      <c r="AU1130" s="65" t="str">
        <f t="shared" si="325"/>
        <v>Y</v>
      </c>
      <c r="AV1130" s="65" t="str">
        <f t="shared" si="329"/>
        <v>Y</v>
      </c>
      <c r="AW1130" s="99"/>
      <c r="AX1130" s="99"/>
      <c r="AY1130" s="19"/>
      <c r="AZ1130" s="96" t="str">
        <f t="shared" si="326"/>
        <v>EC50</v>
      </c>
      <c r="BA1130" s="96">
        <f>IF(AZ1130="n","n",VLOOKUP(AZ1130,'Conversion factors'!$C$4:$D$24,2,FALSE))</f>
        <v>5</v>
      </c>
      <c r="BB1130" s="96">
        <f t="shared" si="327"/>
        <v>19.2</v>
      </c>
      <c r="BC1130" s="97"/>
      <c r="BD1130" s="96" t="str">
        <f t="shared" si="331"/>
        <v>Chronic</v>
      </c>
      <c r="BE1130" s="96" t="str">
        <f t="shared" si="328"/>
        <v>y</v>
      </c>
      <c r="BF1130" s="98" t="str">
        <f t="shared" si="332"/>
        <v>EC50</v>
      </c>
      <c r="BG1130" s="96" t="str">
        <f>IF(BF1130="","",IF(ISNUMBER(VLOOKUP(BF1130,'Conversion factors'!$B$35:$C$52,2,FALSE)),"y","n"))</f>
        <v>n</v>
      </c>
      <c r="BH1130" s="99"/>
    </row>
    <row r="1131" spans="1:61" s="103" customFormat="1" ht="15.75" customHeight="1" x14ac:dyDescent="0.2">
      <c r="A1131" s="18"/>
      <c r="B1131" s="19">
        <v>246</v>
      </c>
      <c r="C1131" s="19"/>
      <c r="D1131" s="19">
        <v>80818</v>
      </c>
      <c r="E1131" s="19" t="s">
        <v>1224</v>
      </c>
      <c r="F1131" s="93">
        <v>2005</v>
      </c>
      <c r="G1131" s="19" t="s">
        <v>512</v>
      </c>
      <c r="H1131" s="19" t="s">
        <v>162</v>
      </c>
      <c r="I1131" s="19" t="s">
        <v>41</v>
      </c>
      <c r="J1131" s="19" t="s">
        <v>87</v>
      </c>
      <c r="K1131" s="19" t="s">
        <v>64</v>
      </c>
      <c r="L1131" s="99" t="s">
        <v>151</v>
      </c>
      <c r="M1131" s="19" t="s">
        <v>260</v>
      </c>
      <c r="N1131" s="19" t="s">
        <v>66</v>
      </c>
      <c r="O1131" s="19" t="s">
        <v>338</v>
      </c>
      <c r="P1131" s="19" t="s">
        <v>162</v>
      </c>
      <c r="Q1131" s="19"/>
      <c r="R1131" s="19" t="s">
        <v>76</v>
      </c>
      <c r="S1131" s="19" t="s">
        <v>528</v>
      </c>
      <c r="T1131" s="19" t="s">
        <v>44</v>
      </c>
      <c r="U1131" s="19" t="s">
        <v>44</v>
      </c>
      <c r="V1131" s="19" t="s">
        <v>94</v>
      </c>
      <c r="W1131" s="19" t="s">
        <v>231</v>
      </c>
      <c r="X1131" s="19" t="s">
        <v>46</v>
      </c>
      <c r="Y1131" s="29"/>
      <c r="Z1131" s="19"/>
      <c r="AA1131" s="19"/>
      <c r="AB1131" s="19" t="s">
        <v>697</v>
      </c>
      <c r="AC1131" s="19" t="s">
        <v>214</v>
      </c>
      <c r="AD1131" s="19"/>
      <c r="AE1131" s="19">
        <v>180</v>
      </c>
      <c r="AF1131" s="19"/>
      <c r="AG1131" s="19" t="s">
        <v>216</v>
      </c>
      <c r="AH1131" s="19"/>
      <c r="AI1131" s="19"/>
      <c r="AJ1131" s="19">
        <v>7.8</v>
      </c>
      <c r="AK1131" s="19" t="s">
        <v>545</v>
      </c>
      <c r="AL1131" s="19"/>
      <c r="AM1131" s="19" t="s">
        <v>234</v>
      </c>
      <c r="AN1131" s="19" t="s">
        <v>234</v>
      </c>
      <c r="AO1131" s="19" t="s">
        <v>235</v>
      </c>
      <c r="AP1131" s="94" t="s">
        <v>1493</v>
      </c>
      <c r="AQ1131" s="19" t="s">
        <v>97</v>
      </c>
      <c r="AR1131" s="19" t="s">
        <v>241</v>
      </c>
      <c r="AS1131" s="19"/>
      <c r="AT1131" s="65" t="str">
        <f t="shared" si="330"/>
        <v>Y</v>
      </c>
      <c r="AU1131" s="65" t="str">
        <f t="shared" si="325"/>
        <v>Y</v>
      </c>
      <c r="AV1131" s="65" t="str">
        <f t="shared" si="329"/>
        <v>Y</v>
      </c>
      <c r="AW1131" s="99"/>
      <c r="AX1131" s="99"/>
      <c r="AY1131" s="19"/>
      <c r="AZ1131" s="96" t="str">
        <f t="shared" si="326"/>
        <v>EC50</v>
      </c>
      <c r="BA1131" s="96">
        <f>IF(AZ1131="n","n",VLOOKUP(AZ1131,'Conversion factors'!$C$4:$D$24,2,FALSE))</f>
        <v>5</v>
      </c>
      <c r="BB1131" s="96">
        <f t="shared" si="327"/>
        <v>22.4</v>
      </c>
      <c r="BC1131" s="97"/>
      <c r="BD1131" s="96" t="str">
        <f t="shared" si="331"/>
        <v>Chronic</v>
      </c>
      <c r="BE1131" s="96" t="str">
        <f t="shared" si="328"/>
        <v>y</v>
      </c>
      <c r="BF1131" s="98" t="str">
        <f t="shared" si="332"/>
        <v>EC50</v>
      </c>
      <c r="BG1131" s="96" t="str">
        <f>IF(BF1131="","",IF(ISNUMBER(VLOOKUP(BF1131,'Conversion factors'!$B$35:$C$52,2,FALSE)),"y","n"))</f>
        <v>n</v>
      </c>
      <c r="BH1131" s="99"/>
    </row>
    <row r="1132" spans="1:61" s="103" customFormat="1" ht="15.75" customHeight="1" x14ac:dyDescent="0.2">
      <c r="A1132" s="18"/>
      <c r="B1132" s="19">
        <v>254</v>
      </c>
      <c r="C1132" s="19"/>
      <c r="D1132" s="19">
        <v>84052</v>
      </c>
      <c r="E1132" s="19" t="s">
        <v>1224</v>
      </c>
      <c r="F1132" s="93">
        <v>2005</v>
      </c>
      <c r="G1132" s="19" t="s">
        <v>785</v>
      </c>
      <c r="H1132" s="19" t="s">
        <v>162</v>
      </c>
      <c r="I1132" s="19" t="s">
        <v>41</v>
      </c>
      <c r="J1132" s="19" t="s">
        <v>87</v>
      </c>
      <c r="K1132" s="19" t="s">
        <v>64</v>
      </c>
      <c r="L1132" s="99" t="s">
        <v>151</v>
      </c>
      <c r="M1132" s="19" t="s">
        <v>260</v>
      </c>
      <c r="N1132" s="19" t="s">
        <v>66</v>
      </c>
      <c r="O1132" s="19" t="s">
        <v>67</v>
      </c>
      <c r="P1132" s="19" t="s">
        <v>162</v>
      </c>
      <c r="Q1132" s="19"/>
      <c r="R1132" s="19" t="s">
        <v>76</v>
      </c>
      <c r="S1132" s="19" t="s">
        <v>534</v>
      </c>
      <c r="T1132" s="19" t="s">
        <v>49</v>
      </c>
      <c r="U1132" s="19" t="s">
        <v>49</v>
      </c>
      <c r="V1132" s="19" t="s">
        <v>94</v>
      </c>
      <c r="W1132" s="19" t="s">
        <v>231</v>
      </c>
      <c r="X1132" s="19" t="s">
        <v>46</v>
      </c>
      <c r="Y1132" s="29"/>
      <c r="Z1132" s="19"/>
      <c r="AA1132" s="19"/>
      <c r="AB1132" s="19" t="s">
        <v>817</v>
      </c>
      <c r="AC1132" s="19" t="s">
        <v>214</v>
      </c>
      <c r="AD1132" s="19"/>
      <c r="AE1132" s="124">
        <v>121.87649999999999</v>
      </c>
      <c r="AF1132" s="19"/>
      <c r="AG1132" s="19" t="s">
        <v>235</v>
      </c>
      <c r="AH1132" s="19"/>
      <c r="AI1132" s="19"/>
      <c r="AJ1132" s="19">
        <v>8.4</v>
      </c>
      <c r="AK1132" s="19" t="s">
        <v>233</v>
      </c>
      <c r="AL1132" s="19"/>
      <c r="AM1132" s="19"/>
      <c r="AN1132" s="19" t="s">
        <v>818</v>
      </c>
      <c r="AO1132" s="19" t="s">
        <v>270</v>
      </c>
      <c r="AP1132" s="94">
        <v>4.17</v>
      </c>
      <c r="AQ1132" s="19" t="s">
        <v>97</v>
      </c>
      <c r="AR1132" s="19" t="s">
        <v>241</v>
      </c>
      <c r="AS1132" s="19"/>
      <c r="AT1132" s="65" t="str">
        <f t="shared" si="330"/>
        <v>Y</v>
      </c>
      <c r="AU1132" s="65" t="str">
        <f t="shared" si="325"/>
        <v>Y</v>
      </c>
      <c r="AV1132" s="65" t="str">
        <f t="shared" si="329"/>
        <v>Y</v>
      </c>
      <c r="AW1132" s="99" t="s">
        <v>1405</v>
      </c>
      <c r="AX1132" s="99" t="s">
        <v>1644</v>
      </c>
      <c r="AY1132" s="19"/>
      <c r="AZ1132" s="96" t="str">
        <f t="shared" si="326"/>
        <v>EC10</v>
      </c>
      <c r="BA1132" s="96">
        <f>IF(AZ1132="n","n",VLOOKUP(AZ1132,'Conversion factors'!$C$4:$D$24,2,FALSE))</f>
        <v>1</v>
      </c>
      <c r="BB1132" s="96">
        <f t="shared" si="327"/>
        <v>59.2</v>
      </c>
      <c r="BC1132" s="97"/>
      <c r="BD1132" s="96" t="str">
        <f t="shared" si="331"/>
        <v>Chronic</v>
      </c>
      <c r="BE1132" s="96" t="str">
        <f t="shared" si="328"/>
        <v>y</v>
      </c>
      <c r="BF1132" s="98" t="str">
        <f t="shared" si="332"/>
        <v>EC10</v>
      </c>
      <c r="BG1132" s="96" t="str">
        <f>IF(BF1132="","",IF(ISNUMBER(VLOOKUP(BF1132,'Conversion factors'!$B$35:$C$52,2,FALSE)),"y","n"))</f>
        <v>y</v>
      </c>
      <c r="BH1132" s="99"/>
      <c r="BI1132" s="19" t="s">
        <v>1644</v>
      </c>
    </row>
    <row r="1133" spans="1:61" s="103" customFormat="1" ht="15.75" customHeight="1" x14ac:dyDescent="0.2">
      <c r="A1133" s="18"/>
      <c r="B1133" s="19">
        <v>254</v>
      </c>
      <c r="C1133" s="19"/>
      <c r="D1133" s="19">
        <v>84052</v>
      </c>
      <c r="E1133" s="19" t="s">
        <v>1224</v>
      </c>
      <c r="F1133" s="93">
        <v>2005</v>
      </c>
      <c r="G1133" s="19" t="s">
        <v>785</v>
      </c>
      <c r="H1133" s="19" t="s">
        <v>162</v>
      </c>
      <c r="I1133" s="19" t="s">
        <v>41</v>
      </c>
      <c r="J1133" s="19" t="s">
        <v>87</v>
      </c>
      <c r="K1133" s="19" t="s">
        <v>64</v>
      </c>
      <c r="L1133" s="99" t="s">
        <v>151</v>
      </c>
      <c r="M1133" s="19" t="s">
        <v>260</v>
      </c>
      <c r="N1133" s="19" t="s">
        <v>66</v>
      </c>
      <c r="O1133" s="19" t="s">
        <v>67</v>
      </c>
      <c r="P1133" s="19" t="s">
        <v>162</v>
      </c>
      <c r="Q1133" s="19"/>
      <c r="R1133" s="19" t="s">
        <v>76</v>
      </c>
      <c r="S1133" s="19" t="s">
        <v>534</v>
      </c>
      <c r="T1133" s="19" t="s">
        <v>49</v>
      </c>
      <c r="U1133" s="19" t="s">
        <v>49</v>
      </c>
      <c r="V1133" s="19" t="s">
        <v>94</v>
      </c>
      <c r="W1133" s="19" t="s">
        <v>231</v>
      </c>
      <c r="X1133" s="19" t="s">
        <v>46</v>
      </c>
      <c r="Y1133" s="29"/>
      <c r="Z1133" s="19"/>
      <c r="AA1133" s="19"/>
      <c r="AB1133" s="19" t="s">
        <v>819</v>
      </c>
      <c r="AC1133" s="19" t="s">
        <v>214</v>
      </c>
      <c r="AD1133" s="19"/>
      <c r="AE1133" s="124">
        <v>122.40209999999999</v>
      </c>
      <c r="AF1133" s="19"/>
      <c r="AG1133" s="19" t="s">
        <v>235</v>
      </c>
      <c r="AH1133" s="19"/>
      <c r="AI1133" s="19"/>
      <c r="AJ1133" s="19">
        <v>6.8</v>
      </c>
      <c r="AK1133" s="19" t="s">
        <v>543</v>
      </c>
      <c r="AL1133" s="19"/>
      <c r="AM1133" s="19"/>
      <c r="AN1133" s="19" t="s">
        <v>820</v>
      </c>
      <c r="AO1133" s="19" t="s">
        <v>270</v>
      </c>
      <c r="AP1133" s="94">
        <v>17.3</v>
      </c>
      <c r="AQ1133" s="19" t="s">
        <v>97</v>
      </c>
      <c r="AR1133" s="19" t="s">
        <v>241</v>
      </c>
      <c r="AS1133" s="19"/>
      <c r="AT1133" s="65" t="str">
        <f t="shared" si="330"/>
        <v>Y</v>
      </c>
      <c r="AU1133" s="65" t="str">
        <f t="shared" si="325"/>
        <v>Y</v>
      </c>
      <c r="AV1133" s="65" t="str">
        <f t="shared" si="329"/>
        <v>Y</v>
      </c>
      <c r="AW1133" s="99" t="s">
        <v>1406</v>
      </c>
      <c r="AX1133" s="99" t="s">
        <v>1644</v>
      </c>
      <c r="AY1133" s="19"/>
      <c r="AZ1133" s="96" t="str">
        <f t="shared" si="326"/>
        <v>EC10</v>
      </c>
      <c r="BA1133" s="96">
        <f>IF(AZ1133="n","n",VLOOKUP(AZ1133,'Conversion factors'!$C$4:$D$24,2,FALSE))</f>
        <v>1</v>
      </c>
      <c r="BB1133" s="96">
        <f t="shared" si="327"/>
        <v>387</v>
      </c>
      <c r="BC1133" s="97"/>
      <c r="BD1133" s="96" t="str">
        <f t="shared" si="331"/>
        <v>Chronic</v>
      </c>
      <c r="BE1133" s="96" t="str">
        <f t="shared" si="328"/>
        <v>y</v>
      </c>
      <c r="BF1133" s="98" t="str">
        <f t="shared" si="332"/>
        <v>EC10</v>
      </c>
      <c r="BG1133" s="96" t="str">
        <f>IF(BF1133="","",IF(ISNUMBER(VLOOKUP(BF1133,'Conversion factors'!$B$35:$C$52,2,FALSE)),"y","n"))</f>
        <v>y</v>
      </c>
      <c r="BH1133" s="99"/>
      <c r="BI1133" s="19" t="s">
        <v>1644</v>
      </c>
    </row>
    <row r="1134" spans="1:61" s="103" customFormat="1" ht="15.75" customHeight="1" x14ac:dyDescent="0.2">
      <c r="A1134" s="18"/>
      <c r="B1134" s="19">
        <v>254</v>
      </c>
      <c r="C1134" s="19"/>
      <c r="D1134" s="19">
        <v>84052</v>
      </c>
      <c r="E1134" s="19" t="s">
        <v>1224</v>
      </c>
      <c r="F1134" s="93">
        <v>2005</v>
      </c>
      <c r="G1134" s="19" t="s">
        <v>785</v>
      </c>
      <c r="H1134" s="19" t="s">
        <v>162</v>
      </c>
      <c r="I1134" s="19" t="s">
        <v>41</v>
      </c>
      <c r="J1134" s="19" t="s">
        <v>87</v>
      </c>
      <c r="K1134" s="19" t="s">
        <v>64</v>
      </c>
      <c r="L1134" s="99" t="s">
        <v>151</v>
      </c>
      <c r="M1134" s="19" t="s">
        <v>260</v>
      </c>
      <c r="N1134" s="19" t="s">
        <v>66</v>
      </c>
      <c r="O1134" s="19" t="s">
        <v>67</v>
      </c>
      <c r="P1134" s="19" t="s">
        <v>162</v>
      </c>
      <c r="Q1134" s="19"/>
      <c r="R1134" s="19" t="s">
        <v>76</v>
      </c>
      <c r="S1134" s="19" t="s">
        <v>534</v>
      </c>
      <c r="T1134" s="19" t="s">
        <v>49</v>
      </c>
      <c r="U1134" s="19" t="s">
        <v>49</v>
      </c>
      <c r="V1134" s="19" t="s">
        <v>94</v>
      </c>
      <c r="W1134" s="19" t="s">
        <v>231</v>
      </c>
      <c r="X1134" s="19" t="s">
        <v>46</v>
      </c>
      <c r="Y1134" s="29"/>
      <c r="Z1134" s="19"/>
      <c r="AA1134" s="19"/>
      <c r="AB1134" s="19" t="s">
        <v>821</v>
      </c>
      <c r="AC1134" s="19" t="s">
        <v>214</v>
      </c>
      <c r="AD1134" s="19"/>
      <c r="AE1134" s="124">
        <v>196.37960000000001</v>
      </c>
      <c r="AF1134" s="19"/>
      <c r="AG1134" s="19" t="s">
        <v>235</v>
      </c>
      <c r="AH1134" s="19"/>
      <c r="AI1134" s="19"/>
      <c r="AJ1134" s="19">
        <v>8.1999999999999993</v>
      </c>
      <c r="AK1134" s="19" t="s">
        <v>601</v>
      </c>
      <c r="AL1134" s="19"/>
      <c r="AM1134" s="19"/>
      <c r="AN1134" s="19" t="s">
        <v>744</v>
      </c>
      <c r="AO1134" s="19" t="s">
        <v>270</v>
      </c>
      <c r="AP1134" s="94">
        <v>2.2999999999999998</v>
      </c>
      <c r="AQ1134" s="19" t="s">
        <v>97</v>
      </c>
      <c r="AR1134" s="19" t="s">
        <v>241</v>
      </c>
      <c r="AS1134" s="19"/>
      <c r="AT1134" s="65" t="str">
        <f t="shared" si="330"/>
        <v>Y</v>
      </c>
      <c r="AU1134" s="65" t="str">
        <f t="shared" si="325"/>
        <v>Y</v>
      </c>
      <c r="AV1134" s="65" t="str">
        <f t="shared" si="329"/>
        <v>Y</v>
      </c>
      <c r="AW1134" s="99" t="s">
        <v>1405</v>
      </c>
      <c r="AX1134" s="99" t="s">
        <v>1644</v>
      </c>
      <c r="AY1134" s="19"/>
      <c r="AZ1134" s="96" t="str">
        <f t="shared" si="326"/>
        <v>EC10</v>
      </c>
      <c r="BA1134" s="96">
        <f>IF(AZ1134="n","n",VLOOKUP(AZ1134,'Conversion factors'!$C$4:$D$24,2,FALSE))</f>
        <v>1</v>
      </c>
      <c r="BB1134" s="96">
        <f t="shared" si="327"/>
        <v>126</v>
      </c>
      <c r="BC1134" s="97"/>
      <c r="BD1134" s="96" t="str">
        <f t="shared" si="331"/>
        <v>Chronic</v>
      </c>
      <c r="BE1134" s="96" t="str">
        <f t="shared" si="328"/>
        <v>y</v>
      </c>
      <c r="BF1134" s="98" t="str">
        <f t="shared" si="332"/>
        <v>EC10</v>
      </c>
      <c r="BG1134" s="96" t="str">
        <f>IF(BF1134="","",IF(ISNUMBER(VLOOKUP(BF1134,'Conversion factors'!$B$35:$C$52,2,FALSE)),"y","n"))</f>
        <v>y</v>
      </c>
      <c r="BH1134" s="99"/>
      <c r="BI1134" s="19" t="s">
        <v>1644</v>
      </c>
    </row>
    <row r="1135" spans="1:61" s="103" customFormat="1" ht="15.75" customHeight="1" x14ac:dyDescent="0.2">
      <c r="A1135" s="18"/>
      <c r="B1135" s="19">
        <v>254</v>
      </c>
      <c r="C1135" s="19"/>
      <c r="D1135" s="19">
        <v>84052</v>
      </c>
      <c r="E1135" s="19" t="s">
        <v>1224</v>
      </c>
      <c r="F1135" s="93">
        <v>2005</v>
      </c>
      <c r="G1135" s="19" t="s">
        <v>785</v>
      </c>
      <c r="H1135" s="19" t="s">
        <v>162</v>
      </c>
      <c r="I1135" s="19" t="s">
        <v>41</v>
      </c>
      <c r="J1135" s="19" t="s">
        <v>87</v>
      </c>
      <c r="K1135" s="19" t="s">
        <v>64</v>
      </c>
      <c r="L1135" s="99" t="s">
        <v>151</v>
      </c>
      <c r="M1135" s="19" t="s">
        <v>260</v>
      </c>
      <c r="N1135" s="19" t="s">
        <v>66</v>
      </c>
      <c r="O1135" s="19" t="s">
        <v>67</v>
      </c>
      <c r="P1135" s="19" t="s">
        <v>162</v>
      </c>
      <c r="Q1135" s="19"/>
      <c r="R1135" s="19" t="s">
        <v>76</v>
      </c>
      <c r="S1135" s="19" t="s">
        <v>534</v>
      </c>
      <c r="T1135" s="19" t="s">
        <v>49</v>
      </c>
      <c r="U1135" s="19" t="s">
        <v>49</v>
      </c>
      <c r="V1135" s="19" t="s">
        <v>94</v>
      </c>
      <c r="W1135" s="19" t="s">
        <v>231</v>
      </c>
      <c r="X1135" s="19" t="s">
        <v>46</v>
      </c>
      <c r="Y1135" s="29"/>
      <c r="Z1135" s="19"/>
      <c r="AA1135" s="19"/>
      <c r="AB1135" s="19" t="s">
        <v>723</v>
      </c>
      <c r="AC1135" s="19" t="s">
        <v>214</v>
      </c>
      <c r="AD1135" s="19"/>
      <c r="AE1135" s="124">
        <v>189.2439</v>
      </c>
      <c r="AF1135" s="19"/>
      <c r="AG1135" s="19" t="s">
        <v>235</v>
      </c>
      <c r="AH1135" s="19"/>
      <c r="AI1135" s="19"/>
      <c r="AJ1135" s="19">
        <v>8</v>
      </c>
      <c r="AK1135" s="19" t="s">
        <v>605</v>
      </c>
      <c r="AL1135" s="19"/>
      <c r="AM1135" s="19"/>
      <c r="AN1135" s="19" t="s">
        <v>822</v>
      </c>
      <c r="AO1135" s="19" t="s">
        <v>270</v>
      </c>
      <c r="AP1135" s="94">
        <v>7.49</v>
      </c>
      <c r="AQ1135" s="19" t="s">
        <v>97</v>
      </c>
      <c r="AR1135" s="19" t="s">
        <v>241</v>
      </c>
      <c r="AS1135" s="19"/>
      <c r="AT1135" s="65" t="str">
        <f t="shared" si="330"/>
        <v>Y</v>
      </c>
      <c r="AU1135" s="65" t="str">
        <f t="shared" si="325"/>
        <v>Y</v>
      </c>
      <c r="AV1135" s="65" t="str">
        <f t="shared" si="329"/>
        <v>Y</v>
      </c>
      <c r="AW1135" s="99" t="s">
        <v>1406</v>
      </c>
      <c r="AX1135" s="99" t="s">
        <v>1644</v>
      </c>
      <c r="AY1135" s="19"/>
      <c r="AZ1135" s="96" t="str">
        <f t="shared" si="326"/>
        <v>EC10</v>
      </c>
      <c r="BA1135" s="96">
        <f>IF(AZ1135="n","n",VLOOKUP(AZ1135,'Conversion factors'!$C$4:$D$24,2,FALSE))</f>
        <v>1</v>
      </c>
      <c r="BB1135" s="96">
        <f t="shared" si="327"/>
        <v>171</v>
      </c>
      <c r="BC1135" s="97"/>
      <c r="BD1135" s="96" t="str">
        <f t="shared" si="331"/>
        <v>Chronic</v>
      </c>
      <c r="BE1135" s="96" t="str">
        <f t="shared" si="328"/>
        <v>y</v>
      </c>
      <c r="BF1135" s="98" t="str">
        <f t="shared" si="332"/>
        <v>EC10</v>
      </c>
      <c r="BG1135" s="96" t="str">
        <f>IF(BF1135="","",IF(ISNUMBER(VLOOKUP(BF1135,'Conversion factors'!$B$35:$C$52,2,FALSE)),"y","n"))</f>
        <v>y</v>
      </c>
      <c r="BH1135" s="99"/>
      <c r="BI1135" s="19" t="s">
        <v>1644</v>
      </c>
    </row>
    <row r="1136" spans="1:61" s="103" customFormat="1" ht="15.75" customHeight="1" x14ac:dyDescent="0.2">
      <c r="A1136" s="18"/>
      <c r="B1136" s="19">
        <v>254</v>
      </c>
      <c r="C1136" s="19"/>
      <c r="D1136" s="19">
        <v>84052</v>
      </c>
      <c r="E1136" s="19" t="s">
        <v>1224</v>
      </c>
      <c r="F1136" s="93">
        <v>2005</v>
      </c>
      <c r="G1136" s="19" t="s">
        <v>785</v>
      </c>
      <c r="H1136" s="19" t="s">
        <v>162</v>
      </c>
      <c r="I1136" s="19" t="s">
        <v>41</v>
      </c>
      <c r="J1136" s="19" t="s">
        <v>87</v>
      </c>
      <c r="K1136" s="19" t="s">
        <v>64</v>
      </c>
      <c r="L1136" s="99" t="s">
        <v>151</v>
      </c>
      <c r="M1136" s="19" t="s">
        <v>260</v>
      </c>
      <c r="N1136" s="19" t="s">
        <v>66</v>
      </c>
      <c r="O1136" s="19" t="s">
        <v>67</v>
      </c>
      <c r="P1136" s="19" t="s">
        <v>162</v>
      </c>
      <c r="Q1136" s="19"/>
      <c r="R1136" s="19" t="s">
        <v>76</v>
      </c>
      <c r="S1136" s="19" t="s">
        <v>534</v>
      </c>
      <c r="T1136" s="19" t="s">
        <v>49</v>
      </c>
      <c r="U1136" s="19" t="s">
        <v>49</v>
      </c>
      <c r="V1136" s="19" t="s">
        <v>94</v>
      </c>
      <c r="W1136" s="19" t="s">
        <v>231</v>
      </c>
      <c r="X1136" s="19" t="s">
        <v>46</v>
      </c>
      <c r="Y1136" s="29"/>
      <c r="Z1136" s="19"/>
      <c r="AA1136" s="19"/>
      <c r="AB1136" s="19" t="s">
        <v>823</v>
      </c>
      <c r="AC1136" s="19" t="s">
        <v>214</v>
      </c>
      <c r="AD1136" s="19"/>
      <c r="AE1136" s="124">
        <v>26.4862</v>
      </c>
      <c r="AF1136" s="19"/>
      <c r="AG1136" s="19" t="s">
        <v>235</v>
      </c>
      <c r="AH1136" s="19"/>
      <c r="AI1136" s="19"/>
      <c r="AJ1136" s="19">
        <v>7.3</v>
      </c>
      <c r="AK1136" s="19" t="s">
        <v>547</v>
      </c>
      <c r="AL1136" s="19"/>
      <c r="AM1136" s="19"/>
      <c r="AN1136" s="19" t="s">
        <v>824</v>
      </c>
      <c r="AO1136" s="19" t="s">
        <v>270</v>
      </c>
      <c r="AP1136" s="94">
        <v>2.5299999999999998</v>
      </c>
      <c r="AQ1136" s="19" t="s">
        <v>97</v>
      </c>
      <c r="AR1136" s="19" t="s">
        <v>241</v>
      </c>
      <c r="AS1136" s="19"/>
      <c r="AT1136" s="65" t="str">
        <f t="shared" si="330"/>
        <v>Y</v>
      </c>
      <c r="AU1136" s="65" t="str">
        <f t="shared" si="325"/>
        <v>Y</v>
      </c>
      <c r="AV1136" s="65" t="str">
        <f t="shared" si="329"/>
        <v>Y</v>
      </c>
      <c r="AW1136" s="99" t="s">
        <v>1406</v>
      </c>
      <c r="AX1136" s="99" t="s">
        <v>1644</v>
      </c>
      <c r="AY1136" s="19"/>
      <c r="AZ1136" s="96" t="str">
        <f t="shared" si="326"/>
        <v>EC10</v>
      </c>
      <c r="BA1136" s="96">
        <f>IF(AZ1136="n","n",VLOOKUP(AZ1136,'Conversion factors'!$C$4:$D$24,2,FALSE))</f>
        <v>1</v>
      </c>
      <c r="BB1136" s="96">
        <f t="shared" si="327"/>
        <v>92.7</v>
      </c>
      <c r="BC1136" s="97"/>
      <c r="BD1136" s="96" t="str">
        <f t="shared" si="331"/>
        <v>Chronic</v>
      </c>
      <c r="BE1136" s="96" t="str">
        <f t="shared" si="328"/>
        <v>y</v>
      </c>
      <c r="BF1136" s="98" t="str">
        <f t="shared" si="332"/>
        <v>EC10</v>
      </c>
      <c r="BG1136" s="96" t="str">
        <f>IF(BF1136="","",IF(ISNUMBER(VLOOKUP(BF1136,'Conversion factors'!$B$35:$C$52,2,FALSE)),"y","n"))</f>
        <v>y</v>
      </c>
      <c r="BH1136" s="99"/>
      <c r="BI1136" s="19" t="s">
        <v>1644</v>
      </c>
    </row>
    <row r="1137" spans="1:61" s="103" customFormat="1" ht="15.75" customHeight="1" x14ac:dyDescent="0.2">
      <c r="A1137" s="18"/>
      <c r="B1137" s="19">
        <v>254</v>
      </c>
      <c r="C1137" s="19"/>
      <c r="D1137" s="19">
        <v>84052</v>
      </c>
      <c r="E1137" s="19" t="s">
        <v>1224</v>
      </c>
      <c r="F1137" s="93">
        <v>2005</v>
      </c>
      <c r="G1137" s="19" t="s">
        <v>785</v>
      </c>
      <c r="H1137" s="19" t="s">
        <v>162</v>
      </c>
      <c r="I1137" s="19" t="s">
        <v>41</v>
      </c>
      <c r="J1137" s="19" t="s">
        <v>87</v>
      </c>
      <c r="K1137" s="19" t="s">
        <v>64</v>
      </c>
      <c r="L1137" s="99" t="s">
        <v>151</v>
      </c>
      <c r="M1137" s="19" t="s">
        <v>260</v>
      </c>
      <c r="N1137" s="19" t="s">
        <v>66</v>
      </c>
      <c r="O1137" s="19" t="s">
        <v>67</v>
      </c>
      <c r="P1137" s="19" t="s">
        <v>162</v>
      </c>
      <c r="Q1137" s="19"/>
      <c r="R1137" s="19" t="s">
        <v>76</v>
      </c>
      <c r="S1137" s="19" t="s">
        <v>534</v>
      </c>
      <c r="T1137" s="19" t="s">
        <v>49</v>
      </c>
      <c r="U1137" s="19" t="s">
        <v>49</v>
      </c>
      <c r="V1137" s="19" t="s">
        <v>94</v>
      </c>
      <c r="W1137" s="19" t="s">
        <v>231</v>
      </c>
      <c r="X1137" s="19" t="s">
        <v>46</v>
      </c>
      <c r="Y1137" s="29"/>
      <c r="Z1137" s="19"/>
      <c r="AA1137" s="19"/>
      <c r="AB1137" s="19" t="s">
        <v>825</v>
      </c>
      <c r="AC1137" s="19" t="s">
        <v>214</v>
      </c>
      <c r="AD1137" s="19"/>
      <c r="AE1137" s="124">
        <v>183.01369999999997</v>
      </c>
      <c r="AF1137" s="19"/>
      <c r="AG1137" s="19" t="s">
        <v>235</v>
      </c>
      <c r="AH1137" s="19"/>
      <c r="AI1137" s="19"/>
      <c r="AJ1137" s="19">
        <v>8</v>
      </c>
      <c r="AK1137" s="19" t="s">
        <v>605</v>
      </c>
      <c r="AL1137" s="19"/>
      <c r="AM1137" s="19"/>
      <c r="AN1137" s="19" t="s">
        <v>782</v>
      </c>
      <c r="AO1137" s="19" t="s">
        <v>270</v>
      </c>
      <c r="AP1137" s="94">
        <v>9.8699999999999992</v>
      </c>
      <c r="AQ1137" s="19" t="s">
        <v>97</v>
      </c>
      <c r="AR1137" s="19" t="s">
        <v>241</v>
      </c>
      <c r="AS1137" s="19"/>
      <c r="AT1137" s="65" t="str">
        <f t="shared" si="330"/>
        <v>Y</v>
      </c>
      <c r="AU1137" s="65" t="str">
        <f t="shared" si="325"/>
        <v>Y</v>
      </c>
      <c r="AV1137" s="65" t="str">
        <f t="shared" si="329"/>
        <v>Y</v>
      </c>
      <c r="AW1137" s="99" t="s">
        <v>1406</v>
      </c>
      <c r="AX1137" s="99" t="s">
        <v>1644</v>
      </c>
      <c r="AY1137" s="19"/>
      <c r="AZ1137" s="96" t="str">
        <f t="shared" si="326"/>
        <v>EC10</v>
      </c>
      <c r="BA1137" s="96">
        <f>IF(AZ1137="n","n",VLOOKUP(AZ1137,'Conversion factors'!$C$4:$D$24,2,FALSE))</f>
        <v>1</v>
      </c>
      <c r="BB1137" s="96">
        <f t="shared" si="327"/>
        <v>265</v>
      </c>
      <c r="BC1137" s="97"/>
      <c r="BD1137" s="96" t="str">
        <f t="shared" si="331"/>
        <v>Chronic</v>
      </c>
      <c r="BE1137" s="96" t="str">
        <f t="shared" si="328"/>
        <v>y</v>
      </c>
      <c r="BF1137" s="98" t="str">
        <f t="shared" si="332"/>
        <v>EC10</v>
      </c>
      <c r="BG1137" s="96" t="str">
        <f>IF(BF1137="","",IF(ISNUMBER(VLOOKUP(BF1137,'Conversion factors'!$B$35:$C$52,2,FALSE)),"y","n"))</f>
        <v>y</v>
      </c>
      <c r="BH1137" s="99"/>
      <c r="BI1137" s="19" t="s">
        <v>1644</v>
      </c>
    </row>
    <row r="1138" spans="1:61" s="103" customFormat="1" ht="15.75" customHeight="1" x14ac:dyDescent="0.2">
      <c r="A1138" s="18"/>
      <c r="B1138" s="19">
        <v>254</v>
      </c>
      <c r="C1138" s="19"/>
      <c r="D1138" s="19">
        <v>84052</v>
      </c>
      <c r="E1138" s="19" t="s">
        <v>1224</v>
      </c>
      <c r="F1138" s="93">
        <v>2005</v>
      </c>
      <c r="G1138" s="19" t="s">
        <v>785</v>
      </c>
      <c r="H1138" s="19" t="s">
        <v>162</v>
      </c>
      <c r="I1138" s="19" t="s">
        <v>41</v>
      </c>
      <c r="J1138" s="19" t="s">
        <v>87</v>
      </c>
      <c r="K1138" s="19" t="s">
        <v>64</v>
      </c>
      <c r="L1138" s="99" t="s">
        <v>151</v>
      </c>
      <c r="M1138" s="19" t="s">
        <v>260</v>
      </c>
      <c r="N1138" s="19" t="s">
        <v>66</v>
      </c>
      <c r="O1138" s="19" t="s">
        <v>67</v>
      </c>
      <c r="P1138" s="19" t="s">
        <v>162</v>
      </c>
      <c r="Q1138" s="19"/>
      <c r="R1138" s="19" t="s">
        <v>76</v>
      </c>
      <c r="S1138" s="19" t="s">
        <v>534</v>
      </c>
      <c r="T1138" s="19" t="s">
        <v>49</v>
      </c>
      <c r="U1138" s="19" t="s">
        <v>49</v>
      </c>
      <c r="V1138" s="19" t="s">
        <v>94</v>
      </c>
      <c r="W1138" s="19" t="s">
        <v>231</v>
      </c>
      <c r="X1138" s="19" t="s">
        <v>46</v>
      </c>
      <c r="Y1138" s="29"/>
      <c r="Z1138" s="19"/>
      <c r="AA1138" s="19"/>
      <c r="AB1138" s="19" t="s">
        <v>826</v>
      </c>
      <c r="AC1138" s="19" t="s">
        <v>214</v>
      </c>
      <c r="AD1138" s="19"/>
      <c r="AE1138" s="124">
        <v>250.499</v>
      </c>
      <c r="AF1138" s="19"/>
      <c r="AG1138" s="19" t="s">
        <v>235</v>
      </c>
      <c r="AH1138" s="19"/>
      <c r="AI1138" s="19"/>
      <c r="AJ1138" s="101">
        <v>7.2</v>
      </c>
      <c r="AK1138" s="19" t="s">
        <v>584</v>
      </c>
      <c r="AL1138" s="19"/>
      <c r="AM1138" s="19"/>
      <c r="AN1138" s="19" t="s">
        <v>827</v>
      </c>
      <c r="AO1138" s="19" t="s">
        <v>270</v>
      </c>
      <c r="AP1138" s="94">
        <v>0.3</v>
      </c>
      <c r="AQ1138" s="19" t="s">
        <v>97</v>
      </c>
      <c r="AR1138" s="19" t="s">
        <v>241</v>
      </c>
      <c r="AS1138" s="19"/>
      <c r="AT1138" s="65" t="str">
        <f t="shared" si="330"/>
        <v>Y</v>
      </c>
      <c r="AU1138" s="65" t="str">
        <f t="shared" si="325"/>
        <v>Y</v>
      </c>
      <c r="AV1138" s="65" t="str">
        <f t="shared" si="329"/>
        <v>Y</v>
      </c>
      <c r="AW1138" s="99"/>
      <c r="AX1138" s="99" t="s">
        <v>1644</v>
      </c>
      <c r="AY1138" s="19"/>
      <c r="AZ1138" s="96" t="str">
        <f t="shared" si="326"/>
        <v>EC10</v>
      </c>
      <c r="BA1138" s="96">
        <f>IF(AZ1138="n","n",VLOOKUP(AZ1138,'Conversion factors'!$C$4:$D$24,2,FALSE))</f>
        <v>1</v>
      </c>
      <c r="BB1138" s="96">
        <f t="shared" si="327"/>
        <v>196</v>
      </c>
      <c r="BC1138" s="97"/>
      <c r="BD1138" s="96" t="str">
        <f t="shared" si="331"/>
        <v>Chronic</v>
      </c>
      <c r="BE1138" s="96" t="str">
        <f t="shared" si="328"/>
        <v>y</v>
      </c>
      <c r="BF1138" s="98" t="str">
        <f t="shared" si="332"/>
        <v>EC10</v>
      </c>
      <c r="BG1138" s="96" t="str">
        <f>IF(BF1138="","",IF(ISNUMBER(VLOOKUP(BF1138,'Conversion factors'!$B$35:$C$52,2,FALSE)),"y","n"))</f>
        <v>y</v>
      </c>
      <c r="BH1138" s="99"/>
      <c r="BI1138" s="19" t="s">
        <v>1644</v>
      </c>
    </row>
    <row r="1139" spans="1:61" s="103" customFormat="1" ht="15.75" customHeight="1" x14ac:dyDescent="0.2">
      <c r="A1139" s="18"/>
      <c r="B1139" s="19">
        <v>254</v>
      </c>
      <c r="C1139" s="19"/>
      <c r="D1139" s="19">
        <v>84052</v>
      </c>
      <c r="E1139" s="19" t="s">
        <v>1224</v>
      </c>
      <c r="F1139" s="93">
        <v>2005</v>
      </c>
      <c r="G1139" s="19" t="s">
        <v>785</v>
      </c>
      <c r="H1139" s="19" t="s">
        <v>162</v>
      </c>
      <c r="I1139" s="19" t="s">
        <v>41</v>
      </c>
      <c r="J1139" s="19" t="s">
        <v>87</v>
      </c>
      <c r="K1139" s="19" t="s">
        <v>64</v>
      </c>
      <c r="L1139" s="99" t="s">
        <v>151</v>
      </c>
      <c r="M1139" s="19" t="s">
        <v>260</v>
      </c>
      <c r="N1139" s="19" t="s">
        <v>66</v>
      </c>
      <c r="O1139" s="19" t="s">
        <v>67</v>
      </c>
      <c r="P1139" s="19" t="s">
        <v>162</v>
      </c>
      <c r="Q1139" s="19"/>
      <c r="R1139" s="19" t="s">
        <v>76</v>
      </c>
      <c r="S1139" s="19" t="s">
        <v>534</v>
      </c>
      <c r="T1139" s="19" t="s">
        <v>44</v>
      </c>
      <c r="U1139" s="19" t="s">
        <v>44</v>
      </c>
      <c r="V1139" s="19" t="s">
        <v>94</v>
      </c>
      <c r="W1139" s="19" t="s">
        <v>231</v>
      </c>
      <c r="X1139" s="19" t="s">
        <v>46</v>
      </c>
      <c r="Y1139" s="29"/>
      <c r="Z1139" s="19"/>
      <c r="AA1139" s="19"/>
      <c r="AB1139" s="19" t="s">
        <v>828</v>
      </c>
      <c r="AC1139" s="19" t="s">
        <v>214</v>
      </c>
      <c r="AD1139" s="19"/>
      <c r="AE1139" s="124">
        <v>122.40209999999999</v>
      </c>
      <c r="AF1139" s="19"/>
      <c r="AG1139" s="19" t="s">
        <v>235</v>
      </c>
      <c r="AH1139" s="19"/>
      <c r="AI1139" s="19"/>
      <c r="AJ1139" s="19">
        <v>6.8</v>
      </c>
      <c r="AK1139" s="19" t="s">
        <v>543</v>
      </c>
      <c r="AL1139" s="19"/>
      <c r="AM1139" s="19" t="s">
        <v>234</v>
      </c>
      <c r="AN1139" s="19" t="s">
        <v>820</v>
      </c>
      <c r="AO1139" s="19" t="s">
        <v>270</v>
      </c>
      <c r="AP1139" s="94">
        <v>17.3</v>
      </c>
      <c r="AQ1139" s="19" t="s">
        <v>97</v>
      </c>
      <c r="AR1139" s="19" t="s">
        <v>241</v>
      </c>
      <c r="AS1139" s="19"/>
      <c r="AT1139" s="65" t="str">
        <f t="shared" si="330"/>
        <v>Y</v>
      </c>
      <c r="AU1139" s="65" t="str">
        <f t="shared" si="325"/>
        <v>Y</v>
      </c>
      <c r="AV1139" s="65" t="s">
        <v>162</v>
      </c>
      <c r="AW1139" s="99" t="s">
        <v>1406</v>
      </c>
      <c r="AX1139" s="99"/>
      <c r="AY1139" s="19"/>
      <c r="AZ1139" s="96" t="str">
        <f t="shared" si="326"/>
        <v>n</v>
      </c>
      <c r="BA1139" s="96" t="str">
        <f>IF(AZ1139="n","n",VLOOKUP(AZ1139,'Conversion factors'!$C$4:$D$24,2,FALSE))</f>
        <v>n</v>
      </c>
      <c r="BB1139" s="96" t="str">
        <f t="shared" si="327"/>
        <v>n</v>
      </c>
      <c r="BC1139" s="97"/>
      <c r="BD1139" s="96" t="str">
        <f t="shared" si="331"/>
        <v>n</v>
      </c>
      <c r="BE1139" s="96" t="str">
        <f t="shared" si="328"/>
        <v>n</v>
      </c>
      <c r="BF1139" s="98" t="str">
        <f t="shared" si="332"/>
        <v/>
      </c>
      <c r="BG1139" s="96" t="str">
        <f>IF(BF1139="","",IF(ISNUMBER(VLOOKUP(BF1139,'Conversion factors'!$B$35:$C$52,2,FALSE)),"y","n"))</f>
        <v/>
      </c>
      <c r="BH1139" s="99"/>
    </row>
    <row r="1140" spans="1:61" s="103" customFormat="1" ht="15.75" customHeight="1" x14ac:dyDescent="0.2">
      <c r="A1140" s="18"/>
      <c r="B1140" s="19">
        <v>254</v>
      </c>
      <c r="C1140" s="19"/>
      <c r="D1140" s="19">
        <v>84052</v>
      </c>
      <c r="E1140" s="19" t="s">
        <v>1224</v>
      </c>
      <c r="F1140" s="93">
        <v>2005</v>
      </c>
      <c r="G1140" s="19" t="s">
        <v>785</v>
      </c>
      <c r="H1140" s="19" t="s">
        <v>162</v>
      </c>
      <c r="I1140" s="19" t="s">
        <v>41</v>
      </c>
      <c r="J1140" s="19" t="s">
        <v>87</v>
      </c>
      <c r="K1140" s="19" t="s">
        <v>64</v>
      </c>
      <c r="L1140" s="99" t="s">
        <v>151</v>
      </c>
      <c r="M1140" s="19" t="s">
        <v>260</v>
      </c>
      <c r="N1140" s="19" t="s">
        <v>66</v>
      </c>
      <c r="O1140" s="19" t="s">
        <v>67</v>
      </c>
      <c r="P1140" s="19" t="s">
        <v>162</v>
      </c>
      <c r="Q1140" s="19"/>
      <c r="R1140" s="19" t="s">
        <v>76</v>
      </c>
      <c r="S1140" s="19" t="s">
        <v>534</v>
      </c>
      <c r="T1140" s="19" t="s">
        <v>44</v>
      </c>
      <c r="U1140" s="19" t="s">
        <v>44</v>
      </c>
      <c r="V1140" s="19" t="s">
        <v>94</v>
      </c>
      <c r="W1140" s="19" t="s">
        <v>231</v>
      </c>
      <c r="X1140" s="19" t="s">
        <v>46</v>
      </c>
      <c r="Y1140" s="29"/>
      <c r="Z1140" s="19"/>
      <c r="AA1140" s="19"/>
      <c r="AB1140" s="19" t="s">
        <v>623</v>
      </c>
      <c r="AC1140" s="19" t="s">
        <v>214</v>
      </c>
      <c r="AD1140" s="19"/>
      <c r="AE1140" s="124">
        <v>189.2439</v>
      </c>
      <c r="AF1140" s="19"/>
      <c r="AG1140" s="19" t="s">
        <v>235</v>
      </c>
      <c r="AH1140" s="19"/>
      <c r="AI1140" s="19"/>
      <c r="AJ1140" s="19">
        <v>8</v>
      </c>
      <c r="AK1140" s="19" t="s">
        <v>605</v>
      </c>
      <c r="AL1140" s="19"/>
      <c r="AM1140" s="19" t="s">
        <v>234</v>
      </c>
      <c r="AN1140" s="19" t="s">
        <v>822</v>
      </c>
      <c r="AO1140" s="19" t="s">
        <v>270</v>
      </c>
      <c r="AP1140" s="94">
        <v>7.49</v>
      </c>
      <c r="AQ1140" s="19" t="s">
        <v>97</v>
      </c>
      <c r="AR1140" s="19" t="s">
        <v>241</v>
      </c>
      <c r="AS1140" s="19"/>
      <c r="AT1140" s="65" t="str">
        <f t="shared" si="330"/>
        <v>Y</v>
      </c>
      <c r="AU1140" s="65" t="str">
        <f t="shared" ref="AU1140:AU1203" si="333">IF(AT1140="N","N",IF(AJ1140&lt;6,"N",IF(AJ1140&gt;8.5,"N","Y")))</f>
        <v>Y</v>
      </c>
      <c r="AV1140" s="65" t="s">
        <v>162</v>
      </c>
      <c r="AW1140" s="99" t="s">
        <v>1406</v>
      </c>
      <c r="AX1140" s="99"/>
      <c r="AY1140" s="19"/>
      <c r="AZ1140" s="96" t="str">
        <f t="shared" si="326"/>
        <v>n</v>
      </c>
      <c r="BA1140" s="96" t="str">
        <f>IF(AZ1140="n","n",VLOOKUP(AZ1140,'Conversion factors'!$C$4:$D$24,2,FALSE))</f>
        <v>n</v>
      </c>
      <c r="BB1140" s="96" t="str">
        <f t="shared" si="327"/>
        <v>n</v>
      </c>
      <c r="BC1140" s="97"/>
      <c r="BD1140" s="96" t="str">
        <f t="shared" si="331"/>
        <v>n</v>
      </c>
      <c r="BE1140" s="96" t="str">
        <f t="shared" si="328"/>
        <v>n</v>
      </c>
      <c r="BF1140" s="98" t="str">
        <f t="shared" si="332"/>
        <v/>
      </c>
      <c r="BG1140" s="96" t="str">
        <f>IF(BF1140="","",IF(ISNUMBER(VLOOKUP(BF1140,'Conversion factors'!$B$35:$C$52,2,FALSE)),"y","n"))</f>
        <v/>
      </c>
      <c r="BH1140" s="99"/>
    </row>
    <row r="1141" spans="1:61" s="103" customFormat="1" ht="15.75" customHeight="1" x14ac:dyDescent="0.2">
      <c r="A1141" s="18"/>
      <c r="B1141" s="19">
        <v>254</v>
      </c>
      <c r="C1141" s="19"/>
      <c r="D1141" s="19">
        <v>84052</v>
      </c>
      <c r="E1141" s="19" t="s">
        <v>1224</v>
      </c>
      <c r="F1141" s="93">
        <v>2005</v>
      </c>
      <c r="G1141" s="19" t="s">
        <v>785</v>
      </c>
      <c r="H1141" s="19" t="s">
        <v>162</v>
      </c>
      <c r="I1141" s="19" t="s">
        <v>41</v>
      </c>
      <c r="J1141" s="19" t="s">
        <v>87</v>
      </c>
      <c r="K1141" s="19" t="s">
        <v>64</v>
      </c>
      <c r="L1141" s="99" t="s">
        <v>151</v>
      </c>
      <c r="M1141" s="19" t="s">
        <v>260</v>
      </c>
      <c r="N1141" s="19" t="s">
        <v>66</v>
      </c>
      <c r="O1141" s="19" t="s">
        <v>67</v>
      </c>
      <c r="P1141" s="19" t="s">
        <v>162</v>
      </c>
      <c r="Q1141" s="19"/>
      <c r="R1141" s="19" t="s">
        <v>76</v>
      </c>
      <c r="S1141" s="19" t="s">
        <v>534</v>
      </c>
      <c r="T1141" s="19" t="s">
        <v>44</v>
      </c>
      <c r="U1141" s="19" t="s">
        <v>44</v>
      </c>
      <c r="V1141" s="19" t="s">
        <v>94</v>
      </c>
      <c r="W1141" s="19" t="s">
        <v>231</v>
      </c>
      <c r="X1141" s="19" t="s">
        <v>46</v>
      </c>
      <c r="Y1141" s="29"/>
      <c r="Z1141" s="19"/>
      <c r="AA1141" s="19"/>
      <c r="AB1141" s="19" t="s">
        <v>723</v>
      </c>
      <c r="AC1141" s="19" t="s">
        <v>214</v>
      </c>
      <c r="AD1141" s="19"/>
      <c r="AE1141" s="124">
        <v>121.87649999999999</v>
      </c>
      <c r="AF1141" s="19"/>
      <c r="AG1141" s="19" t="s">
        <v>235</v>
      </c>
      <c r="AH1141" s="19"/>
      <c r="AI1141" s="19"/>
      <c r="AJ1141" s="19">
        <v>8.4</v>
      </c>
      <c r="AK1141" s="19" t="s">
        <v>233</v>
      </c>
      <c r="AL1141" s="19"/>
      <c r="AM1141" s="19" t="s">
        <v>234</v>
      </c>
      <c r="AN1141" s="19" t="s">
        <v>818</v>
      </c>
      <c r="AO1141" s="19" t="s">
        <v>270</v>
      </c>
      <c r="AP1141" s="94">
        <v>4.17</v>
      </c>
      <c r="AQ1141" s="19" t="s">
        <v>97</v>
      </c>
      <c r="AR1141" s="19" t="s">
        <v>241</v>
      </c>
      <c r="AS1141" s="19"/>
      <c r="AT1141" s="65" t="str">
        <f t="shared" si="330"/>
        <v>Y</v>
      </c>
      <c r="AU1141" s="65" t="str">
        <f t="shared" si="333"/>
        <v>Y</v>
      </c>
      <c r="AV1141" s="65" t="s">
        <v>162</v>
      </c>
      <c r="AW1141" s="99" t="s">
        <v>1405</v>
      </c>
      <c r="AX1141" s="99"/>
      <c r="AY1141" s="19"/>
      <c r="AZ1141" s="96" t="str">
        <f t="shared" ref="AZ1141:AZ1204" si="334">IF(AV1141="N","n",T1141)</f>
        <v>n</v>
      </c>
      <c r="BA1141" s="96" t="str">
        <f>IF(AZ1141="n","n",VLOOKUP(AZ1141,'Conversion factors'!$C$4:$D$24,2,FALSE))</f>
        <v>n</v>
      </c>
      <c r="BB1141" s="96" t="str">
        <f t="shared" ref="BB1141:BB1204" si="335">IF(BA1141="n","n",AB1141/BA1141)</f>
        <v>n</v>
      </c>
      <c r="BC1141" s="97"/>
      <c r="BD1141" s="96" t="str">
        <f t="shared" si="331"/>
        <v>n</v>
      </c>
      <c r="BE1141" s="96" t="str">
        <f t="shared" ref="BE1141:BE1204" si="336">IF(BD1141="chronic","y","n")</f>
        <v>n</v>
      </c>
      <c r="BF1141" s="98" t="str">
        <f t="shared" si="332"/>
        <v/>
      </c>
      <c r="BG1141" s="96" t="str">
        <f>IF(BF1141="","",IF(ISNUMBER(VLOOKUP(BF1141,'Conversion factors'!$B$35:$C$52,2,FALSE)),"y","n"))</f>
        <v/>
      </c>
      <c r="BH1141" s="99"/>
    </row>
    <row r="1142" spans="1:61" s="103" customFormat="1" ht="15.75" customHeight="1" x14ac:dyDescent="0.2">
      <c r="A1142" s="18"/>
      <c r="B1142" s="19">
        <v>254</v>
      </c>
      <c r="C1142" s="19"/>
      <c r="D1142" s="19">
        <v>84052</v>
      </c>
      <c r="E1142" s="19" t="s">
        <v>1224</v>
      </c>
      <c r="F1142" s="93">
        <v>2005</v>
      </c>
      <c r="G1142" s="19" t="s">
        <v>785</v>
      </c>
      <c r="H1142" s="19" t="s">
        <v>162</v>
      </c>
      <c r="I1142" s="19" t="s">
        <v>41</v>
      </c>
      <c r="J1142" s="19" t="s">
        <v>87</v>
      </c>
      <c r="K1142" s="19" t="s">
        <v>64</v>
      </c>
      <c r="L1142" s="99" t="s">
        <v>151</v>
      </c>
      <c r="M1142" s="19" t="s">
        <v>260</v>
      </c>
      <c r="N1142" s="19" t="s">
        <v>66</v>
      </c>
      <c r="O1142" s="19" t="s">
        <v>67</v>
      </c>
      <c r="P1142" s="19" t="s">
        <v>162</v>
      </c>
      <c r="Q1142" s="19"/>
      <c r="R1142" s="19" t="s">
        <v>76</v>
      </c>
      <c r="S1142" s="19" t="s">
        <v>534</v>
      </c>
      <c r="T1142" s="19" t="s">
        <v>44</v>
      </c>
      <c r="U1142" s="19" t="s">
        <v>44</v>
      </c>
      <c r="V1142" s="19" t="s">
        <v>94</v>
      </c>
      <c r="W1142" s="19" t="s">
        <v>231</v>
      </c>
      <c r="X1142" s="19" t="s">
        <v>46</v>
      </c>
      <c r="Y1142" s="29"/>
      <c r="Z1142" s="19"/>
      <c r="AA1142" s="19"/>
      <c r="AB1142" s="19" t="s">
        <v>829</v>
      </c>
      <c r="AC1142" s="19" t="s">
        <v>214</v>
      </c>
      <c r="AD1142" s="19"/>
      <c r="AE1142" s="124">
        <v>250.499</v>
      </c>
      <c r="AF1142" s="19"/>
      <c r="AG1142" s="19" t="s">
        <v>235</v>
      </c>
      <c r="AH1142" s="19"/>
      <c r="AI1142" s="19"/>
      <c r="AJ1142" s="19">
        <v>7.2</v>
      </c>
      <c r="AK1142" s="19" t="s">
        <v>584</v>
      </c>
      <c r="AL1142" s="19"/>
      <c r="AM1142" s="19" t="s">
        <v>234</v>
      </c>
      <c r="AN1142" s="19" t="s">
        <v>827</v>
      </c>
      <c r="AO1142" s="19" t="s">
        <v>270</v>
      </c>
      <c r="AP1142" s="94">
        <v>0.3</v>
      </c>
      <c r="AQ1142" s="19" t="s">
        <v>97</v>
      </c>
      <c r="AR1142" s="19" t="s">
        <v>241</v>
      </c>
      <c r="AS1142" s="19"/>
      <c r="AT1142" s="65" t="str">
        <f t="shared" si="330"/>
        <v>Y</v>
      </c>
      <c r="AU1142" s="65" t="str">
        <f t="shared" si="333"/>
        <v>Y</v>
      </c>
      <c r="AV1142" s="65" t="str">
        <f>AU1142</f>
        <v>Y</v>
      </c>
      <c r="AW1142" s="99"/>
      <c r="AX1142" s="99"/>
      <c r="AY1142" s="19"/>
      <c r="AZ1142" s="96" t="str">
        <f t="shared" si="334"/>
        <v>EC50</v>
      </c>
      <c r="BA1142" s="96">
        <f>IF(AZ1142="n","n",VLOOKUP(AZ1142,'Conversion factors'!$C$4:$D$24,2,FALSE))</f>
        <v>5</v>
      </c>
      <c r="BB1142" s="96">
        <f t="shared" si="335"/>
        <v>59.8</v>
      </c>
      <c r="BC1142" s="97"/>
      <c r="BD1142" s="96" t="str">
        <f t="shared" si="331"/>
        <v>Chronic</v>
      </c>
      <c r="BE1142" s="96" t="str">
        <f t="shared" si="336"/>
        <v>y</v>
      </c>
      <c r="BF1142" s="98" t="str">
        <f t="shared" si="332"/>
        <v>EC50</v>
      </c>
      <c r="BG1142" s="96" t="str">
        <f>IF(BF1142="","",IF(ISNUMBER(VLOOKUP(BF1142,'Conversion factors'!$B$35:$C$52,2,FALSE)),"y","n"))</f>
        <v>n</v>
      </c>
      <c r="BH1142" s="99"/>
    </row>
    <row r="1143" spans="1:61" s="103" customFormat="1" ht="15.75" customHeight="1" x14ac:dyDescent="0.2">
      <c r="A1143" s="18"/>
      <c r="B1143" s="19">
        <v>254</v>
      </c>
      <c r="C1143" s="19"/>
      <c r="D1143" s="19">
        <v>84052</v>
      </c>
      <c r="E1143" s="19" t="s">
        <v>1224</v>
      </c>
      <c r="F1143" s="93">
        <v>2005</v>
      </c>
      <c r="G1143" s="19" t="s">
        <v>785</v>
      </c>
      <c r="H1143" s="19" t="s">
        <v>162</v>
      </c>
      <c r="I1143" s="19" t="s">
        <v>41</v>
      </c>
      <c r="J1143" s="19" t="s">
        <v>87</v>
      </c>
      <c r="K1143" s="19" t="s">
        <v>64</v>
      </c>
      <c r="L1143" s="99" t="s">
        <v>151</v>
      </c>
      <c r="M1143" s="19" t="s">
        <v>260</v>
      </c>
      <c r="N1143" s="19" t="s">
        <v>66</v>
      </c>
      <c r="O1143" s="19" t="s">
        <v>67</v>
      </c>
      <c r="P1143" s="19" t="s">
        <v>162</v>
      </c>
      <c r="Q1143" s="19"/>
      <c r="R1143" s="19" t="s">
        <v>76</v>
      </c>
      <c r="S1143" s="19" t="s">
        <v>534</v>
      </c>
      <c r="T1143" s="19" t="s">
        <v>44</v>
      </c>
      <c r="U1143" s="19" t="s">
        <v>44</v>
      </c>
      <c r="V1143" s="19" t="s">
        <v>94</v>
      </c>
      <c r="W1143" s="19" t="s">
        <v>231</v>
      </c>
      <c r="X1143" s="19" t="s">
        <v>46</v>
      </c>
      <c r="Y1143" s="29"/>
      <c r="Z1143" s="19"/>
      <c r="AA1143" s="19"/>
      <c r="AB1143" s="19" t="s">
        <v>830</v>
      </c>
      <c r="AC1143" s="19" t="s">
        <v>214</v>
      </c>
      <c r="AD1143" s="19"/>
      <c r="AE1143" s="124">
        <v>183.01369999999997</v>
      </c>
      <c r="AF1143" s="19"/>
      <c r="AG1143" s="19" t="s">
        <v>235</v>
      </c>
      <c r="AH1143" s="19"/>
      <c r="AI1143" s="19"/>
      <c r="AJ1143" s="19">
        <v>8</v>
      </c>
      <c r="AK1143" s="19" t="s">
        <v>605</v>
      </c>
      <c r="AL1143" s="19"/>
      <c r="AM1143" s="19" t="s">
        <v>234</v>
      </c>
      <c r="AN1143" s="19" t="s">
        <v>782</v>
      </c>
      <c r="AO1143" s="19" t="s">
        <v>270</v>
      </c>
      <c r="AP1143" s="94">
        <v>9.8699999999999992</v>
      </c>
      <c r="AQ1143" s="19" t="s">
        <v>97</v>
      </c>
      <c r="AR1143" s="19" t="s">
        <v>241</v>
      </c>
      <c r="AS1143" s="19"/>
      <c r="AT1143" s="65" t="str">
        <f t="shared" si="330"/>
        <v>Y</v>
      </c>
      <c r="AU1143" s="65" t="str">
        <f t="shared" si="333"/>
        <v>Y</v>
      </c>
      <c r="AV1143" s="65" t="s">
        <v>162</v>
      </c>
      <c r="AW1143" s="99" t="s">
        <v>1406</v>
      </c>
      <c r="AX1143" s="99"/>
      <c r="AY1143" s="19"/>
      <c r="AZ1143" s="96" t="str">
        <f t="shared" si="334"/>
        <v>n</v>
      </c>
      <c r="BA1143" s="96" t="str">
        <f>IF(AZ1143="n","n",VLOOKUP(AZ1143,'Conversion factors'!$C$4:$D$24,2,FALSE))</f>
        <v>n</v>
      </c>
      <c r="BB1143" s="96" t="str">
        <f t="shared" si="335"/>
        <v>n</v>
      </c>
      <c r="BC1143" s="97"/>
      <c r="BD1143" s="96" t="str">
        <f t="shared" si="331"/>
        <v>n</v>
      </c>
      <c r="BE1143" s="96" t="str">
        <f t="shared" si="336"/>
        <v>n</v>
      </c>
      <c r="BF1143" s="98" t="str">
        <f t="shared" si="332"/>
        <v/>
      </c>
      <c r="BG1143" s="96" t="str">
        <f>IF(BF1143="","",IF(ISNUMBER(VLOOKUP(BF1143,'Conversion factors'!$B$35:$C$52,2,FALSE)),"y","n"))</f>
        <v/>
      </c>
      <c r="BH1143" s="99"/>
    </row>
    <row r="1144" spans="1:61" s="103" customFormat="1" ht="15.75" customHeight="1" x14ac:dyDescent="0.2">
      <c r="A1144" s="18"/>
      <c r="B1144" s="19">
        <v>254</v>
      </c>
      <c r="C1144" s="19"/>
      <c r="D1144" s="19">
        <v>84052</v>
      </c>
      <c r="E1144" s="19" t="s">
        <v>1224</v>
      </c>
      <c r="F1144" s="93">
        <v>2005</v>
      </c>
      <c r="G1144" s="19" t="s">
        <v>785</v>
      </c>
      <c r="H1144" s="19" t="s">
        <v>162</v>
      </c>
      <c r="I1144" s="19" t="s">
        <v>41</v>
      </c>
      <c r="J1144" s="19" t="s">
        <v>87</v>
      </c>
      <c r="K1144" s="19" t="s">
        <v>64</v>
      </c>
      <c r="L1144" s="99" t="s">
        <v>151</v>
      </c>
      <c r="M1144" s="19" t="s">
        <v>260</v>
      </c>
      <c r="N1144" s="19" t="s">
        <v>66</v>
      </c>
      <c r="O1144" s="19" t="s">
        <v>67</v>
      </c>
      <c r="P1144" s="19" t="s">
        <v>162</v>
      </c>
      <c r="Q1144" s="19"/>
      <c r="R1144" s="19" t="s">
        <v>76</v>
      </c>
      <c r="S1144" s="19" t="s">
        <v>534</v>
      </c>
      <c r="T1144" s="19" t="s">
        <v>44</v>
      </c>
      <c r="U1144" s="19" t="s">
        <v>44</v>
      </c>
      <c r="V1144" s="19" t="s">
        <v>94</v>
      </c>
      <c r="W1144" s="19" t="s">
        <v>231</v>
      </c>
      <c r="X1144" s="19" t="s">
        <v>46</v>
      </c>
      <c r="Y1144" s="29"/>
      <c r="Z1144" s="19"/>
      <c r="AA1144" s="19"/>
      <c r="AB1144" s="19" t="s">
        <v>697</v>
      </c>
      <c r="AC1144" s="19" t="s">
        <v>214</v>
      </c>
      <c r="AD1144" s="19"/>
      <c r="AE1144" s="124">
        <v>26.4862</v>
      </c>
      <c r="AF1144" s="19"/>
      <c r="AG1144" s="19" t="s">
        <v>235</v>
      </c>
      <c r="AH1144" s="19"/>
      <c r="AI1144" s="19"/>
      <c r="AJ1144" s="19">
        <v>7.3</v>
      </c>
      <c r="AK1144" s="19" t="s">
        <v>547</v>
      </c>
      <c r="AL1144" s="19"/>
      <c r="AM1144" s="19" t="s">
        <v>234</v>
      </c>
      <c r="AN1144" s="19" t="s">
        <v>824</v>
      </c>
      <c r="AO1144" s="19" t="s">
        <v>270</v>
      </c>
      <c r="AP1144" s="94">
        <v>2.5299999999999998</v>
      </c>
      <c r="AQ1144" s="19" t="s">
        <v>97</v>
      </c>
      <c r="AR1144" s="19" t="s">
        <v>241</v>
      </c>
      <c r="AS1144" s="19"/>
      <c r="AT1144" s="65" t="str">
        <f t="shared" si="330"/>
        <v>Y</v>
      </c>
      <c r="AU1144" s="65" t="str">
        <f t="shared" si="333"/>
        <v>Y</v>
      </c>
      <c r="AV1144" s="65" t="s">
        <v>162</v>
      </c>
      <c r="AW1144" s="99" t="s">
        <v>1406</v>
      </c>
      <c r="AX1144" s="99"/>
      <c r="AY1144" s="19"/>
      <c r="AZ1144" s="96" t="str">
        <f t="shared" si="334"/>
        <v>n</v>
      </c>
      <c r="BA1144" s="96" t="str">
        <f>IF(AZ1144="n","n",VLOOKUP(AZ1144,'Conversion factors'!$C$4:$D$24,2,FALSE))</f>
        <v>n</v>
      </c>
      <c r="BB1144" s="96" t="str">
        <f t="shared" si="335"/>
        <v>n</v>
      </c>
      <c r="BC1144" s="97"/>
      <c r="BD1144" s="96" t="str">
        <f t="shared" si="331"/>
        <v>n</v>
      </c>
      <c r="BE1144" s="96" t="str">
        <f t="shared" si="336"/>
        <v>n</v>
      </c>
      <c r="BF1144" s="98" t="str">
        <f t="shared" si="332"/>
        <v/>
      </c>
      <c r="BG1144" s="96" t="str">
        <f>IF(BF1144="","",IF(ISNUMBER(VLOOKUP(BF1144,'Conversion factors'!$B$35:$C$52,2,FALSE)),"y","n"))</f>
        <v/>
      </c>
      <c r="BH1144" s="99"/>
    </row>
    <row r="1145" spans="1:61" s="103" customFormat="1" ht="15.75" customHeight="1" x14ac:dyDescent="0.2">
      <c r="A1145" s="18"/>
      <c r="B1145" s="19">
        <v>254</v>
      </c>
      <c r="C1145" s="19"/>
      <c r="D1145" s="19">
        <v>84052</v>
      </c>
      <c r="E1145" s="19" t="s">
        <v>1224</v>
      </c>
      <c r="F1145" s="93">
        <v>2005</v>
      </c>
      <c r="G1145" s="19" t="s">
        <v>785</v>
      </c>
      <c r="H1145" s="19" t="s">
        <v>162</v>
      </c>
      <c r="I1145" s="19" t="s">
        <v>41</v>
      </c>
      <c r="J1145" s="19" t="s">
        <v>87</v>
      </c>
      <c r="K1145" s="19" t="s">
        <v>64</v>
      </c>
      <c r="L1145" s="99" t="s">
        <v>151</v>
      </c>
      <c r="M1145" s="19" t="s">
        <v>260</v>
      </c>
      <c r="N1145" s="19" t="s">
        <v>66</v>
      </c>
      <c r="O1145" s="19" t="s">
        <v>67</v>
      </c>
      <c r="P1145" s="19" t="s">
        <v>162</v>
      </c>
      <c r="Q1145" s="19"/>
      <c r="R1145" s="19" t="s">
        <v>76</v>
      </c>
      <c r="S1145" s="19" t="s">
        <v>534</v>
      </c>
      <c r="T1145" s="19" t="s">
        <v>44</v>
      </c>
      <c r="U1145" s="19" t="s">
        <v>44</v>
      </c>
      <c r="V1145" s="19" t="s">
        <v>94</v>
      </c>
      <c r="W1145" s="19" t="s">
        <v>231</v>
      </c>
      <c r="X1145" s="19" t="s">
        <v>46</v>
      </c>
      <c r="Y1145" s="29"/>
      <c r="Z1145" s="19"/>
      <c r="AA1145" s="19"/>
      <c r="AB1145" s="19" t="s">
        <v>831</v>
      </c>
      <c r="AC1145" s="19" t="s">
        <v>214</v>
      </c>
      <c r="AD1145" s="19"/>
      <c r="AE1145" s="124">
        <v>196.37960000000001</v>
      </c>
      <c r="AF1145" s="19"/>
      <c r="AG1145" s="19" t="s">
        <v>235</v>
      </c>
      <c r="AH1145" s="19"/>
      <c r="AI1145" s="19"/>
      <c r="AJ1145" s="19">
        <v>8.1999999999999993</v>
      </c>
      <c r="AK1145" s="19" t="s">
        <v>601</v>
      </c>
      <c r="AL1145" s="19"/>
      <c r="AM1145" s="19" t="s">
        <v>234</v>
      </c>
      <c r="AN1145" s="19" t="s">
        <v>744</v>
      </c>
      <c r="AO1145" s="19" t="s">
        <v>270</v>
      </c>
      <c r="AP1145" s="94">
        <v>2.2999999999999998</v>
      </c>
      <c r="AQ1145" s="19" t="s">
        <v>97</v>
      </c>
      <c r="AR1145" s="19" t="s">
        <v>241</v>
      </c>
      <c r="AS1145" s="19"/>
      <c r="AT1145" s="65" t="str">
        <f t="shared" si="330"/>
        <v>Y</v>
      </c>
      <c r="AU1145" s="65" t="str">
        <f t="shared" si="333"/>
        <v>Y</v>
      </c>
      <c r="AV1145" s="65" t="s">
        <v>162</v>
      </c>
      <c r="AW1145" s="99" t="s">
        <v>1405</v>
      </c>
      <c r="AX1145" s="99"/>
      <c r="AY1145" s="19"/>
      <c r="AZ1145" s="96" t="str">
        <f t="shared" si="334"/>
        <v>n</v>
      </c>
      <c r="BA1145" s="96" t="str">
        <f>IF(AZ1145="n","n",VLOOKUP(AZ1145,'Conversion factors'!$C$4:$D$24,2,FALSE))</f>
        <v>n</v>
      </c>
      <c r="BB1145" s="96" t="str">
        <f t="shared" si="335"/>
        <v>n</v>
      </c>
      <c r="BC1145" s="97"/>
      <c r="BD1145" s="96" t="str">
        <f t="shared" si="331"/>
        <v>n</v>
      </c>
      <c r="BE1145" s="96" t="str">
        <f t="shared" si="336"/>
        <v>n</v>
      </c>
      <c r="BF1145" s="98" t="str">
        <f t="shared" si="332"/>
        <v/>
      </c>
      <c r="BG1145" s="96" t="str">
        <f>IF(BF1145="","",IF(ISNUMBER(VLOOKUP(BF1145,'Conversion factors'!$B$35:$C$52,2,FALSE)),"y","n"))</f>
        <v/>
      </c>
      <c r="BH1145" s="99"/>
    </row>
    <row r="1146" spans="1:61" s="103" customFormat="1" ht="15.75" customHeight="1" x14ac:dyDescent="0.2">
      <c r="A1146" s="18"/>
      <c r="B1146" s="19">
        <v>254</v>
      </c>
      <c r="C1146" s="19"/>
      <c r="D1146" s="19">
        <v>84052</v>
      </c>
      <c r="E1146" s="19" t="s">
        <v>1224</v>
      </c>
      <c r="F1146" s="93">
        <v>2005</v>
      </c>
      <c r="G1146" s="19" t="s">
        <v>785</v>
      </c>
      <c r="H1146" s="19" t="s">
        <v>162</v>
      </c>
      <c r="I1146" s="19" t="s">
        <v>41</v>
      </c>
      <c r="J1146" s="19" t="s">
        <v>87</v>
      </c>
      <c r="K1146" s="19" t="s">
        <v>64</v>
      </c>
      <c r="L1146" s="99" t="s">
        <v>151</v>
      </c>
      <c r="M1146" s="19" t="s">
        <v>260</v>
      </c>
      <c r="N1146" s="19" t="s">
        <v>66</v>
      </c>
      <c r="O1146" s="19" t="s">
        <v>67</v>
      </c>
      <c r="P1146" s="19" t="s">
        <v>162</v>
      </c>
      <c r="Q1146" s="19"/>
      <c r="R1146" s="19" t="s">
        <v>76</v>
      </c>
      <c r="S1146" s="19" t="s">
        <v>534</v>
      </c>
      <c r="T1146" s="19" t="s">
        <v>54</v>
      </c>
      <c r="U1146" s="19" t="s">
        <v>54</v>
      </c>
      <c r="V1146" s="19" t="s">
        <v>94</v>
      </c>
      <c r="W1146" s="19" t="s">
        <v>231</v>
      </c>
      <c r="X1146" s="19" t="s">
        <v>46</v>
      </c>
      <c r="Y1146" s="29"/>
      <c r="Z1146" s="19"/>
      <c r="AA1146" s="19"/>
      <c r="AB1146" s="19" t="s">
        <v>832</v>
      </c>
      <c r="AC1146" s="19" t="s">
        <v>214</v>
      </c>
      <c r="AD1146" s="19"/>
      <c r="AE1146" s="124">
        <v>250.499</v>
      </c>
      <c r="AF1146" s="19"/>
      <c r="AG1146" s="19" t="s">
        <v>235</v>
      </c>
      <c r="AH1146" s="19"/>
      <c r="AI1146" s="19"/>
      <c r="AJ1146" s="19">
        <v>7.2</v>
      </c>
      <c r="AK1146" s="19" t="s">
        <v>584</v>
      </c>
      <c r="AL1146" s="19"/>
      <c r="AM1146" s="19"/>
      <c r="AN1146" s="19" t="s">
        <v>827</v>
      </c>
      <c r="AO1146" s="19" t="s">
        <v>270</v>
      </c>
      <c r="AP1146" s="94">
        <v>0.3</v>
      </c>
      <c r="AQ1146" s="19" t="s">
        <v>97</v>
      </c>
      <c r="AR1146" s="19" t="s">
        <v>241</v>
      </c>
      <c r="AS1146" s="19"/>
      <c r="AT1146" s="65" t="str">
        <f t="shared" si="330"/>
        <v>Y</v>
      </c>
      <c r="AU1146" s="65" t="str">
        <f t="shared" si="333"/>
        <v>Y</v>
      </c>
      <c r="AV1146" s="65" t="str">
        <f>AU1146</f>
        <v>Y</v>
      </c>
      <c r="AW1146" s="99"/>
      <c r="AX1146" s="99" t="s">
        <v>1644</v>
      </c>
      <c r="AY1146" s="19"/>
      <c r="AZ1146" s="96" t="str">
        <f t="shared" si="334"/>
        <v>NOEC</v>
      </c>
      <c r="BA1146" s="96">
        <f>IF(AZ1146="n","n",VLOOKUP(AZ1146,'Conversion factors'!$C$4:$D$24,2,FALSE))</f>
        <v>1</v>
      </c>
      <c r="BB1146" s="96">
        <f t="shared" si="335"/>
        <v>155</v>
      </c>
      <c r="BC1146" s="97"/>
      <c r="BD1146" s="96" t="str">
        <f t="shared" si="331"/>
        <v>Chronic</v>
      </c>
      <c r="BE1146" s="96" t="str">
        <f t="shared" si="336"/>
        <v>y</v>
      </c>
      <c r="BF1146" s="98" t="str">
        <f t="shared" si="332"/>
        <v>NOEC</v>
      </c>
      <c r="BG1146" s="96" t="str">
        <f>IF(BF1146="","",IF(ISNUMBER(VLOOKUP(BF1146,'Conversion factors'!$B$35:$C$52,2,FALSE)),"y","n"))</f>
        <v>y</v>
      </c>
      <c r="BH1146" s="99" t="s">
        <v>1474</v>
      </c>
      <c r="BI1146" s="19" t="s">
        <v>1644</v>
      </c>
    </row>
    <row r="1147" spans="1:61" s="103" customFormat="1" ht="15.75" customHeight="1" x14ac:dyDescent="0.2">
      <c r="A1147" s="18"/>
      <c r="B1147" s="19">
        <v>254</v>
      </c>
      <c r="C1147" s="19"/>
      <c r="D1147" s="19">
        <v>84052</v>
      </c>
      <c r="E1147" s="19" t="s">
        <v>1224</v>
      </c>
      <c r="F1147" s="93">
        <v>2005</v>
      </c>
      <c r="G1147" s="19" t="s">
        <v>785</v>
      </c>
      <c r="H1147" s="19" t="s">
        <v>162</v>
      </c>
      <c r="I1147" s="19" t="s">
        <v>41</v>
      </c>
      <c r="J1147" s="19" t="s">
        <v>87</v>
      </c>
      <c r="K1147" s="19" t="s">
        <v>64</v>
      </c>
      <c r="L1147" s="99" t="s">
        <v>151</v>
      </c>
      <c r="M1147" s="19" t="s">
        <v>260</v>
      </c>
      <c r="N1147" s="19" t="s">
        <v>66</v>
      </c>
      <c r="O1147" s="19" t="s">
        <v>67</v>
      </c>
      <c r="P1147" s="19" t="s">
        <v>162</v>
      </c>
      <c r="Q1147" s="19"/>
      <c r="R1147" s="19" t="s">
        <v>76</v>
      </c>
      <c r="S1147" s="19" t="s">
        <v>534</v>
      </c>
      <c r="T1147" s="19" t="s">
        <v>54</v>
      </c>
      <c r="U1147" s="19" t="s">
        <v>54</v>
      </c>
      <c r="V1147" s="19" t="s">
        <v>94</v>
      </c>
      <c r="W1147" s="19" t="s">
        <v>231</v>
      </c>
      <c r="X1147" s="19" t="s">
        <v>46</v>
      </c>
      <c r="Y1147" s="29"/>
      <c r="Z1147" s="19"/>
      <c r="AA1147" s="19"/>
      <c r="AB1147" s="19" t="s">
        <v>833</v>
      </c>
      <c r="AC1147" s="19" t="s">
        <v>214</v>
      </c>
      <c r="AD1147" s="19"/>
      <c r="AE1147" s="124">
        <v>13.768699999999999</v>
      </c>
      <c r="AF1147" s="19"/>
      <c r="AG1147" s="19" t="s">
        <v>235</v>
      </c>
      <c r="AH1147" s="19"/>
      <c r="AI1147" s="19"/>
      <c r="AJ1147" s="19">
        <v>6</v>
      </c>
      <c r="AK1147" s="19" t="s">
        <v>424</v>
      </c>
      <c r="AL1147" s="19"/>
      <c r="AM1147" s="19" t="s">
        <v>234</v>
      </c>
      <c r="AN1147" s="19" t="s">
        <v>148</v>
      </c>
      <c r="AO1147" s="19" t="s">
        <v>270</v>
      </c>
      <c r="AP1147" s="94">
        <v>5.37</v>
      </c>
      <c r="AQ1147" s="19" t="s">
        <v>97</v>
      </c>
      <c r="AR1147" s="19" t="s">
        <v>241</v>
      </c>
      <c r="AS1147" s="19"/>
      <c r="AT1147" s="65" t="str">
        <f t="shared" si="330"/>
        <v>Y</v>
      </c>
      <c r="AU1147" s="65" t="str">
        <f t="shared" si="333"/>
        <v>Y</v>
      </c>
      <c r="AV1147" s="65" t="s">
        <v>162</v>
      </c>
      <c r="AW1147" s="99" t="s">
        <v>1405</v>
      </c>
      <c r="AX1147" s="99"/>
      <c r="AY1147" s="19"/>
      <c r="AZ1147" s="96" t="str">
        <f t="shared" si="334"/>
        <v>n</v>
      </c>
      <c r="BA1147" s="96" t="str">
        <f>IF(AZ1147="n","n",VLOOKUP(AZ1147,'Conversion factors'!$C$4:$D$24,2,FALSE))</f>
        <v>n</v>
      </c>
      <c r="BB1147" s="96" t="str">
        <f t="shared" si="335"/>
        <v>n</v>
      </c>
      <c r="BC1147" s="97"/>
      <c r="BD1147" s="96" t="str">
        <f t="shared" si="331"/>
        <v>n</v>
      </c>
      <c r="BE1147" s="96" t="str">
        <f t="shared" si="336"/>
        <v>n</v>
      </c>
      <c r="BF1147" s="98" t="str">
        <f t="shared" si="332"/>
        <v/>
      </c>
      <c r="BG1147" s="96" t="str">
        <f>IF(BF1147="","",IF(ISNUMBER(VLOOKUP(BF1147,'Conversion factors'!$B$35:$C$52,2,FALSE)),"y","n"))</f>
        <v/>
      </c>
      <c r="BH1147" s="99" t="s">
        <v>1474</v>
      </c>
    </row>
    <row r="1148" spans="1:61" s="103" customFormat="1" ht="15.75" customHeight="1" x14ac:dyDescent="0.2">
      <c r="A1148" s="18"/>
      <c r="B1148" s="19">
        <v>254</v>
      </c>
      <c r="C1148" s="19"/>
      <c r="D1148" s="19">
        <v>84052</v>
      </c>
      <c r="E1148" s="19" t="s">
        <v>1224</v>
      </c>
      <c r="F1148" s="93">
        <v>2005</v>
      </c>
      <c r="G1148" s="19" t="s">
        <v>785</v>
      </c>
      <c r="H1148" s="19" t="s">
        <v>162</v>
      </c>
      <c r="I1148" s="19" t="s">
        <v>41</v>
      </c>
      <c r="J1148" s="19" t="s">
        <v>87</v>
      </c>
      <c r="K1148" s="19" t="s">
        <v>64</v>
      </c>
      <c r="L1148" s="99" t="s">
        <v>151</v>
      </c>
      <c r="M1148" s="19" t="s">
        <v>260</v>
      </c>
      <c r="N1148" s="19" t="s">
        <v>66</v>
      </c>
      <c r="O1148" s="19" t="s">
        <v>67</v>
      </c>
      <c r="P1148" s="19" t="s">
        <v>162</v>
      </c>
      <c r="Q1148" s="19"/>
      <c r="R1148" s="19" t="s">
        <v>76</v>
      </c>
      <c r="S1148" s="19" t="s">
        <v>534</v>
      </c>
      <c r="T1148" s="19" t="s">
        <v>54</v>
      </c>
      <c r="U1148" s="19" t="s">
        <v>54</v>
      </c>
      <c r="V1148" s="19" t="s">
        <v>94</v>
      </c>
      <c r="W1148" s="19" t="s">
        <v>231</v>
      </c>
      <c r="X1148" s="19" t="s">
        <v>46</v>
      </c>
      <c r="Y1148" s="29"/>
      <c r="Z1148" s="19"/>
      <c r="AA1148" s="19"/>
      <c r="AB1148" s="19" t="s">
        <v>834</v>
      </c>
      <c r="AC1148" s="19" t="s">
        <v>214</v>
      </c>
      <c r="AD1148" s="19"/>
      <c r="AE1148" s="124">
        <v>196.37960000000001</v>
      </c>
      <c r="AF1148" s="19"/>
      <c r="AG1148" s="19" t="s">
        <v>235</v>
      </c>
      <c r="AH1148" s="19"/>
      <c r="AI1148" s="19"/>
      <c r="AJ1148" s="19">
        <v>8.1999999999999993</v>
      </c>
      <c r="AK1148" s="19" t="s">
        <v>601</v>
      </c>
      <c r="AL1148" s="19"/>
      <c r="AM1148" s="19" t="s">
        <v>234</v>
      </c>
      <c r="AN1148" s="19" t="s">
        <v>744</v>
      </c>
      <c r="AO1148" s="19" t="s">
        <v>270</v>
      </c>
      <c r="AP1148" s="94">
        <v>2.2999999999999998</v>
      </c>
      <c r="AQ1148" s="19" t="s">
        <v>97</v>
      </c>
      <c r="AR1148" s="19" t="s">
        <v>241</v>
      </c>
      <c r="AS1148" s="19"/>
      <c r="AT1148" s="65" t="str">
        <f t="shared" si="330"/>
        <v>Y</v>
      </c>
      <c r="AU1148" s="65" t="str">
        <f t="shared" si="333"/>
        <v>Y</v>
      </c>
      <c r="AV1148" s="65" t="s">
        <v>162</v>
      </c>
      <c r="AW1148" s="99" t="s">
        <v>1405</v>
      </c>
      <c r="AX1148" s="99"/>
      <c r="AY1148" s="19"/>
      <c r="AZ1148" s="96" t="str">
        <f t="shared" si="334"/>
        <v>n</v>
      </c>
      <c r="BA1148" s="96" t="str">
        <f>IF(AZ1148="n","n",VLOOKUP(AZ1148,'Conversion factors'!$C$4:$D$24,2,FALSE))</f>
        <v>n</v>
      </c>
      <c r="BB1148" s="96" t="str">
        <f t="shared" si="335"/>
        <v>n</v>
      </c>
      <c r="BC1148" s="97"/>
      <c r="BD1148" s="96" t="str">
        <f t="shared" si="331"/>
        <v>n</v>
      </c>
      <c r="BE1148" s="96" t="str">
        <f t="shared" si="336"/>
        <v>n</v>
      </c>
      <c r="BF1148" s="98" t="str">
        <f t="shared" si="332"/>
        <v/>
      </c>
      <c r="BG1148" s="96" t="str">
        <f>IF(BF1148="","",IF(ISNUMBER(VLOOKUP(BF1148,'Conversion factors'!$B$35:$C$52,2,FALSE)),"y","n"))</f>
        <v/>
      </c>
      <c r="BH1148" s="99" t="s">
        <v>1474</v>
      </c>
    </row>
    <row r="1149" spans="1:61" s="103" customFormat="1" ht="15.75" customHeight="1" x14ac:dyDescent="0.2">
      <c r="A1149" s="18"/>
      <c r="B1149" s="19">
        <v>254</v>
      </c>
      <c r="C1149" s="19"/>
      <c r="D1149" s="19">
        <v>84052</v>
      </c>
      <c r="E1149" s="19" t="s">
        <v>1224</v>
      </c>
      <c r="F1149" s="93">
        <v>2005</v>
      </c>
      <c r="G1149" s="19" t="s">
        <v>785</v>
      </c>
      <c r="H1149" s="19" t="s">
        <v>162</v>
      </c>
      <c r="I1149" s="19" t="s">
        <v>41</v>
      </c>
      <c r="J1149" s="19" t="s">
        <v>87</v>
      </c>
      <c r="K1149" s="19" t="s">
        <v>64</v>
      </c>
      <c r="L1149" s="99" t="s">
        <v>151</v>
      </c>
      <c r="M1149" s="19" t="s">
        <v>260</v>
      </c>
      <c r="N1149" s="19" t="s">
        <v>66</v>
      </c>
      <c r="O1149" s="19" t="s">
        <v>67</v>
      </c>
      <c r="P1149" s="19" t="s">
        <v>162</v>
      </c>
      <c r="Q1149" s="19"/>
      <c r="R1149" s="19" t="s">
        <v>76</v>
      </c>
      <c r="S1149" s="19" t="s">
        <v>534</v>
      </c>
      <c r="T1149" s="19" t="s">
        <v>54</v>
      </c>
      <c r="U1149" s="19" t="s">
        <v>54</v>
      </c>
      <c r="V1149" s="19" t="s">
        <v>94</v>
      </c>
      <c r="W1149" s="19" t="s">
        <v>231</v>
      </c>
      <c r="X1149" s="19" t="s">
        <v>46</v>
      </c>
      <c r="Y1149" s="29"/>
      <c r="Z1149" s="19"/>
      <c r="AA1149" s="19"/>
      <c r="AB1149" s="19" t="s">
        <v>835</v>
      </c>
      <c r="AC1149" s="19" t="s">
        <v>214</v>
      </c>
      <c r="AD1149" s="19"/>
      <c r="AE1149" s="124">
        <v>122.40209999999999</v>
      </c>
      <c r="AF1149" s="19"/>
      <c r="AG1149" s="19" t="s">
        <v>235</v>
      </c>
      <c r="AH1149" s="19"/>
      <c r="AI1149" s="19"/>
      <c r="AJ1149" s="19">
        <v>6.8</v>
      </c>
      <c r="AK1149" s="19" t="s">
        <v>543</v>
      </c>
      <c r="AL1149" s="19"/>
      <c r="AM1149" s="19" t="s">
        <v>234</v>
      </c>
      <c r="AN1149" s="19" t="s">
        <v>820</v>
      </c>
      <c r="AO1149" s="19" t="s">
        <v>270</v>
      </c>
      <c r="AP1149" s="94">
        <v>17.3</v>
      </c>
      <c r="AQ1149" s="19" t="s">
        <v>97</v>
      </c>
      <c r="AR1149" s="19" t="s">
        <v>241</v>
      </c>
      <c r="AS1149" s="19"/>
      <c r="AT1149" s="65" t="str">
        <f t="shared" si="330"/>
        <v>Y</v>
      </c>
      <c r="AU1149" s="65" t="str">
        <f t="shared" si="333"/>
        <v>Y</v>
      </c>
      <c r="AV1149" s="65" t="s">
        <v>162</v>
      </c>
      <c r="AW1149" s="99" t="s">
        <v>1406</v>
      </c>
      <c r="AX1149" s="99"/>
      <c r="AY1149" s="19"/>
      <c r="AZ1149" s="96" t="str">
        <f t="shared" si="334"/>
        <v>n</v>
      </c>
      <c r="BA1149" s="96" t="str">
        <f>IF(AZ1149="n","n",VLOOKUP(AZ1149,'Conversion factors'!$C$4:$D$24,2,FALSE))</f>
        <v>n</v>
      </c>
      <c r="BB1149" s="96" t="str">
        <f t="shared" si="335"/>
        <v>n</v>
      </c>
      <c r="BC1149" s="97"/>
      <c r="BD1149" s="96" t="str">
        <f t="shared" si="331"/>
        <v>n</v>
      </c>
      <c r="BE1149" s="96" t="str">
        <f t="shared" si="336"/>
        <v>n</v>
      </c>
      <c r="BF1149" s="98" t="str">
        <f t="shared" si="332"/>
        <v/>
      </c>
      <c r="BG1149" s="96" t="str">
        <f>IF(BF1149="","",IF(ISNUMBER(VLOOKUP(BF1149,'Conversion factors'!$B$35:$C$52,2,FALSE)),"y","n"))</f>
        <v/>
      </c>
      <c r="BH1149" s="99" t="s">
        <v>1474</v>
      </c>
    </row>
    <row r="1150" spans="1:61" s="103" customFormat="1" ht="15.75" customHeight="1" x14ac:dyDescent="0.2">
      <c r="A1150" s="18"/>
      <c r="B1150" s="19">
        <v>254</v>
      </c>
      <c r="C1150" s="19"/>
      <c r="D1150" s="19">
        <v>84052</v>
      </c>
      <c r="E1150" s="19" t="s">
        <v>1224</v>
      </c>
      <c r="F1150" s="93">
        <v>2005</v>
      </c>
      <c r="G1150" s="19" t="s">
        <v>785</v>
      </c>
      <c r="H1150" s="19" t="s">
        <v>162</v>
      </c>
      <c r="I1150" s="19" t="s">
        <v>41</v>
      </c>
      <c r="J1150" s="19" t="s">
        <v>87</v>
      </c>
      <c r="K1150" s="19" t="s">
        <v>64</v>
      </c>
      <c r="L1150" s="99" t="s">
        <v>151</v>
      </c>
      <c r="M1150" s="19" t="s">
        <v>260</v>
      </c>
      <c r="N1150" s="19" t="s">
        <v>66</v>
      </c>
      <c r="O1150" s="19" t="s">
        <v>67</v>
      </c>
      <c r="P1150" s="19" t="s">
        <v>162</v>
      </c>
      <c r="Q1150" s="19"/>
      <c r="R1150" s="19" t="s">
        <v>76</v>
      </c>
      <c r="S1150" s="19" t="s">
        <v>534</v>
      </c>
      <c r="T1150" s="19" t="s">
        <v>54</v>
      </c>
      <c r="U1150" s="19" t="s">
        <v>54</v>
      </c>
      <c r="V1150" s="19" t="s">
        <v>94</v>
      </c>
      <c r="W1150" s="19" t="s">
        <v>231</v>
      </c>
      <c r="X1150" s="19" t="s">
        <v>46</v>
      </c>
      <c r="Y1150" s="29"/>
      <c r="Z1150" s="19"/>
      <c r="AA1150" s="19"/>
      <c r="AB1150" s="19" t="s">
        <v>836</v>
      </c>
      <c r="AC1150" s="19" t="s">
        <v>214</v>
      </c>
      <c r="AD1150" s="19"/>
      <c r="AE1150" s="124">
        <v>183.01369999999997</v>
      </c>
      <c r="AF1150" s="19"/>
      <c r="AG1150" s="19" t="s">
        <v>235</v>
      </c>
      <c r="AH1150" s="19"/>
      <c r="AI1150" s="19"/>
      <c r="AJ1150" s="19">
        <v>8</v>
      </c>
      <c r="AK1150" s="19" t="s">
        <v>605</v>
      </c>
      <c r="AL1150" s="19"/>
      <c r="AM1150" s="19" t="s">
        <v>234</v>
      </c>
      <c r="AN1150" s="19" t="s">
        <v>782</v>
      </c>
      <c r="AO1150" s="19" t="s">
        <v>270</v>
      </c>
      <c r="AP1150" s="94">
        <v>9.8699999999999992</v>
      </c>
      <c r="AQ1150" s="19" t="s">
        <v>97</v>
      </c>
      <c r="AR1150" s="19" t="s">
        <v>241</v>
      </c>
      <c r="AS1150" s="19"/>
      <c r="AT1150" s="65" t="str">
        <f t="shared" si="330"/>
        <v>Y</v>
      </c>
      <c r="AU1150" s="65" t="str">
        <f t="shared" si="333"/>
        <v>Y</v>
      </c>
      <c r="AV1150" s="65" t="s">
        <v>162</v>
      </c>
      <c r="AW1150" s="99" t="s">
        <v>1406</v>
      </c>
      <c r="AX1150" s="99"/>
      <c r="AY1150" s="19"/>
      <c r="AZ1150" s="96" t="str">
        <f t="shared" si="334"/>
        <v>n</v>
      </c>
      <c r="BA1150" s="96" t="str">
        <f>IF(AZ1150="n","n",VLOOKUP(AZ1150,'Conversion factors'!$C$4:$D$24,2,FALSE))</f>
        <v>n</v>
      </c>
      <c r="BB1150" s="96" t="str">
        <f t="shared" si="335"/>
        <v>n</v>
      </c>
      <c r="BC1150" s="97"/>
      <c r="BD1150" s="96" t="str">
        <f t="shared" si="331"/>
        <v>n</v>
      </c>
      <c r="BE1150" s="96" t="str">
        <f t="shared" si="336"/>
        <v>n</v>
      </c>
      <c r="BF1150" s="98" t="str">
        <f t="shared" si="332"/>
        <v/>
      </c>
      <c r="BG1150" s="96" t="str">
        <f>IF(BF1150="","",IF(ISNUMBER(VLOOKUP(BF1150,'Conversion factors'!$B$35:$C$52,2,FALSE)),"y","n"))</f>
        <v/>
      </c>
      <c r="BH1150" s="99" t="s">
        <v>1474</v>
      </c>
    </row>
    <row r="1151" spans="1:61" s="103" customFormat="1" ht="15.75" customHeight="1" x14ac:dyDescent="0.2">
      <c r="A1151" s="18"/>
      <c r="B1151" s="19">
        <v>254</v>
      </c>
      <c r="C1151" s="19"/>
      <c r="D1151" s="19">
        <v>84052</v>
      </c>
      <c r="E1151" s="19" t="s">
        <v>1224</v>
      </c>
      <c r="F1151" s="93">
        <v>2005</v>
      </c>
      <c r="G1151" s="19" t="s">
        <v>785</v>
      </c>
      <c r="H1151" s="19" t="s">
        <v>162</v>
      </c>
      <c r="I1151" s="19" t="s">
        <v>41</v>
      </c>
      <c r="J1151" s="19" t="s">
        <v>87</v>
      </c>
      <c r="K1151" s="19" t="s">
        <v>64</v>
      </c>
      <c r="L1151" s="99" t="s">
        <v>151</v>
      </c>
      <c r="M1151" s="19" t="s">
        <v>260</v>
      </c>
      <c r="N1151" s="19" t="s">
        <v>66</v>
      </c>
      <c r="O1151" s="19" t="s">
        <v>67</v>
      </c>
      <c r="P1151" s="19" t="s">
        <v>162</v>
      </c>
      <c r="Q1151" s="19"/>
      <c r="R1151" s="19" t="s">
        <v>76</v>
      </c>
      <c r="S1151" s="19" t="s">
        <v>534</v>
      </c>
      <c r="T1151" s="19" t="s">
        <v>54</v>
      </c>
      <c r="U1151" s="19" t="s">
        <v>54</v>
      </c>
      <c r="V1151" s="19" t="s">
        <v>94</v>
      </c>
      <c r="W1151" s="19" t="s">
        <v>231</v>
      </c>
      <c r="X1151" s="19" t="s">
        <v>46</v>
      </c>
      <c r="Y1151" s="29"/>
      <c r="Z1151" s="19"/>
      <c r="AA1151" s="19"/>
      <c r="AB1151" s="19" t="s">
        <v>837</v>
      </c>
      <c r="AC1151" s="19" t="s">
        <v>214</v>
      </c>
      <c r="AD1151" s="19"/>
      <c r="AE1151" s="124">
        <v>26.4862</v>
      </c>
      <c r="AF1151" s="19"/>
      <c r="AG1151" s="19" t="s">
        <v>235</v>
      </c>
      <c r="AH1151" s="19"/>
      <c r="AI1151" s="19"/>
      <c r="AJ1151" s="19">
        <v>7.3</v>
      </c>
      <c r="AK1151" s="19" t="s">
        <v>547</v>
      </c>
      <c r="AL1151" s="19"/>
      <c r="AM1151" s="19" t="s">
        <v>234</v>
      </c>
      <c r="AN1151" s="19" t="s">
        <v>824</v>
      </c>
      <c r="AO1151" s="19" t="s">
        <v>270</v>
      </c>
      <c r="AP1151" s="94">
        <v>2.5299999999999998</v>
      </c>
      <c r="AQ1151" s="19" t="s">
        <v>97</v>
      </c>
      <c r="AR1151" s="19" t="s">
        <v>241</v>
      </c>
      <c r="AS1151" s="19"/>
      <c r="AT1151" s="65" t="str">
        <f t="shared" si="330"/>
        <v>Y</v>
      </c>
      <c r="AU1151" s="65" t="str">
        <f t="shared" si="333"/>
        <v>Y</v>
      </c>
      <c r="AV1151" s="65" t="s">
        <v>162</v>
      </c>
      <c r="AW1151" s="99" t="s">
        <v>1406</v>
      </c>
      <c r="AX1151" s="99"/>
      <c r="AY1151" s="19"/>
      <c r="AZ1151" s="96" t="str">
        <f t="shared" si="334"/>
        <v>n</v>
      </c>
      <c r="BA1151" s="96" t="str">
        <f>IF(AZ1151="n","n",VLOOKUP(AZ1151,'Conversion factors'!$C$4:$D$24,2,FALSE))</f>
        <v>n</v>
      </c>
      <c r="BB1151" s="96" t="str">
        <f t="shared" si="335"/>
        <v>n</v>
      </c>
      <c r="BC1151" s="97"/>
      <c r="BD1151" s="96" t="str">
        <f t="shared" si="331"/>
        <v>n</v>
      </c>
      <c r="BE1151" s="96" t="str">
        <f t="shared" si="336"/>
        <v>n</v>
      </c>
      <c r="BF1151" s="98" t="str">
        <f t="shared" si="332"/>
        <v/>
      </c>
      <c r="BG1151" s="96" t="str">
        <f>IF(BF1151="","",IF(ISNUMBER(VLOOKUP(BF1151,'Conversion factors'!$B$35:$C$52,2,FALSE)),"y","n"))</f>
        <v/>
      </c>
      <c r="BH1151" s="99" t="s">
        <v>1474</v>
      </c>
    </row>
    <row r="1152" spans="1:61" s="103" customFormat="1" ht="15.75" customHeight="1" x14ac:dyDescent="0.2">
      <c r="A1152" s="18"/>
      <c r="B1152" s="19">
        <v>254</v>
      </c>
      <c r="C1152" s="19"/>
      <c r="D1152" s="19">
        <v>84052</v>
      </c>
      <c r="E1152" s="19" t="s">
        <v>1224</v>
      </c>
      <c r="F1152" s="93">
        <v>2005</v>
      </c>
      <c r="G1152" s="19" t="s">
        <v>785</v>
      </c>
      <c r="H1152" s="19" t="s">
        <v>162</v>
      </c>
      <c r="I1152" s="19" t="s">
        <v>41</v>
      </c>
      <c r="J1152" s="19" t="s">
        <v>87</v>
      </c>
      <c r="K1152" s="19" t="s">
        <v>64</v>
      </c>
      <c r="L1152" s="99" t="s">
        <v>151</v>
      </c>
      <c r="M1152" s="19" t="s">
        <v>260</v>
      </c>
      <c r="N1152" s="19" t="s">
        <v>66</v>
      </c>
      <c r="O1152" s="19" t="s">
        <v>67</v>
      </c>
      <c r="P1152" s="19" t="s">
        <v>162</v>
      </c>
      <c r="Q1152" s="19"/>
      <c r="R1152" s="19" t="s">
        <v>76</v>
      </c>
      <c r="S1152" s="19" t="s">
        <v>534</v>
      </c>
      <c r="T1152" s="19" t="s">
        <v>54</v>
      </c>
      <c r="U1152" s="19" t="s">
        <v>54</v>
      </c>
      <c r="V1152" s="19" t="s">
        <v>94</v>
      </c>
      <c r="W1152" s="19" t="s">
        <v>231</v>
      </c>
      <c r="X1152" s="19" t="s">
        <v>46</v>
      </c>
      <c r="Y1152" s="29"/>
      <c r="Z1152" s="19"/>
      <c r="AA1152" s="19"/>
      <c r="AB1152" s="19" t="s">
        <v>838</v>
      </c>
      <c r="AC1152" s="19" t="s">
        <v>214</v>
      </c>
      <c r="AD1152" s="19"/>
      <c r="AE1152" s="124">
        <v>189.2439</v>
      </c>
      <c r="AF1152" s="19"/>
      <c r="AG1152" s="19" t="s">
        <v>235</v>
      </c>
      <c r="AH1152" s="19"/>
      <c r="AI1152" s="19"/>
      <c r="AJ1152" s="19">
        <v>8</v>
      </c>
      <c r="AK1152" s="19" t="s">
        <v>605</v>
      </c>
      <c r="AL1152" s="19"/>
      <c r="AM1152" s="19" t="s">
        <v>234</v>
      </c>
      <c r="AN1152" s="19" t="s">
        <v>822</v>
      </c>
      <c r="AO1152" s="19" t="s">
        <v>270</v>
      </c>
      <c r="AP1152" s="94">
        <v>7.49</v>
      </c>
      <c r="AQ1152" s="19" t="s">
        <v>97</v>
      </c>
      <c r="AR1152" s="19" t="s">
        <v>241</v>
      </c>
      <c r="AS1152" s="19"/>
      <c r="AT1152" s="65" t="str">
        <f t="shared" si="330"/>
        <v>Y</v>
      </c>
      <c r="AU1152" s="65" t="str">
        <f t="shared" si="333"/>
        <v>Y</v>
      </c>
      <c r="AV1152" s="65" t="s">
        <v>162</v>
      </c>
      <c r="AW1152" s="99" t="s">
        <v>1406</v>
      </c>
      <c r="AX1152" s="99"/>
      <c r="AY1152" s="19"/>
      <c r="AZ1152" s="96" t="str">
        <f t="shared" si="334"/>
        <v>n</v>
      </c>
      <c r="BA1152" s="96" t="str">
        <f>IF(AZ1152="n","n",VLOOKUP(AZ1152,'Conversion factors'!$C$4:$D$24,2,FALSE))</f>
        <v>n</v>
      </c>
      <c r="BB1152" s="96" t="str">
        <f t="shared" si="335"/>
        <v>n</v>
      </c>
      <c r="BC1152" s="97"/>
      <c r="BD1152" s="96" t="str">
        <f t="shared" si="331"/>
        <v>n</v>
      </c>
      <c r="BE1152" s="96" t="str">
        <f t="shared" si="336"/>
        <v>n</v>
      </c>
      <c r="BF1152" s="98" t="str">
        <f t="shared" si="332"/>
        <v/>
      </c>
      <c r="BG1152" s="96" t="str">
        <f>IF(BF1152="","",IF(ISNUMBER(VLOOKUP(BF1152,'Conversion factors'!$B$35:$C$52,2,FALSE)),"y","n"))</f>
        <v/>
      </c>
      <c r="BH1152" s="99" t="s">
        <v>1474</v>
      </c>
    </row>
    <row r="1153" spans="1:60" s="103" customFormat="1" ht="15.75" customHeight="1" x14ac:dyDescent="0.2">
      <c r="A1153" s="18"/>
      <c r="B1153" s="19">
        <v>254</v>
      </c>
      <c r="C1153" s="19"/>
      <c r="D1153" s="19">
        <v>84052</v>
      </c>
      <c r="E1153" s="19" t="s">
        <v>1224</v>
      </c>
      <c r="F1153" s="93">
        <v>2005</v>
      </c>
      <c r="G1153" s="19" t="s">
        <v>785</v>
      </c>
      <c r="H1153" s="19" t="s">
        <v>162</v>
      </c>
      <c r="I1153" s="19" t="s">
        <v>41</v>
      </c>
      <c r="J1153" s="19" t="s">
        <v>87</v>
      </c>
      <c r="K1153" s="19" t="s">
        <v>64</v>
      </c>
      <c r="L1153" s="99" t="s">
        <v>151</v>
      </c>
      <c r="M1153" s="19" t="s">
        <v>260</v>
      </c>
      <c r="N1153" s="19" t="s">
        <v>66</v>
      </c>
      <c r="O1153" s="19" t="s">
        <v>67</v>
      </c>
      <c r="P1153" s="19" t="s">
        <v>162</v>
      </c>
      <c r="Q1153" s="19"/>
      <c r="R1153" s="19" t="s">
        <v>76</v>
      </c>
      <c r="S1153" s="19" t="s">
        <v>534</v>
      </c>
      <c r="T1153" s="19" t="s">
        <v>54</v>
      </c>
      <c r="U1153" s="19" t="s">
        <v>54</v>
      </c>
      <c r="V1153" s="19" t="s">
        <v>94</v>
      </c>
      <c r="W1153" s="19" t="s">
        <v>231</v>
      </c>
      <c r="X1153" s="19" t="s">
        <v>46</v>
      </c>
      <c r="Y1153" s="29"/>
      <c r="Z1153" s="19"/>
      <c r="AA1153" s="19"/>
      <c r="AB1153" s="19" t="s">
        <v>839</v>
      </c>
      <c r="AC1153" s="19" t="s">
        <v>214</v>
      </c>
      <c r="AD1153" s="19"/>
      <c r="AE1153" s="124">
        <v>121.87649999999999</v>
      </c>
      <c r="AF1153" s="19"/>
      <c r="AG1153" s="19" t="s">
        <v>235</v>
      </c>
      <c r="AH1153" s="19"/>
      <c r="AI1153" s="19"/>
      <c r="AJ1153" s="19">
        <v>8.4</v>
      </c>
      <c r="AK1153" s="19" t="s">
        <v>233</v>
      </c>
      <c r="AL1153" s="19"/>
      <c r="AM1153" s="19" t="s">
        <v>234</v>
      </c>
      <c r="AN1153" s="19" t="s">
        <v>818</v>
      </c>
      <c r="AO1153" s="19" t="s">
        <v>270</v>
      </c>
      <c r="AP1153" s="94">
        <v>4.17</v>
      </c>
      <c r="AQ1153" s="19" t="s">
        <v>97</v>
      </c>
      <c r="AR1153" s="19" t="s">
        <v>241</v>
      </c>
      <c r="AS1153" s="19"/>
      <c r="AT1153" s="65" t="str">
        <f t="shared" si="330"/>
        <v>Y</v>
      </c>
      <c r="AU1153" s="65" t="str">
        <f t="shared" si="333"/>
        <v>Y</v>
      </c>
      <c r="AV1153" s="65" t="s">
        <v>162</v>
      </c>
      <c r="AW1153" s="99" t="s">
        <v>1405</v>
      </c>
      <c r="AX1153" s="99"/>
      <c r="AY1153" s="19"/>
      <c r="AZ1153" s="96" t="str">
        <f t="shared" si="334"/>
        <v>n</v>
      </c>
      <c r="BA1153" s="96" t="str">
        <f>IF(AZ1153="n","n",VLOOKUP(AZ1153,'Conversion factors'!$C$4:$D$24,2,FALSE))</f>
        <v>n</v>
      </c>
      <c r="BB1153" s="96" t="str">
        <f t="shared" si="335"/>
        <v>n</v>
      </c>
      <c r="BC1153" s="97"/>
      <c r="BD1153" s="96" t="str">
        <f t="shared" si="331"/>
        <v>n</v>
      </c>
      <c r="BE1153" s="96" t="str">
        <f t="shared" si="336"/>
        <v>n</v>
      </c>
      <c r="BF1153" s="98" t="str">
        <f t="shared" si="332"/>
        <v/>
      </c>
      <c r="BG1153" s="96" t="str">
        <f>IF(BF1153="","",IF(ISNUMBER(VLOOKUP(BF1153,'Conversion factors'!$B$35:$C$52,2,FALSE)),"y","n"))</f>
        <v/>
      </c>
      <c r="BH1153" s="99" t="s">
        <v>1474</v>
      </c>
    </row>
    <row r="1154" spans="1:60" s="103" customFormat="1" ht="15.75" customHeight="1" x14ac:dyDescent="0.2">
      <c r="A1154" s="18"/>
      <c r="B1154" s="19">
        <v>284</v>
      </c>
      <c r="C1154" s="19"/>
      <c r="D1154" s="19">
        <v>101818</v>
      </c>
      <c r="E1154" s="19" t="s">
        <v>1224</v>
      </c>
      <c r="F1154" s="93">
        <v>2007</v>
      </c>
      <c r="G1154" s="19" t="s">
        <v>996</v>
      </c>
      <c r="H1154" s="19" t="s">
        <v>162</v>
      </c>
      <c r="I1154" s="19" t="s">
        <v>41</v>
      </c>
      <c r="J1154" s="19" t="s">
        <v>87</v>
      </c>
      <c r="K1154" s="19" t="s">
        <v>64</v>
      </c>
      <c r="L1154" s="99" t="s">
        <v>151</v>
      </c>
      <c r="M1154" s="19" t="s">
        <v>260</v>
      </c>
      <c r="N1154" s="19" t="s">
        <v>66</v>
      </c>
      <c r="O1154" s="19" t="s">
        <v>997</v>
      </c>
      <c r="P1154" s="19" t="s">
        <v>162</v>
      </c>
      <c r="Q1154" s="19"/>
      <c r="R1154" s="19" t="s">
        <v>76</v>
      </c>
      <c r="S1154" s="19" t="s">
        <v>335</v>
      </c>
      <c r="T1154" s="19" t="s">
        <v>44</v>
      </c>
      <c r="U1154" s="19" t="s">
        <v>44</v>
      </c>
      <c r="V1154" s="19" t="s">
        <v>94</v>
      </c>
      <c r="W1154" s="19" t="s">
        <v>231</v>
      </c>
      <c r="X1154" s="19" t="s">
        <v>46</v>
      </c>
      <c r="Y1154" s="29"/>
      <c r="Z1154" s="19"/>
      <c r="AA1154" s="19"/>
      <c r="AB1154" s="19" t="s">
        <v>689</v>
      </c>
      <c r="AC1154" s="19" t="s">
        <v>1322</v>
      </c>
      <c r="AD1154" s="19"/>
      <c r="AE1154" s="19" t="s">
        <v>999</v>
      </c>
      <c r="AF1154" s="19" t="s">
        <v>999</v>
      </c>
      <c r="AG1154" s="19" t="s">
        <v>270</v>
      </c>
      <c r="AH1154" s="19"/>
      <c r="AI1154" s="19"/>
      <c r="AJ1154" s="19">
        <f>MEDIAN(7.7,8.1)</f>
        <v>7.9</v>
      </c>
      <c r="AK1154" s="19" t="s">
        <v>998</v>
      </c>
      <c r="AL1154" s="19"/>
      <c r="AM1154" s="19" t="s">
        <v>234</v>
      </c>
      <c r="AN1154" s="19" t="s">
        <v>1000</v>
      </c>
      <c r="AO1154" s="19" t="s">
        <v>270</v>
      </c>
      <c r="AP1154" s="94"/>
      <c r="AQ1154" s="19" t="s">
        <v>1001</v>
      </c>
      <c r="AR1154" s="19" t="s">
        <v>1002</v>
      </c>
      <c r="AS1154" s="19"/>
      <c r="AT1154" s="65" t="str">
        <f t="shared" si="330"/>
        <v>N</v>
      </c>
      <c r="AU1154" s="65" t="str">
        <f t="shared" si="333"/>
        <v>N</v>
      </c>
      <c r="AV1154" s="65" t="str">
        <f>AU1154</f>
        <v>N</v>
      </c>
      <c r="AW1154" s="99"/>
      <c r="AX1154" s="99"/>
      <c r="AY1154" s="19"/>
      <c r="AZ1154" s="96" t="str">
        <f t="shared" si="334"/>
        <v>n</v>
      </c>
      <c r="BA1154" s="96" t="str">
        <f>IF(AZ1154="n","n",VLOOKUP(AZ1154,'Conversion factors'!$C$4:$D$24,2,FALSE))</f>
        <v>n</v>
      </c>
      <c r="BB1154" s="96" t="str">
        <f t="shared" si="335"/>
        <v>n</v>
      </c>
      <c r="BC1154" s="97"/>
      <c r="BD1154" s="96" t="str">
        <f t="shared" si="331"/>
        <v>n</v>
      </c>
      <c r="BE1154" s="96" t="str">
        <f t="shared" si="336"/>
        <v>n</v>
      </c>
      <c r="BF1154" s="98" t="str">
        <f t="shared" si="332"/>
        <v/>
      </c>
      <c r="BG1154" s="96" t="str">
        <f>IF(BF1154="","",IF(ISNUMBER(VLOOKUP(BF1154,'Conversion factors'!$B$35:$C$52,2,FALSE)),"y","n"))</f>
        <v/>
      </c>
      <c r="BH1154" s="99"/>
    </row>
    <row r="1155" spans="1:60" s="103" customFormat="1" ht="15.75" customHeight="1" x14ac:dyDescent="0.2">
      <c r="A1155" s="18"/>
      <c r="B1155" s="19">
        <v>284</v>
      </c>
      <c r="C1155" s="19"/>
      <c r="D1155" s="19">
        <v>101818</v>
      </c>
      <c r="E1155" s="19" t="s">
        <v>1224</v>
      </c>
      <c r="F1155" s="93">
        <v>2007</v>
      </c>
      <c r="G1155" s="19" t="s">
        <v>996</v>
      </c>
      <c r="H1155" s="19" t="s">
        <v>162</v>
      </c>
      <c r="I1155" s="19" t="s">
        <v>41</v>
      </c>
      <c r="J1155" s="19" t="s">
        <v>87</v>
      </c>
      <c r="K1155" s="19" t="s">
        <v>64</v>
      </c>
      <c r="L1155" s="99" t="s">
        <v>151</v>
      </c>
      <c r="M1155" s="19" t="s">
        <v>260</v>
      </c>
      <c r="N1155" s="19" t="s">
        <v>66</v>
      </c>
      <c r="O1155" s="19" t="s">
        <v>997</v>
      </c>
      <c r="P1155" s="19" t="s">
        <v>162</v>
      </c>
      <c r="Q1155" s="19"/>
      <c r="R1155" s="19" t="s">
        <v>76</v>
      </c>
      <c r="S1155" s="19" t="s">
        <v>335</v>
      </c>
      <c r="T1155" s="19" t="s">
        <v>54</v>
      </c>
      <c r="U1155" s="19" t="s">
        <v>54</v>
      </c>
      <c r="V1155" s="19" t="s">
        <v>94</v>
      </c>
      <c r="W1155" s="19" t="s">
        <v>231</v>
      </c>
      <c r="X1155" s="19" t="s">
        <v>46</v>
      </c>
      <c r="Y1155" s="29"/>
      <c r="Z1155" s="19"/>
      <c r="AA1155" s="19"/>
      <c r="AB1155" s="19" t="s">
        <v>86</v>
      </c>
      <c r="AC1155" s="19" t="s">
        <v>1322</v>
      </c>
      <c r="AD1155" s="19"/>
      <c r="AE1155" s="19" t="s">
        <v>999</v>
      </c>
      <c r="AF1155" s="19" t="s">
        <v>999</v>
      </c>
      <c r="AG1155" s="19" t="s">
        <v>270</v>
      </c>
      <c r="AH1155" s="19"/>
      <c r="AI1155" s="19"/>
      <c r="AJ1155" s="19">
        <f>MEDIAN(7.7,8.1)</f>
        <v>7.9</v>
      </c>
      <c r="AK1155" s="19" t="s">
        <v>998</v>
      </c>
      <c r="AL1155" s="19"/>
      <c r="AM1155" s="19" t="s">
        <v>234</v>
      </c>
      <c r="AN1155" s="19" t="s">
        <v>1000</v>
      </c>
      <c r="AO1155" s="19" t="s">
        <v>270</v>
      </c>
      <c r="AP1155" s="94"/>
      <c r="AQ1155" s="19" t="s">
        <v>1001</v>
      </c>
      <c r="AR1155" s="19" t="s">
        <v>1002</v>
      </c>
      <c r="AS1155" s="19"/>
      <c r="AT1155" s="65" t="str">
        <f t="shared" si="330"/>
        <v>N</v>
      </c>
      <c r="AU1155" s="65" t="str">
        <f t="shared" si="333"/>
        <v>N</v>
      </c>
      <c r="AV1155" s="65" t="str">
        <f>AU1155</f>
        <v>N</v>
      </c>
      <c r="AW1155" s="99"/>
      <c r="AX1155" s="99"/>
      <c r="AY1155" s="19"/>
      <c r="AZ1155" s="96" t="str">
        <f t="shared" si="334"/>
        <v>n</v>
      </c>
      <c r="BA1155" s="96" t="str">
        <f>IF(AZ1155="n","n",VLOOKUP(AZ1155,'Conversion factors'!$C$4:$D$24,2,FALSE))</f>
        <v>n</v>
      </c>
      <c r="BB1155" s="96" t="str">
        <f t="shared" si="335"/>
        <v>n</v>
      </c>
      <c r="BC1155" s="97"/>
      <c r="BD1155" s="96" t="str">
        <f t="shared" si="331"/>
        <v>n</v>
      </c>
      <c r="BE1155" s="96" t="str">
        <f t="shared" si="336"/>
        <v>n</v>
      </c>
      <c r="BF1155" s="98" t="str">
        <f t="shared" si="332"/>
        <v/>
      </c>
      <c r="BG1155" s="96" t="str">
        <f>IF(BF1155="","",IF(ISNUMBER(VLOOKUP(BF1155,'Conversion factors'!$B$35:$C$52,2,FALSE)),"y","n"))</f>
        <v/>
      </c>
      <c r="BH1155" s="99"/>
    </row>
    <row r="1156" spans="1:60" s="103" customFormat="1" ht="15.75" customHeight="1" x14ac:dyDescent="0.2">
      <c r="A1156" s="18"/>
      <c r="B1156" s="19">
        <v>288</v>
      </c>
      <c r="C1156" s="19"/>
      <c r="D1156" s="19">
        <v>101832</v>
      </c>
      <c r="E1156" s="19" t="s">
        <v>1224</v>
      </c>
      <c r="F1156" s="93">
        <v>2007</v>
      </c>
      <c r="G1156" s="19" t="s">
        <v>512</v>
      </c>
      <c r="H1156" s="19" t="s">
        <v>162</v>
      </c>
      <c r="I1156" s="19" t="s">
        <v>41</v>
      </c>
      <c r="J1156" s="19" t="s">
        <v>87</v>
      </c>
      <c r="K1156" s="19" t="s">
        <v>64</v>
      </c>
      <c r="L1156" s="99" t="s">
        <v>151</v>
      </c>
      <c r="M1156" s="19" t="s">
        <v>260</v>
      </c>
      <c r="N1156" s="19" t="s">
        <v>66</v>
      </c>
      <c r="O1156" s="19" t="s">
        <v>292</v>
      </c>
      <c r="P1156" s="19" t="s">
        <v>162</v>
      </c>
      <c r="Q1156" s="19"/>
      <c r="R1156" s="19" t="s">
        <v>81</v>
      </c>
      <c r="S1156" s="19" t="s">
        <v>451</v>
      </c>
      <c r="T1156" s="19" t="s">
        <v>55</v>
      </c>
      <c r="U1156" s="19" t="s">
        <v>55</v>
      </c>
      <c r="V1156" s="19" t="s">
        <v>253</v>
      </c>
      <c r="W1156" s="19" t="s">
        <v>231</v>
      </c>
      <c r="X1156" s="19" t="s">
        <v>46</v>
      </c>
      <c r="Y1156" s="29"/>
      <c r="Z1156" s="19"/>
      <c r="AA1156" s="19"/>
      <c r="AB1156" s="19" t="s">
        <v>1011</v>
      </c>
      <c r="AC1156" s="19" t="s">
        <v>214</v>
      </c>
      <c r="AD1156" s="19"/>
      <c r="AE1156" s="19">
        <v>250</v>
      </c>
      <c r="AF1156" s="19"/>
      <c r="AG1156" s="19" t="s">
        <v>235</v>
      </c>
      <c r="AH1156" s="19"/>
      <c r="AI1156" s="19"/>
      <c r="AJ1156" s="19">
        <v>7.6</v>
      </c>
      <c r="AK1156" s="19" t="s">
        <v>546</v>
      </c>
      <c r="AL1156" s="19"/>
      <c r="AM1156" s="19" t="s">
        <v>234</v>
      </c>
      <c r="AN1156" s="19" t="s">
        <v>234</v>
      </c>
      <c r="AO1156" s="19" t="s">
        <v>235</v>
      </c>
      <c r="AP1156" s="94">
        <v>4</v>
      </c>
      <c r="AQ1156" s="19" t="s">
        <v>97</v>
      </c>
      <c r="AR1156" s="19" t="s">
        <v>241</v>
      </c>
      <c r="AS1156" s="19"/>
      <c r="AT1156" s="65" t="str">
        <f t="shared" si="330"/>
        <v>Y</v>
      </c>
      <c r="AU1156" s="65" t="str">
        <f t="shared" si="333"/>
        <v>Y</v>
      </c>
      <c r="AV1156" s="65" t="s">
        <v>162</v>
      </c>
      <c r="AW1156" s="99" t="s">
        <v>1406</v>
      </c>
      <c r="AX1156" s="99"/>
      <c r="AY1156" s="19"/>
      <c r="AZ1156" s="96" t="str">
        <f t="shared" si="334"/>
        <v>n</v>
      </c>
      <c r="BA1156" s="96" t="str">
        <f>IF(AZ1156="n","n",VLOOKUP(AZ1156,'Conversion factors'!$C$4:$D$24,2,FALSE))</f>
        <v>n</v>
      </c>
      <c r="BB1156" s="96" t="str">
        <f t="shared" si="335"/>
        <v>n</v>
      </c>
      <c r="BC1156" s="97"/>
      <c r="BD1156" s="96" t="str">
        <f t="shared" si="331"/>
        <v>n</v>
      </c>
      <c r="BE1156" s="96" t="str">
        <f t="shared" si="336"/>
        <v>n</v>
      </c>
      <c r="BF1156" s="98" t="str">
        <f t="shared" si="332"/>
        <v/>
      </c>
      <c r="BG1156" s="96" t="str">
        <f>IF(BF1156="","",IF(ISNUMBER(VLOOKUP(BF1156,'Conversion factors'!$B$35:$C$52,2,FALSE)),"y","n"))</f>
        <v/>
      </c>
      <c r="BH1156" s="99"/>
    </row>
    <row r="1157" spans="1:60" s="103" customFormat="1" ht="15.75" customHeight="1" x14ac:dyDescent="0.2">
      <c r="A1157" s="18"/>
      <c r="B1157" s="19">
        <v>288</v>
      </c>
      <c r="C1157" s="19"/>
      <c r="D1157" s="19">
        <v>101832</v>
      </c>
      <c r="E1157" s="19" t="s">
        <v>1224</v>
      </c>
      <c r="F1157" s="93">
        <v>2007</v>
      </c>
      <c r="G1157" s="19" t="s">
        <v>512</v>
      </c>
      <c r="H1157" s="19" t="s">
        <v>162</v>
      </c>
      <c r="I1157" s="19" t="s">
        <v>41</v>
      </c>
      <c r="J1157" s="19" t="s">
        <v>87</v>
      </c>
      <c r="K1157" s="19" t="s">
        <v>64</v>
      </c>
      <c r="L1157" s="99" t="s">
        <v>151</v>
      </c>
      <c r="M1157" s="19" t="s">
        <v>260</v>
      </c>
      <c r="N1157" s="19" t="s">
        <v>66</v>
      </c>
      <c r="O1157" s="19" t="s">
        <v>292</v>
      </c>
      <c r="P1157" s="19" t="s">
        <v>162</v>
      </c>
      <c r="Q1157" s="19"/>
      <c r="R1157" s="19" t="s">
        <v>81</v>
      </c>
      <c r="S1157" s="19" t="s">
        <v>451</v>
      </c>
      <c r="T1157" s="19" t="s">
        <v>54</v>
      </c>
      <c r="U1157" s="19" t="s">
        <v>54</v>
      </c>
      <c r="V1157" s="19" t="s">
        <v>253</v>
      </c>
      <c r="W1157" s="19" t="s">
        <v>231</v>
      </c>
      <c r="X1157" s="19" t="s">
        <v>46</v>
      </c>
      <c r="Y1157" s="29"/>
      <c r="Z1157" s="19"/>
      <c r="AA1157" s="19"/>
      <c r="AB1157" s="19" t="s">
        <v>687</v>
      </c>
      <c r="AC1157" s="19" t="s">
        <v>214</v>
      </c>
      <c r="AD1157" s="19"/>
      <c r="AE1157" s="19">
        <v>250</v>
      </c>
      <c r="AF1157" s="19"/>
      <c r="AG1157" s="19" t="s">
        <v>235</v>
      </c>
      <c r="AH1157" s="19"/>
      <c r="AI1157" s="19"/>
      <c r="AJ1157" s="19">
        <v>7.6</v>
      </c>
      <c r="AK1157" s="19" t="s">
        <v>546</v>
      </c>
      <c r="AL1157" s="19"/>
      <c r="AM1157" s="19" t="s">
        <v>234</v>
      </c>
      <c r="AN1157" s="19" t="s">
        <v>234</v>
      </c>
      <c r="AO1157" s="19" t="s">
        <v>235</v>
      </c>
      <c r="AP1157" s="94">
        <v>4</v>
      </c>
      <c r="AQ1157" s="19" t="s">
        <v>97</v>
      </c>
      <c r="AR1157" s="19" t="s">
        <v>241</v>
      </c>
      <c r="AS1157" s="19"/>
      <c r="AT1157" s="65" t="str">
        <f t="shared" si="330"/>
        <v>Y</v>
      </c>
      <c r="AU1157" s="65" t="str">
        <f t="shared" si="333"/>
        <v>Y</v>
      </c>
      <c r="AV1157" s="65" t="s">
        <v>162</v>
      </c>
      <c r="AW1157" s="99" t="s">
        <v>1406</v>
      </c>
      <c r="AX1157" s="99"/>
      <c r="AY1157" s="19"/>
      <c r="AZ1157" s="96" t="str">
        <f t="shared" si="334"/>
        <v>n</v>
      </c>
      <c r="BA1157" s="96" t="str">
        <f>IF(AZ1157="n","n",VLOOKUP(AZ1157,'Conversion factors'!$C$4:$D$24,2,FALSE))</f>
        <v>n</v>
      </c>
      <c r="BB1157" s="96" t="str">
        <f t="shared" si="335"/>
        <v>n</v>
      </c>
      <c r="BC1157" s="97"/>
      <c r="BD1157" s="96" t="str">
        <f t="shared" si="331"/>
        <v>n</v>
      </c>
      <c r="BE1157" s="96" t="str">
        <f t="shared" si="336"/>
        <v>n</v>
      </c>
      <c r="BF1157" s="98" t="str">
        <f t="shared" si="332"/>
        <v/>
      </c>
      <c r="BG1157" s="96" t="str">
        <f>IF(BF1157="","",IF(ISNUMBER(VLOOKUP(BF1157,'Conversion factors'!$B$35:$C$52,2,FALSE)),"y","n"))</f>
        <v/>
      </c>
      <c r="BH1157" s="99"/>
    </row>
    <row r="1158" spans="1:60" s="103" customFormat="1" ht="15.75" customHeight="1" x14ac:dyDescent="0.2">
      <c r="A1158" s="18"/>
      <c r="B1158" s="19">
        <v>288</v>
      </c>
      <c r="C1158" s="19"/>
      <c r="D1158" s="19">
        <v>101832</v>
      </c>
      <c r="E1158" s="19" t="s">
        <v>1224</v>
      </c>
      <c r="F1158" s="93">
        <v>2007</v>
      </c>
      <c r="G1158" s="19" t="s">
        <v>512</v>
      </c>
      <c r="H1158" s="19" t="s">
        <v>162</v>
      </c>
      <c r="I1158" s="19" t="s">
        <v>41</v>
      </c>
      <c r="J1158" s="19" t="s">
        <v>87</v>
      </c>
      <c r="K1158" s="19" t="s">
        <v>64</v>
      </c>
      <c r="L1158" s="99" t="s">
        <v>151</v>
      </c>
      <c r="M1158" s="19" t="s">
        <v>260</v>
      </c>
      <c r="N1158" s="19" t="s">
        <v>66</v>
      </c>
      <c r="O1158" s="19" t="s">
        <v>292</v>
      </c>
      <c r="P1158" s="19" t="s">
        <v>162</v>
      </c>
      <c r="Q1158" s="19"/>
      <c r="R1158" s="19" t="s">
        <v>81</v>
      </c>
      <c r="S1158" s="19" t="s">
        <v>451</v>
      </c>
      <c r="T1158" s="19" t="s">
        <v>55</v>
      </c>
      <c r="U1158" s="19" t="s">
        <v>55</v>
      </c>
      <c r="V1158" s="19" t="s">
        <v>94</v>
      </c>
      <c r="W1158" s="19" t="s">
        <v>231</v>
      </c>
      <c r="X1158" s="19" t="s">
        <v>46</v>
      </c>
      <c r="Y1158" s="29"/>
      <c r="Z1158" s="19"/>
      <c r="AA1158" s="19"/>
      <c r="AB1158" s="19" t="s">
        <v>687</v>
      </c>
      <c r="AC1158" s="19" t="s">
        <v>214</v>
      </c>
      <c r="AD1158" s="19"/>
      <c r="AE1158" s="19">
        <v>250</v>
      </c>
      <c r="AF1158" s="19"/>
      <c r="AG1158" s="19" t="s">
        <v>235</v>
      </c>
      <c r="AH1158" s="19"/>
      <c r="AI1158" s="19"/>
      <c r="AJ1158" s="19">
        <v>7.6</v>
      </c>
      <c r="AK1158" s="19" t="s">
        <v>546</v>
      </c>
      <c r="AL1158" s="19"/>
      <c r="AM1158" s="19" t="s">
        <v>234</v>
      </c>
      <c r="AN1158" s="19" t="s">
        <v>234</v>
      </c>
      <c r="AO1158" s="19" t="s">
        <v>235</v>
      </c>
      <c r="AP1158" s="94">
        <v>4</v>
      </c>
      <c r="AQ1158" s="19" t="s">
        <v>97</v>
      </c>
      <c r="AR1158" s="19" t="s">
        <v>241</v>
      </c>
      <c r="AS1158" s="19"/>
      <c r="AT1158" s="65" t="str">
        <f t="shared" si="330"/>
        <v>Y</v>
      </c>
      <c r="AU1158" s="65" t="str">
        <f t="shared" si="333"/>
        <v>Y</v>
      </c>
      <c r="AV1158" s="65" t="s">
        <v>162</v>
      </c>
      <c r="AW1158" s="99" t="s">
        <v>1406</v>
      </c>
      <c r="AX1158" s="99"/>
      <c r="AY1158" s="19"/>
      <c r="AZ1158" s="96" t="str">
        <f t="shared" si="334"/>
        <v>n</v>
      </c>
      <c r="BA1158" s="96" t="str">
        <f>IF(AZ1158="n","n",VLOOKUP(AZ1158,'Conversion factors'!$C$4:$D$24,2,FALSE))</f>
        <v>n</v>
      </c>
      <c r="BB1158" s="96" t="str">
        <f t="shared" si="335"/>
        <v>n</v>
      </c>
      <c r="BC1158" s="97"/>
      <c r="BD1158" s="96" t="str">
        <f t="shared" si="331"/>
        <v>n</v>
      </c>
      <c r="BE1158" s="96" t="str">
        <f t="shared" si="336"/>
        <v>n</v>
      </c>
      <c r="BF1158" s="98" t="str">
        <f t="shared" si="332"/>
        <v/>
      </c>
      <c r="BG1158" s="96" t="str">
        <f>IF(BF1158="","",IF(ISNUMBER(VLOOKUP(BF1158,'Conversion factors'!$B$35:$C$52,2,FALSE)),"y","n"))</f>
        <v/>
      </c>
      <c r="BH1158" s="99"/>
    </row>
    <row r="1159" spans="1:60" s="103" customFormat="1" ht="15.75" customHeight="1" x14ac:dyDescent="0.2">
      <c r="A1159" s="18"/>
      <c r="B1159" s="19">
        <v>288</v>
      </c>
      <c r="C1159" s="19"/>
      <c r="D1159" s="19">
        <v>101832</v>
      </c>
      <c r="E1159" s="19" t="s">
        <v>1224</v>
      </c>
      <c r="F1159" s="93">
        <v>2007</v>
      </c>
      <c r="G1159" s="19" t="s">
        <v>512</v>
      </c>
      <c r="H1159" s="19" t="s">
        <v>162</v>
      </c>
      <c r="I1159" s="19" t="s">
        <v>41</v>
      </c>
      <c r="J1159" s="19" t="s">
        <v>87</v>
      </c>
      <c r="K1159" s="19" t="s">
        <v>64</v>
      </c>
      <c r="L1159" s="99" t="s">
        <v>151</v>
      </c>
      <c r="M1159" s="19" t="s">
        <v>260</v>
      </c>
      <c r="N1159" s="19" t="s">
        <v>66</v>
      </c>
      <c r="O1159" s="19" t="s">
        <v>292</v>
      </c>
      <c r="P1159" s="19" t="s">
        <v>162</v>
      </c>
      <c r="Q1159" s="19"/>
      <c r="R1159" s="19" t="s">
        <v>81</v>
      </c>
      <c r="S1159" s="19" t="s">
        <v>451</v>
      </c>
      <c r="T1159" s="19" t="s">
        <v>54</v>
      </c>
      <c r="U1159" s="19" t="s">
        <v>54</v>
      </c>
      <c r="V1159" s="19" t="s">
        <v>94</v>
      </c>
      <c r="W1159" s="19" t="s">
        <v>231</v>
      </c>
      <c r="X1159" s="19" t="s">
        <v>46</v>
      </c>
      <c r="Y1159" s="29"/>
      <c r="Z1159" s="19"/>
      <c r="AA1159" s="19"/>
      <c r="AB1159" s="19" t="s">
        <v>506</v>
      </c>
      <c r="AC1159" s="19" t="s">
        <v>214</v>
      </c>
      <c r="AD1159" s="19"/>
      <c r="AE1159" s="19">
        <v>250</v>
      </c>
      <c r="AF1159" s="19"/>
      <c r="AG1159" s="19" t="s">
        <v>235</v>
      </c>
      <c r="AH1159" s="19"/>
      <c r="AI1159" s="19"/>
      <c r="AJ1159" s="19">
        <v>7.6</v>
      </c>
      <c r="AK1159" s="19" t="s">
        <v>546</v>
      </c>
      <c r="AL1159" s="19"/>
      <c r="AM1159" s="19" t="s">
        <v>234</v>
      </c>
      <c r="AN1159" s="19" t="s">
        <v>234</v>
      </c>
      <c r="AO1159" s="19" t="s">
        <v>235</v>
      </c>
      <c r="AP1159" s="94">
        <v>4</v>
      </c>
      <c r="AQ1159" s="19" t="s">
        <v>97</v>
      </c>
      <c r="AR1159" s="19" t="s">
        <v>241</v>
      </c>
      <c r="AS1159" s="19"/>
      <c r="AT1159" s="65" t="str">
        <f t="shared" si="330"/>
        <v>Y</v>
      </c>
      <c r="AU1159" s="65" t="str">
        <f t="shared" si="333"/>
        <v>Y</v>
      </c>
      <c r="AV1159" s="65" t="s">
        <v>162</v>
      </c>
      <c r="AW1159" s="99" t="s">
        <v>1406</v>
      </c>
      <c r="AX1159" s="99"/>
      <c r="AY1159" s="19"/>
      <c r="AZ1159" s="96" t="str">
        <f t="shared" si="334"/>
        <v>n</v>
      </c>
      <c r="BA1159" s="96" t="str">
        <f>IF(AZ1159="n","n",VLOOKUP(AZ1159,'Conversion factors'!$C$4:$D$24,2,FALSE))</f>
        <v>n</v>
      </c>
      <c r="BB1159" s="96" t="str">
        <f t="shared" si="335"/>
        <v>n</v>
      </c>
      <c r="BC1159" s="97"/>
      <c r="BD1159" s="96" t="str">
        <f t="shared" si="331"/>
        <v>n</v>
      </c>
      <c r="BE1159" s="96" t="str">
        <f t="shared" si="336"/>
        <v>n</v>
      </c>
      <c r="BF1159" s="98" t="str">
        <f t="shared" si="332"/>
        <v/>
      </c>
      <c r="BG1159" s="96" t="str">
        <f>IF(BF1159="","",IF(ISNUMBER(VLOOKUP(BF1159,'Conversion factors'!$B$35:$C$52,2,FALSE)),"y","n"))</f>
        <v/>
      </c>
      <c r="BH1159" s="99"/>
    </row>
    <row r="1160" spans="1:60" s="103" customFormat="1" ht="15.75" customHeight="1" x14ac:dyDescent="0.2">
      <c r="A1160" s="18"/>
      <c r="B1160" s="19">
        <v>288</v>
      </c>
      <c r="C1160" s="19"/>
      <c r="D1160" s="19">
        <v>101832</v>
      </c>
      <c r="E1160" s="19" t="s">
        <v>1224</v>
      </c>
      <c r="F1160" s="93">
        <v>2007</v>
      </c>
      <c r="G1160" s="19" t="s">
        <v>512</v>
      </c>
      <c r="H1160" s="19" t="s">
        <v>162</v>
      </c>
      <c r="I1160" s="19" t="s">
        <v>41</v>
      </c>
      <c r="J1160" s="19" t="s">
        <v>87</v>
      </c>
      <c r="K1160" s="19" t="s">
        <v>64</v>
      </c>
      <c r="L1160" s="99" t="s">
        <v>151</v>
      </c>
      <c r="M1160" s="19" t="s">
        <v>260</v>
      </c>
      <c r="N1160" s="19" t="s">
        <v>66</v>
      </c>
      <c r="O1160" s="19" t="s">
        <v>338</v>
      </c>
      <c r="P1160" s="19" t="s">
        <v>162</v>
      </c>
      <c r="Q1160" s="19"/>
      <c r="R1160" s="19" t="s">
        <v>237</v>
      </c>
      <c r="S1160" s="19" t="s">
        <v>79</v>
      </c>
      <c r="T1160" s="19" t="s">
        <v>56</v>
      </c>
      <c r="U1160" s="19" t="s">
        <v>44</v>
      </c>
      <c r="V1160" s="19" t="s">
        <v>253</v>
      </c>
      <c r="W1160" s="19" t="s">
        <v>231</v>
      </c>
      <c r="X1160" s="19" t="s">
        <v>46</v>
      </c>
      <c r="Y1160" s="29"/>
      <c r="Z1160" s="19"/>
      <c r="AA1160" s="19"/>
      <c r="AB1160" s="19" t="s">
        <v>736</v>
      </c>
      <c r="AC1160" s="19" t="s">
        <v>214</v>
      </c>
      <c r="AD1160" s="19"/>
      <c r="AE1160" s="19">
        <v>250</v>
      </c>
      <c r="AF1160" s="19"/>
      <c r="AG1160" s="19" t="s">
        <v>235</v>
      </c>
      <c r="AH1160" s="19"/>
      <c r="AI1160" s="19"/>
      <c r="AJ1160" s="19">
        <v>7.6</v>
      </c>
      <c r="AK1160" s="19" t="s">
        <v>546</v>
      </c>
      <c r="AL1160" s="19"/>
      <c r="AM1160" s="19" t="s">
        <v>234</v>
      </c>
      <c r="AN1160" s="19" t="s">
        <v>234</v>
      </c>
      <c r="AO1160" s="19" t="s">
        <v>235</v>
      </c>
      <c r="AP1160" s="94">
        <v>4</v>
      </c>
      <c r="AQ1160" s="19" t="s">
        <v>97</v>
      </c>
      <c r="AR1160" s="19" t="s">
        <v>241</v>
      </c>
      <c r="AS1160" s="19"/>
      <c r="AT1160" s="65" t="str">
        <f t="shared" si="330"/>
        <v>Y</v>
      </c>
      <c r="AU1160" s="65" t="str">
        <f t="shared" si="333"/>
        <v>Y</v>
      </c>
      <c r="AV1160" s="65" t="s">
        <v>162</v>
      </c>
      <c r="AW1160" s="99" t="s">
        <v>1406</v>
      </c>
      <c r="AX1160" s="99"/>
      <c r="AY1160" s="19"/>
      <c r="AZ1160" s="96" t="str">
        <f t="shared" si="334"/>
        <v>n</v>
      </c>
      <c r="BA1160" s="96" t="str">
        <f>IF(AZ1160="n","n",VLOOKUP(AZ1160,'Conversion factors'!$C$4:$D$24,2,FALSE))</f>
        <v>n</v>
      </c>
      <c r="BB1160" s="96" t="str">
        <f t="shared" si="335"/>
        <v>n</v>
      </c>
      <c r="BC1160" s="97"/>
      <c r="BD1160" s="96" t="str">
        <f t="shared" si="331"/>
        <v>n</v>
      </c>
      <c r="BE1160" s="96" t="str">
        <f t="shared" si="336"/>
        <v>n</v>
      </c>
      <c r="BF1160" s="98" t="str">
        <f t="shared" si="332"/>
        <v/>
      </c>
      <c r="BG1160" s="96" t="str">
        <f>IF(BF1160="","",IF(ISNUMBER(VLOOKUP(BF1160,'Conversion factors'!$B$35:$C$52,2,FALSE)),"y","n"))</f>
        <v/>
      </c>
      <c r="BH1160" s="99"/>
    </row>
    <row r="1161" spans="1:60" s="103" customFormat="1" ht="15.75" customHeight="1" x14ac:dyDescent="0.2">
      <c r="A1161" s="18"/>
      <c r="B1161" s="19">
        <v>288</v>
      </c>
      <c r="C1161" s="19"/>
      <c r="D1161" s="19">
        <v>101832</v>
      </c>
      <c r="E1161" s="19" t="s">
        <v>1224</v>
      </c>
      <c r="F1161" s="93">
        <v>2007</v>
      </c>
      <c r="G1161" s="19" t="s">
        <v>512</v>
      </c>
      <c r="H1161" s="19" t="s">
        <v>162</v>
      </c>
      <c r="I1161" s="19" t="s">
        <v>41</v>
      </c>
      <c r="J1161" s="19" t="s">
        <v>87</v>
      </c>
      <c r="K1161" s="19" t="s">
        <v>64</v>
      </c>
      <c r="L1161" s="99" t="s">
        <v>151</v>
      </c>
      <c r="M1161" s="19" t="s">
        <v>260</v>
      </c>
      <c r="N1161" s="19" t="s">
        <v>66</v>
      </c>
      <c r="O1161" s="19" t="s">
        <v>292</v>
      </c>
      <c r="P1161" s="19" t="s">
        <v>162</v>
      </c>
      <c r="Q1161" s="19"/>
      <c r="R1161" s="19" t="s">
        <v>237</v>
      </c>
      <c r="S1161" s="19" t="s">
        <v>79</v>
      </c>
      <c r="T1161" s="19" t="s">
        <v>56</v>
      </c>
      <c r="U1161" s="19" t="s">
        <v>44</v>
      </c>
      <c r="V1161" s="19" t="s">
        <v>253</v>
      </c>
      <c r="W1161" s="19" t="s">
        <v>231</v>
      </c>
      <c r="X1161" s="19" t="s">
        <v>46</v>
      </c>
      <c r="Y1161" s="29"/>
      <c r="Z1161" s="19"/>
      <c r="AA1161" s="19"/>
      <c r="AB1161" s="19" t="s">
        <v>782</v>
      </c>
      <c r="AC1161" s="19" t="s">
        <v>214</v>
      </c>
      <c r="AD1161" s="19"/>
      <c r="AE1161" s="19">
        <v>250</v>
      </c>
      <c r="AF1161" s="19"/>
      <c r="AG1161" s="19" t="s">
        <v>235</v>
      </c>
      <c r="AH1161" s="19"/>
      <c r="AI1161" s="19"/>
      <c r="AJ1161" s="19">
        <v>7.6</v>
      </c>
      <c r="AK1161" s="19" t="s">
        <v>546</v>
      </c>
      <c r="AL1161" s="19"/>
      <c r="AM1161" s="19" t="s">
        <v>234</v>
      </c>
      <c r="AN1161" s="19" t="s">
        <v>234</v>
      </c>
      <c r="AO1161" s="19" t="s">
        <v>235</v>
      </c>
      <c r="AP1161" s="94">
        <v>4</v>
      </c>
      <c r="AQ1161" s="19" t="s">
        <v>97</v>
      </c>
      <c r="AR1161" s="19" t="s">
        <v>241</v>
      </c>
      <c r="AS1161" s="19"/>
      <c r="AT1161" s="65" t="str">
        <f t="shared" si="330"/>
        <v>Y</v>
      </c>
      <c r="AU1161" s="65" t="str">
        <f t="shared" si="333"/>
        <v>Y</v>
      </c>
      <c r="AV1161" s="65" t="s">
        <v>162</v>
      </c>
      <c r="AW1161" s="99" t="s">
        <v>1406</v>
      </c>
      <c r="AX1161" s="99"/>
      <c r="AY1161" s="19"/>
      <c r="AZ1161" s="96" t="str">
        <f t="shared" si="334"/>
        <v>n</v>
      </c>
      <c r="BA1161" s="96" t="str">
        <f>IF(AZ1161="n","n",VLOOKUP(AZ1161,'Conversion factors'!$C$4:$D$24,2,FALSE))</f>
        <v>n</v>
      </c>
      <c r="BB1161" s="96" t="str">
        <f t="shared" si="335"/>
        <v>n</v>
      </c>
      <c r="BC1161" s="97"/>
      <c r="BD1161" s="96" t="str">
        <f t="shared" si="331"/>
        <v>n</v>
      </c>
      <c r="BE1161" s="96" t="str">
        <f t="shared" si="336"/>
        <v>n</v>
      </c>
      <c r="BF1161" s="98" t="str">
        <f t="shared" si="332"/>
        <v/>
      </c>
      <c r="BG1161" s="96" t="str">
        <f>IF(BF1161="","",IF(ISNUMBER(VLOOKUP(BF1161,'Conversion factors'!$B$35:$C$52,2,FALSE)),"y","n"))</f>
        <v/>
      </c>
      <c r="BH1161" s="99"/>
    </row>
    <row r="1162" spans="1:60" s="103" customFormat="1" ht="15.75" customHeight="1" x14ac:dyDescent="0.2">
      <c r="A1162" s="18"/>
      <c r="B1162" s="19">
        <v>288</v>
      </c>
      <c r="C1162" s="19"/>
      <c r="D1162" s="19">
        <v>101832</v>
      </c>
      <c r="E1162" s="19" t="s">
        <v>1224</v>
      </c>
      <c r="F1162" s="93">
        <v>2007</v>
      </c>
      <c r="G1162" s="19" t="s">
        <v>512</v>
      </c>
      <c r="H1162" s="19" t="s">
        <v>162</v>
      </c>
      <c r="I1162" s="19" t="s">
        <v>41</v>
      </c>
      <c r="J1162" s="19" t="s">
        <v>87</v>
      </c>
      <c r="K1162" s="19" t="s">
        <v>64</v>
      </c>
      <c r="L1162" s="99" t="s">
        <v>151</v>
      </c>
      <c r="M1162" s="19" t="s">
        <v>260</v>
      </c>
      <c r="N1162" s="19" t="s">
        <v>66</v>
      </c>
      <c r="O1162" s="19" t="s">
        <v>338</v>
      </c>
      <c r="P1162" s="19" t="s">
        <v>162</v>
      </c>
      <c r="Q1162" s="19"/>
      <c r="R1162" s="19" t="s">
        <v>237</v>
      </c>
      <c r="S1162" s="19" t="s">
        <v>79</v>
      </c>
      <c r="T1162" s="19" t="s">
        <v>56</v>
      </c>
      <c r="U1162" s="19" t="s">
        <v>44</v>
      </c>
      <c r="V1162" s="19" t="s">
        <v>94</v>
      </c>
      <c r="W1162" s="19" t="s">
        <v>231</v>
      </c>
      <c r="X1162" s="19" t="s">
        <v>46</v>
      </c>
      <c r="Y1162" s="29"/>
      <c r="Z1162" s="19"/>
      <c r="AA1162" s="19"/>
      <c r="AB1162" s="19" t="s">
        <v>1010</v>
      </c>
      <c r="AC1162" s="19" t="s">
        <v>214</v>
      </c>
      <c r="AD1162" s="19"/>
      <c r="AE1162" s="19">
        <v>250</v>
      </c>
      <c r="AF1162" s="19"/>
      <c r="AG1162" s="19" t="s">
        <v>235</v>
      </c>
      <c r="AH1162" s="19"/>
      <c r="AI1162" s="19"/>
      <c r="AJ1162" s="19">
        <v>7.6</v>
      </c>
      <c r="AK1162" s="19" t="s">
        <v>546</v>
      </c>
      <c r="AL1162" s="19"/>
      <c r="AM1162" s="19" t="s">
        <v>234</v>
      </c>
      <c r="AN1162" s="19" t="s">
        <v>234</v>
      </c>
      <c r="AO1162" s="19" t="s">
        <v>235</v>
      </c>
      <c r="AP1162" s="94">
        <v>4</v>
      </c>
      <c r="AQ1162" s="19" t="s">
        <v>97</v>
      </c>
      <c r="AR1162" s="19" t="s">
        <v>241</v>
      </c>
      <c r="AS1162" s="19"/>
      <c r="AT1162" s="65" t="str">
        <f t="shared" si="330"/>
        <v>Y</v>
      </c>
      <c r="AU1162" s="65" t="str">
        <f t="shared" si="333"/>
        <v>Y</v>
      </c>
      <c r="AV1162" s="65" t="s">
        <v>162</v>
      </c>
      <c r="AW1162" s="99" t="s">
        <v>1406</v>
      </c>
      <c r="AX1162" s="99"/>
      <c r="AY1162" s="19"/>
      <c r="AZ1162" s="96" t="str">
        <f t="shared" si="334"/>
        <v>n</v>
      </c>
      <c r="BA1162" s="96" t="str">
        <f>IF(AZ1162="n","n",VLOOKUP(AZ1162,'Conversion factors'!$C$4:$D$24,2,FALSE))</f>
        <v>n</v>
      </c>
      <c r="BB1162" s="96" t="str">
        <f t="shared" si="335"/>
        <v>n</v>
      </c>
      <c r="BC1162" s="97"/>
      <c r="BD1162" s="96" t="str">
        <f t="shared" si="331"/>
        <v>n</v>
      </c>
      <c r="BE1162" s="96" t="str">
        <f t="shared" si="336"/>
        <v>n</v>
      </c>
      <c r="BF1162" s="98" t="str">
        <f t="shared" si="332"/>
        <v/>
      </c>
      <c r="BG1162" s="96" t="str">
        <f>IF(BF1162="","",IF(ISNUMBER(VLOOKUP(BF1162,'Conversion factors'!$B$35:$C$52,2,FALSE)),"y","n"))</f>
        <v/>
      </c>
      <c r="BH1162" s="99"/>
    </row>
    <row r="1163" spans="1:60" s="103" customFormat="1" ht="15.75" customHeight="1" x14ac:dyDescent="0.2">
      <c r="A1163" s="18"/>
      <c r="B1163" s="19">
        <v>288</v>
      </c>
      <c r="C1163" s="19"/>
      <c r="D1163" s="19">
        <v>101832</v>
      </c>
      <c r="E1163" s="19" t="s">
        <v>1224</v>
      </c>
      <c r="F1163" s="93">
        <v>2007</v>
      </c>
      <c r="G1163" s="19" t="s">
        <v>512</v>
      </c>
      <c r="H1163" s="19" t="s">
        <v>162</v>
      </c>
      <c r="I1163" s="19" t="s">
        <v>41</v>
      </c>
      <c r="J1163" s="19" t="s">
        <v>87</v>
      </c>
      <c r="K1163" s="19" t="s">
        <v>64</v>
      </c>
      <c r="L1163" s="99" t="s">
        <v>151</v>
      </c>
      <c r="M1163" s="19" t="s">
        <v>260</v>
      </c>
      <c r="N1163" s="19" t="s">
        <v>66</v>
      </c>
      <c r="O1163" s="19" t="s">
        <v>338</v>
      </c>
      <c r="P1163" s="19" t="s">
        <v>162</v>
      </c>
      <c r="Q1163" s="19"/>
      <c r="R1163" s="19" t="s">
        <v>76</v>
      </c>
      <c r="S1163" s="19" t="s">
        <v>534</v>
      </c>
      <c r="T1163" s="19" t="s">
        <v>49</v>
      </c>
      <c r="U1163" s="19" t="s">
        <v>49</v>
      </c>
      <c r="V1163" s="19" t="s">
        <v>253</v>
      </c>
      <c r="W1163" s="19" t="s">
        <v>231</v>
      </c>
      <c r="X1163" s="19" t="s">
        <v>46</v>
      </c>
      <c r="Y1163" s="29"/>
      <c r="Z1163" s="19"/>
      <c r="AA1163" s="19"/>
      <c r="AB1163" s="19" t="s">
        <v>1007</v>
      </c>
      <c r="AC1163" s="19" t="s">
        <v>214</v>
      </c>
      <c r="AD1163" s="19"/>
      <c r="AE1163" s="19">
        <v>250</v>
      </c>
      <c r="AF1163" s="19"/>
      <c r="AG1163" s="19" t="s">
        <v>235</v>
      </c>
      <c r="AH1163" s="19"/>
      <c r="AI1163" s="19"/>
      <c r="AJ1163" s="19">
        <v>7.6</v>
      </c>
      <c r="AK1163" s="19" t="s">
        <v>546</v>
      </c>
      <c r="AL1163" s="19"/>
      <c r="AM1163" s="19"/>
      <c r="AN1163" s="19" t="s">
        <v>234</v>
      </c>
      <c r="AO1163" s="19" t="s">
        <v>235</v>
      </c>
      <c r="AP1163" s="94">
        <v>4</v>
      </c>
      <c r="AQ1163" s="19" t="s">
        <v>97</v>
      </c>
      <c r="AR1163" s="19" t="s">
        <v>241</v>
      </c>
      <c r="AS1163" s="19"/>
      <c r="AT1163" s="65" t="str">
        <f t="shared" si="330"/>
        <v>Y</v>
      </c>
      <c r="AU1163" s="65" t="str">
        <f t="shared" si="333"/>
        <v>Y</v>
      </c>
      <c r="AV1163" s="65" t="str">
        <f>AU1163</f>
        <v>Y</v>
      </c>
      <c r="AW1163" s="99"/>
      <c r="AX1163" s="99"/>
      <c r="AY1163" s="19"/>
      <c r="AZ1163" s="96" t="str">
        <f t="shared" si="334"/>
        <v>EC10</v>
      </c>
      <c r="BA1163" s="96">
        <f>IF(AZ1163="n","n",VLOOKUP(AZ1163,'Conversion factors'!$C$4:$D$24,2,FALSE))</f>
        <v>1</v>
      </c>
      <c r="BB1163" s="96">
        <f t="shared" si="335"/>
        <v>84</v>
      </c>
      <c r="BC1163" s="97"/>
      <c r="BD1163" s="96" t="str">
        <f t="shared" si="331"/>
        <v>Chronic</v>
      </c>
      <c r="BE1163" s="96" t="str">
        <f t="shared" si="336"/>
        <v>y</v>
      </c>
      <c r="BF1163" s="98" t="str">
        <f t="shared" si="332"/>
        <v>EC10</v>
      </c>
      <c r="BG1163" s="96" t="str">
        <f>IF(BF1163="","",IF(ISNUMBER(VLOOKUP(BF1163,'Conversion factors'!$B$35:$C$52,2,FALSE)),"y","n"))</f>
        <v>y</v>
      </c>
      <c r="BH1163" s="99"/>
    </row>
    <row r="1164" spans="1:60" s="103" customFormat="1" ht="15.75" customHeight="1" x14ac:dyDescent="0.2">
      <c r="A1164" s="18"/>
      <c r="B1164" s="19">
        <v>288</v>
      </c>
      <c r="C1164" s="19"/>
      <c r="D1164" s="19">
        <v>101832</v>
      </c>
      <c r="E1164" s="19" t="s">
        <v>1224</v>
      </c>
      <c r="F1164" s="93">
        <v>2007</v>
      </c>
      <c r="G1164" s="19" t="s">
        <v>512</v>
      </c>
      <c r="H1164" s="19" t="s">
        <v>162</v>
      </c>
      <c r="I1164" s="19" t="s">
        <v>41</v>
      </c>
      <c r="J1164" s="19" t="s">
        <v>87</v>
      </c>
      <c r="K1164" s="19" t="s">
        <v>64</v>
      </c>
      <c r="L1164" s="99" t="s">
        <v>151</v>
      </c>
      <c r="M1164" s="19" t="s">
        <v>260</v>
      </c>
      <c r="N1164" s="19" t="s">
        <v>66</v>
      </c>
      <c r="O1164" s="19" t="s">
        <v>338</v>
      </c>
      <c r="P1164" s="19" t="s">
        <v>162</v>
      </c>
      <c r="Q1164" s="19"/>
      <c r="R1164" s="19" t="s">
        <v>76</v>
      </c>
      <c r="S1164" s="19" t="s">
        <v>534</v>
      </c>
      <c r="T1164" s="19" t="s">
        <v>49</v>
      </c>
      <c r="U1164" s="19" t="s">
        <v>49</v>
      </c>
      <c r="V1164" s="19" t="s">
        <v>253</v>
      </c>
      <c r="W1164" s="19" t="s">
        <v>231</v>
      </c>
      <c r="X1164" s="19" t="s">
        <v>46</v>
      </c>
      <c r="Y1164" s="29"/>
      <c r="Z1164" s="19"/>
      <c r="AA1164" s="19"/>
      <c r="AB1164" s="19" t="s">
        <v>1008</v>
      </c>
      <c r="AC1164" s="19" t="s">
        <v>214</v>
      </c>
      <c r="AD1164" s="19"/>
      <c r="AE1164" s="19">
        <v>250</v>
      </c>
      <c r="AF1164" s="19"/>
      <c r="AG1164" s="19" t="s">
        <v>235</v>
      </c>
      <c r="AH1164" s="19"/>
      <c r="AI1164" s="19"/>
      <c r="AJ1164" s="19">
        <v>7.6</v>
      </c>
      <c r="AK1164" s="19" t="s">
        <v>546</v>
      </c>
      <c r="AL1164" s="19"/>
      <c r="AM1164" s="19"/>
      <c r="AN1164" s="19" t="s">
        <v>234</v>
      </c>
      <c r="AO1164" s="19" t="s">
        <v>235</v>
      </c>
      <c r="AP1164" s="94">
        <v>4</v>
      </c>
      <c r="AQ1164" s="19" t="s">
        <v>97</v>
      </c>
      <c r="AR1164" s="19" t="s">
        <v>241</v>
      </c>
      <c r="AS1164" s="19"/>
      <c r="AT1164" s="65" t="str">
        <f t="shared" si="330"/>
        <v>Y</v>
      </c>
      <c r="AU1164" s="65" t="str">
        <f t="shared" si="333"/>
        <v>Y</v>
      </c>
      <c r="AV1164" s="65" t="str">
        <f>AU1164</f>
        <v>Y</v>
      </c>
      <c r="AW1164" s="99"/>
      <c r="AX1164" s="99"/>
      <c r="AY1164" s="19"/>
      <c r="AZ1164" s="96" t="str">
        <f t="shared" si="334"/>
        <v>EC10</v>
      </c>
      <c r="BA1164" s="96">
        <f>IF(AZ1164="n","n",VLOOKUP(AZ1164,'Conversion factors'!$C$4:$D$24,2,FALSE))</f>
        <v>1</v>
      </c>
      <c r="BB1164" s="96">
        <f t="shared" si="335"/>
        <v>85</v>
      </c>
      <c r="BC1164" s="97"/>
      <c r="BD1164" s="96" t="str">
        <f t="shared" si="331"/>
        <v>Chronic</v>
      </c>
      <c r="BE1164" s="96" t="str">
        <f t="shared" si="336"/>
        <v>y</v>
      </c>
      <c r="BF1164" s="98" t="str">
        <f t="shared" si="332"/>
        <v>EC10</v>
      </c>
      <c r="BG1164" s="96" t="str">
        <f>IF(BF1164="","",IF(ISNUMBER(VLOOKUP(BF1164,'Conversion factors'!$B$35:$C$52,2,FALSE)),"y","n"))</f>
        <v>y</v>
      </c>
      <c r="BH1164" s="99"/>
    </row>
    <row r="1165" spans="1:60" s="103" customFormat="1" ht="15.75" customHeight="1" x14ac:dyDescent="0.2">
      <c r="A1165" s="18"/>
      <c r="B1165" s="19">
        <v>288</v>
      </c>
      <c r="C1165" s="19"/>
      <c r="D1165" s="19">
        <v>101832</v>
      </c>
      <c r="E1165" s="19" t="s">
        <v>1224</v>
      </c>
      <c r="F1165" s="93">
        <v>2007</v>
      </c>
      <c r="G1165" s="19" t="s">
        <v>512</v>
      </c>
      <c r="H1165" s="19" t="s">
        <v>162</v>
      </c>
      <c r="I1165" s="19" t="s">
        <v>41</v>
      </c>
      <c r="J1165" s="19" t="s">
        <v>87</v>
      </c>
      <c r="K1165" s="19" t="s">
        <v>64</v>
      </c>
      <c r="L1165" s="99" t="s">
        <v>151</v>
      </c>
      <c r="M1165" s="19" t="s">
        <v>260</v>
      </c>
      <c r="N1165" s="19" t="s">
        <v>66</v>
      </c>
      <c r="O1165" s="19" t="s">
        <v>338</v>
      </c>
      <c r="P1165" s="19" t="s">
        <v>162</v>
      </c>
      <c r="Q1165" s="19"/>
      <c r="R1165" s="19" t="s">
        <v>76</v>
      </c>
      <c r="S1165" s="19" t="s">
        <v>534</v>
      </c>
      <c r="T1165" s="19" t="s">
        <v>44</v>
      </c>
      <c r="U1165" s="19" t="s">
        <v>44</v>
      </c>
      <c r="V1165" s="19" t="s">
        <v>253</v>
      </c>
      <c r="W1165" s="19" t="s">
        <v>231</v>
      </c>
      <c r="X1165" s="19" t="s">
        <v>46</v>
      </c>
      <c r="Y1165" s="29"/>
      <c r="Z1165" s="19"/>
      <c r="AA1165" s="19"/>
      <c r="AB1165" s="19" t="s">
        <v>794</v>
      </c>
      <c r="AC1165" s="19" t="s">
        <v>214</v>
      </c>
      <c r="AD1165" s="19"/>
      <c r="AE1165" s="19">
        <v>250</v>
      </c>
      <c r="AF1165" s="19"/>
      <c r="AG1165" s="19" t="s">
        <v>235</v>
      </c>
      <c r="AH1165" s="19"/>
      <c r="AI1165" s="19"/>
      <c r="AJ1165" s="19">
        <v>7.6</v>
      </c>
      <c r="AK1165" s="19" t="s">
        <v>546</v>
      </c>
      <c r="AL1165" s="19"/>
      <c r="AM1165" s="19" t="s">
        <v>234</v>
      </c>
      <c r="AN1165" s="19" t="s">
        <v>234</v>
      </c>
      <c r="AO1165" s="19" t="s">
        <v>235</v>
      </c>
      <c r="AP1165" s="94">
        <v>4</v>
      </c>
      <c r="AQ1165" s="19" t="s">
        <v>97</v>
      </c>
      <c r="AR1165" s="19" t="s">
        <v>241</v>
      </c>
      <c r="AS1165" s="19"/>
      <c r="AT1165" s="65" t="str">
        <f t="shared" si="330"/>
        <v>Y</v>
      </c>
      <c r="AU1165" s="65" t="str">
        <f t="shared" si="333"/>
        <v>Y</v>
      </c>
      <c r="AV1165" s="65" t="s">
        <v>162</v>
      </c>
      <c r="AW1165" s="99" t="s">
        <v>1406</v>
      </c>
      <c r="AX1165" s="99"/>
      <c r="AY1165" s="19"/>
      <c r="AZ1165" s="96" t="str">
        <f t="shared" si="334"/>
        <v>n</v>
      </c>
      <c r="BA1165" s="96" t="str">
        <f>IF(AZ1165="n","n",VLOOKUP(AZ1165,'Conversion factors'!$C$4:$D$24,2,FALSE))</f>
        <v>n</v>
      </c>
      <c r="BB1165" s="96" t="str">
        <f t="shared" si="335"/>
        <v>n</v>
      </c>
      <c r="BC1165" s="97"/>
      <c r="BD1165" s="96" t="str">
        <f t="shared" si="331"/>
        <v>n</v>
      </c>
      <c r="BE1165" s="96" t="str">
        <f t="shared" si="336"/>
        <v>n</v>
      </c>
      <c r="BF1165" s="98" t="str">
        <f t="shared" si="332"/>
        <v/>
      </c>
      <c r="BG1165" s="96" t="str">
        <f>IF(BF1165="","",IF(ISNUMBER(VLOOKUP(BF1165,'Conversion factors'!$B$35:$C$52,2,FALSE)),"y","n"))</f>
        <v/>
      </c>
      <c r="BH1165" s="99"/>
    </row>
    <row r="1166" spans="1:60" s="103" customFormat="1" ht="15.75" customHeight="1" x14ac:dyDescent="0.2">
      <c r="A1166" s="18"/>
      <c r="B1166" s="19">
        <v>288</v>
      </c>
      <c r="C1166" s="19"/>
      <c r="D1166" s="19">
        <v>101832</v>
      </c>
      <c r="E1166" s="19" t="s">
        <v>1224</v>
      </c>
      <c r="F1166" s="93">
        <v>2007</v>
      </c>
      <c r="G1166" s="19" t="s">
        <v>512</v>
      </c>
      <c r="H1166" s="19" t="s">
        <v>162</v>
      </c>
      <c r="I1166" s="19" t="s">
        <v>41</v>
      </c>
      <c r="J1166" s="19" t="s">
        <v>87</v>
      </c>
      <c r="K1166" s="19" t="s">
        <v>64</v>
      </c>
      <c r="L1166" s="99" t="s">
        <v>151</v>
      </c>
      <c r="M1166" s="19" t="s">
        <v>260</v>
      </c>
      <c r="N1166" s="19" t="s">
        <v>66</v>
      </c>
      <c r="O1166" s="19" t="s">
        <v>338</v>
      </c>
      <c r="P1166" s="19" t="s">
        <v>162</v>
      </c>
      <c r="Q1166" s="19"/>
      <c r="R1166" s="19" t="s">
        <v>76</v>
      </c>
      <c r="S1166" s="19" t="s">
        <v>534</v>
      </c>
      <c r="T1166" s="19" t="s">
        <v>44</v>
      </c>
      <c r="U1166" s="19" t="s">
        <v>44</v>
      </c>
      <c r="V1166" s="19" t="s">
        <v>253</v>
      </c>
      <c r="W1166" s="19" t="s">
        <v>231</v>
      </c>
      <c r="X1166" s="19" t="s">
        <v>46</v>
      </c>
      <c r="Y1166" s="29"/>
      <c r="Z1166" s="19"/>
      <c r="AA1166" s="19"/>
      <c r="AB1166" s="19" t="s">
        <v>1009</v>
      </c>
      <c r="AC1166" s="19" t="s">
        <v>214</v>
      </c>
      <c r="AD1166" s="19"/>
      <c r="AE1166" s="19">
        <v>250</v>
      </c>
      <c r="AF1166" s="19"/>
      <c r="AG1166" s="19" t="s">
        <v>235</v>
      </c>
      <c r="AH1166" s="19"/>
      <c r="AI1166" s="19"/>
      <c r="AJ1166" s="19">
        <v>7.6</v>
      </c>
      <c r="AK1166" s="19" t="s">
        <v>546</v>
      </c>
      <c r="AL1166" s="19"/>
      <c r="AM1166" s="19" t="s">
        <v>234</v>
      </c>
      <c r="AN1166" s="19" t="s">
        <v>234</v>
      </c>
      <c r="AO1166" s="19" t="s">
        <v>235</v>
      </c>
      <c r="AP1166" s="94">
        <v>4</v>
      </c>
      <c r="AQ1166" s="19" t="s">
        <v>97</v>
      </c>
      <c r="AR1166" s="19" t="s">
        <v>241</v>
      </c>
      <c r="AS1166" s="19"/>
      <c r="AT1166" s="65" t="str">
        <f t="shared" si="330"/>
        <v>Y</v>
      </c>
      <c r="AU1166" s="65" t="str">
        <f t="shared" si="333"/>
        <v>Y</v>
      </c>
      <c r="AV1166" s="65" t="s">
        <v>162</v>
      </c>
      <c r="AW1166" s="99" t="s">
        <v>1406</v>
      </c>
      <c r="AX1166" s="99"/>
      <c r="AY1166" s="19"/>
      <c r="AZ1166" s="96" t="str">
        <f t="shared" si="334"/>
        <v>n</v>
      </c>
      <c r="BA1166" s="96" t="str">
        <f>IF(AZ1166="n","n",VLOOKUP(AZ1166,'Conversion factors'!$C$4:$D$24,2,FALSE))</f>
        <v>n</v>
      </c>
      <c r="BB1166" s="96" t="str">
        <f t="shared" si="335"/>
        <v>n</v>
      </c>
      <c r="BC1166" s="97"/>
      <c r="BD1166" s="96" t="str">
        <f t="shared" si="331"/>
        <v>n</v>
      </c>
      <c r="BE1166" s="96" t="str">
        <f t="shared" si="336"/>
        <v>n</v>
      </c>
      <c r="BF1166" s="98" t="str">
        <f t="shared" si="332"/>
        <v/>
      </c>
      <c r="BG1166" s="96" t="str">
        <f>IF(BF1166="","",IF(ISNUMBER(VLOOKUP(BF1166,'Conversion factors'!$B$35:$C$52,2,FALSE)),"y","n"))</f>
        <v/>
      </c>
      <c r="BH1166" s="99"/>
    </row>
    <row r="1167" spans="1:60" s="103" customFormat="1" ht="15.75" customHeight="1" x14ac:dyDescent="0.2">
      <c r="A1167" s="18"/>
      <c r="B1167" s="19">
        <v>288</v>
      </c>
      <c r="C1167" s="19"/>
      <c r="D1167" s="19">
        <v>101832</v>
      </c>
      <c r="E1167" s="19" t="s">
        <v>1224</v>
      </c>
      <c r="F1167" s="93">
        <v>2007</v>
      </c>
      <c r="G1167" s="19" t="s">
        <v>512</v>
      </c>
      <c r="H1167" s="19" t="s">
        <v>162</v>
      </c>
      <c r="I1167" s="19" t="s">
        <v>41</v>
      </c>
      <c r="J1167" s="19" t="s">
        <v>87</v>
      </c>
      <c r="K1167" s="19" t="s">
        <v>64</v>
      </c>
      <c r="L1167" s="99" t="s">
        <v>151</v>
      </c>
      <c r="M1167" s="19" t="s">
        <v>260</v>
      </c>
      <c r="N1167" s="19" t="s">
        <v>66</v>
      </c>
      <c r="O1167" s="19" t="s">
        <v>292</v>
      </c>
      <c r="P1167" s="19" t="s">
        <v>162</v>
      </c>
      <c r="Q1167" s="19"/>
      <c r="R1167" s="19" t="s">
        <v>76</v>
      </c>
      <c r="S1167" s="19" t="s">
        <v>534</v>
      </c>
      <c r="T1167" s="19" t="s">
        <v>55</v>
      </c>
      <c r="U1167" s="19" t="s">
        <v>55</v>
      </c>
      <c r="V1167" s="19" t="s">
        <v>253</v>
      </c>
      <c r="W1167" s="19" t="s">
        <v>231</v>
      </c>
      <c r="X1167" s="19" t="s">
        <v>46</v>
      </c>
      <c r="Y1167" s="29"/>
      <c r="Z1167" s="19"/>
      <c r="AA1167" s="19"/>
      <c r="AB1167" s="19" t="s">
        <v>687</v>
      </c>
      <c r="AC1167" s="19" t="s">
        <v>214</v>
      </c>
      <c r="AD1167" s="19"/>
      <c r="AE1167" s="19">
        <v>250</v>
      </c>
      <c r="AF1167" s="19"/>
      <c r="AG1167" s="19" t="s">
        <v>235</v>
      </c>
      <c r="AH1167" s="19"/>
      <c r="AI1167" s="19"/>
      <c r="AJ1167" s="19">
        <v>7.6</v>
      </c>
      <c r="AK1167" s="19" t="s">
        <v>546</v>
      </c>
      <c r="AL1167" s="19"/>
      <c r="AM1167" s="19" t="s">
        <v>234</v>
      </c>
      <c r="AN1167" s="19" t="s">
        <v>234</v>
      </c>
      <c r="AO1167" s="19" t="s">
        <v>235</v>
      </c>
      <c r="AP1167" s="94">
        <v>4</v>
      </c>
      <c r="AQ1167" s="19" t="s">
        <v>97</v>
      </c>
      <c r="AR1167" s="19" t="s">
        <v>241</v>
      </c>
      <c r="AS1167" s="19"/>
      <c r="AT1167" s="65" t="str">
        <f t="shared" si="330"/>
        <v>Y</v>
      </c>
      <c r="AU1167" s="65" t="str">
        <f t="shared" si="333"/>
        <v>Y</v>
      </c>
      <c r="AV1167" s="65" t="s">
        <v>162</v>
      </c>
      <c r="AW1167" s="99" t="s">
        <v>1406</v>
      </c>
      <c r="AX1167" s="99"/>
      <c r="AY1167" s="19"/>
      <c r="AZ1167" s="96" t="str">
        <f t="shared" si="334"/>
        <v>n</v>
      </c>
      <c r="BA1167" s="96" t="str">
        <f>IF(AZ1167="n","n",VLOOKUP(AZ1167,'Conversion factors'!$C$4:$D$24,2,FALSE))</f>
        <v>n</v>
      </c>
      <c r="BB1167" s="96" t="str">
        <f t="shared" si="335"/>
        <v>n</v>
      </c>
      <c r="BC1167" s="97"/>
      <c r="BD1167" s="96" t="str">
        <f t="shared" si="331"/>
        <v>n</v>
      </c>
      <c r="BE1167" s="96" t="str">
        <f t="shared" si="336"/>
        <v>n</v>
      </c>
      <c r="BF1167" s="98" t="str">
        <f t="shared" si="332"/>
        <v/>
      </c>
      <c r="BG1167" s="96" t="str">
        <f>IF(BF1167="","",IF(ISNUMBER(VLOOKUP(BF1167,'Conversion factors'!$B$35:$C$52,2,FALSE)),"y","n"))</f>
        <v/>
      </c>
      <c r="BH1167" s="99"/>
    </row>
    <row r="1168" spans="1:60" s="103" customFormat="1" ht="15.75" customHeight="1" x14ac:dyDescent="0.2">
      <c r="A1168" s="18"/>
      <c r="B1168" s="19">
        <v>288</v>
      </c>
      <c r="C1168" s="19"/>
      <c r="D1168" s="19">
        <v>101832</v>
      </c>
      <c r="E1168" s="19" t="s">
        <v>1224</v>
      </c>
      <c r="F1168" s="93">
        <v>2007</v>
      </c>
      <c r="G1168" s="19" t="s">
        <v>512</v>
      </c>
      <c r="H1168" s="19" t="s">
        <v>162</v>
      </c>
      <c r="I1168" s="19" t="s">
        <v>41</v>
      </c>
      <c r="J1168" s="19" t="s">
        <v>87</v>
      </c>
      <c r="K1168" s="19" t="s">
        <v>64</v>
      </c>
      <c r="L1168" s="99" t="s">
        <v>151</v>
      </c>
      <c r="M1168" s="19" t="s">
        <v>260</v>
      </c>
      <c r="N1168" s="19" t="s">
        <v>66</v>
      </c>
      <c r="O1168" s="19" t="s">
        <v>292</v>
      </c>
      <c r="P1168" s="19" t="s">
        <v>162</v>
      </c>
      <c r="Q1168" s="19"/>
      <c r="R1168" s="19" t="s">
        <v>76</v>
      </c>
      <c r="S1168" s="19" t="s">
        <v>534</v>
      </c>
      <c r="T1168" s="19" t="s">
        <v>55</v>
      </c>
      <c r="U1168" s="19" t="s">
        <v>55</v>
      </c>
      <c r="V1168" s="19" t="s">
        <v>253</v>
      </c>
      <c r="W1168" s="19" t="s">
        <v>231</v>
      </c>
      <c r="X1168" s="19" t="s">
        <v>46</v>
      </c>
      <c r="Y1168" s="29"/>
      <c r="Z1168" s="19"/>
      <c r="AA1168" s="19"/>
      <c r="AB1168" s="19" t="s">
        <v>687</v>
      </c>
      <c r="AC1168" s="19" t="s">
        <v>214</v>
      </c>
      <c r="AD1168" s="19"/>
      <c r="AE1168" s="19">
        <v>250</v>
      </c>
      <c r="AF1168" s="19"/>
      <c r="AG1168" s="19" t="s">
        <v>235</v>
      </c>
      <c r="AH1168" s="19"/>
      <c r="AI1168" s="19"/>
      <c r="AJ1168" s="19">
        <v>7.6</v>
      </c>
      <c r="AK1168" s="19" t="s">
        <v>546</v>
      </c>
      <c r="AL1168" s="19"/>
      <c r="AM1168" s="19" t="s">
        <v>234</v>
      </c>
      <c r="AN1168" s="19" t="s">
        <v>234</v>
      </c>
      <c r="AO1168" s="19" t="s">
        <v>235</v>
      </c>
      <c r="AP1168" s="94">
        <v>4</v>
      </c>
      <c r="AQ1168" s="19" t="s">
        <v>97</v>
      </c>
      <c r="AR1168" s="19" t="s">
        <v>241</v>
      </c>
      <c r="AS1168" s="19"/>
      <c r="AT1168" s="65" t="str">
        <f t="shared" ref="AT1168:AT1231" si="337">IF(F1168&lt;1980,"N",IF(AC1168="M","Y",IF(AC1168="SM","Y","N")))</f>
        <v>Y</v>
      </c>
      <c r="AU1168" s="65" t="str">
        <f t="shared" si="333"/>
        <v>Y</v>
      </c>
      <c r="AV1168" s="65" t="s">
        <v>162</v>
      </c>
      <c r="AW1168" s="99" t="s">
        <v>1406</v>
      </c>
      <c r="AX1168" s="99"/>
      <c r="AY1168" s="19"/>
      <c r="AZ1168" s="96" t="str">
        <f t="shared" si="334"/>
        <v>n</v>
      </c>
      <c r="BA1168" s="96" t="str">
        <f>IF(AZ1168="n","n",VLOOKUP(AZ1168,'Conversion factors'!$C$4:$D$24,2,FALSE))</f>
        <v>n</v>
      </c>
      <c r="BB1168" s="96" t="str">
        <f t="shared" si="335"/>
        <v>n</v>
      </c>
      <c r="BC1168" s="97"/>
      <c r="BD1168" s="96" t="str">
        <f t="shared" ref="BD1168:BD1231" si="338">IF(AV1168="N","n",X1168)</f>
        <v>n</v>
      </c>
      <c r="BE1168" s="96" t="str">
        <f t="shared" si="336"/>
        <v>n</v>
      </c>
      <c r="BF1168" s="98" t="str">
        <f t="shared" si="332"/>
        <v/>
      </c>
      <c r="BG1168" s="96" t="str">
        <f>IF(BF1168="","",IF(ISNUMBER(VLOOKUP(BF1168,'Conversion factors'!$B$35:$C$52,2,FALSE)),"y","n"))</f>
        <v/>
      </c>
      <c r="BH1168" s="99"/>
    </row>
    <row r="1169" spans="1:60" s="103" customFormat="1" ht="15.75" customHeight="1" x14ac:dyDescent="0.2">
      <c r="A1169" s="18"/>
      <c r="B1169" s="19">
        <v>288</v>
      </c>
      <c r="C1169" s="19"/>
      <c r="D1169" s="19">
        <v>101832</v>
      </c>
      <c r="E1169" s="19" t="s">
        <v>1224</v>
      </c>
      <c r="F1169" s="93">
        <v>2007</v>
      </c>
      <c r="G1169" s="19" t="s">
        <v>512</v>
      </c>
      <c r="H1169" s="19" t="s">
        <v>162</v>
      </c>
      <c r="I1169" s="19" t="s">
        <v>41</v>
      </c>
      <c r="J1169" s="19" t="s">
        <v>87</v>
      </c>
      <c r="K1169" s="19" t="s">
        <v>64</v>
      </c>
      <c r="L1169" s="99" t="s">
        <v>151</v>
      </c>
      <c r="M1169" s="19" t="s">
        <v>260</v>
      </c>
      <c r="N1169" s="19" t="s">
        <v>66</v>
      </c>
      <c r="O1169" s="19" t="s">
        <v>292</v>
      </c>
      <c r="P1169" s="19" t="s">
        <v>162</v>
      </c>
      <c r="Q1169" s="19"/>
      <c r="R1169" s="19" t="s">
        <v>76</v>
      </c>
      <c r="S1169" s="19" t="s">
        <v>534</v>
      </c>
      <c r="T1169" s="19" t="s">
        <v>54</v>
      </c>
      <c r="U1169" s="19" t="s">
        <v>54</v>
      </c>
      <c r="V1169" s="19" t="s">
        <v>253</v>
      </c>
      <c r="W1169" s="19" t="s">
        <v>231</v>
      </c>
      <c r="X1169" s="19" t="s">
        <v>46</v>
      </c>
      <c r="Y1169" s="29"/>
      <c r="Z1169" s="19"/>
      <c r="AA1169" s="19"/>
      <c r="AB1169" s="19" t="s">
        <v>506</v>
      </c>
      <c r="AC1169" s="19" t="s">
        <v>214</v>
      </c>
      <c r="AD1169" s="19"/>
      <c r="AE1169" s="19">
        <v>250</v>
      </c>
      <c r="AF1169" s="19"/>
      <c r="AG1169" s="19" t="s">
        <v>235</v>
      </c>
      <c r="AH1169" s="19"/>
      <c r="AI1169" s="19"/>
      <c r="AJ1169" s="19">
        <v>7.6</v>
      </c>
      <c r="AK1169" s="19" t="s">
        <v>546</v>
      </c>
      <c r="AL1169" s="19"/>
      <c r="AM1169" s="19"/>
      <c r="AN1169" s="19" t="s">
        <v>234</v>
      </c>
      <c r="AO1169" s="19" t="s">
        <v>235</v>
      </c>
      <c r="AP1169" s="94">
        <v>4</v>
      </c>
      <c r="AQ1169" s="19" t="s">
        <v>97</v>
      </c>
      <c r="AR1169" s="19" t="s">
        <v>241</v>
      </c>
      <c r="AS1169" s="19"/>
      <c r="AT1169" s="65" t="str">
        <f t="shared" si="337"/>
        <v>Y</v>
      </c>
      <c r="AU1169" s="65" t="str">
        <f t="shared" si="333"/>
        <v>Y</v>
      </c>
      <c r="AV1169" s="65" t="str">
        <f>AU1169</f>
        <v>Y</v>
      </c>
      <c r="AW1169" s="99" t="s">
        <v>1406</v>
      </c>
      <c r="AX1169" s="99"/>
      <c r="AY1169" s="19"/>
      <c r="AZ1169" s="96" t="str">
        <f t="shared" si="334"/>
        <v>NOEC</v>
      </c>
      <c r="BA1169" s="96">
        <f>IF(AZ1169="n","n",VLOOKUP(AZ1169,'Conversion factors'!$C$4:$D$24,2,FALSE))</f>
        <v>1</v>
      </c>
      <c r="BB1169" s="96">
        <f t="shared" si="335"/>
        <v>80</v>
      </c>
      <c r="BC1169" s="97"/>
      <c r="BD1169" s="96" t="str">
        <f t="shared" si="338"/>
        <v>Chronic</v>
      </c>
      <c r="BE1169" s="96" t="str">
        <f t="shared" si="336"/>
        <v>y</v>
      </c>
      <c r="BF1169" s="98" t="str">
        <f t="shared" ref="BF1169:BF1232" si="339">IF(BE1169="n","",AZ1169)</f>
        <v>NOEC</v>
      </c>
      <c r="BG1169" s="96" t="str">
        <f>IF(BF1169="","",IF(ISNUMBER(VLOOKUP(BF1169,'Conversion factors'!$B$35:$C$52,2,FALSE)),"y","n"))</f>
        <v>y</v>
      </c>
      <c r="BH1169" s="99" t="s">
        <v>1524</v>
      </c>
    </row>
    <row r="1170" spans="1:60" s="103" customFormat="1" ht="15.75" customHeight="1" x14ac:dyDescent="0.2">
      <c r="A1170" s="18"/>
      <c r="B1170" s="19">
        <v>288</v>
      </c>
      <c r="C1170" s="19"/>
      <c r="D1170" s="19">
        <v>101832</v>
      </c>
      <c r="E1170" s="19" t="s">
        <v>1224</v>
      </c>
      <c r="F1170" s="93">
        <v>2007</v>
      </c>
      <c r="G1170" s="19" t="s">
        <v>512</v>
      </c>
      <c r="H1170" s="19" t="s">
        <v>162</v>
      </c>
      <c r="I1170" s="19" t="s">
        <v>41</v>
      </c>
      <c r="J1170" s="19" t="s">
        <v>87</v>
      </c>
      <c r="K1170" s="19" t="s">
        <v>64</v>
      </c>
      <c r="L1170" s="99" t="s">
        <v>151</v>
      </c>
      <c r="M1170" s="19" t="s">
        <v>260</v>
      </c>
      <c r="N1170" s="19" t="s">
        <v>66</v>
      </c>
      <c r="O1170" s="19" t="s">
        <v>292</v>
      </c>
      <c r="P1170" s="19" t="s">
        <v>162</v>
      </c>
      <c r="Q1170" s="19"/>
      <c r="R1170" s="19" t="s">
        <v>76</v>
      </c>
      <c r="S1170" s="19" t="s">
        <v>534</v>
      </c>
      <c r="T1170" s="19" t="s">
        <v>54</v>
      </c>
      <c r="U1170" s="19" t="s">
        <v>54</v>
      </c>
      <c r="V1170" s="19" t="s">
        <v>253</v>
      </c>
      <c r="W1170" s="19" t="s">
        <v>231</v>
      </c>
      <c r="X1170" s="19" t="s">
        <v>46</v>
      </c>
      <c r="Y1170" s="29"/>
      <c r="Z1170" s="19"/>
      <c r="AA1170" s="19"/>
      <c r="AB1170" s="19" t="s">
        <v>506</v>
      </c>
      <c r="AC1170" s="19" t="s">
        <v>214</v>
      </c>
      <c r="AD1170" s="19"/>
      <c r="AE1170" s="19">
        <v>250</v>
      </c>
      <c r="AF1170" s="19"/>
      <c r="AG1170" s="19" t="s">
        <v>235</v>
      </c>
      <c r="AH1170" s="19"/>
      <c r="AI1170" s="19"/>
      <c r="AJ1170" s="19">
        <v>7.6</v>
      </c>
      <c r="AK1170" s="19" t="s">
        <v>546</v>
      </c>
      <c r="AL1170" s="19"/>
      <c r="AM1170" s="19"/>
      <c r="AN1170" s="19" t="s">
        <v>234</v>
      </c>
      <c r="AO1170" s="19" t="s">
        <v>235</v>
      </c>
      <c r="AP1170" s="94">
        <v>4</v>
      </c>
      <c r="AQ1170" s="19" t="s">
        <v>97</v>
      </c>
      <c r="AR1170" s="19" t="s">
        <v>241</v>
      </c>
      <c r="AS1170" s="19"/>
      <c r="AT1170" s="65" t="str">
        <f t="shared" si="337"/>
        <v>Y</v>
      </c>
      <c r="AU1170" s="65" t="str">
        <f t="shared" si="333"/>
        <v>Y</v>
      </c>
      <c r="AV1170" s="65" t="str">
        <f>AU1170</f>
        <v>Y</v>
      </c>
      <c r="AW1170" s="99" t="s">
        <v>1406</v>
      </c>
      <c r="AX1170" s="99"/>
      <c r="AY1170" s="19"/>
      <c r="AZ1170" s="96" t="str">
        <f t="shared" si="334"/>
        <v>NOEC</v>
      </c>
      <c r="BA1170" s="96">
        <f>IF(AZ1170="n","n",VLOOKUP(AZ1170,'Conversion factors'!$C$4:$D$24,2,FALSE))</f>
        <v>1</v>
      </c>
      <c r="BB1170" s="96">
        <f t="shared" si="335"/>
        <v>80</v>
      </c>
      <c r="BC1170" s="97"/>
      <c r="BD1170" s="96" t="str">
        <f t="shared" si="338"/>
        <v>Chronic</v>
      </c>
      <c r="BE1170" s="96" t="str">
        <f t="shared" si="336"/>
        <v>y</v>
      </c>
      <c r="BF1170" s="98" t="str">
        <f t="shared" si="339"/>
        <v>NOEC</v>
      </c>
      <c r="BG1170" s="96" t="str">
        <f>IF(BF1170="","",IF(ISNUMBER(VLOOKUP(BF1170,'Conversion factors'!$B$35:$C$52,2,FALSE)),"y","n"))</f>
        <v>y</v>
      </c>
      <c r="BH1170" s="99" t="s">
        <v>1524</v>
      </c>
    </row>
    <row r="1171" spans="1:60" s="103" customFormat="1" ht="15.75" customHeight="1" x14ac:dyDescent="0.2">
      <c r="A1171" s="18"/>
      <c r="B1171" s="19">
        <v>288</v>
      </c>
      <c r="C1171" s="19"/>
      <c r="D1171" s="19">
        <v>101832</v>
      </c>
      <c r="E1171" s="19" t="s">
        <v>1224</v>
      </c>
      <c r="F1171" s="93">
        <v>2007</v>
      </c>
      <c r="G1171" s="19" t="s">
        <v>512</v>
      </c>
      <c r="H1171" s="19" t="s">
        <v>162</v>
      </c>
      <c r="I1171" s="19" t="s">
        <v>41</v>
      </c>
      <c r="J1171" s="19" t="s">
        <v>87</v>
      </c>
      <c r="K1171" s="19" t="s">
        <v>64</v>
      </c>
      <c r="L1171" s="99" t="s">
        <v>151</v>
      </c>
      <c r="M1171" s="19" t="s">
        <v>260</v>
      </c>
      <c r="N1171" s="19" t="s">
        <v>66</v>
      </c>
      <c r="O1171" s="19" t="s">
        <v>292</v>
      </c>
      <c r="P1171" s="19" t="s">
        <v>162</v>
      </c>
      <c r="Q1171" s="19"/>
      <c r="R1171" s="19" t="s">
        <v>76</v>
      </c>
      <c r="S1171" s="19" t="s">
        <v>534</v>
      </c>
      <c r="T1171" s="19" t="s">
        <v>55</v>
      </c>
      <c r="U1171" s="19" t="s">
        <v>55</v>
      </c>
      <c r="V1171" s="19" t="s">
        <v>94</v>
      </c>
      <c r="W1171" s="19" t="s">
        <v>231</v>
      </c>
      <c r="X1171" s="19" t="s">
        <v>46</v>
      </c>
      <c r="Y1171" s="29"/>
      <c r="Z1171" s="19"/>
      <c r="AA1171" s="19"/>
      <c r="AB1171" s="19" t="s">
        <v>687</v>
      </c>
      <c r="AC1171" s="19" t="s">
        <v>214</v>
      </c>
      <c r="AD1171" s="19"/>
      <c r="AE1171" s="19">
        <v>250</v>
      </c>
      <c r="AF1171" s="19"/>
      <c r="AG1171" s="19" t="s">
        <v>235</v>
      </c>
      <c r="AH1171" s="19"/>
      <c r="AI1171" s="19"/>
      <c r="AJ1171" s="19">
        <v>7.6</v>
      </c>
      <c r="AK1171" s="19" t="s">
        <v>546</v>
      </c>
      <c r="AL1171" s="19"/>
      <c r="AM1171" s="19" t="s">
        <v>234</v>
      </c>
      <c r="AN1171" s="19" t="s">
        <v>234</v>
      </c>
      <c r="AO1171" s="19" t="s">
        <v>235</v>
      </c>
      <c r="AP1171" s="94">
        <v>4</v>
      </c>
      <c r="AQ1171" s="19" t="s">
        <v>97</v>
      </c>
      <c r="AR1171" s="19" t="s">
        <v>241</v>
      </c>
      <c r="AS1171" s="19"/>
      <c r="AT1171" s="65" t="str">
        <f t="shared" si="337"/>
        <v>Y</v>
      </c>
      <c r="AU1171" s="65" t="str">
        <f t="shared" si="333"/>
        <v>Y</v>
      </c>
      <c r="AV1171" s="65" t="s">
        <v>162</v>
      </c>
      <c r="AW1171" s="99" t="s">
        <v>1406</v>
      </c>
      <c r="AX1171" s="99"/>
      <c r="AY1171" s="19"/>
      <c r="AZ1171" s="96" t="str">
        <f t="shared" si="334"/>
        <v>n</v>
      </c>
      <c r="BA1171" s="96" t="str">
        <f>IF(AZ1171="n","n",VLOOKUP(AZ1171,'Conversion factors'!$C$4:$D$24,2,FALSE))</f>
        <v>n</v>
      </c>
      <c r="BB1171" s="96" t="str">
        <f t="shared" si="335"/>
        <v>n</v>
      </c>
      <c r="BC1171" s="97"/>
      <c r="BD1171" s="96" t="str">
        <f t="shared" si="338"/>
        <v>n</v>
      </c>
      <c r="BE1171" s="96" t="str">
        <f t="shared" si="336"/>
        <v>n</v>
      </c>
      <c r="BF1171" s="98" t="str">
        <f t="shared" si="339"/>
        <v/>
      </c>
      <c r="BG1171" s="96" t="str">
        <f>IF(BF1171="","",IF(ISNUMBER(VLOOKUP(BF1171,'Conversion factors'!$B$35:$C$52,2,FALSE)),"y","n"))</f>
        <v/>
      </c>
      <c r="BH1171" s="99"/>
    </row>
    <row r="1172" spans="1:60" s="103" customFormat="1" ht="15.75" customHeight="1" x14ac:dyDescent="0.2">
      <c r="A1172" s="18"/>
      <c r="B1172" s="19">
        <v>288</v>
      </c>
      <c r="C1172" s="19"/>
      <c r="D1172" s="19">
        <v>101832</v>
      </c>
      <c r="E1172" s="19" t="s">
        <v>1224</v>
      </c>
      <c r="F1172" s="93">
        <v>2007</v>
      </c>
      <c r="G1172" s="19" t="s">
        <v>512</v>
      </c>
      <c r="H1172" s="19" t="s">
        <v>162</v>
      </c>
      <c r="I1172" s="19" t="s">
        <v>41</v>
      </c>
      <c r="J1172" s="19" t="s">
        <v>87</v>
      </c>
      <c r="K1172" s="19" t="s">
        <v>64</v>
      </c>
      <c r="L1172" s="99" t="s">
        <v>151</v>
      </c>
      <c r="M1172" s="19" t="s">
        <v>260</v>
      </c>
      <c r="N1172" s="19" t="s">
        <v>66</v>
      </c>
      <c r="O1172" s="19" t="s">
        <v>292</v>
      </c>
      <c r="P1172" s="19" t="s">
        <v>162</v>
      </c>
      <c r="Q1172" s="19"/>
      <c r="R1172" s="19" t="s">
        <v>76</v>
      </c>
      <c r="S1172" s="19" t="s">
        <v>534</v>
      </c>
      <c r="T1172" s="19" t="s">
        <v>54</v>
      </c>
      <c r="U1172" s="19" t="s">
        <v>54</v>
      </c>
      <c r="V1172" s="19" t="s">
        <v>94</v>
      </c>
      <c r="W1172" s="19" t="s">
        <v>231</v>
      </c>
      <c r="X1172" s="19" t="s">
        <v>46</v>
      </c>
      <c r="Y1172" s="29"/>
      <c r="Z1172" s="19"/>
      <c r="AA1172" s="19"/>
      <c r="AB1172" s="19" t="s">
        <v>1012</v>
      </c>
      <c r="AC1172" s="19" t="s">
        <v>214</v>
      </c>
      <c r="AD1172" s="19"/>
      <c r="AE1172" s="19">
        <v>250</v>
      </c>
      <c r="AF1172" s="19"/>
      <c r="AG1172" s="19" t="s">
        <v>235</v>
      </c>
      <c r="AH1172" s="19"/>
      <c r="AI1172" s="19"/>
      <c r="AJ1172" s="19">
        <v>7.6</v>
      </c>
      <c r="AK1172" s="19" t="s">
        <v>546</v>
      </c>
      <c r="AL1172" s="19"/>
      <c r="AM1172" s="19" t="s">
        <v>234</v>
      </c>
      <c r="AN1172" s="19" t="s">
        <v>234</v>
      </c>
      <c r="AO1172" s="19" t="s">
        <v>235</v>
      </c>
      <c r="AP1172" s="94">
        <v>4</v>
      </c>
      <c r="AQ1172" s="19" t="s">
        <v>97</v>
      </c>
      <c r="AR1172" s="19" t="s">
        <v>241</v>
      </c>
      <c r="AS1172" s="19"/>
      <c r="AT1172" s="65" t="str">
        <f t="shared" si="337"/>
        <v>Y</v>
      </c>
      <c r="AU1172" s="65" t="str">
        <f t="shared" si="333"/>
        <v>Y</v>
      </c>
      <c r="AV1172" s="65" t="s">
        <v>162</v>
      </c>
      <c r="AW1172" s="99" t="s">
        <v>1406</v>
      </c>
      <c r="AX1172" s="99"/>
      <c r="AY1172" s="19"/>
      <c r="AZ1172" s="96" t="str">
        <f t="shared" si="334"/>
        <v>n</v>
      </c>
      <c r="BA1172" s="96" t="str">
        <f>IF(AZ1172="n","n",VLOOKUP(AZ1172,'Conversion factors'!$C$4:$D$24,2,FALSE))</f>
        <v>n</v>
      </c>
      <c r="BB1172" s="96" t="str">
        <f t="shared" si="335"/>
        <v>n</v>
      </c>
      <c r="BC1172" s="97"/>
      <c r="BD1172" s="96" t="str">
        <f t="shared" si="338"/>
        <v>n</v>
      </c>
      <c r="BE1172" s="96" t="str">
        <f t="shared" si="336"/>
        <v>n</v>
      </c>
      <c r="BF1172" s="98" t="str">
        <f t="shared" si="339"/>
        <v/>
      </c>
      <c r="BG1172" s="96" t="str">
        <f>IF(BF1172="","",IF(ISNUMBER(VLOOKUP(BF1172,'Conversion factors'!$B$35:$C$52,2,FALSE)),"y","n"))</f>
        <v/>
      </c>
      <c r="BH1172" s="99"/>
    </row>
    <row r="1173" spans="1:60" s="103" customFormat="1" ht="15.75" customHeight="1" x14ac:dyDescent="0.2">
      <c r="A1173" s="18"/>
      <c r="B1173" s="19">
        <v>288</v>
      </c>
      <c r="C1173" s="19"/>
      <c r="D1173" s="19">
        <v>101832</v>
      </c>
      <c r="E1173" s="19" t="s">
        <v>1224</v>
      </c>
      <c r="F1173" s="93">
        <v>2007</v>
      </c>
      <c r="G1173" s="19" t="s">
        <v>512</v>
      </c>
      <c r="H1173" s="19" t="s">
        <v>162</v>
      </c>
      <c r="I1173" s="19" t="s">
        <v>41</v>
      </c>
      <c r="J1173" s="19" t="s">
        <v>87</v>
      </c>
      <c r="K1173" s="19" t="s">
        <v>64</v>
      </c>
      <c r="L1173" s="99" t="s">
        <v>151</v>
      </c>
      <c r="M1173" s="19" t="s">
        <v>260</v>
      </c>
      <c r="N1173" s="19" t="s">
        <v>66</v>
      </c>
      <c r="O1173" s="19" t="s">
        <v>292</v>
      </c>
      <c r="P1173" s="19" t="s">
        <v>162</v>
      </c>
      <c r="Q1173" s="19"/>
      <c r="R1173" s="19" t="s">
        <v>76</v>
      </c>
      <c r="S1173" s="19" t="s">
        <v>534</v>
      </c>
      <c r="T1173" s="19" t="s">
        <v>54</v>
      </c>
      <c r="U1173" s="19" t="s">
        <v>54</v>
      </c>
      <c r="V1173" s="19" t="s">
        <v>94</v>
      </c>
      <c r="W1173" s="19" t="s">
        <v>231</v>
      </c>
      <c r="X1173" s="19" t="s">
        <v>46</v>
      </c>
      <c r="Y1173" s="29"/>
      <c r="Z1173" s="19"/>
      <c r="AA1173" s="19"/>
      <c r="AB1173" s="19" t="s">
        <v>506</v>
      </c>
      <c r="AC1173" s="19" t="s">
        <v>214</v>
      </c>
      <c r="AD1173" s="19"/>
      <c r="AE1173" s="19">
        <v>250</v>
      </c>
      <c r="AF1173" s="19"/>
      <c r="AG1173" s="19" t="s">
        <v>235</v>
      </c>
      <c r="AH1173" s="19"/>
      <c r="AI1173" s="19"/>
      <c r="AJ1173" s="19">
        <v>7.6</v>
      </c>
      <c r="AK1173" s="19" t="s">
        <v>546</v>
      </c>
      <c r="AL1173" s="19"/>
      <c r="AM1173" s="19" t="s">
        <v>234</v>
      </c>
      <c r="AN1173" s="19" t="s">
        <v>234</v>
      </c>
      <c r="AO1173" s="19" t="s">
        <v>235</v>
      </c>
      <c r="AP1173" s="94">
        <v>4</v>
      </c>
      <c r="AQ1173" s="19" t="s">
        <v>97</v>
      </c>
      <c r="AR1173" s="19" t="s">
        <v>241</v>
      </c>
      <c r="AS1173" s="19"/>
      <c r="AT1173" s="65" t="str">
        <f t="shared" si="337"/>
        <v>Y</v>
      </c>
      <c r="AU1173" s="65" t="str">
        <f t="shared" si="333"/>
        <v>Y</v>
      </c>
      <c r="AV1173" s="65" t="s">
        <v>162</v>
      </c>
      <c r="AW1173" s="99" t="s">
        <v>1406</v>
      </c>
      <c r="AX1173" s="99"/>
      <c r="AY1173" s="19"/>
      <c r="AZ1173" s="96" t="str">
        <f t="shared" si="334"/>
        <v>n</v>
      </c>
      <c r="BA1173" s="96" t="str">
        <f>IF(AZ1173="n","n",VLOOKUP(AZ1173,'Conversion factors'!$C$4:$D$24,2,FALSE))</f>
        <v>n</v>
      </c>
      <c r="BB1173" s="96" t="str">
        <f t="shared" si="335"/>
        <v>n</v>
      </c>
      <c r="BC1173" s="97"/>
      <c r="BD1173" s="96" t="str">
        <f t="shared" si="338"/>
        <v>n</v>
      </c>
      <c r="BE1173" s="96" t="str">
        <f t="shared" si="336"/>
        <v>n</v>
      </c>
      <c r="BF1173" s="98" t="str">
        <f t="shared" si="339"/>
        <v/>
      </c>
      <c r="BG1173" s="96" t="str">
        <f>IF(BF1173="","",IF(ISNUMBER(VLOOKUP(BF1173,'Conversion factors'!$B$35:$C$52,2,FALSE)),"y","n"))</f>
        <v/>
      </c>
      <c r="BH1173" s="99"/>
    </row>
    <row r="1174" spans="1:60" s="103" customFormat="1" ht="15.75" customHeight="1" x14ac:dyDescent="0.2">
      <c r="A1174" s="18"/>
      <c r="B1174" s="19">
        <v>294</v>
      </c>
      <c r="C1174" s="19"/>
      <c r="D1174" s="19">
        <v>102216</v>
      </c>
      <c r="E1174" s="19" t="s">
        <v>1224</v>
      </c>
      <c r="F1174" s="93">
        <v>2006</v>
      </c>
      <c r="G1174" s="19" t="s">
        <v>1027</v>
      </c>
      <c r="H1174" s="19" t="s">
        <v>162</v>
      </c>
      <c r="I1174" s="19" t="s">
        <v>41</v>
      </c>
      <c r="J1174" s="19" t="s">
        <v>87</v>
      </c>
      <c r="K1174" s="19" t="s">
        <v>64</v>
      </c>
      <c r="L1174" s="99" t="s">
        <v>151</v>
      </c>
      <c r="M1174" s="19" t="s">
        <v>260</v>
      </c>
      <c r="N1174" s="19" t="s">
        <v>66</v>
      </c>
      <c r="O1174" s="19" t="s">
        <v>338</v>
      </c>
      <c r="P1174" s="19" t="s">
        <v>162</v>
      </c>
      <c r="Q1174" s="19"/>
      <c r="R1174" s="19" t="s">
        <v>237</v>
      </c>
      <c r="S1174" s="19" t="s">
        <v>414</v>
      </c>
      <c r="T1174" s="19" t="s">
        <v>454</v>
      </c>
      <c r="U1174" s="19" t="s">
        <v>454</v>
      </c>
      <c r="V1174" s="19" t="s">
        <v>94</v>
      </c>
      <c r="W1174" s="19" t="s">
        <v>231</v>
      </c>
      <c r="X1174" s="19" t="s">
        <v>46</v>
      </c>
      <c r="Y1174" s="29"/>
      <c r="Z1174" s="19"/>
      <c r="AA1174" s="19"/>
      <c r="AB1174" s="19" t="s">
        <v>641</v>
      </c>
      <c r="AC1174" s="19" t="s">
        <v>1322</v>
      </c>
      <c r="AD1174" s="19"/>
      <c r="AE1174" s="19">
        <v>100</v>
      </c>
      <c r="AF1174" s="19" t="s">
        <v>1032</v>
      </c>
      <c r="AG1174" s="19" t="s">
        <v>270</v>
      </c>
      <c r="AH1174" s="19"/>
      <c r="AI1174" s="19"/>
      <c r="AJ1174" s="19">
        <f t="shared" ref="AJ1174:AJ1194" si="340">MEDIAN(7.6,7.9)</f>
        <v>7.75</v>
      </c>
      <c r="AK1174" s="19" t="s">
        <v>1028</v>
      </c>
      <c r="AL1174" s="19"/>
      <c r="AM1174" s="19" t="s">
        <v>234</v>
      </c>
      <c r="AN1174" s="19" t="s">
        <v>1029</v>
      </c>
      <c r="AO1174" s="19" t="s">
        <v>270</v>
      </c>
      <c r="AP1174" s="94"/>
      <c r="AQ1174" s="19" t="s">
        <v>102</v>
      </c>
      <c r="AR1174" s="19" t="s">
        <v>241</v>
      </c>
      <c r="AS1174" s="19"/>
      <c r="AT1174" s="65" t="str">
        <f t="shared" si="337"/>
        <v>N</v>
      </c>
      <c r="AU1174" s="65" t="str">
        <f t="shared" si="333"/>
        <v>N</v>
      </c>
      <c r="AV1174" s="65" t="str">
        <f t="shared" ref="AV1174:AV1237" si="341">AU1174</f>
        <v>N</v>
      </c>
      <c r="AW1174" s="99"/>
      <c r="AX1174" s="99"/>
      <c r="AY1174" s="19"/>
      <c r="AZ1174" s="96" t="str">
        <f t="shared" si="334"/>
        <v>n</v>
      </c>
      <c r="BA1174" s="96" t="str">
        <f>IF(AZ1174="n","n",VLOOKUP(AZ1174,'Conversion factors'!$C$4:$D$24,2,FALSE))</f>
        <v>n</v>
      </c>
      <c r="BB1174" s="96" t="str">
        <f t="shared" si="335"/>
        <v>n</v>
      </c>
      <c r="BC1174" s="97"/>
      <c r="BD1174" s="96" t="str">
        <f t="shared" si="338"/>
        <v>n</v>
      </c>
      <c r="BE1174" s="96" t="str">
        <f t="shared" si="336"/>
        <v>n</v>
      </c>
      <c r="BF1174" s="98" t="str">
        <f t="shared" si="339"/>
        <v/>
      </c>
      <c r="BG1174" s="96" t="str">
        <f>IF(BF1174="","",IF(ISNUMBER(VLOOKUP(BF1174,'Conversion factors'!$B$35:$C$52,2,FALSE)),"y","n"))</f>
        <v/>
      </c>
      <c r="BH1174" s="99"/>
    </row>
    <row r="1175" spans="1:60" s="103" customFormat="1" ht="15.75" customHeight="1" x14ac:dyDescent="0.2">
      <c r="A1175" s="18"/>
      <c r="B1175" s="19">
        <v>294</v>
      </c>
      <c r="C1175" s="19"/>
      <c r="D1175" s="19">
        <v>102216</v>
      </c>
      <c r="E1175" s="19" t="s">
        <v>1224</v>
      </c>
      <c r="F1175" s="93">
        <v>2006</v>
      </c>
      <c r="G1175" s="19" t="s">
        <v>1027</v>
      </c>
      <c r="H1175" s="19" t="s">
        <v>162</v>
      </c>
      <c r="I1175" s="19" t="s">
        <v>41</v>
      </c>
      <c r="J1175" s="19" t="s">
        <v>87</v>
      </c>
      <c r="K1175" s="19" t="s">
        <v>64</v>
      </c>
      <c r="L1175" s="99" t="s">
        <v>151</v>
      </c>
      <c r="M1175" s="19" t="s">
        <v>260</v>
      </c>
      <c r="N1175" s="19" t="s">
        <v>66</v>
      </c>
      <c r="O1175" s="19" t="s">
        <v>338</v>
      </c>
      <c r="P1175" s="19" t="s">
        <v>162</v>
      </c>
      <c r="Q1175" s="19"/>
      <c r="R1175" s="19" t="s">
        <v>237</v>
      </c>
      <c r="S1175" s="19" t="s">
        <v>414</v>
      </c>
      <c r="T1175" s="19" t="s">
        <v>454</v>
      </c>
      <c r="U1175" s="19" t="s">
        <v>454</v>
      </c>
      <c r="V1175" s="19" t="s">
        <v>94</v>
      </c>
      <c r="W1175" s="19" t="s">
        <v>231</v>
      </c>
      <c r="X1175" s="19" t="s">
        <v>46</v>
      </c>
      <c r="Y1175" s="29"/>
      <c r="Z1175" s="19"/>
      <c r="AA1175" s="19"/>
      <c r="AB1175" s="19" t="s">
        <v>641</v>
      </c>
      <c r="AC1175" s="19" t="s">
        <v>1322</v>
      </c>
      <c r="AD1175" s="19"/>
      <c r="AE1175" s="19">
        <v>100</v>
      </c>
      <c r="AF1175" s="19" t="s">
        <v>1032</v>
      </c>
      <c r="AG1175" s="19" t="s">
        <v>270</v>
      </c>
      <c r="AH1175" s="19"/>
      <c r="AI1175" s="19"/>
      <c r="AJ1175" s="19">
        <f t="shared" si="340"/>
        <v>7.75</v>
      </c>
      <c r="AK1175" s="19" t="s">
        <v>1028</v>
      </c>
      <c r="AL1175" s="19"/>
      <c r="AM1175" s="19" t="s">
        <v>234</v>
      </c>
      <c r="AN1175" s="19" t="s">
        <v>1029</v>
      </c>
      <c r="AO1175" s="19" t="s">
        <v>270</v>
      </c>
      <c r="AP1175" s="94"/>
      <c r="AQ1175" s="19" t="s">
        <v>102</v>
      </c>
      <c r="AR1175" s="19" t="s">
        <v>241</v>
      </c>
      <c r="AS1175" s="19"/>
      <c r="AT1175" s="65" t="str">
        <f t="shared" si="337"/>
        <v>N</v>
      </c>
      <c r="AU1175" s="65" t="str">
        <f t="shared" si="333"/>
        <v>N</v>
      </c>
      <c r="AV1175" s="65" t="str">
        <f t="shared" si="341"/>
        <v>N</v>
      </c>
      <c r="AW1175" s="99"/>
      <c r="AX1175" s="99"/>
      <c r="AY1175" s="19"/>
      <c r="AZ1175" s="96" t="str">
        <f t="shared" si="334"/>
        <v>n</v>
      </c>
      <c r="BA1175" s="96" t="str">
        <f>IF(AZ1175="n","n",VLOOKUP(AZ1175,'Conversion factors'!$C$4:$D$24,2,FALSE))</f>
        <v>n</v>
      </c>
      <c r="BB1175" s="96" t="str">
        <f t="shared" si="335"/>
        <v>n</v>
      </c>
      <c r="BC1175" s="97"/>
      <c r="BD1175" s="96" t="str">
        <f t="shared" si="338"/>
        <v>n</v>
      </c>
      <c r="BE1175" s="96" t="str">
        <f t="shared" si="336"/>
        <v>n</v>
      </c>
      <c r="BF1175" s="98" t="str">
        <f t="shared" si="339"/>
        <v/>
      </c>
      <c r="BG1175" s="96" t="str">
        <f>IF(BF1175="","",IF(ISNUMBER(VLOOKUP(BF1175,'Conversion factors'!$B$35:$C$52,2,FALSE)),"y","n"))</f>
        <v/>
      </c>
      <c r="BH1175" s="99"/>
    </row>
    <row r="1176" spans="1:60" s="103" customFormat="1" ht="15.75" customHeight="1" x14ac:dyDescent="0.2">
      <c r="A1176" s="18"/>
      <c r="B1176" s="19">
        <v>294</v>
      </c>
      <c r="C1176" s="19"/>
      <c r="D1176" s="19">
        <v>102216</v>
      </c>
      <c r="E1176" s="19" t="s">
        <v>1224</v>
      </c>
      <c r="F1176" s="93">
        <v>2006</v>
      </c>
      <c r="G1176" s="19" t="s">
        <v>1027</v>
      </c>
      <c r="H1176" s="19" t="s">
        <v>162</v>
      </c>
      <c r="I1176" s="19" t="s">
        <v>41</v>
      </c>
      <c r="J1176" s="19" t="s">
        <v>87</v>
      </c>
      <c r="K1176" s="19" t="s">
        <v>64</v>
      </c>
      <c r="L1176" s="99" t="s">
        <v>151</v>
      </c>
      <c r="M1176" s="19" t="s">
        <v>260</v>
      </c>
      <c r="N1176" s="19" t="s">
        <v>66</v>
      </c>
      <c r="O1176" s="19" t="s">
        <v>338</v>
      </c>
      <c r="P1176" s="19" t="s">
        <v>162</v>
      </c>
      <c r="Q1176" s="19"/>
      <c r="R1176" s="19" t="s">
        <v>237</v>
      </c>
      <c r="S1176" s="19" t="s">
        <v>414</v>
      </c>
      <c r="T1176" s="19" t="s">
        <v>454</v>
      </c>
      <c r="U1176" s="19" t="s">
        <v>454</v>
      </c>
      <c r="V1176" s="19" t="s">
        <v>94</v>
      </c>
      <c r="W1176" s="19" t="s">
        <v>231</v>
      </c>
      <c r="X1176" s="19" t="s">
        <v>46</v>
      </c>
      <c r="Y1176" s="29"/>
      <c r="Z1176" s="19"/>
      <c r="AA1176" s="19"/>
      <c r="AB1176" s="19" t="s">
        <v>329</v>
      </c>
      <c r="AC1176" s="19" t="s">
        <v>1322</v>
      </c>
      <c r="AD1176" s="19"/>
      <c r="AE1176" s="19">
        <v>100</v>
      </c>
      <c r="AF1176" s="19" t="s">
        <v>1032</v>
      </c>
      <c r="AG1176" s="19" t="s">
        <v>270</v>
      </c>
      <c r="AH1176" s="19"/>
      <c r="AI1176" s="19"/>
      <c r="AJ1176" s="19">
        <f t="shared" si="340"/>
        <v>7.75</v>
      </c>
      <c r="AK1176" s="19" t="s">
        <v>1028</v>
      </c>
      <c r="AL1176" s="19"/>
      <c r="AM1176" s="19" t="s">
        <v>234</v>
      </c>
      <c r="AN1176" s="19" t="s">
        <v>1029</v>
      </c>
      <c r="AO1176" s="19" t="s">
        <v>270</v>
      </c>
      <c r="AP1176" s="94"/>
      <c r="AQ1176" s="19" t="s">
        <v>102</v>
      </c>
      <c r="AR1176" s="19" t="s">
        <v>241</v>
      </c>
      <c r="AS1176" s="19"/>
      <c r="AT1176" s="65" t="str">
        <f t="shared" si="337"/>
        <v>N</v>
      </c>
      <c r="AU1176" s="65" t="str">
        <f t="shared" si="333"/>
        <v>N</v>
      </c>
      <c r="AV1176" s="65" t="str">
        <f t="shared" si="341"/>
        <v>N</v>
      </c>
      <c r="AW1176" s="99"/>
      <c r="AX1176" s="99"/>
      <c r="AY1176" s="19"/>
      <c r="AZ1176" s="96" t="str">
        <f t="shared" si="334"/>
        <v>n</v>
      </c>
      <c r="BA1176" s="96" t="str">
        <f>IF(AZ1176="n","n",VLOOKUP(AZ1176,'Conversion factors'!$C$4:$D$24,2,FALSE))</f>
        <v>n</v>
      </c>
      <c r="BB1176" s="96" t="str">
        <f t="shared" si="335"/>
        <v>n</v>
      </c>
      <c r="BC1176" s="97"/>
      <c r="BD1176" s="96" t="str">
        <f t="shared" si="338"/>
        <v>n</v>
      </c>
      <c r="BE1176" s="96" t="str">
        <f t="shared" si="336"/>
        <v>n</v>
      </c>
      <c r="BF1176" s="98" t="str">
        <f t="shared" si="339"/>
        <v/>
      </c>
      <c r="BG1176" s="96" t="str">
        <f>IF(BF1176="","",IF(ISNUMBER(VLOOKUP(BF1176,'Conversion factors'!$B$35:$C$52,2,FALSE)),"y","n"))</f>
        <v/>
      </c>
      <c r="BH1176" s="99"/>
    </row>
    <row r="1177" spans="1:60" s="103" customFormat="1" ht="15.75" customHeight="1" x14ac:dyDescent="0.2">
      <c r="A1177" s="18"/>
      <c r="B1177" s="19">
        <v>294</v>
      </c>
      <c r="C1177" s="19"/>
      <c r="D1177" s="19">
        <v>102216</v>
      </c>
      <c r="E1177" s="19" t="s">
        <v>1224</v>
      </c>
      <c r="F1177" s="93">
        <v>2006</v>
      </c>
      <c r="G1177" s="19" t="s">
        <v>1027</v>
      </c>
      <c r="H1177" s="19" t="s">
        <v>162</v>
      </c>
      <c r="I1177" s="19" t="s">
        <v>41</v>
      </c>
      <c r="J1177" s="19" t="s">
        <v>87</v>
      </c>
      <c r="K1177" s="19" t="s">
        <v>64</v>
      </c>
      <c r="L1177" s="99" t="s">
        <v>151</v>
      </c>
      <c r="M1177" s="19" t="s">
        <v>260</v>
      </c>
      <c r="N1177" s="19" t="s">
        <v>66</v>
      </c>
      <c r="O1177" s="19" t="s">
        <v>338</v>
      </c>
      <c r="P1177" s="19" t="s">
        <v>162</v>
      </c>
      <c r="Q1177" s="19"/>
      <c r="R1177" s="19" t="s">
        <v>237</v>
      </c>
      <c r="S1177" s="19" t="s">
        <v>414</v>
      </c>
      <c r="T1177" s="19" t="s">
        <v>454</v>
      </c>
      <c r="U1177" s="19" t="s">
        <v>454</v>
      </c>
      <c r="V1177" s="19" t="s">
        <v>94</v>
      </c>
      <c r="W1177" s="19" t="s">
        <v>231</v>
      </c>
      <c r="X1177" s="19" t="s">
        <v>46</v>
      </c>
      <c r="Y1177" s="29"/>
      <c r="Z1177" s="19"/>
      <c r="AA1177" s="19"/>
      <c r="AB1177" s="19" t="s">
        <v>262</v>
      </c>
      <c r="AC1177" s="19" t="s">
        <v>1322</v>
      </c>
      <c r="AD1177" s="19"/>
      <c r="AE1177" s="19">
        <v>100</v>
      </c>
      <c r="AF1177" s="19" t="s">
        <v>1032</v>
      </c>
      <c r="AG1177" s="19" t="s">
        <v>270</v>
      </c>
      <c r="AH1177" s="19"/>
      <c r="AI1177" s="19"/>
      <c r="AJ1177" s="19">
        <f t="shared" si="340"/>
        <v>7.75</v>
      </c>
      <c r="AK1177" s="19" t="s">
        <v>1028</v>
      </c>
      <c r="AL1177" s="19"/>
      <c r="AM1177" s="19" t="s">
        <v>234</v>
      </c>
      <c r="AN1177" s="19" t="s">
        <v>1029</v>
      </c>
      <c r="AO1177" s="19" t="s">
        <v>270</v>
      </c>
      <c r="AP1177" s="94"/>
      <c r="AQ1177" s="19" t="s">
        <v>102</v>
      </c>
      <c r="AR1177" s="19" t="s">
        <v>241</v>
      </c>
      <c r="AS1177" s="19"/>
      <c r="AT1177" s="65" t="str">
        <f t="shared" si="337"/>
        <v>N</v>
      </c>
      <c r="AU1177" s="65" t="str">
        <f t="shared" si="333"/>
        <v>N</v>
      </c>
      <c r="AV1177" s="65" t="str">
        <f t="shared" si="341"/>
        <v>N</v>
      </c>
      <c r="AW1177" s="99"/>
      <c r="AX1177" s="99"/>
      <c r="AY1177" s="19"/>
      <c r="AZ1177" s="96" t="str">
        <f t="shared" si="334"/>
        <v>n</v>
      </c>
      <c r="BA1177" s="96" t="str">
        <f>IF(AZ1177="n","n",VLOOKUP(AZ1177,'Conversion factors'!$C$4:$D$24,2,FALSE))</f>
        <v>n</v>
      </c>
      <c r="BB1177" s="96" t="str">
        <f t="shared" si="335"/>
        <v>n</v>
      </c>
      <c r="BC1177" s="97"/>
      <c r="BD1177" s="96" t="str">
        <f t="shared" si="338"/>
        <v>n</v>
      </c>
      <c r="BE1177" s="96" t="str">
        <f t="shared" si="336"/>
        <v>n</v>
      </c>
      <c r="BF1177" s="98" t="str">
        <f t="shared" si="339"/>
        <v/>
      </c>
      <c r="BG1177" s="96" t="str">
        <f>IF(BF1177="","",IF(ISNUMBER(VLOOKUP(BF1177,'Conversion factors'!$B$35:$C$52,2,FALSE)),"y","n"))</f>
        <v/>
      </c>
      <c r="BH1177" s="99"/>
    </row>
    <row r="1178" spans="1:60" s="103" customFormat="1" ht="15.75" customHeight="1" x14ac:dyDescent="0.2">
      <c r="A1178" s="18"/>
      <c r="B1178" s="19">
        <v>294</v>
      </c>
      <c r="C1178" s="19"/>
      <c r="D1178" s="19">
        <v>102216</v>
      </c>
      <c r="E1178" s="19" t="s">
        <v>1224</v>
      </c>
      <c r="F1178" s="93">
        <v>2006</v>
      </c>
      <c r="G1178" s="19" t="s">
        <v>1027</v>
      </c>
      <c r="H1178" s="19" t="s">
        <v>162</v>
      </c>
      <c r="I1178" s="19" t="s">
        <v>41</v>
      </c>
      <c r="J1178" s="19" t="s">
        <v>87</v>
      </c>
      <c r="K1178" s="19" t="s">
        <v>64</v>
      </c>
      <c r="L1178" s="99" t="s">
        <v>151</v>
      </c>
      <c r="M1178" s="19" t="s">
        <v>260</v>
      </c>
      <c r="N1178" s="19" t="s">
        <v>66</v>
      </c>
      <c r="O1178" s="19" t="s">
        <v>338</v>
      </c>
      <c r="P1178" s="19" t="s">
        <v>162</v>
      </c>
      <c r="Q1178" s="19"/>
      <c r="R1178" s="19" t="s">
        <v>237</v>
      </c>
      <c r="S1178" s="19" t="s">
        <v>414</v>
      </c>
      <c r="T1178" s="19" t="s">
        <v>454</v>
      </c>
      <c r="U1178" s="19" t="s">
        <v>454</v>
      </c>
      <c r="V1178" s="19" t="s">
        <v>94</v>
      </c>
      <c r="W1178" s="19" t="s">
        <v>231</v>
      </c>
      <c r="X1178" s="19" t="s">
        <v>46</v>
      </c>
      <c r="Y1178" s="29"/>
      <c r="Z1178" s="19"/>
      <c r="AA1178" s="19"/>
      <c r="AB1178" s="19" t="s">
        <v>329</v>
      </c>
      <c r="AC1178" s="19" t="s">
        <v>1322</v>
      </c>
      <c r="AD1178" s="19"/>
      <c r="AE1178" s="19">
        <v>100</v>
      </c>
      <c r="AF1178" s="19" t="s">
        <v>1032</v>
      </c>
      <c r="AG1178" s="19" t="s">
        <v>270</v>
      </c>
      <c r="AH1178" s="19"/>
      <c r="AI1178" s="19"/>
      <c r="AJ1178" s="19">
        <f t="shared" si="340"/>
        <v>7.75</v>
      </c>
      <c r="AK1178" s="19" t="s">
        <v>1028</v>
      </c>
      <c r="AL1178" s="19"/>
      <c r="AM1178" s="19" t="s">
        <v>234</v>
      </c>
      <c r="AN1178" s="19" t="s">
        <v>1029</v>
      </c>
      <c r="AO1178" s="19" t="s">
        <v>270</v>
      </c>
      <c r="AP1178" s="94"/>
      <c r="AQ1178" s="19" t="s">
        <v>102</v>
      </c>
      <c r="AR1178" s="19" t="s">
        <v>241</v>
      </c>
      <c r="AS1178" s="19"/>
      <c r="AT1178" s="65" t="str">
        <f t="shared" si="337"/>
        <v>N</v>
      </c>
      <c r="AU1178" s="65" t="str">
        <f t="shared" si="333"/>
        <v>N</v>
      </c>
      <c r="AV1178" s="65" t="str">
        <f t="shared" si="341"/>
        <v>N</v>
      </c>
      <c r="AW1178" s="99"/>
      <c r="AX1178" s="99"/>
      <c r="AY1178" s="19"/>
      <c r="AZ1178" s="96" t="str">
        <f t="shared" si="334"/>
        <v>n</v>
      </c>
      <c r="BA1178" s="96" t="str">
        <f>IF(AZ1178="n","n",VLOOKUP(AZ1178,'Conversion factors'!$C$4:$D$24,2,FALSE))</f>
        <v>n</v>
      </c>
      <c r="BB1178" s="96" t="str">
        <f t="shared" si="335"/>
        <v>n</v>
      </c>
      <c r="BC1178" s="97"/>
      <c r="BD1178" s="96" t="str">
        <f t="shared" si="338"/>
        <v>n</v>
      </c>
      <c r="BE1178" s="96" t="str">
        <f t="shared" si="336"/>
        <v>n</v>
      </c>
      <c r="BF1178" s="98" t="str">
        <f t="shared" si="339"/>
        <v/>
      </c>
      <c r="BG1178" s="96" t="str">
        <f>IF(BF1178="","",IF(ISNUMBER(VLOOKUP(BF1178,'Conversion factors'!$B$35:$C$52,2,FALSE)),"y","n"))</f>
        <v/>
      </c>
      <c r="BH1178" s="99"/>
    </row>
    <row r="1179" spans="1:60" s="103" customFormat="1" ht="15.75" customHeight="1" x14ac:dyDescent="0.2">
      <c r="A1179" s="18"/>
      <c r="B1179" s="19">
        <v>294</v>
      </c>
      <c r="C1179" s="19"/>
      <c r="D1179" s="19">
        <v>102216</v>
      </c>
      <c r="E1179" s="19" t="s">
        <v>1224</v>
      </c>
      <c r="F1179" s="93">
        <v>2006</v>
      </c>
      <c r="G1179" s="19" t="s">
        <v>1027</v>
      </c>
      <c r="H1179" s="19" t="s">
        <v>162</v>
      </c>
      <c r="I1179" s="19" t="s">
        <v>41</v>
      </c>
      <c r="J1179" s="19" t="s">
        <v>87</v>
      </c>
      <c r="K1179" s="19" t="s">
        <v>64</v>
      </c>
      <c r="L1179" s="99" t="s">
        <v>151</v>
      </c>
      <c r="M1179" s="19" t="s">
        <v>260</v>
      </c>
      <c r="N1179" s="19" t="s">
        <v>66</v>
      </c>
      <c r="O1179" s="19" t="s">
        <v>338</v>
      </c>
      <c r="P1179" s="19" t="s">
        <v>162</v>
      </c>
      <c r="Q1179" s="19"/>
      <c r="R1179" s="19" t="s">
        <v>237</v>
      </c>
      <c r="S1179" s="19" t="s">
        <v>414</v>
      </c>
      <c r="T1179" s="19" t="s">
        <v>454</v>
      </c>
      <c r="U1179" s="19" t="s">
        <v>454</v>
      </c>
      <c r="V1179" s="19" t="s">
        <v>94</v>
      </c>
      <c r="W1179" s="19" t="s">
        <v>231</v>
      </c>
      <c r="X1179" s="19" t="s">
        <v>46</v>
      </c>
      <c r="Y1179" s="29"/>
      <c r="Z1179" s="19"/>
      <c r="AA1179" s="19"/>
      <c r="AB1179" s="19" t="s">
        <v>641</v>
      </c>
      <c r="AC1179" s="19" t="s">
        <v>1322</v>
      </c>
      <c r="AD1179" s="19"/>
      <c r="AE1179" s="19">
        <v>100</v>
      </c>
      <c r="AF1179" s="19" t="s">
        <v>1032</v>
      </c>
      <c r="AG1179" s="19" t="s">
        <v>270</v>
      </c>
      <c r="AH1179" s="19"/>
      <c r="AI1179" s="19"/>
      <c r="AJ1179" s="19">
        <f t="shared" si="340"/>
        <v>7.75</v>
      </c>
      <c r="AK1179" s="19" t="s">
        <v>1028</v>
      </c>
      <c r="AL1179" s="19"/>
      <c r="AM1179" s="19" t="s">
        <v>234</v>
      </c>
      <c r="AN1179" s="19" t="s">
        <v>1029</v>
      </c>
      <c r="AO1179" s="19" t="s">
        <v>270</v>
      </c>
      <c r="AP1179" s="94"/>
      <c r="AQ1179" s="19" t="s">
        <v>102</v>
      </c>
      <c r="AR1179" s="19" t="s">
        <v>241</v>
      </c>
      <c r="AS1179" s="19"/>
      <c r="AT1179" s="65" t="str">
        <f t="shared" si="337"/>
        <v>N</v>
      </c>
      <c r="AU1179" s="65" t="str">
        <f t="shared" si="333"/>
        <v>N</v>
      </c>
      <c r="AV1179" s="65" t="str">
        <f t="shared" si="341"/>
        <v>N</v>
      </c>
      <c r="AW1179" s="99"/>
      <c r="AX1179" s="99"/>
      <c r="AY1179" s="19"/>
      <c r="AZ1179" s="96" t="str">
        <f t="shared" si="334"/>
        <v>n</v>
      </c>
      <c r="BA1179" s="96" t="str">
        <f>IF(AZ1179="n","n",VLOOKUP(AZ1179,'Conversion factors'!$C$4:$D$24,2,FALSE))</f>
        <v>n</v>
      </c>
      <c r="BB1179" s="96" t="str">
        <f t="shared" si="335"/>
        <v>n</v>
      </c>
      <c r="BC1179" s="97"/>
      <c r="BD1179" s="96" t="str">
        <f t="shared" si="338"/>
        <v>n</v>
      </c>
      <c r="BE1179" s="96" t="str">
        <f t="shared" si="336"/>
        <v>n</v>
      </c>
      <c r="BF1179" s="98" t="str">
        <f t="shared" si="339"/>
        <v/>
      </c>
      <c r="BG1179" s="96" t="str">
        <f>IF(BF1179="","",IF(ISNUMBER(VLOOKUP(BF1179,'Conversion factors'!$B$35:$C$52,2,FALSE)),"y","n"))</f>
        <v/>
      </c>
      <c r="BH1179" s="99"/>
    </row>
    <row r="1180" spans="1:60" s="103" customFormat="1" ht="15.75" customHeight="1" x14ac:dyDescent="0.2">
      <c r="A1180" s="18"/>
      <c r="B1180" s="19">
        <v>294</v>
      </c>
      <c r="C1180" s="19"/>
      <c r="D1180" s="19">
        <v>102216</v>
      </c>
      <c r="E1180" s="19" t="s">
        <v>1224</v>
      </c>
      <c r="F1180" s="93">
        <v>2006</v>
      </c>
      <c r="G1180" s="19" t="s">
        <v>1027</v>
      </c>
      <c r="H1180" s="19" t="s">
        <v>162</v>
      </c>
      <c r="I1180" s="19" t="s">
        <v>41</v>
      </c>
      <c r="J1180" s="19" t="s">
        <v>87</v>
      </c>
      <c r="K1180" s="19" t="s">
        <v>64</v>
      </c>
      <c r="L1180" s="99" t="s">
        <v>151</v>
      </c>
      <c r="M1180" s="19" t="s">
        <v>260</v>
      </c>
      <c r="N1180" s="19" t="s">
        <v>66</v>
      </c>
      <c r="O1180" s="19" t="s">
        <v>338</v>
      </c>
      <c r="P1180" s="19" t="s">
        <v>162</v>
      </c>
      <c r="Q1180" s="19"/>
      <c r="R1180" s="19" t="s">
        <v>237</v>
      </c>
      <c r="S1180" s="19" t="s">
        <v>414</v>
      </c>
      <c r="T1180" s="19" t="s">
        <v>454</v>
      </c>
      <c r="U1180" s="19" t="s">
        <v>454</v>
      </c>
      <c r="V1180" s="19" t="s">
        <v>94</v>
      </c>
      <c r="W1180" s="19" t="s">
        <v>231</v>
      </c>
      <c r="X1180" s="19" t="s">
        <v>46</v>
      </c>
      <c r="Y1180" s="29"/>
      <c r="Z1180" s="19"/>
      <c r="AA1180" s="19"/>
      <c r="AB1180" s="19" t="s">
        <v>262</v>
      </c>
      <c r="AC1180" s="19" t="s">
        <v>1322</v>
      </c>
      <c r="AD1180" s="19"/>
      <c r="AE1180" s="19">
        <v>100</v>
      </c>
      <c r="AF1180" s="19" t="s">
        <v>1032</v>
      </c>
      <c r="AG1180" s="19" t="s">
        <v>270</v>
      </c>
      <c r="AH1180" s="19"/>
      <c r="AI1180" s="19"/>
      <c r="AJ1180" s="19">
        <f t="shared" si="340"/>
        <v>7.75</v>
      </c>
      <c r="AK1180" s="19" t="s">
        <v>1028</v>
      </c>
      <c r="AL1180" s="19"/>
      <c r="AM1180" s="19" t="s">
        <v>234</v>
      </c>
      <c r="AN1180" s="19" t="s">
        <v>1029</v>
      </c>
      <c r="AO1180" s="19" t="s">
        <v>270</v>
      </c>
      <c r="AP1180" s="94"/>
      <c r="AQ1180" s="19" t="s">
        <v>102</v>
      </c>
      <c r="AR1180" s="19" t="s">
        <v>241</v>
      </c>
      <c r="AS1180" s="19"/>
      <c r="AT1180" s="65" t="str">
        <f t="shared" si="337"/>
        <v>N</v>
      </c>
      <c r="AU1180" s="65" t="str">
        <f t="shared" si="333"/>
        <v>N</v>
      </c>
      <c r="AV1180" s="65" t="str">
        <f t="shared" si="341"/>
        <v>N</v>
      </c>
      <c r="AW1180" s="99"/>
      <c r="AX1180" s="99"/>
      <c r="AY1180" s="19"/>
      <c r="AZ1180" s="96" t="str">
        <f t="shared" si="334"/>
        <v>n</v>
      </c>
      <c r="BA1180" s="96" t="str">
        <f>IF(AZ1180="n","n",VLOOKUP(AZ1180,'Conversion factors'!$C$4:$D$24,2,FALSE))</f>
        <v>n</v>
      </c>
      <c r="BB1180" s="96" t="str">
        <f t="shared" si="335"/>
        <v>n</v>
      </c>
      <c r="BC1180" s="97"/>
      <c r="BD1180" s="96" t="str">
        <f t="shared" si="338"/>
        <v>n</v>
      </c>
      <c r="BE1180" s="96" t="str">
        <f t="shared" si="336"/>
        <v>n</v>
      </c>
      <c r="BF1180" s="98" t="str">
        <f t="shared" si="339"/>
        <v/>
      </c>
      <c r="BG1180" s="96" t="str">
        <f>IF(BF1180="","",IF(ISNUMBER(VLOOKUP(BF1180,'Conversion factors'!$B$35:$C$52,2,FALSE)),"y","n"))</f>
        <v/>
      </c>
      <c r="BH1180" s="99"/>
    </row>
    <row r="1181" spans="1:60" s="103" customFormat="1" ht="15.75" customHeight="1" x14ac:dyDescent="0.2">
      <c r="A1181" s="18"/>
      <c r="B1181" s="19">
        <v>294</v>
      </c>
      <c r="C1181" s="19"/>
      <c r="D1181" s="19">
        <v>102216</v>
      </c>
      <c r="E1181" s="19" t="s">
        <v>1224</v>
      </c>
      <c r="F1181" s="93">
        <v>2006</v>
      </c>
      <c r="G1181" s="19" t="s">
        <v>1027</v>
      </c>
      <c r="H1181" s="19" t="s">
        <v>162</v>
      </c>
      <c r="I1181" s="19" t="s">
        <v>41</v>
      </c>
      <c r="J1181" s="19" t="s">
        <v>87</v>
      </c>
      <c r="K1181" s="19" t="s">
        <v>64</v>
      </c>
      <c r="L1181" s="99" t="s">
        <v>151</v>
      </c>
      <c r="M1181" s="19" t="s">
        <v>260</v>
      </c>
      <c r="N1181" s="19" t="s">
        <v>66</v>
      </c>
      <c r="O1181" s="19" t="s">
        <v>338</v>
      </c>
      <c r="P1181" s="19" t="s">
        <v>162</v>
      </c>
      <c r="Q1181" s="19"/>
      <c r="R1181" s="19" t="s">
        <v>237</v>
      </c>
      <c r="S1181" s="19" t="s">
        <v>414</v>
      </c>
      <c r="T1181" s="19" t="s">
        <v>465</v>
      </c>
      <c r="U1181" s="19" t="s">
        <v>54</v>
      </c>
      <c r="V1181" s="19" t="s">
        <v>94</v>
      </c>
      <c r="W1181" s="19" t="s">
        <v>231</v>
      </c>
      <c r="X1181" s="19" t="s">
        <v>46</v>
      </c>
      <c r="Y1181" s="29"/>
      <c r="Z1181" s="19"/>
      <c r="AA1181" s="19"/>
      <c r="AB1181" s="19" t="s">
        <v>326</v>
      </c>
      <c r="AC1181" s="19" t="s">
        <v>1322</v>
      </c>
      <c r="AD1181" s="19"/>
      <c r="AE1181" s="19">
        <v>100</v>
      </c>
      <c r="AF1181" s="19" t="s">
        <v>1032</v>
      </c>
      <c r="AG1181" s="19" t="s">
        <v>270</v>
      </c>
      <c r="AH1181" s="19"/>
      <c r="AI1181" s="19"/>
      <c r="AJ1181" s="19">
        <f t="shared" si="340"/>
        <v>7.75</v>
      </c>
      <c r="AK1181" s="19" t="s">
        <v>1028</v>
      </c>
      <c r="AL1181" s="19"/>
      <c r="AM1181" s="19" t="s">
        <v>234</v>
      </c>
      <c r="AN1181" s="19" t="s">
        <v>1029</v>
      </c>
      <c r="AO1181" s="19" t="s">
        <v>270</v>
      </c>
      <c r="AP1181" s="94"/>
      <c r="AQ1181" s="19" t="s">
        <v>102</v>
      </c>
      <c r="AR1181" s="19" t="s">
        <v>241</v>
      </c>
      <c r="AS1181" s="19"/>
      <c r="AT1181" s="65" t="str">
        <f t="shared" si="337"/>
        <v>N</v>
      </c>
      <c r="AU1181" s="65" t="str">
        <f t="shared" si="333"/>
        <v>N</v>
      </c>
      <c r="AV1181" s="65" t="str">
        <f t="shared" si="341"/>
        <v>N</v>
      </c>
      <c r="AW1181" s="99"/>
      <c r="AX1181" s="99"/>
      <c r="AY1181" s="19"/>
      <c r="AZ1181" s="96" t="str">
        <f t="shared" si="334"/>
        <v>n</v>
      </c>
      <c r="BA1181" s="96" t="str">
        <f>IF(AZ1181="n","n",VLOOKUP(AZ1181,'Conversion factors'!$C$4:$D$24,2,FALSE))</f>
        <v>n</v>
      </c>
      <c r="BB1181" s="96" t="str">
        <f t="shared" si="335"/>
        <v>n</v>
      </c>
      <c r="BC1181" s="97"/>
      <c r="BD1181" s="96" t="str">
        <f t="shared" si="338"/>
        <v>n</v>
      </c>
      <c r="BE1181" s="96" t="str">
        <f t="shared" si="336"/>
        <v>n</v>
      </c>
      <c r="BF1181" s="98" t="str">
        <f t="shared" si="339"/>
        <v/>
      </c>
      <c r="BG1181" s="96" t="str">
        <f>IF(BF1181="","",IF(ISNUMBER(VLOOKUP(BF1181,'Conversion factors'!$B$35:$C$52,2,FALSE)),"y","n"))</f>
        <v/>
      </c>
      <c r="BH1181" s="99"/>
    </row>
    <row r="1182" spans="1:60" s="103" customFormat="1" ht="15.75" customHeight="1" x14ac:dyDescent="0.2">
      <c r="A1182" s="18"/>
      <c r="B1182" s="19">
        <v>294</v>
      </c>
      <c r="C1182" s="19"/>
      <c r="D1182" s="19">
        <v>102216</v>
      </c>
      <c r="E1182" s="19" t="s">
        <v>1224</v>
      </c>
      <c r="F1182" s="93">
        <v>2006</v>
      </c>
      <c r="G1182" s="19" t="s">
        <v>1027</v>
      </c>
      <c r="H1182" s="19" t="s">
        <v>162</v>
      </c>
      <c r="I1182" s="19" t="s">
        <v>41</v>
      </c>
      <c r="J1182" s="19" t="s">
        <v>87</v>
      </c>
      <c r="K1182" s="19" t="s">
        <v>64</v>
      </c>
      <c r="L1182" s="99" t="s">
        <v>151</v>
      </c>
      <c r="M1182" s="19" t="s">
        <v>260</v>
      </c>
      <c r="N1182" s="19" t="s">
        <v>66</v>
      </c>
      <c r="O1182" s="19" t="s">
        <v>338</v>
      </c>
      <c r="P1182" s="19" t="s">
        <v>162</v>
      </c>
      <c r="Q1182" s="19"/>
      <c r="R1182" s="19" t="s">
        <v>237</v>
      </c>
      <c r="S1182" s="19" t="s">
        <v>414</v>
      </c>
      <c r="T1182" s="19" t="s">
        <v>465</v>
      </c>
      <c r="U1182" s="19" t="s">
        <v>54</v>
      </c>
      <c r="V1182" s="19" t="s">
        <v>94</v>
      </c>
      <c r="W1182" s="19" t="s">
        <v>231</v>
      </c>
      <c r="X1182" s="19" t="s">
        <v>46</v>
      </c>
      <c r="Y1182" s="29"/>
      <c r="Z1182" s="19"/>
      <c r="AA1182" s="19"/>
      <c r="AB1182" s="19" t="s">
        <v>242</v>
      </c>
      <c r="AC1182" s="19" t="s">
        <v>1322</v>
      </c>
      <c r="AD1182" s="19"/>
      <c r="AE1182" s="19">
        <v>100</v>
      </c>
      <c r="AF1182" s="19" t="s">
        <v>1032</v>
      </c>
      <c r="AG1182" s="19" t="s">
        <v>270</v>
      </c>
      <c r="AH1182" s="19"/>
      <c r="AI1182" s="19"/>
      <c r="AJ1182" s="19">
        <f t="shared" si="340"/>
        <v>7.75</v>
      </c>
      <c r="AK1182" s="19" t="s">
        <v>1028</v>
      </c>
      <c r="AL1182" s="19"/>
      <c r="AM1182" s="19" t="s">
        <v>234</v>
      </c>
      <c r="AN1182" s="19" t="s">
        <v>1029</v>
      </c>
      <c r="AO1182" s="19" t="s">
        <v>270</v>
      </c>
      <c r="AP1182" s="94"/>
      <c r="AQ1182" s="19" t="s">
        <v>102</v>
      </c>
      <c r="AR1182" s="19" t="s">
        <v>241</v>
      </c>
      <c r="AS1182" s="19"/>
      <c r="AT1182" s="65" t="str">
        <f t="shared" si="337"/>
        <v>N</v>
      </c>
      <c r="AU1182" s="65" t="str">
        <f t="shared" si="333"/>
        <v>N</v>
      </c>
      <c r="AV1182" s="65" t="str">
        <f t="shared" si="341"/>
        <v>N</v>
      </c>
      <c r="AW1182" s="99"/>
      <c r="AX1182" s="99"/>
      <c r="AY1182" s="19"/>
      <c r="AZ1182" s="96" t="str">
        <f t="shared" si="334"/>
        <v>n</v>
      </c>
      <c r="BA1182" s="96" t="str">
        <f>IF(AZ1182="n","n",VLOOKUP(AZ1182,'Conversion factors'!$C$4:$D$24,2,FALSE))</f>
        <v>n</v>
      </c>
      <c r="BB1182" s="96" t="str">
        <f t="shared" si="335"/>
        <v>n</v>
      </c>
      <c r="BC1182" s="97"/>
      <c r="BD1182" s="96" t="str">
        <f t="shared" si="338"/>
        <v>n</v>
      </c>
      <c r="BE1182" s="96" t="str">
        <f t="shared" si="336"/>
        <v>n</v>
      </c>
      <c r="BF1182" s="98" t="str">
        <f t="shared" si="339"/>
        <v/>
      </c>
      <c r="BG1182" s="96" t="str">
        <f>IF(BF1182="","",IF(ISNUMBER(VLOOKUP(BF1182,'Conversion factors'!$B$35:$C$52,2,FALSE)),"y","n"))</f>
        <v/>
      </c>
      <c r="BH1182" s="99"/>
    </row>
    <row r="1183" spans="1:60" s="103" customFormat="1" ht="15.75" customHeight="1" x14ac:dyDescent="0.2">
      <c r="A1183" s="18"/>
      <c r="B1183" s="19">
        <v>294</v>
      </c>
      <c r="C1183" s="19"/>
      <c r="D1183" s="19">
        <v>102216</v>
      </c>
      <c r="E1183" s="19" t="s">
        <v>1224</v>
      </c>
      <c r="F1183" s="93">
        <v>2006</v>
      </c>
      <c r="G1183" s="19" t="s">
        <v>1027</v>
      </c>
      <c r="H1183" s="19" t="s">
        <v>162</v>
      </c>
      <c r="I1183" s="19" t="s">
        <v>41</v>
      </c>
      <c r="J1183" s="19" t="s">
        <v>87</v>
      </c>
      <c r="K1183" s="19" t="s">
        <v>64</v>
      </c>
      <c r="L1183" s="99" t="s">
        <v>151</v>
      </c>
      <c r="M1183" s="19" t="s">
        <v>260</v>
      </c>
      <c r="N1183" s="19" t="s">
        <v>66</v>
      </c>
      <c r="O1183" s="19" t="s">
        <v>338</v>
      </c>
      <c r="P1183" s="19" t="s">
        <v>162</v>
      </c>
      <c r="Q1183" s="19"/>
      <c r="R1183" s="19" t="s">
        <v>76</v>
      </c>
      <c r="S1183" s="19" t="s">
        <v>534</v>
      </c>
      <c r="T1183" s="19" t="s">
        <v>454</v>
      </c>
      <c r="U1183" s="19" t="s">
        <v>454</v>
      </c>
      <c r="V1183" s="19" t="s">
        <v>94</v>
      </c>
      <c r="W1183" s="19" t="s">
        <v>231</v>
      </c>
      <c r="X1183" s="19" t="s">
        <v>46</v>
      </c>
      <c r="Y1183" s="29"/>
      <c r="Z1183" s="19"/>
      <c r="AA1183" s="19"/>
      <c r="AB1183" s="19" t="s">
        <v>1030</v>
      </c>
      <c r="AC1183" s="19" t="s">
        <v>1322</v>
      </c>
      <c r="AD1183" s="19"/>
      <c r="AE1183" s="19">
        <v>100</v>
      </c>
      <c r="AF1183" s="19" t="s">
        <v>1032</v>
      </c>
      <c r="AG1183" s="19" t="s">
        <v>270</v>
      </c>
      <c r="AH1183" s="19"/>
      <c r="AI1183" s="19"/>
      <c r="AJ1183" s="19">
        <f t="shared" si="340"/>
        <v>7.75</v>
      </c>
      <c r="AK1183" s="19" t="s">
        <v>1028</v>
      </c>
      <c r="AL1183" s="19"/>
      <c r="AM1183" s="19" t="s">
        <v>234</v>
      </c>
      <c r="AN1183" s="19" t="s">
        <v>1029</v>
      </c>
      <c r="AO1183" s="19" t="s">
        <v>270</v>
      </c>
      <c r="AP1183" s="94"/>
      <c r="AQ1183" s="19" t="s">
        <v>102</v>
      </c>
      <c r="AR1183" s="19" t="s">
        <v>241</v>
      </c>
      <c r="AS1183" s="19"/>
      <c r="AT1183" s="65" t="str">
        <f t="shared" si="337"/>
        <v>N</v>
      </c>
      <c r="AU1183" s="65" t="str">
        <f t="shared" si="333"/>
        <v>N</v>
      </c>
      <c r="AV1183" s="65" t="str">
        <f t="shared" si="341"/>
        <v>N</v>
      </c>
      <c r="AW1183" s="99"/>
      <c r="AX1183" s="99"/>
      <c r="AY1183" s="19"/>
      <c r="AZ1183" s="96" t="str">
        <f t="shared" si="334"/>
        <v>n</v>
      </c>
      <c r="BA1183" s="96" t="str">
        <f>IF(AZ1183="n","n",VLOOKUP(AZ1183,'Conversion factors'!$C$4:$D$24,2,FALSE))</f>
        <v>n</v>
      </c>
      <c r="BB1183" s="96" t="str">
        <f t="shared" si="335"/>
        <v>n</v>
      </c>
      <c r="BC1183" s="97"/>
      <c r="BD1183" s="96" t="str">
        <f t="shared" si="338"/>
        <v>n</v>
      </c>
      <c r="BE1183" s="96" t="str">
        <f t="shared" si="336"/>
        <v>n</v>
      </c>
      <c r="BF1183" s="98" t="str">
        <f t="shared" si="339"/>
        <v/>
      </c>
      <c r="BG1183" s="96" t="str">
        <f>IF(BF1183="","",IF(ISNUMBER(VLOOKUP(BF1183,'Conversion factors'!$B$35:$C$52,2,FALSE)),"y","n"))</f>
        <v/>
      </c>
      <c r="BH1183" s="99"/>
    </row>
    <row r="1184" spans="1:60" s="103" customFormat="1" ht="15.75" customHeight="1" x14ac:dyDescent="0.2">
      <c r="A1184" s="18"/>
      <c r="B1184" s="19">
        <v>294</v>
      </c>
      <c r="C1184" s="19"/>
      <c r="D1184" s="19">
        <v>102216</v>
      </c>
      <c r="E1184" s="19" t="s">
        <v>1224</v>
      </c>
      <c r="F1184" s="93">
        <v>2006</v>
      </c>
      <c r="G1184" s="19" t="s">
        <v>1027</v>
      </c>
      <c r="H1184" s="19" t="s">
        <v>162</v>
      </c>
      <c r="I1184" s="19" t="s">
        <v>41</v>
      </c>
      <c r="J1184" s="19" t="s">
        <v>87</v>
      </c>
      <c r="K1184" s="19" t="s">
        <v>64</v>
      </c>
      <c r="L1184" s="99" t="s">
        <v>151</v>
      </c>
      <c r="M1184" s="19" t="s">
        <v>260</v>
      </c>
      <c r="N1184" s="19" t="s">
        <v>66</v>
      </c>
      <c r="O1184" s="19" t="s">
        <v>338</v>
      </c>
      <c r="P1184" s="19" t="s">
        <v>162</v>
      </c>
      <c r="Q1184" s="19"/>
      <c r="R1184" s="19" t="s">
        <v>76</v>
      </c>
      <c r="S1184" s="19" t="s">
        <v>534</v>
      </c>
      <c r="T1184" s="19" t="s">
        <v>454</v>
      </c>
      <c r="U1184" s="19" t="s">
        <v>454</v>
      </c>
      <c r="V1184" s="19" t="s">
        <v>94</v>
      </c>
      <c r="W1184" s="19" t="s">
        <v>231</v>
      </c>
      <c r="X1184" s="19" t="s">
        <v>46</v>
      </c>
      <c r="Y1184" s="29"/>
      <c r="Z1184" s="19"/>
      <c r="AA1184" s="19"/>
      <c r="AB1184" s="19" t="s">
        <v>1031</v>
      </c>
      <c r="AC1184" s="19" t="s">
        <v>1322</v>
      </c>
      <c r="AD1184" s="19"/>
      <c r="AE1184" s="19">
        <v>100</v>
      </c>
      <c r="AF1184" s="19" t="s">
        <v>1032</v>
      </c>
      <c r="AG1184" s="19" t="s">
        <v>270</v>
      </c>
      <c r="AH1184" s="19"/>
      <c r="AI1184" s="19"/>
      <c r="AJ1184" s="19">
        <f t="shared" si="340"/>
        <v>7.75</v>
      </c>
      <c r="AK1184" s="19" t="s">
        <v>1028</v>
      </c>
      <c r="AL1184" s="19"/>
      <c r="AM1184" s="19" t="s">
        <v>234</v>
      </c>
      <c r="AN1184" s="19" t="s">
        <v>1029</v>
      </c>
      <c r="AO1184" s="19" t="s">
        <v>270</v>
      </c>
      <c r="AP1184" s="94"/>
      <c r="AQ1184" s="19" t="s">
        <v>102</v>
      </c>
      <c r="AR1184" s="19" t="s">
        <v>241</v>
      </c>
      <c r="AS1184" s="19"/>
      <c r="AT1184" s="65" t="str">
        <f t="shared" si="337"/>
        <v>N</v>
      </c>
      <c r="AU1184" s="65" t="str">
        <f t="shared" si="333"/>
        <v>N</v>
      </c>
      <c r="AV1184" s="65" t="str">
        <f t="shared" si="341"/>
        <v>N</v>
      </c>
      <c r="AW1184" s="99"/>
      <c r="AX1184" s="99"/>
      <c r="AY1184" s="19"/>
      <c r="AZ1184" s="96" t="str">
        <f t="shared" si="334"/>
        <v>n</v>
      </c>
      <c r="BA1184" s="96" t="str">
        <f>IF(AZ1184="n","n",VLOOKUP(AZ1184,'Conversion factors'!$C$4:$D$24,2,FALSE))</f>
        <v>n</v>
      </c>
      <c r="BB1184" s="96" t="str">
        <f t="shared" si="335"/>
        <v>n</v>
      </c>
      <c r="BC1184" s="97"/>
      <c r="BD1184" s="96" t="str">
        <f t="shared" si="338"/>
        <v>n</v>
      </c>
      <c r="BE1184" s="96" t="str">
        <f t="shared" si="336"/>
        <v>n</v>
      </c>
      <c r="BF1184" s="98" t="str">
        <f t="shared" si="339"/>
        <v/>
      </c>
      <c r="BG1184" s="96" t="str">
        <f>IF(BF1184="","",IF(ISNUMBER(VLOOKUP(BF1184,'Conversion factors'!$B$35:$C$52,2,FALSE)),"y","n"))</f>
        <v/>
      </c>
      <c r="BH1184" s="99"/>
    </row>
    <row r="1185" spans="1:60" s="103" customFormat="1" ht="15.75" customHeight="1" x14ac:dyDescent="0.2">
      <c r="A1185" s="18"/>
      <c r="B1185" s="19">
        <v>294</v>
      </c>
      <c r="C1185" s="19"/>
      <c r="D1185" s="19">
        <v>102216</v>
      </c>
      <c r="E1185" s="19" t="s">
        <v>1224</v>
      </c>
      <c r="F1185" s="93">
        <v>2006</v>
      </c>
      <c r="G1185" s="19" t="s">
        <v>1027</v>
      </c>
      <c r="H1185" s="19" t="s">
        <v>162</v>
      </c>
      <c r="I1185" s="19" t="s">
        <v>41</v>
      </c>
      <c r="J1185" s="19" t="s">
        <v>87</v>
      </c>
      <c r="K1185" s="19" t="s">
        <v>64</v>
      </c>
      <c r="L1185" s="99" t="s">
        <v>151</v>
      </c>
      <c r="M1185" s="19" t="s">
        <v>260</v>
      </c>
      <c r="N1185" s="19" t="s">
        <v>66</v>
      </c>
      <c r="O1185" s="19" t="s">
        <v>338</v>
      </c>
      <c r="P1185" s="19" t="s">
        <v>162</v>
      </c>
      <c r="Q1185" s="19"/>
      <c r="R1185" s="19" t="s">
        <v>76</v>
      </c>
      <c r="S1185" s="19" t="s">
        <v>534</v>
      </c>
      <c r="T1185" s="19" t="s">
        <v>454</v>
      </c>
      <c r="U1185" s="19" t="s">
        <v>454</v>
      </c>
      <c r="V1185" s="19" t="s">
        <v>94</v>
      </c>
      <c r="W1185" s="19" t="s">
        <v>231</v>
      </c>
      <c r="X1185" s="19" t="s">
        <v>46</v>
      </c>
      <c r="Y1185" s="29"/>
      <c r="Z1185" s="19"/>
      <c r="AA1185" s="19"/>
      <c r="AB1185" s="19" t="s">
        <v>1031</v>
      </c>
      <c r="AC1185" s="19" t="s">
        <v>1322</v>
      </c>
      <c r="AD1185" s="19"/>
      <c r="AE1185" s="19">
        <v>100</v>
      </c>
      <c r="AF1185" s="19" t="s">
        <v>1032</v>
      </c>
      <c r="AG1185" s="19" t="s">
        <v>270</v>
      </c>
      <c r="AH1185" s="19"/>
      <c r="AI1185" s="19"/>
      <c r="AJ1185" s="19">
        <f t="shared" si="340"/>
        <v>7.75</v>
      </c>
      <c r="AK1185" s="19" t="s">
        <v>1028</v>
      </c>
      <c r="AL1185" s="19"/>
      <c r="AM1185" s="19" t="s">
        <v>234</v>
      </c>
      <c r="AN1185" s="19" t="s">
        <v>1029</v>
      </c>
      <c r="AO1185" s="19" t="s">
        <v>270</v>
      </c>
      <c r="AP1185" s="94"/>
      <c r="AQ1185" s="19" t="s">
        <v>102</v>
      </c>
      <c r="AR1185" s="19" t="s">
        <v>241</v>
      </c>
      <c r="AS1185" s="19"/>
      <c r="AT1185" s="65" t="str">
        <f t="shared" si="337"/>
        <v>N</v>
      </c>
      <c r="AU1185" s="65" t="str">
        <f t="shared" si="333"/>
        <v>N</v>
      </c>
      <c r="AV1185" s="65" t="str">
        <f t="shared" si="341"/>
        <v>N</v>
      </c>
      <c r="AW1185" s="99"/>
      <c r="AX1185" s="99"/>
      <c r="AY1185" s="19"/>
      <c r="AZ1185" s="96" t="str">
        <f t="shared" si="334"/>
        <v>n</v>
      </c>
      <c r="BA1185" s="96" t="str">
        <f>IF(AZ1185="n","n",VLOOKUP(AZ1185,'Conversion factors'!$C$4:$D$24,2,FALSE))</f>
        <v>n</v>
      </c>
      <c r="BB1185" s="96" t="str">
        <f t="shared" si="335"/>
        <v>n</v>
      </c>
      <c r="BC1185" s="97"/>
      <c r="BD1185" s="96" t="str">
        <f t="shared" si="338"/>
        <v>n</v>
      </c>
      <c r="BE1185" s="96" t="str">
        <f t="shared" si="336"/>
        <v>n</v>
      </c>
      <c r="BF1185" s="98" t="str">
        <f t="shared" si="339"/>
        <v/>
      </c>
      <c r="BG1185" s="96" t="str">
        <f>IF(BF1185="","",IF(ISNUMBER(VLOOKUP(BF1185,'Conversion factors'!$B$35:$C$52,2,FALSE)),"y","n"))</f>
        <v/>
      </c>
      <c r="BH1185" s="99"/>
    </row>
    <row r="1186" spans="1:60" s="103" customFormat="1" ht="15.75" customHeight="1" x14ac:dyDescent="0.2">
      <c r="A1186" s="18"/>
      <c r="B1186" s="19">
        <v>294</v>
      </c>
      <c r="C1186" s="19"/>
      <c r="D1186" s="19">
        <v>102216</v>
      </c>
      <c r="E1186" s="19" t="s">
        <v>1224</v>
      </c>
      <c r="F1186" s="93">
        <v>2006</v>
      </c>
      <c r="G1186" s="19" t="s">
        <v>1027</v>
      </c>
      <c r="H1186" s="19" t="s">
        <v>162</v>
      </c>
      <c r="I1186" s="19" t="s">
        <v>41</v>
      </c>
      <c r="J1186" s="19" t="s">
        <v>87</v>
      </c>
      <c r="K1186" s="19" t="s">
        <v>64</v>
      </c>
      <c r="L1186" s="99" t="s">
        <v>151</v>
      </c>
      <c r="M1186" s="19" t="s">
        <v>260</v>
      </c>
      <c r="N1186" s="19" t="s">
        <v>66</v>
      </c>
      <c r="O1186" s="19" t="s">
        <v>338</v>
      </c>
      <c r="P1186" s="19" t="s">
        <v>162</v>
      </c>
      <c r="Q1186" s="19"/>
      <c r="R1186" s="19" t="s">
        <v>76</v>
      </c>
      <c r="S1186" s="19" t="s">
        <v>534</v>
      </c>
      <c r="T1186" s="19" t="s">
        <v>465</v>
      </c>
      <c r="U1186" s="19" t="s">
        <v>54</v>
      </c>
      <c r="V1186" s="19" t="s">
        <v>94</v>
      </c>
      <c r="W1186" s="19" t="s">
        <v>231</v>
      </c>
      <c r="X1186" s="19" t="s">
        <v>46</v>
      </c>
      <c r="Y1186" s="29"/>
      <c r="Z1186" s="19"/>
      <c r="AA1186" s="19"/>
      <c r="AB1186" s="19" t="s">
        <v>1030</v>
      </c>
      <c r="AC1186" s="19" t="s">
        <v>1322</v>
      </c>
      <c r="AD1186" s="19"/>
      <c r="AE1186" s="19">
        <v>100</v>
      </c>
      <c r="AF1186" s="19" t="s">
        <v>1032</v>
      </c>
      <c r="AG1186" s="19" t="s">
        <v>270</v>
      </c>
      <c r="AH1186" s="19"/>
      <c r="AI1186" s="19"/>
      <c r="AJ1186" s="19">
        <f t="shared" si="340"/>
        <v>7.75</v>
      </c>
      <c r="AK1186" s="19" t="s">
        <v>1028</v>
      </c>
      <c r="AL1186" s="19"/>
      <c r="AM1186" s="19" t="s">
        <v>234</v>
      </c>
      <c r="AN1186" s="19" t="s">
        <v>1029</v>
      </c>
      <c r="AO1186" s="19" t="s">
        <v>270</v>
      </c>
      <c r="AP1186" s="94"/>
      <c r="AQ1186" s="19" t="s">
        <v>102</v>
      </c>
      <c r="AR1186" s="19" t="s">
        <v>241</v>
      </c>
      <c r="AS1186" s="19"/>
      <c r="AT1186" s="65" t="str">
        <f t="shared" si="337"/>
        <v>N</v>
      </c>
      <c r="AU1186" s="65" t="str">
        <f t="shared" si="333"/>
        <v>N</v>
      </c>
      <c r="AV1186" s="65" t="str">
        <f t="shared" si="341"/>
        <v>N</v>
      </c>
      <c r="AW1186" s="99"/>
      <c r="AX1186" s="99"/>
      <c r="AY1186" s="19"/>
      <c r="AZ1186" s="96" t="str">
        <f t="shared" si="334"/>
        <v>n</v>
      </c>
      <c r="BA1186" s="96" t="str">
        <f>IF(AZ1186="n","n",VLOOKUP(AZ1186,'Conversion factors'!$C$4:$D$24,2,FALSE))</f>
        <v>n</v>
      </c>
      <c r="BB1186" s="96" t="str">
        <f t="shared" si="335"/>
        <v>n</v>
      </c>
      <c r="BC1186" s="97"/>
      <c r="BD1186" s="96" t="str">
        <f t="shared" si="338"/>
        <v>n</v>
      </c>
      <c r="BE1186" s="96" t="str">
        <f t="shared" si="336"/>
        <v>n</v>
      </c>
      <c r="BF1186" s="98" t="str">
        <f t="shared" si="339"/>
        <v/>
      </c>
      <c r="BG1186" s="96" t="str">
        <f>IF(BF1186="","",IF(ISNUMBER(VLOOKUP(BF1186,'Conversion factors'!$B$35:$C$52,2,FALSE)),"y","n"))</f>
        <v/>
      </c>
      <c r="BH1186" s="99"/>
    </row>
    <row r="1187" spans="1:60" s="103" customFormat="1" ht="15.75" customHeight="1" x14ac:dyDescent="0.2">
      <c r="A1187" s="18"/>
      <c r="B1187" s="19">
        <v>294</v>
      </c>
      <c r="C1187" s="19"/>
      <c r="D1187" s="19">
        <v>102216</v>
      </c>
      <c r="E1187" s="19" t="s">
        <v>1224</v>
      </c>
      <c r="F1187" s="93">
        <v>2006</v>
      </c>
      <c r="G1187" s="19" t="s">
        <v>1027</v>
      </c>
      <c r="H1187" s="19" t="s">
        <v>162</v>
      </c>
      <c r="I1187" s="19" t="s">
        <v>41</v>
      </c>
      <c r="J1187" s="19" t="s">
        <v>87</v>
      </c>
      <c r="K1187" s="19" t="s">
        <v>64</v>
      </c>
      <c r="L1187" s="99" t="s">
        <v>151</v>
      </c>
      <c r="M1187" s="19" t="s">
        <v>260</v>
      </c>
      <c r="N1187" s="19" t="s">
        <v>66</v>
      </c>
      <c r="O1187" s="19" t="s">
        <v>338</v>
      </c>
      <c r="P1187" s="19" t="s">
        <v>162</v>
      </c>
      <c r="Q1187" s="19"/>
      <c r="R1187" s="19" t="s">
        <v>76</v>
      </c>
      <c r="S1187" s="19" t="s">
        <v>534</v>
      </c>
      <c r="T1187" s="19" t="s">
        <v>465</v>
      </c>
      <c r="U1187" s="19" t="s">
        <v>54</v>
      </c>
      <c r="V1187" s="19" t="s">
        <v>94</v>
      </c>
      <c r="W1187" s="19" t="s">
        <v>231</v>
      </c>
      <c r="X1187" s="19" t="s">
        <v>46</v>
      </c>
      <c r="Y1187" s="29"/>
      <c r="Z1187" s="19"/>
      <c r="AA1187" s="19"/>
      <c r="AB1187" s="19" t="s">
        <v>329</v>
      </c>
      <c r="AC1187" s="19" t="s">
        <v>1322</v>
      </c>
      <c r="AD1187" s="19"/>
      <c r="AE1187" s="19">
        <v>100</v>
      </c>
      <c r="AF1187" s="19" t="s">
        <v>1032</v>
      </c>
      <c r="AG1187" s="19" t="s">
        <v>270</v>
      </c>
      <c r="AH1187" s="19"/>
      <c r="AI1187" s="19"/>
      <c r="AJ1187" s="19">
        <f t="shared" si="340"/>
        <v>7.75</v>
      </c>
      <c r="AK1187" s="19" t="s">
        <v>1028</v>
      </c>
      <c r="AL1187" s="19"/>
      <c r="AM1187" s="19" t="s">
        <v>234</v>
      </c>
      <c r="AN1187" s="19" t="s">
        <v>1029</v>
      </c>
      <c r="AO1187" s="19" t="s">
        <v>270</v>
      </c>
      <c r="AP1187" s="94"/>
      <c r="AQ1187" s="19" t="s">
        <v>102</v>
      </c>
      <c r="AR1187" s="19" t="s">
        <v>241</v>
      </c>
      <c r="AS1187" s="19"/>
      <c r="AT1187" s="65" t="str">
        <f t="shared" si="337"/>
        <v>N</v>
      </c>
      <c r="AU1187" s="65" t="str">
        <f t="shared" si="333"/>
        <v>N</v>
      </c>
      <c r="AV1187" s="65" t="str">
        <f t="shared" si="341"/>
        <v>N</v>
      </c>
      <c r="AW1187" s="99"/>
      <c r="AX1187" s="99"/>
      <c r="AY1187" s="19"/>
      <c r="AZ1187" s="96" t="str">
        <f t="shared" si="334"/>
        <v>n</v>
      </c>
      <c r="BA1187" s="96" t="str">
        <f>IF(AZ1187="n","n",VLOOKUP(AZ1187,'Conversion factors'!$C$4:$D$24,2,FALSE))</f>
        <v>n</v>
      </c>
      <c r="BB1187" s="96" t="str">
        <f t="shared" si="335"/>
        <v>n</v>
      </c>
      <c r="BC1187" s="97"/>
      <c r="BD1187" s="96" t="str">
        <f t="shared" si="338"/>
        <v>n</v>
      </c>
      <c r="BE1187" s="96" t="str">
        <f t="shared" si="336"/>
        <v>n</v>
      </c>
      <c r="BF1187" s="98" t="str">
        <f t="shared" si="339"/>
        <v/>
      </c>
      <c r="BG1187" s="96" t="str">
        <f>IF(BF1187="","",IF(ISNUMBER(VLOOKUP(BF1187,'Conversion factors'!$B$35:$C$52,2,FALSE)),"y","n"))</f>
        <v/>
      </c>
      <c r="BH1187" s="99"/>
    </row>
    <row r="1188" spans="1:60" s="103" customFormat="1" ht="15.75" customHeight="1" x14ac:dyDescent="0.2">
      <c r="A1188" s="18"/>
      <c r="B1188" s="19">
        <v>294</v>
      </c>
      <c r="C1188" s="19"/>
      <c r="D1188" s="19">
        <v>102216</v>
      </c>
      <c r="E1188" s="19" t="s">
        <v>1224</v>
      </c>
      <c r="F1188" s="93">
        <v>2006</v>
      </c>
      <c r="G1188" s="19" t="s">
        <v>1027</v>
      </c>
      <c r="H1188" s="19" t="s">
        <v>162</v>
      </c>
      <c r="I1188" s="19" t="s">
        <v>41</v>
      </c>
      <c r="J1188" s="19" t="s">
        <v>87</v>
      </c>
      <c r="K1188" s="19" t="s">
        <v>64</v>
      </c>
      <c r="L1188" s="99" t="s">
        <v>151</v>
      </c>
      <c r="M1188" s="19" t="s">
        <v>260</v>
      </c>
      <c r="N1188" s="19" t="s">
        <v>66</v>
      </c>
      <c r="O1188" s="19" t="s">
        <v>338</v>
      </c>
      <c r="P1188" s="19" t="s">
        <v>162</v>
      </c>
      <c r="Q1188" s="19"/>
      <c r="R1188" s="19" t="s">
        <v>76</v>
      </c>
      <c r="S1188" s="19" t="s">
        <v>534</v>
      </c>
      <c r="T1188" s="19" t="s">
        <v>465</v>
      </c>
      <c r="U1188" s="19" t="s">
        <v>54</v>
      </c>
      <c r="V1188" s="19" t="s">
        <v>94</v>
      </c>
      <c r="W1188" s="19" t="s">
        <v>231</v>
      </c>
      <c r="X1188" s="19" t="s">
        <v>46</v>
      </c>
      <c r="Y1188" s="29"/>
      <c r="Z1188" s="19"/>
      <c r="AA1188" s="19"/>
      <c r="AB1188" s="19" t="s">
        <v>641</v>
      </c>
      <c r="AC1188" s="19" t="s">
        <v>1322</v>
      </c>
      <c r="AD1188" s="19"/>
      <c r="AE1188" s="19">
        <v>100</v>
      </c>
      <c r="AF1188" s="19" t="s">
        <v>1032</v>
      </c>
      <c r="AG1188" s="19" t="s">
        <v>270</v>
      </c>
      <c r="AH1188" s="19"/>
      <c r="AI1188" s="19"/>
      <c r="AJ1188" s="19">
        <f t="shared" si="340"/>
        <v>7.75</v>
      </c>
      <c r="AK1188" s="19" t="s">
        <v>1028</v>
      </c>
      <c r="AL1188" s="19"/>
      <c r="AM1188" s="19" t="s">
        <v>234</v>
      </c>
      <c r="AN1188" s="19" t="s">
        <v>1029</v>
      </c>
      <c r="AO1188" s="19" t="s">
        <v>270</v>
      </c>
      <c r="AP1188" s="94"/>
      <c r="AQ1188" s="19" t="s">
        <v>102</v>
      </c>
      <c r="AR1188" s="19" t="s">
        <v>241</v>
      </c>
      <c r="AS1188" s="19"/>
      <c r="AT1188" s="65" t="str">
        <f t="shared" si="337"/>
        <v>N</v>
      </c>
      <c r="AU1188" s="65" t="str">
        <f t="shared" si="333"/>
        <v>N</v>
      </c>
      <c r="AV1188" s="65" t="str">
        <f t="shared" si="341"/>
        <v>N</v>
      </c>
      <c r="AW1188" s="99"/>
      <c r="AX1188" s="99"/>
      <c r="AY1188" s="19"/>
      <c r="AZ1188" s="96" t="str">
        <f t="shared" si="334"/>
        <v>n</v>
      </c>
      <c r="BA1188" s="96" t="str">
        <f>IF(AZ1188="n","n",VLOOKUP(AZ1188,'Conversion factors'!$C$4:$D$24,2,FALSE))</f>
        <v>n</v>
      </c>
      <c r="BB1188" s="96" t="str">
        <f t="shared" si="335"/>
        <v>n</v>
      </c>
      <c r="BC1188" s="97"/>
      <c r="BD1188" s="96" t="str">
        <f t="shared" si="338"/>
        <v>n</v>
      </c>
      <c r="BE1188" s="96" t="str">
        <f t="shared" si="336"/>
        <v>n</v>
      </c>
      <c r="BF1188" s="98" t="str">
        <f t="shared" si="339"/>
        <v/>
      </c>
      <c r="BG1188" s="96" t="str">
        <f>IF(BF1188="","",IF(ISNUMBER(VLOOKUP(BF1188,'Conversion factors'!$B$35:$C$52,2,FALSE)),"y","n"))</f>
        <v/>
      </c>
      <c r="BH1188" s="99"/>
    </row>
    <row r="1189" spans="1:60" s="103" customFormat="1" ht="15.75" customHeight="1" x14ac:dyDescent="0.2">
      <c r="A1189" s="18"/>
      <c r="B1189" s="19">
        <v>294</v>
      </c>
      <c r="C1189" s="19"/>
      <c r="D1189" s="19">
        <v>102216</v>
      </c>
      <c r="E1189" s="19" t="s">
        <v>1224</v>
      </c>
      <c r="F1189" s="93">
        <v>2006</v>
      </c>
      <c r="G1189" s="19" t="s">
        <v>1027</v>
      </c>
      <c r="H1189" s="19" t="s">
        <v>162</v>
      </c>
      <c r="I1189" s="19" t="s">
        <v>41</v>
      </c>
      <c r="J1189" s="19" t="s">
        <v>87</v>
      </c>
      <c r="K1189" s="19" t="s">
        <v>64</v>
      </c>
      <c r="L1189" s="99" t="s">
        <v>151</v>
      </c>
      <c r="M1189" s="19" t="s">
        <v>260</v>
      </c>
      <c r="N1189" s="19" t="s">
        <v>66</v>
      </c>
      <c r="O1189" s="19" t="s">
        <v>338</v>
      </c>
      <c r="P1189" s="19" t="s">
        <v>162</v>
      </c>
      <c r="Q1189" s="19"/>
      <c r="R1189" s="19" t="s">
        <v>76</v>
      </c>
      <c r="S1189" s="19" t="s">
        <v>534</v>
      </c>
      <c r="T1189" s="19" t="s">
        <v>465</v>
      </c>
      <c r="U1189" s="19" t="s">
        <v>54</v>
      </c>
      <c r="V1189" s="19" t="s">
        <v>94</v>
      </c>
      <c r="W1189" s="19" t="s">
        <v>231</v>
      </c>
      <c r="X1189" s="19" t="s">
        <v>46</v>
      </c>
      <c r="Y1189" s="29"/>
      <c r="Z1189" s="19"/>
      <c r="AA1189" s="19"/>
      <c r="AB1189" s="19" t="s">
        <v>641</v>
      </c>
      <c r="AC1189" s="19" t="s">
        <v>1322</v>
      </c>
      <c r="AD1189" s="19"/>
      <c r="AE1189" s="19">
        <v>100</v>
      </c>
      <c r="AF1189" s="19" t="s">
        <v>1032</v>
      </c>
      <c r="AG1189" s="19" t="s">
        <v>270</v>
      </c>
      <c r="AH1189" s="19"/>
      <c r="AI1189" s="19"/>
      <c r="AJ1189" s="19">
        <f t="shared" si="340"/>
        <v>7.75</v>
      </c>
      <c r="AK1189" s="19" t="s">
        <v>1028</v>
      </c>
      <c r="AL1189" s="19"/>
      <c r="AM1189" s="19" t="s">
        <v>234</v>
      </c>
      <c r="AN1189" s="19" t="s">
        <v>1029</v>
      </c>
      <c r="AO1189" s="19" t="s">
        <v>270</v>
      </c>
      <c r="AP1189" s="94"/>
      <c r="AQ1189" s="19" t="s">
        <v>102</v>
      </c>
      <c r="AR1189" s="19" t="s">
        <v>241</v>
      </c>
      <c r="AS1189" s="19"/>
      <c r="AT1189" s="65" t="str">
        <f t="shared" si="337"/>
        <v>N</v>
      </c>
      <c r="AU1189" s="65" t="str">
        <f t="shared" si="333"/>
        <v>N</v>
      </c>
      <c r="AV1189" s="65" t="str">
        <f t="shared" si="341"/>
        <v>N</v>
      </c>
      <c r="AW1189" s="99"/>
      <c r="AX1189" s="99"/>
      <c r="AY1189" s="19"/>
      <c r="AZ1189" s="96" t="str">
        <f t="shared" si="334"/>
        <v>n</v>
      </c>
      <c r="BA1189" s="96" t="str">
        <f>IF(AZ1189="n","n",VLOOKUP(AZ1189,'Conversion factors'!$C$4:$D$24,2,FALSE))</f>
        <v>n</v>
      </c>
      <c r="BB1189" s="96" t="str">
        <f t="shared" si="335"/>
        <v>n</v>
      </c>
      <c r="BC1189" s="97"/>
      <c r="BD1189" s="96" t="str">
        <f t="shared" si="338"/>
        <v>n</v>
      </c>
      <c r="BE1189" s="96" t="str">
        <f t="shared" si="336"/>
        <v>n</v>
      </c>
      <c r="BF1189" s="98" t="str">
        <f t="shared" si="339"/>
        <v/>
      </c>
      <c r="BG1189" s="96" t="str">
        <f>IF(BF1189="","",IF(ISNUMBER(VLOOKUP(BF1189,'Conversion factors'!$B$35:$C$52,2,FALSE)),"y","n"))</f>
        <v/>
      </c>
      <c r="BH1189" s="99"/>
    </row>
    <row r="1190" spans="1:60" s="103" customFormat="1" ht="15.75" customHeight="1" x14ac:dyDescent="0.2">
      <c r="A1190" s="18"/>
      <c r="B1190" s="19">
        <v>294</v>
      </c>
      <c r="C1190" s="19"/>
      <c r="D1190" s="19">
        <v>102216</v>
      </c>
      <c r="E1190" s="19" t="s">
        <v>1224</v>
      </c>
      <c r="F1190" s="93">
        <v>2006</v>
      </c>
      <c r="G1190" s="19" t="s">
        <v>1027</v>
      </c>
      <c r="H1190" s="19" t="s">
        <v>162</v>
      </c>
      <c r="I1190" s="19" t="s">
        <v>41</v>
      </c>
      <c r="J1190" s="19" t="s">
        <v>87</v>
      </c>
      <c r="K1190" s="19" t="s">
        <v>64</v>
      </c>
      <c r="L1190" s="99" t="s">
        <v>151</v>
      </c>
      <c r="M1190" s="19" t="s">
        <v>260</v>
      </c>
      <c r="N1190" s="19" t="s">
        <v>66</v>
      </c>
      <c r="O1190" s="19" t="s">
        <v>338</v>
      </c>
      <c r="P1190" s="19" t="s">
        <v>162</v>
      </c>
      <c r="Q1190" s="19"/>
      <c r="R1190" s="19" t="s">
        <v>76</v>
      </c>
      <c r="S1190" s="19" t="s">
        <v>534</v>
      </c>
      <c r="T1190" s="19" t="s">
        <v>465</v>
      </c>
      <c r="U1190" s="19" t="s">
        <v>54</v>
      </c>
      <c r="V1190" s="19" t="s">
        <v>94</v>
      </c>
      <c r="W1190" s="19" t="s">
        <v>231</v>
      </c>
      <c r="X1190" s="19" t="s">
        <v>46</v>
      </c>
      <c r="Y1190" s="29"/>
      <c r="Z1190" s="19"/>
      <c r="AA1190" s="19"/>
      <c r="AB1190" s="19" t="s">
        <v>262</v>
      </c>
      <c r="AC1190" s="19" t="s">
        <v>1322</v>
      </c>
      <c r="AD1190" s="19"/>
      <c r="AE1190" s="19">
        <v>100</v>
      </c>
      <c r="AF1190" s="19" t="s">
        <v>1032</v>
      </c>
      <c r="AG1190" s="19" t="s">
        <v>270</v>
      </c>
      <c r="AH1190" s="19"/>
      <c r="AI1190" s="19"/>
      <c r="AJ1190" s="19">
        <f t="shared" si="340"/>
        <v>7.75</v>
      </c>
      <c r="AK1190" s="19" t="s">
        <v>1028</v>
      </c>
      <c r="AL1190" s="19"/>
      <c r="AM1190" s="19" t="s">
        <v>234</v>
      </c>
      <c r="AN1190" s="19" t="s">
        <v>1029</v>
      </c>
      <c r="AO1190" s="19" t="s">
        <v>270</v>
      </c>
      <c r="AP1190" s="94"/>
      <c r="AQ1190" s="19" t="s">
        <v>102</v>
      </c>
      <c r="AR1190" s="19" t="s">
        <v>241</v>
      </c>
      <c r="AS1190" s="19"/>
      <c r="AT1190" s="65" t="str">
        <f t="shared" si="337"/>
        <v>N</v>
      </c>
      <c r="AU1190" s="65" t="str">
        <f t="shared" si="333"/>
        <v>N</v>
      </c>
      <c r="AV1190" s="65" t="str">
        <f t="shared" si="341"/>
        <v>N</v>
      </c>
      <c r="AW1190" s="99"/>
      <c r="AX1190" s="99"/>
      <c r="AY1190" s="19"/>
      <c r="AZ1190" s="96" t="str">
        <f t="shared" si="334"/>
        <v>n</v>
      </c>
      <c r="BA1190" s="96" t="str">
        <f>IF(AZ1190="n","n",VLOOKUP(AZ1190,'Conversion factors'!$C$4:$D$24,2,FALSE))</f>
        <v>n</v>
      </c>
      <c r="BB1190" s="96" t="str">
        <f t="shared" si="335"/>
        <v>n</v>
      </c>
      <c r="BC1190" s="97"/>
      <c r="BD1190" s="96" t="str">
        <f t="shared" si="338"/>
        <v>n</v>
      </c>
      <c r="BE1190" s="96" t="str">
        <f t="shared" si="336"/>
        <v>n</v>
      </c>
      <c r="BF1190" s="98" t="str">
        <f t="shared" si="339"/>
        <v/>
      </c>
      <c r="BG1190" s="96" t="str">
        <f>IF(BF1190="","",IF(ISNUMBER(VLOOKUP(BF1190,'Conversion factors'!$B$35:$C$52,2,FALSE)),"y","n"))</f>
        <v/>
      </c>
      <c r="BH1190" s="99"/>
    </row>
    <row r="1191" spans="1:60" s="103" customFormat="1" ht="15.75" customHeight="1" x14ac:dyDescent="0.2">
      <c r="A1191" s="18"/>
      <c r="B1191" s="19">
        <v>294</v>
      </c>
      <c r="C1191" s="19"/>
      <c r="D1191" s="19">
        <v>102216</v>
      </c>
      <c r="E1191" s="19" t="s">
        <v>1224</v>
      </c>
      <c r="F1191" s="93">
        <v>2006</v>
      </c>
      <c r="G1191" s="19" t="s">
        <v>1027</v>
      </c>
      <c r="H1191" s="19" t="s">
        <v>162</v>
      </c>
      <c r="I1191" s="19" t="s">
        <v>41</v>
      </c>
      <c r="J1191" s="19" t="s">
        <v>87</v>
      </c>
      <c r="K1191" s="19" t="s">
        <v>64</v>
      </c>
      <c r="L1191" s="99" t="s">
        <v>151</v>
      </c>
      <c r="M1191" s="19" t="s">
        <v>260</v>
      </c>
      <c r="N1191" s="19" t="s">
        <v>66</v>
      </c>
      <c r="O1191" s="19" t="s">
        <v>338</v>
      </c>
      <c r="P1191" s="19" t="s">
        <v>162</v>
      </c>
      <c r="Q1191" s="19"/>
      <c r="R1191" s="19" t="s">
        <v>76</v>
      </c>
      <c r="S1191" s="19" t="s">
        <v>534</v>
      </c>
      <c r="T1191" s="19" t="s">
        <v>465</v>
      </c>
      <c r="U1191" s="19" t="s">
        <v>54</v>
      </c>
      <c r="V1191" s="19" t="s">
        <v>94</v>
      </c>
      <c r="W1191" s="19" t="s">
        <v>231</v>
      </c>
      <c r="X1191" s="19" t="s">
        <v>46</v>
      </c>
      <c r="Y1191" s="29"/>
      <c r="Z1191" s="19"/>
      <c r="AA1191" s="19"/>
      <c r="AB1191" s="19" t="s">
        <v>262</v>
      </c>
      <c r="AC1191" s="19" t="s">
        <v>1322</v>
      </c>
      <c r="AD1191" s="19"/>
      <c r="AE1191" s="19">
        <v>100</v>
      </c>
      <c r="AF1191" s="19" t="s">
        <v>1032</v>
      </c>
      <c r="AG1191" s="19" t="s">
        <v>270</v>
      </c>
      <c r="AH1191" s="19"/>
      <c r="AI1191" s="19"/>
      <c r="AJ1191" s="19">
        <f t="shared" si="340"/>
        <v>7.75</v>
      </c>
      <c r="AK1191" s="19" t="s">
        <v>1028</v>
      </c>
      <c r="AL1191" s="19"/>
      <c r="AM1191" s="19" t="s">
        <v>234</v>
      </c>
      <c r="AN1191" s="19" t="s">
        <v>1029</v>
      </c>
      <c r="AO1191" s="19" t="s">
        <v>270</v>
      </c>
      <c r="AP1191" s="94"/>
      <c r="AQ1191" s="19" t="s">
        <v>102</v>
      </c>
      <c r="AR1191" s="19" t="s">
        <v>241</v>
      </c>
      <c r="AS1191" s="19"/>
      <c r="AT1191" s="65" t="str">
        <f t="shared" si="337"/>
        <v>N</v>
      </c>
      <c r="AU1191" s="65" t="str">
        <f t="shared" si="333"/>
        <v>N</v>
      </c>
      <c r="AV1191" s="65" t="str">
        <f t="shared" si="341"/>
        <v>N</v>
      </c>
      <c r="AW1191" s="99"/>
      <c r="AX1191" s="99"/>
      <c r="AY1191" s="19"/>
      <c r="AZ1191" s="96" t="str">
        <f t="shared" si="334"/>
        <v>n</v>
      </c>
      <c r="BA1191" s="96" t="str">
        <f>IF(AZ1191="n","n",VLOOKUP(AZ1191,'Conversion factors'!$C$4:$D$24,2,FALSE))</f>
        <v>n</v>
      </c>
      <c r="BB1191" s="96" t="str">
        <f t="shared" si="335"/>
        <v>n</v>
      </c>
      <c r="BC1191" s="97"/>
      <c r="BD1191" s="96" t="str">
        <f t="shared" si="338"/>
        <v>n</v>
      </c>
      <c r="BE1191" s="96" t="str">
        <f t="shared" si="336"/>
        <v>n</v>
      </c>
      <c r="BF1191" s="98" t="str">
        <f t="shared" si="339"/>
        <v/>
      </c>
      <c r="BG1191" s="96" t="str">
        <f>IF(BF1191="","",IF(ISNUMBER(VLOOKUP(BF1191,'Conversion factors'!$B$35:$C$52,2,FALSE)),"y","n"))</f>
        <v/>
      </c>
      <c r="BH1191" s="99"/>
    </row>
    <row r="1192" spans="1:60" s="103" customFormat="1" ht="15.75" customHeight="1" x14ac:dyDescent="0.2">
      <c r="A1192" s="18"/>
      <c r="B1192" s="19">
        <v>294</v>
      </c>
      <c r="C1192" s="19"/>
      <c r="D1192" s="19">
        <v>102216</v>
      </c>
      <c r="E1192" s="19" t="s">
        <v>1224</v>
      </c>
      <c r="F1192" s="93">
        <v>2006</v>
      </c>
      <c r="G1192" s="19" t="s">
        <v>1027</v>
      </c>
      <c r="H1192" s="19" t="s">
        <v>162</v>
      </c>
      <c r="I1192" s="19" t="s">
        <v>41</v>
      </c>
      <c r="J1192" s="19" t="s">
        <v>87</v>
      </c>
      <c r="K1192" s="19" t="s">
        <v>64</v>
      </c>
      <c r="L1192" s="99" t="s">
        <v>151</v>
      </c>
      <c r="M1192" s="19" t="s">
        <v>260</v>
      </c>
      <c r="N1192" s="19" t="s">
        <v>66</v>
      </c>
      <c r="O1192" s="19" t="s">
        <v>338</v>
      </c>
      <c r="P1192" s="19" t="s">
        <v>162</v>
      </c>
      <c r="Q1192" s="19"/>
      <c r="R1192" s="19" t="s">
        <v>76</v>
      </c>
      <c r="S1192" s="19" t="s">
        <v>534</v>
      </c>
      <c r="T1192" s="19" t="s">
        <v>465</v>
      </c>
      <c r="U1192" s="19" t="s">
        <v>54</v>
      </c>
      <c r="V1192" s="19" t="s">
        <v>94</v>
      </c>
      <c r="W1192" s="19" t="s">
        <v>231</v>
      </c>
      <c r="X1192" s="19" t="s">
        <v>46</v>
      </c>
      <c r="Y1192" s="29"/>
      <c r="Z1192" s="19"/>
      <c r="AA1192" s="19"/>
      <c r="AB1192" s="19" t="s">
        <v>242</v>
      </c>
      <c r="AC1192" s="19" t="s">
        <v>1322</v>
      </c>
      <c r="AD1192" s="19"/>
      <c r="AE1192" s="19">
        <v>100</v>
      </c>
      <c r="AF1192" s="19" t="s">
        <v>1032</v>
      </c>
      <c r="AG1192" s="19" t="s">
        <v>270</v>
      </c>
      <c r="AH1192" s="19"/>
      <c r="AI1192" s="19"/>
      <c r="AJ1192" s="19">
        <f t="shared" si="340"/>
        <v>7.75</v>
      </c>
      <c r="AK1192" s="19" t="s">
        <v>1028</v>
      </c>
      <c r="AL1192" s="19"/>
      <c r="AM1192" s="19" t="s">
        <v>234</v>
      </c>
      <c r="AN1192" s="19" t="s">
        <v>1029</v>
      </c>
      <c r="AO1192" s="19" t="s">
        <v>270</v>
      </c>
      <c r="AP1192" s="94"/>
      <c r="AQ1192" s="19" t="s">
        <v>102</v>
      </c>
      <c r="AR1192" s="19" t="s">
        <v>241</v>
      </c>
      <c r="AS1192" s="19"/>
      <c r="AT1192" s="65" t="str">
        <f t="shared" si="337"/>
        <v>N</v>
      </c>
      <c r="AU1192" s="65" t="str">
        <f t="shared" si="333"/>
        <v>N</v>
      </c>
      <c r="AV1192" s="65" t="str">
        <f t="shared" si="341"/>
        <v>N</v>
      </c>
      <c r="AW1192" s="99"/>
      <c r="AX1192" s="99"/>
      <c r="AY1192" s="19"/>
      <c r="AZ1192" s="96" t="str">
        <f t="shared" si="334"/>
        <v>n</v>
      </c>
      <c r="BA1192" s="96" t="str">
        <f>IF(AZ1192="n","n",VLOOKUP(AZ1192,'Conversion factors'!$C$4:$D$24,2,FALSE))</f>
        <v>n</v>
      </c>
      <c r="BB1192" s="96" t="str">
        <f t="shared" si="335"/>
        <v>n</v>
      </c>
      <c r="BC1192" s="97"/>
      <c r="BD1192" s="96" t="str">
        <f t="shared" si="338"/>
        <v>n</v>
      </c>
      <c r="BE1192" s="96" t="str">
        <f t="shared" si="336"/>
        <v>n</v>
      </c>
      <c r="BF1192" s="98" t="str">
        <f t="shared" si="339"/>
        <v/>
      </c>
      <c r="BG1192" s="96" t="str">
        <f>IF(BF1192="","",IF(ISNUMBER(VLOOKUP(BF1192,'Conversion factors'!$B$35:$C$52,2,FALSE)),"y","n"))</f>
        <v/>
      </c>
      <c r="BH1192" s="99"/>
    </row>
    <row r="1193" spans="1:60" s="103" customFormat="1" ht="15.75" customHeight="1" x14ac:dyDescent="0.2">
      <c r="A1193" s="18"/>
      <c r="B1193" s="19">
        <v>294</v>
      </c>
      <c r="C1193" s="19"/>
      <c r="D1193" s="19">
        <v>102216</v>
      </c>
      <c r="E1193" s="19" t="s">
        <v>1224</v>
      </c>
      <c r="F1193" s="93">
        <v>2006</v>
      </c>
      <c r="G1193" s="19" t="s">
        <v>1027</v>
      </c>
      <c r="H1193" s="19" t="s">
        <v>162</v>
      </c>
      <c r="I1193" s="19" t="s">
        <v>41</v>
      </c>
      <c r="J1193" s="19" t="s">
        <v>87</v>
      </c>
      <c r="K1193" s="19" t="s">
        <v>64</v>
      </c>
      <c r="L1193" s="99" t="s">
        <v>151</v>
      </c>
      <c r="M1193" s="19" t="s">
        <v>260</v>
      </c>
      <c r="N1193" s="19" t="s">
        <v>66</v>
      </c>
      <c r="O1193" s="19" t="s">
        <v>338</v>
      </c>
      <c r="P1193" s="19" t="s">
        <v>162</v>
      </c>
      <c r="Q1193" s="19"/>
      <c r="R1193" s="19" t="s">
        <v>76</v>
      </c>
      <c r="S1193" s="19" t="s">
        <v>534</v>
      </c>
      <c r="T1193" s="19" t="s">
        <v>465</v>
      </c>
      <c r="U1193" s="19" t="s">
        <v>54</v>
      </c>
      <c r="V1193" s="19" t="s">
        <v>94</v>
      </c>
      <c r="W1193" s="19" t="s">
        <v>231</v>
      </c>
      <c r="X1193" s="19" t="s">
        <v>46</v>
      </c>
      <c r="Y1193" s="29"/>
      <c r="Z1193" s="19"/>
      <c r="AA1193" s="19"/>
      <c r="AB1193" s="19" t="s">
        <v>326</v>
      </c>
      <c r="AC1193" s="19" t="s">
        <v>1322</v>
      </c>
      <c r="AD1193" s="19"/>
      <c r="AE1193" s="19">
        <v>100</v>
      </c>
      <c r="AF1193" s="19" t="s">
        <v>1032</v>
      </c>
      <c r="AG1193" s="19" t="s">
        <v>270</v>
      </c>
      <c r="AH1193" s="19"/>
      <c r="AI1193" s="19"/>
      <c r="AJ1193" s="19">
        <f t="shared" si="340"/>
        <v>7.75</v>
      </c>
      <c r="AK1193" s="19" t="s">
        <v>1028</v>
      </c>
      <c r="AL1193" s="19"/>
      <c r="AM1193" s="19" t="s">
        <v>234</v>
      </c>
      <c r="AN1193" s="19" t="s">
        <v>1029</v>
      </c>
      <c r="AO1193" s="19" t="s">
        <v>270</v>
      </c>
      <c r="AP1193" s="94"/>
      <c r="AQ1193" s="19" t="s">
        <v>102</v>
      </c>
      <c r="AR1193" s="19" t="s">
        <v>241</v>
      </c>
      <c r="AS1193" s="19"/>
      <c r="AT1193" s="65" t="str">
        <f t="shared" si="337"/>
        <v>N</v>
      </c>
      <c r="AU1193" s="65" t="str">
        <f t="shared" si="333"/>
        <v>N</v>
      </c>
      <c r="AV1193" s="65" t="str">
        <f t="shared" si="341"/>
        <v>N</v>
      </c>
      <c r="AW1193" s="99"/>
      <c r="AX1193" s="99"/>
      <c r="AY1193" s="19"/>
      <c r="AZ1193" s="96" t="str">
        <f t="shared" si="334"/>
        <v>n</v>
      </c>
      <c r="BA1193" s="96" t="str">
        <f>IF(AZ1193="n","n",VLOOKUP(AZ1193,'Conversion factors'!$C$4:$D$24,2,FALSE))</f>
        <v>n</v>
      </c>
      <c r="BB1193" s="96" t="str">
        <f t="shared" si="335"/>
        <v>n</v>
      </c>
      <c r="BC1193" s="97"/>
      <c r="BD1193" s="96" t="str">
        <f t="shared" si="338"/>
        <v>n</v>
      </c>
      <c r="BE1193" s="96" t="str">
        <f t="shared" si="336"/>
        <v>n</v>
      </c>
      <c r="BF1193" s="98" t="str">
        <f t="shared" si="339"/>
        <v/>
      </c>
      <c r="BG1193" s="96" t="str">
        <f>IF(BF1193="","",IF(ISNUMBER(VLOOKUP(BF1193,'Conversion factors'!$B$35:$C$52,2,FALSE)),"y","n"))</f>
        <v/>
      </c>
      <c r="BH1193" s="99"/>
    </row>
    <row r="1194" spans="1:60" s="103" customFormat="1" ht="15.75" customHeight="1" x14ac:dyDescent="0.2">
      <c r="A1194" s="18"/>
      <c r="B1194" s="19">
        <v>294</v>
      </c>
      <c r="C1194" s="19"/>
      <c r="D1194" s="19">
        <v>102216</v>
      </c>
      <c r="E1194" s="19" t="s">
        <v>1224</v>
      </c>
      <c r="F1194" s="93">
        <v>2006</v>
      </c>
      <c r="G1194" s="19" t="s">
        <v>1027</v>
      </c>
      <c r="H1194" s="19" t="s">
        <v>162</v>
      </c>
      <c r="I1194" s="19" t="s">
        <v>41</v>
      </c>
      <c r="J1194" s="19" t="s">
        <v>87</v>
      </c>
      <c r="K1194" s="19" t="s">
        <v>64</v>
      </c>
      <c r="L1194" s="99" t="s">
        <v>151</v>
      </c>
      <c r="M1194" s="19" t="s">
        <v>260</v>
      </c>
      <c r="N1194" s="19" t="s">
        <v>66</v>
      </c>
      <c r="O1194" s="19" t="s">
        <v>338</v>
      </c>
      <c r="P1194" s="19" t="s">
        <v>162</v>
      </c>
      <c r="Q1194" s="19"/>
      <c r="R1194" s="19" t="s">
        <v>76</v>
      </c>
      <c r="S1194" s="19" t="s">
        <v>534</v>
      </c>
      <c r="T1194" s="19" t="s">
        <v>465</v>
      </c>
      <c r="U1194" s="19" t="s">
        <v>54</v>
      </c>
      <c r="V1194" s="19" t="s">
        <v>94</v>
      </c>
      <c r="W1194" s="19" t="s">
        <v>231</v>
      </c>
      <c r="X1194" s="19" t="s">
        <v>46</v>
      </c>
      <c r="Y1194" s="29"/>
      <c r="Z1194" s="19"/>
      <c r="AA1194" s="19"/>
      <c r="AB1194" s="19" t="s">
        <v>329</v>
      </c>
      <c r="AC1194" s="19" t="s">
        <v>1322</v>
      </c>
      <c r="AD1194" s="19"/>
      <c r="AE1194" s="19">
        <v>100</v>
      </c>
      <c r="AF1194" s="19" t="s">
        <v>1032</v>
      </c>
      <c r="AG1194" s="19" t="s">
        <v>270</v>
      </c>
      <c r="AH1194" s="19"/>
      <c r="AI1194" s="19"/>
      <c r="AJ1194" s="19">
        <f t="shared" si="340"/>
        <v>7.75</v>
      </c>
      <c r="AK1194" s="19" t="s">
        <v>1028</v>
      </c>
      <c r="AL1194" s="19"/>
      <c r="AM1194" s="19" t="s">
        <v>234</v>
      </c>
      <c r="AN1194" s="19" t="s">
        <v>1029</v>
      </c>
      <c r="AO1194" s="19" t="s">
        <v>270</v>
      </c>
      <c r="AP1194" s="94"/>
      <c r="AQ1194" s="19" t="s">
        <v>102</v>
      </c>
      <c r="AR1194" s="19" t="s">
        <v>241</v>
      </c>
      <c r="AS1194" s="19"/>
      <c r="AT1194" s="65" t="str">
        <f t="shared" si="337"/>
        <v>N</v>
      </c>
      <c r="AU1194" s="65" t="str">
        <f t="shared" si="333"/>
        <v>N</v>
      </c>
      <c r="AV1194" s="65" t="str">
        <f t="shared" si="341"/>
        <v>N</v>
      </c>
      <c r="AW1194" s="99"/>
      <c r="AX1194" s="99"/>
      <c r="AY1194" s="19"/>
      <c r="AZ1194" s="96" t="str">
        <f t="shared" si="334"/>
        <v>n</v>
      </c>
      <c r="BA1194" s="96" t="str">
        <f>IF(AZ1194="n","n",VLOOKUP(AZ1194,'Conversion factors'!$C$4:$D$24,2,FALSE))</f>
        <v>n</v>
      </c>
      <c r="BB1194" s="96" t="str">
        <f t="shared" si="335"/>
        <v>n</v>
      </c>
      <c r="BC1194" s="97"/>
      <c r="BD1194" s="96" t="str">
        <f t="shared" si="338"/>
        <v>n</v>
      </c>
      <c r="BE1194" s="96" t="str">
        <f t="shared" si="336"/>
        <v>n</v>
      </c>
      <c r="BF1194" s="98" t="str">
        <f t="shared" si="339"/>
        <v/>
      </c>
      <c r="BG1194" s="96" t="str">
        <f>IF(BF1194="","",IF(ISNUMBER(VLOOKUP(BF1194,'Conversion factors'!$B$35:$C$52,2,FALSE)),"y","n"))</f>
        <v/>
      </c>
      <c r="BH1194" s="99"/>
    </row>
    <row r="1195" spans="1:60" s="103" customFormat="1" ht="15.75" customHeight="1" x14ac:dyDescent="0.2">
      <c r="A1195" s="18"/>
      <c r="B1195" s="19">
        <v>297</v>
      </c>
      <c r="C1195" s="19"/>
      <c r="D1195" s="19">
        <v>104819</v>
      </c>
      <c r="E1195" s="19" t="s">
        <v>1224</v>
      </c>
      <c r="F1195" s="93">
        <v>2008</v>
      </c>
      <c r="G1195" s="19" t="s">
        <v>1037</v>
      </c>
      <c r="H1195" s="19" t="s">
        <v>162</v>
      </c>
      <c r="I1195" s="19" t="s">
        <v>41</v>
      </c>
      <c r="J1195" s="19" t="s">
        <v>87</v>
      </c>
      <c r="K1195" s="19" t="s">
        <v>64</v>
      </c>
      <c r="L1195" s="99" t="s">
        <v>151</v>
      </c>
      <c r="M1195" s="19" t="s">
        <v>260</v>
      </c>
      <c r="N1195" s="19" t="s">
        <v>66</v>
      </c>
      <c r="O1195" s="19" t="s">
        <v>338</v>
      </c>
      <c r="P1195" s="19" t="s">
        <v>162</v>
      </c>
      <c r="Q1195" s="19"/>
      <c r="R1195" s="19" t="s">
        <v>256</v>
      </c>
      <c r="S1195" s="19" t="s">
        <v>439</v>
      </c>
      <c r="T1195" s="19" t="s">
        <v>465</v>
      </c>
      <c r="U1195" s="19" t="s">
        <v>54</v>
      </c>
      <c r="V1195" s="19" t="s">
        <v>94</v>
      </c>
      <c r="W1195" s="19" t="s">
        <v>231</v>
      </c>
      <c r="X1195" s="19" t="s">
        <v>46</v>
      </c>
      <c r="Y1195" s="29"/>
      <c r="Z1195" s="19"/>
      <c r="AA1195" s="19"/>
      <c r="AB1195" s="19" t="s">
        <v>1038</v>
      </c>
      <c r="AC1195" s="19" t="s">
        <v>1322</v>
      </c>
      <c r="AD1195" s="19"/>
      <c r="AE1195" s="19"/>
      <c r="AF1195" s="19"/>
      <c r="AG1195" s="19" t="s">
        <v>235</v>
      </c>
      <c r="AH1195" s="19"/>
      <c r="AI1195" s="19"/>
      <c r="AJ1195" s="19" t="s">
        <v>234</v>
      </c>
      <c r="AK1195" s="19" t="s">
        <v>234</v>
      </c>
      <c r="AL1195" s="19"/>
      <c r="AM1195" s="19" t="s">
        <v>234</v>
      </c>
      <c r="AN1195" s="19" t="s">
        <v>234</v>
      </c>
      <c r="AO1195" s="19" t="s">
        <v>235</v>
      </c>
      <c r="AP1195" s="94"/>
      <c r="AQ1195" s="19" t="s">
        <v>97</v>
      </c>
      <c r="AR1195" s="19" t="s">
        <v>241</v>
      </c>
      <c r="AS1195" s="19"/>
      <c r="AT1195" s="65" t="str">
        <f t="shared" si="337"/>
        <v>N</v>
      </c>
      <c r="AU1195" s="65" t="str">
        <f t="shared" si="333"/>
        <v>N</v>
      </c>
      <c r="AV1195" s="65" t="str">
        <f t="shared" si="341"/>
        <v>N</v>
      </c>
      <c r="AW1195" s="99"/>
      <c r="AX1195" s="99"/>
      <c r="AY1195" s="19"/>
      <c r="AZ1195" s="96" t="str">
        <f t="shared" si="334"/>
        <v>n</v>
      </c>
      <c r="BA1195" s="96" t="str">
        <f>IF(AZ1195="n","n",VLOOKUP(AZ1195,'Conversion factors'!$C$4:$D$24,2,FALSE))</f>
        <v>n</v>
      </c>
      <c r="BB1195" s="96" t="str">
        <f t="shared" si="335"/>
        <v>n</v>
      </c>
      <c r="BC1195" s="97"/>
      <c r="BD1195" s="96" t="str">
        <f t="shared" si="338"/>
        <v>n</v>
      </c>
      <c r="BE1195" s="96" t="str">
        <f t="shared" si="336"/>
        <v>n</v>
      </c>
      <c r="BF1195" s="98" t="str">
        <f t="shared" si="339"/>
        <v/>
      </c>
      <c r="BG1195" s="96" t="str">
        <f>IF(BF1195="","",IF(ISNUMBER(VLOOKUP(BF1195,'Conversion factors'!$B$35:$C$52,2,FALSE)),"y","n"))</f>
        <v/>
      </c>
      <c r="BH1195" s="99"/>
    </row>
    <row r="1196" spans="1:60" s="103" customFormat="1" ht="15.75" customHeight="1" x14ac:dyDescent="0.2">
      <c r="A1196" s="18"/>
      <c r="B1196" s="19">
        <v>297</v>
      </c>
      <c r="C1196" s="19"/>
      <c r="D1196" s="19">
        <v>104819</v>
      </c>
      <c r="E1196" s="19" t="s">
        <v>1224</v>
      </c>
      <c r="F1196" s="93">
        <v>2008</v>
      </c>
      <c r="G1196" s="19" t="s">
        <v>1037</v>
      </c>
      <c r="H1196" s="19" t="s">
        <v>162</v>
      </c>
      <c r="I1196" s="19" t="s">
        <v>41</v>
      </c>
      <c r="J1196" s="19" t="s">
        <v>87</v>
      </c>
      <c r="K1196" s="19" t="s">
        <v>64</v>
      </c>
      <c r="L1196" s="99" t="s">
        <v>151</v>
      </c>
      <c r="M1196" s="19" t="s">
        <v>260</v>
      </c>
      <c r="N1196" s="19" t="s">
        <v>66</v>
      </c>
      <c r="O1196" s="19" t="s">
        <v>338</v>
      </c>
      <c r="P1196" s="19" t="s">
        <v>162</v>
      </c>
      <c r="Q1196" s="19"/>
      <c r="R1196" s="19" t="s">
        <v>76</v>
      </c>
      <c r="S1196" s="19" t="s">
        <v>534</v>
      </c>
      <c r="T1196" s="19" t="s">
        <v>54</v>
      </c>
      <c r="U1196" s="19" t="s">
        <v>54</v>
      </c>
      <c r="V1196" s="19" t="s">
        <v>94</v>
      </c>
      <c r="W1196" s="19" t="s">
        <v>231</v>
      </c>
      <c r="X1196" s="19" t="s">
        <v>46</v>
      </c>
      <c r="Y1196" s="29"/>
      <c r="Z1196" s="19"/>
      <c r="AA1196" s="19"/>
      <c r="AB1196" s="19" t="s">
        <v>1038</v>
      </c>
      <c r="AC1196" s="19" t="s">
        <v>1322</v>
      </c>
      <c r="AD1196" s="19"/>
      <c r="AE1196" s="19"/>
      <c r="AF1196" s="19"/>
      <c r="AG1196" s="19" t="s">
        <v>235</v>
      </c>
      <c r="AH1196" s="19"/>
      <c r="AI1196" s="19"/>
      <c r="AJ1196" s="19" t="s">
        <v>234</v>
      </c>
      <c r="AK1196" s="19" t="s">
        <v>234</v>
      </c>
      <c r="AL1196" s="19"/>
      <c r="AM1196" s="19" t="s">
        <v>234</v>
      </c>
      <c r="AN1196" s="19" t="s">
        <v>234</v>
      </c>
      <c r="AO1196" s="19" t="s">
        <v>235</v>
      </c>
      <c r="AP1196" s="94"/>
      <c r="AQ1196" s="19" t="s">
        <v>97</v>
      </c>
      <c r="AR1196" s="19" t="s">
        <v>241</v>
      </c>
      <c r="AS1196" s="19"/>
      <c r="AT1196" s="65" t="str">
        <f t="shared" si="337"/>
        <v>N</v>
      </c>
      <c r="AU1196" s="65" t="str">
        <f t="shared" si="333"/>
        <v>N</v>
      </c>
      <c r="AV1196" s="65" t="str">
        <f t="shared" si="341"/>
        <v>N</v>
      </c>
      <c r="AW1196" s="99"/>
      <c r="AX1196" s="99"/>
      <c r="AY1196" s="19"/>
      <c r="AZ1196" s="96" t="str">
        <f t="shared" si="334"/>
        <v>n</v>
      </c>
      <c r="BA1196" s="96" t="str">
        <f>IF(AZ1196="n","n",VLOOKUP(AZ1196,'Conversion factors'!$C$4:$D$24,2,FALSE))</f>
        <v>n</v>
      </c>
      <c r="BB1196" s="96" t="str">
        <f t="shared" si="335"/>
        <v>n</v>
      </c>
      <c r="BC1196" s="97"/>
      <c r="BD1196" s="96" t="str">
        <f t="shared" si="338"/>
        <v>n</v>
      </c>
      <c r="BE1196" s="96" t="str">
        <f t="shared" si="336"/>
        <v>n</v>
      </c>
      <c r="BF1196" s="98" t="str">
        <f t="shared" si="339"/>
        <v/>
      </c>
      <c r="BG1196" s="96" t="str">
        <f>IF(BF1196="","",IF(ISNUMBER(VLOOKUP(BF1196,'Conversion factors'!$B$35:$C$52,2,FALSE)),"y","n"))</f>
        <v/>
      </c>
      <c r="BH1196" s="99"/>
    </row>
    <row r="1197" spans="1:60" s="103" customFormat="1" ht="15.75" customHeight="1" x14ac:dyDescent="0.2">
      <c r="A1197" s="18"/>
      <c r="B1197" s="19">
        <v>297</v>
      </c>
      <c r="C1197" s="19"/>
      <c r="D1197" s="19">
        <v>104819</v>
      </c>
      <c r="E1197" s="19" t="s">
        <v>1224</v>
      </c>
      <c r="F1197" s="93">
        <v>2008</v>
      </c>
      <c r="G1197" s="19" t="s">
        <v>1037</v>
      </c>
      <c r="H1197" s="19" t="s">
        <v>162</v>
      </c>
      <c r="I1197" s="19" t="s">
        <v>41</v>
      </c>
      <c r="J1197" s="19" t="s">
        <v>87</v>
      </c>
      <c r="K1197" s="19" t="s">
        <v>64</v>
      </c>
      <c r="L1197" s="99" t="s">
        <v>151</v>
      </c>
      <c r="M1197" s="19" t="s">
        <v>260</v>
      </c>
      <c r="N1197" s="19" t="s">
        <v>66</v>
      </c>
      <c r="O1197" s="19" t="s">
        <v>338</v>
      </c>
      <c r="P1197" s="19" t="s">
        <v>162</v>
      </c>
      <c r="Q1197" s="19"/>
      <c r="R1197" s="19" t="s">
        <v>76</v>
      </c>
      <c r="S1197" s="19" t="s">
        <v>534</v>
      </c>
      <c r="T1197" s="19" t="s">
        <v>54</v>
      </c>
      <c r="U1197" s="19" t="s">
        <v>54</v>
      </c>
      <c r="V1197" s="19" t="s">
        <v>94</v>
      </c>
      <c r="W1197" s="19" t="s">
        <v>231</v>
      </c>
      <c r="X1197" s="19" t="s">
        <v>46</v>
      </c>
      <c r="Y1197" s="29"/>
      <c r="Z1197" s="19"/>
      <c r="AA1197" s="19"/>
      <c r="AB1197" s="19" t="s">
        <v>1038</v>
      </c>
      <c r="AC1197" s="19" t="s">
        <v>1322</v>
      </c>
      <c r="AD1197" s="19"/>
      <c r="AE1197" s="19"/>
      <c r="AF1197" s="19"/>
      <c r="AG1197" s="19" t="s">
        <v>235</v>
      </c>
      <c r="AH1197" s="19"/>
      <c r="AI1197" s="19"/>
      <c r="AJ1197" s="19" t="s">
        <v>234</v>
      </c>
      <c r="AK1197" s="19" t="s">
        <v>234</v>
      </c>
      <c r="AL1197" s="19"/>
      <c r="AM1197" s="19" t="s">
        <v>234</v>
      </c>
      <c r="AN1197" s="19" t="s">
        <v>234</v>
      </c>
      <c r="AO1197" s="19" t="s">
        <v>235</v>
      </c>
      <c r="AP1197" s="94"/>
      <c r="AQ1197" s="19" t="s">
        <v>97</v>
      </c>
      <c r="AR1197" s="19" t="s">
        <v>241</v>
      </c>
      <c r="AS1197" s="19"/>
      <c r="AT1197" s="65" t="str">
        <f t="shared" si="337"/>
        <v>N</v>
      </c>
      <c r="AU1197" s="65" t="str">
        <f t="shared" si="333"/>
        <v>N</v>
      </c>
      <c r="AV1197" s="65" t="str">
        <f t="shared" si="341"/>
        <v>N</v>
      </c>
      <c r="AW1197" s="99"/>
      <c r="AX1197" s="99"/>
      <c r="AY1197" s="19"/>
      <c r="AZ1197" s="96" t="str">
        <f t="shared" si="334"/>
        <v>n</v>
      </c>
      <c r="BA1197" s="96" t="str">
        <f>IF(AZ1197="n","n",VLOOKUP(AZ1197,'Conversion factors'!$C$4:$D$24,2,FALSE))</f>
        <v>n</v>
      </c>
      <c r="BB1197" s="96" t="str">
        <f t="shared" si="335"/>
        <v>n</v>
      </c>
      <c r="BC1197" s="97"/>
      <c r="BD1197" s="96" t="str">
        <f t="shared" si="338"/>
        <v>n</v>
      </c>
      <c r="BE1197" s="96" t="str">
        <f t="shared" si="336"/>
        <v>n</v>
      </c>
      <c r="BF1197" s="98" t="str">
        <f t="shared" si="339"/>
        <v/>
      </c>
      <c r="BG1197" s="96" t="str">
        <f>IF(BF1197="","",IF(ISNUMBER(VLOOKUP(BF1197,'Conversion factors'!$B$35:$C$52,2,FALSE)),"y","n"))</f>
        <v/>
      </c>
      <c r="BH1197" s="99"/>
    </row>
    <row r="1198" spans="1:60" s="103" customFormat="1" ht="15.75" customHeight="1" x14ac:dyDescent="0.2">
      <c r="A1198" s="18"/>
      <c r="B1198" s="19">
        <v>297</v>
      </c>
      <c r="C1198" s="19"/>
      <c r="D1198" s="19">
        <v>104819</v>
      </c>
      <c r="E1198" s="19" t="s">
        <v>1224</v>
      </c>
      <c r="F1198" s="93">
        <v>2008</v>
      </c>
      <c r="G1198" s="19" t="s">
        <v>1037</v>
      </c>
      <c r="H1198" s="19" t="s">
        <v>162</v>
      </c>
      <c r="I1198" s="19" t="s">
        <v>41</v>
      </c>
      <c r="J1198" s="19" t="s">
        <v>87</v>
      </c>
      <c r="K1198" s="19" t="s">
        <v>64</v>
      </c>
      <c r="L1198" s="99" t="s">
        <v>151</v>
      </c>
      <c r="M1198" s="19" t="s">
        <v>260</v>
      </c>
      <c r="N1198" s="19" t="s">
        <v>66</v>
      </c>
      <c r="O1198" s="19" t="s">
        <v>338</v>
      </c>
      <c r="P1198" s="19" t="s">
        <v>162</v>
      </c>
      <c r="Q1198" s="19"/>
      <c r="R1198" s="19" t="s">
        <v>76</v>
      </c>
      <c r="S1198" s="19" t="s">
        <v>534</v>
      </c>
      <c r="T1198" s="19" t="s">
        <v>54</v>
      </c>
      <c r="U1198" s="19" t="s">
        <v>54</v>
      </c>
      <c r="V1198" s="19" t="s">
        <v>94</v>
      </c>
      <c r="W1198" s="19" t="s">
        <v>231</v>
      </c>
      <c r="X1198" s="19" t="s">
        <v>46</v>
      </c>
      <c r="Y1198" s="29"/>
      <c r="Z1198" s="19"/>
      <c r="AA1198" s="19"/>
      <c r="AB1198" s="19" t="s">
        <v>1038</v>
      </c>
      <c r="AC1198" s="19" t="s">
        <v>1322</v>
      </c>
      <c r="AD1198" s="19"/>
      <c r="AE1198" s="19"/>
      <c r="AF1198" s="19"/>
      <c r="AG1198" s="19" t="s">
        <v>235</v>
      </c>
      <c r="AH1198" s="19"/>
      <c r="AI1198" s="19"/>
      <c r="AJ1198" s="19" t="s">
        <v>234</v>
      </c>
      <c r="AK1198" s="19" t="s">
        <v>234</v>
      </c>
      <c r="AL1198" s="19"/>
      <c r="AM1198" s="19" t="s">
        <v>234</v>
      </c>
      <c r="AN1198" s="19" t="s">
        <v>234</v>
      </c>
      <c r="AO1198" s="19" t="s">
        <v>235</v>
      </c>
      <c r="AP1198" s="94"/>
      <c r="AQ1198" s="19" t="s">
        <v>97</v>
      </c>
      <c r="AR1198" s="19" t="s">
        <v>241</v>
      </c>
      <c r="AS1198" s="19"/>
      <c r="AT1198" s="65" t="str">
        <f t="shared" si="337"/>
        <v>N</v>
      </c>
      <c r="AU1198" s="65" t="str">
        <f t="shared" si="333"/>
        <v>N</v>
      </c>
      <c r="AV1198" s="65" t="str">
        <f t="shared" si="341"/>
        <v>N</v>
      </c>
      <c r="AW1198" s="99"/>
      <c r="AX1198" s="99"/>
      <c r="AY1198" s="19"/>
      <c r="AZ1198" s="96" t="str">
        <f t="shared" si="334"/>
        <v>n</v>
      </c>
      <c r="BA1198" s="96" t="str">
        <f>IF(AZ1198="n","n",VLOOKUP(AZ1198,'Conversion factors'!$C$4:$D$24,2,FALSE))</f>
        <v>n</v>
      </c>
      <c r="BB1198" s="96" t="str">
        <f t="shared" si="335"/>
        <v>n</v>
      </c>
      <c r="BC1198" s="97"/>
      <c r="BD1198" s="96" t="str">
        <f t="shared" si="338"/>
        <v>n</v>
      </c>
      <c r="BE1198" s="96" t="str">
        <f t="shared" si="336"/>
        <v>n</v>
      </c>
      <c r="BF1198" s="98" t="str">
        <f t="shared" si="339"/>
        <v/>
      </c>
      <c r="BG1198" s="96" t="str">
        <f>IF(BF1198="","",IF(ISNUMBER(VLOOKUP(BF1198,'Conversion factors'!$B$35:$C$52,2,FALSE)),"y","n"))</f>
        <v/>
      </c>
      <c r="BH1198" s="99"/>
    </row>
    <row r="1199" spans="1:60" s="103" customFormat="1" ht="15.75" customHeight="1" x14ac:dyDescent="0.2">
      <c r="A1199" s="18"/>
      <c r="B1199" s="19">
        <v>297</v>
      </c>
      <c r="C1199" s="19"/>
      <c r="D1199" s="19">
        <v>104819</v>
      </c>
      <c r="E1199" s="19" t="s">
        <v>1224</v>
      </c>
      <c r="F1199" s="93">
        <v>2008</v>
      </c>
      <c r="G1199" s="19" t="s">
        <v>1037</v>
      </c>
      <c r="H1199" s="19" t="s">
        <v>162</v>
      </c>
      <c r="I1199" s="19" t="s">
        <v>41</v>
      </c>
      <c r="J1199" s="19" t="s">
        <v>87</v>
      </c>
      <c r="K1199" s="19" t="s">
        <v>64</v>
      </c>
      <c r="L1199" s="99" t="s">
        <v>151</v>
      </c>
      <c r="M1199" s="19" t="s">
        <v>260</v>
      </c>
      <c r="N1199" s="19" t="s">
        <v>66</v>
      </c>
      <c r="O1199" s="19" t="s">
        <v>338</v>
      </c>
      <c r="P1199" s="19" t="s">
        <v>162</v>
      </c>
      <c r="Q1199" s="19"/>
      <c r="R1199" s="19" t="s">
        <v>76</v>
      </c>
      <c r="S1199" s="19" t="s">
        <v>534</v>
      </c>
      <c r="T1199" s="19" t="s">
        <v>54</v>
      </c>
      <c r="U1199" s="19" t="s">
        <v>54</v>
      </c>
      <c r="V1199" s="19" t="s">
        <v>94</v>
      </c>
      <c r="W1199" s="19" t="s">
        <v>231</v>
      </c>
      <c r="X1199" s="19" t="s">
        <v>46</v>
      </c>
      <c r="Y1199" s="29"/>
      <c r="Z1199" s="19"/>
      <c r="AA1199" s="19"/>
      <c r="AB1199" s="19" t="s">
        <v>1038</v>
      </c>
      <c r="AC1199" s="19" t="s">
        <v>1322</v>
      </c>
      <c r="AD1199" s="19"/>
      <c r="AE1199" s="19"/>
      <c r="AF1199" s="19"/>
      <c r="AG1199" s="19" t="s">
        <v>235</v>
      </c>
      <c r="AH1199" s="19"/>
      <c r="AI1199" s="19"/>
      <c r="AJ1199" s="19" t="s">
        <v>234</v>
      </c>
      <c r="AK1199" s="19" t="s">
        <v>234</v>
      </c>
      <c r="AL1199" s="19"/>
      <c r="AM1199" s="19" t="s">
        <v>234</v>
      </c>
      <c r="AN1199" s="19" t="s">
        <v>234</v>
      </c>
      <c r="AO1199" s="19" t="s">
        <v>235</v>
      </c>
      <c r="AP1199" s="94"/>
      <c r="AQ1199" s="19" t="s">
        <v>97</v>
      </c>
      <c r="AR1199" s="19" t="s">
        <v>241</v>
      </c>
      <c r="AS1199" s="19"/>
      <c r="AT1199" s="65" t="str">
        <f t="shared" si="337"/>
        <v>N</v>
      </c>
      <c r="AU1199" s="65" t="str">
        <f t="shared" si="333"/>
        <v>N</v>
      </c>
      <c r="AV1199" s="65" t="str">
        <f t="shared" si="341"/>
        <v>N</v>
      </c>
      <c r="AW1199" s="99"/>
      <c r="AX1199" s="99"/>
      <c r="AY1199" s="19"/>
      <c r="AZ1199" s="96" t="str">
        <f t="shared" si="334"/>
        <v>n</v>
      </c>
      <c r="BA1199" s="96" t="str">
        <f>IF(AZ1199="n","n",VLOOKUP(AZ1199,'Conversion factors'!$C$4:$D$24,2,FALSE))</f>
        <v>n</v>
      </c>
      <c r="BB1199" s="96" t="str">
        <f t="shared" si="335"/>
        <v>n</v>
      </c>
      <c r="BC1199" s="97"/>
      <c r="BD1199" s="96" t="str">
        <f t="shared" si="338"/>
        <v>n</v>
      </c>
      <c r="BE1199" s="96" t="str">
        <f t="shared" si="336"/>
        <v>n</v>
      </c>
      <c r="BF1199" s="98" t="str">
        <f t="shared" si="339"/>
        <v/>
      </c>
      <c r="BG1199" s="96" t="str">
        <f>IF(BF1199="","",IF(ISNUMBER(VLOOKUP(BF1199,'Conversion factors'!$B$35:$C$52,2,FALSE)),"y","n"))</f>
        <v/>
      </c>
      <c r="BH1199" s="99"/>
    </row>
    <row r="1200" spans="1:60" s="103" customFormat="1" ht="15.75" customHeight="1" x14ac:dyDescent="0.2">
      <c r="A1200" s="18"/>
      <c r="B1200" s="19">
        <v>297</v>
      </c>
      <c r="C1200" s="19"/>
      <c r="D1200" s="19">
        <v>104819</v>
      </c>
      <c r="E1200" s="19" t="s">
        <v>1224</v>
      </c>
      <c r="F1200" s="93">
        <v>2008</v>
      </c>
      <c r="G1200" s="19" t="s">
        <v>1037</v>
      </c>
      <c r="H1200" s="19" t="s">
        <v>162</v>
      </c>
      <c r="I1200" s="19" t="s">
        <v>41</v>
      </c>
      <c r="J1200" s="19" t="s">
        <v>87</v>
      </c>
      <c r="K1200" s="19" t="s">
        <v>64</v>
      </c>
      <c r="L1200" s="99" t="s">
        <v>151</v>
      </c>
      <c r="M1200" s="19" t="s">
        <v>260</v>
      </c>
      <c r="N1200" s="19" t="s">
        <v>66</v>
      </c>
      <c r="O1200" s="19" t="s">
        <v>338</v>
      </c>
      <c r="P1200" s="19" t="s">
        <v>162</v>
      </c>
      <c r="Q1200" s="19"/>
      <c r="R1200" s="19" t="s">
        <v>76</v>
      </c>
      <c r="S1200" s="19" t="s">
        <v>917</v>
      </c>
      <c r="T1200" s="19" t="s">
        <v>54</v>
      </c>
      <c r="U1200" s="19" t="s">
        <v>54</v>
      </c>
      <c r="V1200" s="19" t="s">
        <v>94</v>
      </c>
      <c r="W1200" s="19" t="s">
        <v>231</v>
      </c>
      <c r="X1200" s="19" t="s">
        <v>46</v>
      </c>
      <c r="Y1200" s="29"/>
      <c r="Z1200" s="19"/>
      <c r="AA1200" s="19"/>
      <c r="AB1200" s="19" t="s">
        <v>1038</v>
      </c>
      <c r="AC1200" s="19" t="s">
        <v>1322</v>
      </c>
      <c r="AD1200" s="19"/>
      <c r="AE1200" s="19"/>
      <c r="AF1200" s="19"/>
      <c r="AG1200" s="19" t="s">
        <v>235</v>
      </c>
      <c r="AH1200" s="19"/>
      <c r="AI1200" s="19"/>
      <c r="AJ1200" s="19" t="s">
        <v>234</v>
      </c>
      <c r="AK1200" s="19" t="s">
        <v>234</v>
      </c>
      <c r="AL1200" s="19"/>
      <c r="AM1200" s="19" t="s">
        <v>234</v>
      </c>
      <c r="AN1200" s="19" t="s">
        <v>234</v>
      </c>
      <c r="AO1200" s="19" t="s">
        <v>235</v>
      </c>
      <c r="AP1200" s="94"/>
      <c r="AQ1200" s="19" t="s">
        <v>97</v>
      </c>
      <c r="AR1200" s="19" t="s">
        <v>241</v>
      </c>
      <c r="AS1200" s="19"/>
      <c r="AT1200" s="65" t="str">
        <f t="shared" si="337"/>
        <v>N</v>
      </c>
      <c r="AU1200" s="65" t="str">
        <f t="shared" si="333"/>
        <v>N</v>
      </c>
      <c r="AV1200" s="65" t="str">
        <f t="shared" si="341"/>
        <v>N</v>
      </c>
      <c r="AW1200" s="99"/>
      <c r="AX1200" s="99"/>
      <c r="AY1200" s="19"/>
      <c r="AZ1200" s="96" t="str">
        <f t="shared" si="334"/>
        <v>n</v>
      </c>
      <c r="BA1200" s="96" t="str">
        <f>IF(AZ1200="n","n",VLOOKUP(AZ1200,'Conversion factors'!$C$4:$D$24,2,FALSE))</f>
        <v>n</v>
      </c>
      <c r="BB1200" s="96" t="str">
        <f t="shared" si="335"/>
        <v>n</v>
      </c>
      <c r="BC1200" s="97"/>
      <c r="BD1200" s="96" t="str">
        <f t="shared" si="338"/>
        <v>n</v>
      </c>
      <c r="BE1200" s="96" t="str">
        <f t="shared" si="336"/>
        <v>n</v>
      </c>
      <c r="BF1200" s="98" t="str">
        <f t="shared" si="339"/>
        <v/>
      </c>
      <c r="BG1200" s="96" t="str">
        <f>IF(BF1200="","",IF(ISNUMBER(VLOOKUP(BF1200,'Conversion factors'!$B$35:$C$52,2,FALSE)),"y","n"))</f>
        <v/>
      </c>
      <c r="BH1200" s="99"/>
    </row>
    <row r="1201" spans="1:62" s="103" customFormat="1" ht="15.75" customHeight="1" x14ac:dyDescent="0.2">
      <c r="A1201" s="18"/>
      <c r="B1201" s="19">
        <v>297</v>
      </c>
      <c r="C1201" s="19"/>
      <c r="D1201" s="19">
        <v>104819</v>
      </c>
      <c r="E1201" s="19" t="s">
        <v>1224</v>
      </c>
      <c r="F1201" s="93">
        <v>2008</v>
      </c>
      <c r="G1201" s="19" t="s">
        <v>1037</v>
      </c>
      <c r="H1201" s="19" t="s">
        <v>162</v>
      </c>
      <c r="I1201" s="19" t="s">
        <v>41</v>
      </c>
      <c r="J1201" s="19" t="s">
        <v>87</v>
      </c>
      <c r="K1201" s="19" t="s">
        <v>64</v>
      </c>
      <c r="L1201" s="99" t="s">
        <v>151</v>
      </c>
      <c r="M1201" s="19" t="s">
        <v>260</v>
      </c>
      <c r="N1201" s="19" t="s">
        <v>66</v>
      </c>
      <c r="O1201" s="19" t="s">
        <v>338</v>
      </c>
      <c r="P1201" s="19" t="s">
        <v>162</v>
      </c>
      <c r="Q1201" s="19"/>
      <c r="R1201" s="19" t="s">
        <v>76</v>
      </c>
      <c r="S1201" s="19" t="s">
        <v>534</v>
      </c>
      <c r="T1201" s="19" t="s">
        <v>54</v>
      </c>
      <c r="U1201" s="19" t="s">
        <v>54</v>
      </c>
      <c r="V1201" s="19" t="s">
        <v>94</v>
      </c>
      <c r="W1201" s="19" t="s">
        <v>231</v>
      </c>
      <c r="X1201" s="19" t="s">
        <v>46</v>
      </c>
      <c r="Y1201" s="29"/>
      <c r="Z1201" s="19"/>
      <c r="AA1201" s="19"/>
      <c r="AB1201" s="19" t="s">
        <v>1038</v>
      </c>
      <c r="AC1201" s="19" t="s">
        <v>1322</v>
      </c>
      <c r="AD1201" s="19"/>
      <c r="AE1201" s="19"/>
      <c r="AF1201" s="19"/>
      <c r="AG1201" s="19" t="s">
        <v>235</v>
      </c>
      <c r="AH1201" s="19"/>
      <c r="AI1201" s="19"/>
      <c r="AJ1201" s="19" t="s">
        <v>234</v>
      </c>
      <c r="AK1201" s="19" t="s">
        <v>234</v>
      </c>
      <c r="AL1201" s="19"/>
      <c r="AM1201" s="19" t="s">
        <v>234</v>
      </c>
      <c r="AN1201" s="19" t="s">
        <v>234</v>
      </c>
      <c r="AO1201" s="19" t="s">
        <v>235</v>
      </c>
      <c r="AP1201" s="94"/>
      <c r="AQ1201" s="19" t="s">
        <v>97</v>
      </c>
      <c r="AR1201" s="19" t="s">
        <v>241</v>
      </c>
      <c r="AS1201" s="19"/>
      <c r="AT1201" s="65" t="str">
        <f t="shared" si="337"/>
        <v>N</v>
      </c>
      <c r="AU1201" s="65" t="str">
        <f t="shared" si="333"/>
        <v>N</v>
      </c>
      <c r="AV1201" s="65" t="str">
        <f t="shared" si="341"/>
        <v>N</v>
      </c>
      <c r="AW1201" s="99"/>
      <c r="AX1201" s="99"/>
      <c r="AY1201" s="19"/>
      <c r="AZ1201" s="96" t="str">
        <f t="shared" si="334"/>
        <v>n</v>
      </c>
      <c r="BA1201" s="96" t="str">
        <f>IF(AZ1201="n","n",VLOOKUP(AZ1201,'Conversion factors'!$C$4:$D$24,2,FALSE))</f>
        <v>n</v>
      </c>
      <c r="BB1201" s="96" t="str">
        <f t="shared" si="335"/>
        <v>n</v>
      </c>
      <c r="BC1201" s="97"/>
      <c r="BD1201" s="96" t="str">
        <f t="shared" si="338"/>
        <v>n</v>
      </c>
      <c r="BE1201" s="96" t="str">
        <f t="shared" si="336"/>
        <v>n</v>
      </c>
      <c r="BF1201" s="98" t="str">
        <f t="shared" si="339"/>
        <v/>
      </c>
      <c r="BG1201" s="96" t="str">
        <f>IF(BF1201="","",IF(ISNUMBER(VLOOKUP(BF1201,'Conversion factors'!$B$35:$C$52,2,FALSE)),"y","n"))</f>
        <v/>
      </c>
      <c r="BH1201" s="99"/>
    </row>
    <row r="1202" spans="1:62" s="103" customFormat="1" ht="15.75" customHeight="1" x14ac:dyDescent="0.2">
      <c r="A1202" s="18"/>
      <c r="B1202" s="19">
        <v>297</v>
      </c>
      <c r="C1202" s="19"/>
      <c r="D1202" s="19">
        <v>104819</v>
      </c>
      <c r="E1202" s="19" t="s">
        <v>1224</v>
      </c>
      <c r="F1202" s="93">
        <v>2008</v>
      </c>
      <c r="G1202" s="19" t="s">
        <v>1037</v>
      </c>
      <c r="H1202" s="19" t="s">
        <v>162</v>
      </c>
      <c r="I1202" s="19" t="s">
        <v>41</v>
      </c>
      <c r="J1202" s="19" t="s">
        <v>87</v>
      </c>
      <c r="K1202" s="19" t="s">
        <v>64</v>
      </c>
      <c r="L1202" s="99" t="s">
        <v>151</v>
      </c>
      <c r="M1202" s="19" t="s">
        <v>260</v>
      </c>
      <c r="N1202" s="19" t="s">
        <v>66</v>
      </c>
      <c r="O1202" s="19" t="s">
        <v>338</v>
      </c>
      <c r="P1202" s="19" t="s">
        <v>162</v>
      </c>
      <c r="Q1202" s="19"/>
      <c r="R1202" s="19" t="s">
        <v>76</v>
      </c>
      <c r="S1202" s="19" t="s">
        <v>534</v>
      </c>
      <c r="T1202" s="19" t="s">
        <v>465</v>
      </c>
      <c r="U1202" s="19" t="s">
        <v>54</v>
      </c>
      <c r="V1202" s="19" t="s">
        <v>94</v>
      </c>
      <c r="W1202" s="19" t="s">
        <v>231</v>
      </c>
      <c r="X1202" s="19" t="s">
        <v>46</v>
      </c>
      <c r="Y1202" s="29"/>
      <c r="Z1202" s="19"/>
      <c r="AA1202" s="19"/>
      <c r="AB1202" s="19" t="s">
        <v>1038</v>
      </c>
      <c r="AC1202" s="19" t="s">
        <v>1322</v>
      </c>
      <c r="AD1202" s="19"/>
      <c r="AE1202" s="19"/>
      <c r="AF1202" s="19"/>
      <c r="AG1202" s="19" t="s">
        <v>235</v>
      </c>
      <c r="AH1202" s="19"/>
      <c r="AI1202" s="19"/>
      <c r="AJ1202" s="19" t="s">
        <v>234</v>
      </c>
      <c r="AK1202" s="19" t="s">
        <v>234</v>
      </c>
      <c r="AL1202" s="19"/>
      <c r="AM1202" s="19" t="s">
        <v>234</v>
      </c>
      <c r="AN1202" s="19" t="s">
        <v>234</v>
      </c>
      <c r="AO1202" s="19" t="s">
        <v>235</v>
      </c>
      <c r="AP1202" s="94"/>
      <c r="AQ1202" s="19" t="s">
        <v>97</v>
      </c>
      <c r="AR1202" s="19" t="s">
        <v>241</v>
      </c>
      <c r="AS1202" s="19"/>
      <c r="AT1202" s="65" t="str">
        <f t="shared" si="337"/>
        <v>N</v>
      </c>
      <c r="AU1202" s="65" t="str">
        <f t="shared" si="333"/>
        <v>N</v>
      </c>
      <c r="AV1202" s="65" t="str">
        <f t="shared" si="341"/>
        <v>N</v>
      </c>
      <c r="AW1202" s="99"/>
      <c r="AX1202" s="99"/>
      <c r="AY1202" s="19"/>
      <c r="AZ1202" s="96" t="str">
        <f t="shared" si="334"/>
        <v>n</v>
      </c>
      <c r="BA1202" s="96" t="str">
        <f>IF(AZ1202="n","n",VLOOKUP(AZ1202,'Conversion factors'!$C$4:$D$24,2,FALSE))</f>
        <v>n</v>
      </c>
      <c r="BB1202" s="96" t="str">
        <f t="shared" si="335"/>
        <v>n</v>
      </c>
      <c r="BC1202" s="97"/>
      <c r="BD1202" s="96" t="str">
        <f t="shared" si="338"/>
        <v>n</v>
      </c>
      <c r="BE1202" s="96" t="str">
        <f t="shared" si="336"/>
        <v>n</v>
      </c>
      <c r="BF1202" s="98" t="str">
        <f t="shared" si="339"/>
        <v/>
      </c>
      <c r="BG1202" s="96" t="str">
        <f>IF(BF1202="","",IF(ISNUMBER(VLOOKUP(BF1202,'Conversion factors'!$B$35:$C$52,2,FALSE)),"y","n"))</f>
        <v/>
      </c>
      <c r="BH1202" s="99"/>
    </row>
    <row r="1203" spans="1:62" s="103" customFormat="1" ht="15.75" customHeight="1" x14ac:dyDescent="0.2">
      <c r="A1203" s="18"/>
      <c r="B1203" s="19">
        <v>305</v>
      </c>
      <c r="C1203" s="19"/>
      <c r="D1203" s="19">
        <v>113000</v>
      </c>
      <c r="E1203" s="19" t="s">
        <v>1224</v>
      </c>
      <c r="F1203" s="93">
        <v>2008</v>
      </c>
      <c r="G1203" s="19" t="s">
        <v>1052</v>
      </c>
      <c r="H1203" s="19" t="s">
        <v>162</v>
      </c>
      <c r="I1203" s="19" t="s">
        <v>41</v>
      </c>
      <c r="J1203" s="19" t="s">
        <v>87</v>
      </c>
      <c r="K1203" s="19" t="s">
        <v>64</v>
      </c>
      <c r="L1203" s="99" t="s">
        <v>151</v>
      </c>
      <c r="M1203" s="19" t="s">
        <v>260</v>
      </c>
      <c r="N1203" s="19" t="s">
        <v>66</v>
      </c>
      <c r="O1203" s="19" t="s">
        <v>387</v>
      </c>
      <c r="P1203" s="19" t="s">
        <v>162</v>
      </c>
      <c r="Q1203" s="19"/>
      <c r="R1203" s="19" t="s">
        <v>76</v>
      </c>
      <c r="S1203" s="19" t="s">
        <v>335</v>
      </c>
      <c r="T1203" s="19" t="s">
        <v>55</v>
      </c>
      <c r="U1203" s="19" t="s">
        <v>55</v>
      </c>
      <c r="V1203" s="19" t="s">
        <v>94</v>
      </c>
      <c r="W1203" s="19" t="s">
        <v>231</v>
      </c>
      <c r="X1203" s="19" t="s">
        <v>46</v>
      </c>
      <c r="Y1203" s="29"/>
      <c r="Z1203" s="19"/>
      <c r="AA1203" s="19"/>
      <c r="AB1203" s="19" t="s">
        <v>1053</v>
      </c>
      <c r="AC1203" s="19" t="s">
        <v>1322</v>
      </c>
      <c r="AD1203" s="19"/>
      <c r="AE1203" s="19" t="s">
        <v>999</v>
      </c>
      <c r="AF1203" s="19" t="s">
        <v>999</v>
      </c>
      <c r="AG1203" s="19" t="s">
        <v>270</v>
      </c>
      <c r="AH1203" s="19"/>
      <c r="AI1203" s="19"/>
      <c r="AJ1203" s="19">
        <f>MEDIAN(7.7,8.1)</f>
        <v>7.9</v>
      </c>
      <c r="AK1203" s="19" t="s">
        <v>998</v>
      </c>
      <c r="AL1203" s="19"/>
      <c r="AM1203" s="19" t="s">
        <v>234</v>
      </c>
      <c r="AN1203" s="19" t="s">
        <v>1054</v>
      </c>
      <c r="AO1203" s="19" t="s">
        <v>270</v>
      </c>
      <c r="AP1203" s="94"/>
      <c r="AQ1203" s="19" t="s">
        <v>234</v>
      </c>
      <c r="AR1203" s="19" t="s">
        <v>1055</v>
      </c>
      <c r="AS1203" s="19"/>
      <c r="AT1203" s="65" t="str">
        <f t="shared" si="337"/>
        <v>N</v>
      </c>
      <c r="AU1203" s="65" t="str">
        <f t="shared" si="333"/>
        <v>N</v>
      </c>
      <c r="AV1203" s="65" t="str">
        <f t="shared" si="341"/>
        <v>N</v>
      </c>
      <c r="AW1203" s="99"/>
      <c r="AX1203" s="99"/>
      <c r="AY1203" s="19"/>
      <c r="AZ1203" s="96" t="str">
        <f t="shared" si="334"/>
        <v>n</v>
      </c>
      <c r="BA1203" s="96" t="str">
        <f>IF(AZ1203="n","n",VLOOKUP(AZ1203,'Conversion factors'!$C$4:$D$24,2,FALSE))</f>
        <v>n</v>
      </c>
      <c r="BB1203" s="96" t="str">
        <f t="shared" si="335"/>
        <v>n</v>
      </c>
      <c r="BC1203" s="97"/>
      <c r="BD1203" s="96" t="str">
        <f t="shared" si="338"/>
        <v>n</v>
      </c>
      <c r="BE1203" s="96" t="str">
        <f t="shared" si="336"/>
        <v>n</v>
      </c>
      <c r="BF1203" s="98" t="str">
        <f t="shared" si="339"/>
        <v/>
      </c>
      <c r="BG1203" s="96" t="str">
        <f>IF(BF1203="","",IF(ISNUMBER(VLOOKUP(BF1203,'Conversion factors'!$B$35:$C$52,2,FALSE)),"y","n"))</f>
        <v/>
      </c>
      <c r="BH1203" s="99"/>
    </row>
    <row r="1204" spans="1:62" s="103" customFormat="1" ht="15.75" customHeight="1" x14ac:dyDescent="0.2">
      <c r="A1204" s="18"/>
      <c r="B1204" s="19">
        <v>305</v>
      </c>
      <c r="C1204" s="19"/>
      <c r="D1204" s="19">
        <v>113000</v>
      </c>
      <c r="E1204" s="19" t="s">
        <v>1224</v>
      </c>
      <c r="F1204" s="93">
        <v>2008</v>
      </c>
      <c r="G1204" s="19" t="s">
        <v>1052</v>
      </c>
      <c r="H1204" s="19" t="s">
        <v>162</v>
      </c>
      <c r="I1204" s="19" t="s">
        <v>41</v>
      </c>
      <c r="J1204" s="19" t="s">
        <v>87</v>
      </c>
      <c r="K1204" s="19" t="s">
        <v>64</v>
      </c>
      <c r="L1204" s="99" t="s">
        <v>151</v>
      </c>
      <c r="M1204" s="19" t="s">
        <v>260</v>
      </c>
      <c r="N1204" s="19" t="s">
        <v>66</v>
      </c>
      <c r="O1204" s="19" t="s">
        <v>387</v>
      </c>
      <c r="P1204" s="19" t="s">
        <v>162</v>
      </c>
      <c r="Q1204" s="19"/>
      <c r="R1204" s="19" t="s">
        <v>76</v>
      </c>
      <c r="S1204" s="19" t="s">
        <v>335</v>
      </c>
      <c r="T1204" s="19" t="s">
        <v>54</v>
      </c>
      <c r="U1204" s="19" t="s">
        <v>54</v>
      </c>
      <c r="V1204" s="19" t="s">
        <v>94</v>
      </c>
      <c r="W1204" s="19" t="s">
        <v>231</v>
      </c>
      <c r="X1204" s="19" t="s">
        <v>46</v>
      </c>
      <c r="Y1204" s="29"/>
      <c r="Z1204" s="19"/>
      <c r="AA1204" s="19"/>
      <c r="AB1204" s="19" t="s">
        <v>305</v>
      </c>
      <c r="AC1204" s="19" t="s">
        <v>1322</v>
      </c>
      <c r="AD1204" s="19"/>
      <c r="AE1204" s="19" t="s">
        <v>999</v>
      </c>
      <c r="AF1204" s="19" t="s">
        <v>999</v>
      </c>
      <c r="AG1204" s="19" t="s">
        <v>270</v>
      </c>
      <c r="AH1204" s="19"/>
      <c r="AI1204" s="19"/>
      <c r="AJ1204" s="19">
        <f>MEDIAN(7.7,8.1)</f>
        <v>7.9</v>
      </c>
      <c r="AK1204" s="19" t="s">
        <v>998</v>
      </c>
      <c r="AL1204" s="19"/>
      <c r="AM1204" s="19" t="s">
        <v>234</v>
      </c>
      <c r="AN1204" s="19" t="s">
        <v>1054</v>
      </c>
      <c r="AO1204" s="19" t="s">
        <v>270</v>
      </c>
      <c r="AP1204" s="94"/>
      <c r="AQ1204" s="19" t="s">
        <v>234</v>
      </c>
      <c r="AR1204" s="19" t="s">
        <v>1055</v>
      </c>
      <c r="AS1204" s="19"/>
      <c r="AT1204" s="65" t="str">
        <f t="shared" si="337"/>
        <v>N</v>
      </c>
      <c r="AU1204" s="65" t="str">
        <f t="shared" ref="AU1204:AU1261" si="342">IF(AT1204="N","N",IF(AJ1204&lt;6,"N",IF(AJ1204&gt;8.5,"N","Y")))</f>
        <v>N</v>
      </c>
      <c r="AV1204" s="65" t="str">
        <f t="shared" si="341"/>
        <v>N</v>
      </c>
      <c r="AW1204" s="99"/>
      <c r="AX1204" s="99"/>
      <c r="AY1204" s="19"/>
      <c r="AZ1204" s="96" t="str">
        <f t="shared" si="334"/>
        <v>n</v>
      </c>
      <c r="BA1204" s="96" t="str">
        <f>IF(AZ1204="n","n",VLOOKUP(AZ1204,'Conversion factors'!$C$4:$D$24,2,FALSE))</f>
        <v>n</v>
      </c>
      <c r="BB1204" s="96" t="str">
        <f t="shared" si="335"/>
        <v>n</v>
      </c>
      <c r="BC1204" s="97"/>
      <c r="BD1204" s="96" t="str">
        <f t="shared" si="338"/>
        <v>n</v>
      </c>
      <c r="BE1204" s="96" t="str">
        <f t="shared" si="336"/>
        <v>n</v>
      </c>
      <c r="BF1204" s="98" t="str">
        <f t="shared" si="339"/>
        <v/>
      </c>
      <c r="BG1204" s="96" t="str">
        <f>IF(BF1204="","",IF(ISNUMBER(VLOOKUP(BF1204,'Conversion factors'!$B$35:$C$52,2,FALSE)),"y","n"))</f>
        <v/>
      </c>
      <c r="BH1204" s="99"/>
    </row>
    <row r="1205" spans="1:62" s="103" customFormat="1" ht="15.75" customHeight="1" x14ac:dyDescent="0.2">
      <c r="A1205" s="18"/>
      <c r="B1205" s="19">
        <v>128</v>
      </c>
      <c r="C1205" s="36"/>
      <c r="D1205" s="36"/>
      <c r="E1205" s="93" t="s">
        <v>1235</v>
      </c>
      <c r="F1205" s="93">
        <v>2005</v>
      </c>
      <c r="G1205" s="19" t="s">
        <v>1230</v>
      </c>
      <c r="H1205" s="19" t="s">
        <v>162</v>
      </c>
      <c r="I1205" s="19" t="s">
        <v>41</v>
      </c>
      <c r="J1205" s="19" t="s">
        <v>87</v>
      </c>
      <c r="K1205" s="19" t="s">
        <v>64</v>
      </c>
      <c r="L1205" s="99" t="s">
        <v>151</v>
      </c>
      <c r="M1205" s="19" t="s">
        <v>260</v>
      </c>
      <c r="N1205" s="19" t="s">
        <v>66</v>
      </c>
      <c r="O1205" s="19" t="s">
        <v>155</v>
      </c>
      <c r="P1205" s="19" t="s">
        <v>162</v>
      </c>
      <c r="Q1205" s="19"/>
      <c r="R1205" s="19" t="s">
        <v>76</v>
      </c>
      <c r="S1205" s="19" t="s">
        <v>1250</v>
      </c>
      <c r="T1205" s="19" t="s">
        <v>54</v>
      </c>
      <c r="U1205" s="19" t="s">
        <v>54</v>
      </c>
      <c r="V1205" s="93">
        <v>21</v>
      </c>
      <c r="W1205" s="93" t="s">
        <v>45</v>
      </c>
      <c r="X1205" s="19" t="s">
        <v>46</v>
      </c>
      <c r="Y1205" s="29"/>
      <c r="Z1205" s="93">
        <v>0.6</v>
      </c>
      <c r="AA1205" s="93"/>
      <c r="AB1205" s="24">
        <v>39.234000000000002</v>
      </c>
      <c r="AC1205" s="19" t="s">
        <v>214</v>
      </c>
      <c r="AD1205" s="93"/>
      <c r="AE1205" s="19">
        <v>50</v>
      </c>
      <c r="AF1205" s="19">
        <v>50</v>
      </c>
      <c r="AG1205" s="19"/>
      <c r="AH1205" s="19"/>
      <c r="AI1205" s="19"/>
      <c r="AJ1205" s="19">
        <v>6.6</v>
      </c>
      <c r="AK1205" s="19">
        <v>6.6</v>
      </c>
      <c r="AL1205" s="19"/>
      <c r="AM1205" s="19"/>
      <c r="AN1205" s="19"/>
      <c r="AO1205" s="19"/>
      <c r="AP1205" s="94">
        <v>5</v>
      </c>
      <c r="AQ1205" s="19"/>
      <c r="AR1205" s="19"/>
      <c r="AS1205" s="19"/>
      <c r="AT1205" s="65" t="str">
        <f t="shared" si="337"/>
        <v>Y</v>
      </c>
      <c r="AU1205" s="65" t="str">
        <f t="shared" si="342"/>
        <v>Y</v>
      </c>
      <c r="AV1205" s="65" t="str">
        <f t="shared" si="341"/>
        <v>Y</v>
      </c>
      <c r="AW1205" s="99"/>
      <c r="AX1205" s="99" t="s">
        <v>1644</v>
      </c>
      <c r="AY1205" s="93"/>
      <c r="AZ1205" s="96" t="str">
        <f t="shared" ref="AZ1205:AZ1262" si="343">IF(AV1205="N","n",T1205)</f>
        <v>NOEC</v>
      </c>
      <c r="BA1205" s="96">
        <f>IF(AZ1205="n","n",VLOOKUP(AZ1205,'Conversion factors'!$C$4:$D$24,2,FALSE))</f>
        <v>1</v>
      </c>
      <c r="BB1205" s="96">
        <f t="shared" ref="BB1205:BB1262" si="344">IF(BA1205="n","n",AB1205/BA1205)</f>
        <v>39.234000000000002</v>
      </c>
      <c r="BC1205" s="97"/>
      <c r="BD1205" s="96" t="str">
        <f t="shared" si="338"/>
        <v>Chronic</v>
      </c>
      <c r="BE1205" s="96" t="str">
        <f t="shared" ref="BE1205:BE1262" si="345">IF(BD1205="chronic","y","n")</f>
        <v>y</v>
      </c>
      <c r="BF1205" s="98" t="str">
        <f t="shared" si="339"/>
        <v>NOEC</v>
      </c>
      <c r="BG1205" s="96" t="str">
        <f>IF(BF1205="","",IF(ISNUMBER(VLOOKUP(BF1205,'Conversion factors'!$B$35:$C$52,2,FALSE)),"y","n"))</f>
        <v>y</v>
      </c>
      <c r="BH1205" s="99"/>
      <c r="BI1205" s="19" t="s">
        <v>1644</v>
      </c>
      <c r="BJ1205" s="100"/>
    </row>
    <row r="1206" spans="1:62" s="103" customFormat="1" ht="15.75" customHeight="1" x14ac:dyDescent="0.2">
      <c r="A1206" s="18"/>
      <c r="B1206" s="19">
        <v>128</v>
      </c>
      <c r="C1206" s="36"/>
      <c r="D1206" s="36"/>
      <c r="E1206" s="93" t="s">
        <v>1235</v>
      </c>
      <c r="F1206" s="93">
        <v>2005</v>
      </c>
      <c r="G1206" s="19" t="s">
        <v>1230</v>
      </c>
      <c r="H1206" s="19" t="s">
        <v>162</v>
      </c>
      <c r="I1206" s="19" t="s">
        <v>41</v>
      </c>
      <c r="J1206" s="19" t="s">
        <v>87</v>
      </c>
      <c r="K1206" s="19" t="s">
        <v>64</v>
      </c>
      <c r="L1206" s="99" t="s">
        <v>151</v>
      </c>
      <c r="M1206" s="19" t="s">
        <v>260</v>
      </c>
      <c r="N1206" s="19" t="s">
        <v>66</v>
      </c>
      <c r="O1206" s="19" t="s">
        <v>155</v>
      </c>
      <c r="P1206" s="19" t="s">
        <v>162</v>
      </c>
      <c r="Q1206" s="19"/>
      <c r="R1206" s="19" t="s">
        <v>76</v>
      </c>
      <c r="S1206" s="19" t="s">
        <v>1250</v>
      </c>
      <c r="T1206" s="19" t="s">
        <v>54</v>
      </c>
      <c r="U1206" s="19" t="s">
        <v>54</v>
      </c>
      <c r="V1206" s="93">
        <v>21</v>
      </c>
      <c r="W1206" s="93" t="s">
        <v>45</v>
      </c>
      <c r="X1206" s="19" t="s">
        <v>46</v>
      </c>
      <c r="Y1206" s="29"/>
      <c r="Z1206" s="93">
        <v>0.76</v>
      </c>
      <c r="AA1206" s="93"/>
      <c r="AB1206" s="24">
        <v>49.696400000000004</v>
      </c>
      <c r="AC1206" s="19" t="s">
        <v>214</v>
      </c>
      <c r="AD1206" s="93"/>
      <c r="AE1206" s="19">
        <v>75</v>
      </c>
      <c r="AF1206" s="19">
        <v>75</v>
      </c>
      <c r="AG1206" s="19"/>
      <c r="AH1206" s="19"/>
      <c r="AI1206" s="19"/>
      <c r="AJ1206" s="19">
        <v>6.6</v>
      </c>
      <c r="AK1206" s="19">
        <v>6.6</v>
      </c>
      <c r="AL1206" s="19"/>
      <c r="AM1206" s="19"/>
      <c r="AN1206" s="19"/>
      <c r="AO1206" s="19"/>
      <c r="AP1206" s="94">
        <v>5</v>
      </c>
      <c r="AQ1206" s="19"/>
      <c r="AR1206" s="19"/>
      <c r="AS1206" s="19"/>
      <c r="AT1206" s="65" t="str">
        <f t="shared" si="337"/>
        <v>Y</v>
      </c>
      <c r="AU1206" s="65" t="str">
        <f t="shared" si="342"/>
        <v>Y</v>
      </c>
      <c r="AV1206" s="65" t="str">
        <f t="shared" si="341"/>
        <v>Y</v>
      </c>
      <c r="AW1206" s="99"/>
      <c r="AX1206" s="99" t="s">
        <v>1644</v>
      </c>
      <c r="AY1206" s="93"/>
      <c r="AZ1206" s="96" t="str">
        <f t="shared" si="343"/>
        <v>NOEC</v>
      </c>
      <c r="BA1206" s="96">
        <f>IF(AZ1206="n","n",VLOOKUP(AZ1206,'Conversion factors'!$C$4:$D$24,2,FALSE))</f>
        <v>1</v>
      </c>
      <c r="BB1206" s="96">
        <f t="shared" si="344"/>
        <v>49.696400000000004</v>
      </c>
      <c r="BC1206" s="97"/>
      <c r="BD1206" s="96" t="str">
        <f t="shared" si="338"/>
        <v>Chronic</v>
      </c>
      <c r="BE1206" s="96" t="str">
        <f t="shared" si="345"/>
        <v>y</v>
      </c>
      <c r="BF1206" s="98" t="str">
        <f t="shared" si="339"/>
        <v>NOEC</v>
      </c>
      <c r="BG1206" s="96" t="str">
        <f>IF(BF1206="","",IF(ISNUMBER(VLOOKUP(BF1206,'Conversion factors'!$B$35:$C$52,2,FALSE)),"y","n"))</f>
        <v>y</v>
      </c>
      <c r="BH1206" s="99"/>
      <c r="BI1206" s="19" t="s">
        <v>1644</v>
      </c>
      <c r="BJ1206" s="100"/>
    </row>
    <row r="1207" spans="1:62" s="103" customFormat="1" ht="15.75" customHeight="1" x14ac:dyDescent="0.2">
      <c r="A1207" s="18"/>
      <c r="B1207" s="19">
        <v>128</v>
      </c>
      <c r="C1207" s="36"/>
      <c r="D1207" s="36"/>
      <c r="E1207" s="93" t="s">
        <v>1235</v>
      </c>
      <c r="F1207" s="93">
        <v>2005</v>
      </c>
      <c r="G1207" s="19" t="s">
        <v>1230</v>
      </c>
      <c r="H1207" s="19" t="s">
        <v>162</v>
      </c>
      <c r="I1207" s="19" t="s">
        <v>41</v>
      </c>
      <c r="J1207" s="19" t="s">
        <v>87</v>
      </c>
      <c r="K1207" s="19" t="s">
        <v>64</v>
      </c>
      <c r="L1207" s="99" t="s">
        <v>151</v>
      </c>
      <c r="M1207" s="19" t="s">
        <v>260</v>
      </c>
      <c r="N1207" s="19" t="s">
        <v>66</v>
      </c>
      <c r="O1207" s="19" t="s">
        <v>155</v>
      </c>
      <c r="P1207" s="19" t="s">
        <v>162</v>
      </c>
      <c r="Q1207" s="19"/>
      <c r="R1207" s="19" t="s">
        <v>76</v>
      </c>
      <c r="S1207" s="19" t="s">
        <v>1250</v>
      </c>
      <c r="T1207" s="19" t="s">
        <v>54</v>
      </c>
      <c r="U1207" s="19" t="s">
        <v>54</v>
      </c>
      <c r="V1207" s="93">
        <v>21</v>
      </c>
      <c r="W1207" s="93" t="s">
        <v>45</v>
      </c>
      <c r="X1207" s="19" t="s">
        <v>46</v>
      </c>
      <c r="Y1207" s="29"/>
      <c r="Z1207" s="93">
        <v>0.83</v>
      </c>
      <c r="AA1207" s="93"/>
      <c r="AB1207" s="24">
        <v>54.273699999999998</v>
      </c>
      <c r="AC1207" s="19" t="s">
        <v>214</v>
      </c>
      <c r="AD1207" s="93"/>
      <c r="AE1207" s="19">
        <v>125</v>
      </c>
      <c r="AF1207" s="19">
        <v>125</v>
      </c>
      <c r="AG1207" s="19"/>
      <c r="AH1207" s="19"/>
      <c r="AI1207" s="19"/>
      <c r="AJ1207" s="19">
        <v>6.6</v>
      </c>
      <c r="AK1207" s="19">
        <v>6.6</v>
      </c>
      <c r="AL1207" s="19"/>
      <c r="AM1207" s="19"/>
      <c r="AN1207" s="19"/>
      <c r="AO1207" s="19"/>
      <c r="AP1207" s="94">
        <v>5</v>
      </c>
      <c r="AQ1207" s="19"/>
      <c r="AR1207" s="19"/>
      <c r="AS1207" s="19"/>
      <c r="AT1207" s="65" t="str">
        <f t="shared" si="337"/>
        <v>Y</v>
      </c>
      <c r="AU1207" s="65" t="str">
        <f t="shared" si="342"/>
        <v>Y</v>
      </c>
      <c r="AV1207" s="65" t="str">
        <f t="shared" si="341"/>
        <v>Y</v>
      </c>
      <c r="AW1207" s="99"/>
      <c r="AX1207" s="99" t="s">
        <v>1644</v>
      </c>
      <c r="AY1207" s="93"/>
      <c r="AZ1207" s="96" t="str">
        <f t="shared" si="343"/>
        <v>NOEC</v>
      </c>
      <c r="BA1207" s="96">
        <f>IF(AZ1207="n","n",VLOOKUP(AZ1207,'Conversion factors'!$C$4:$D$24,2,FALSE))</f>
        <v>1</v>
      </c>
      <c r="BB1207" s="96">
        <f t="shared" si="344"/>
        <v>54.273699999999998</v>
      </c>
      <c r="BC1207" s="97"/>
      <c r="BD1207" s="96" t="str">
        <f t="shared" si="338"/>
        <v>Chronic</v>
      </c>
      <c r="BE1207" s="96" t="str">
        <f t="shared" si="345"/>
        <v>y</v>
      </c>
      <c r="BF1207" s="98" t="str">
        <f t="shared" si="339"/>
        <v>NOEC</v>
      </c>
      <c r="BG1207" s="96" t="str">
        <f>IF(BF1207="","",IF(ISNUMBER(VLOOKUP(BF1207,'Conversion factors'!$B$35:$C$52,2,FALSE)),"y","n"))</f>
        <v>y</v>
      </c>
      <c r="BH1207" s="99"/>
      <c r="BI1207" s="19" t="s">
        <v>1644</v>
      </c>
      <c r="BJ1207" s="20"/>
    </row>
    <row r="1208" spans="1:62" s="103" customFormat="1" ht="15.75" customHeight="1" x14ac:dyDescent="0.2">
      <c r="A1208" s="18"/>
      <c r="B1208" s="19">
        <v>128</v>
      </c>
      <c r="C1208" s="36"/>
      <c r="D1208" s="36"/>
      <c r="E1208" s="93" t="s">
        <v>1235</v>
      </c>
      <c r="F1208" s="93">
        <v>2005</v>
      </c>
      <c r="G1208" s="19" t="s">
        <v>1230</v>
      </c>
      <c r="H1208" s="19" t="s">
        <v>162</v>
      </c>
      <c r="I1208" s="19" t="s">
        <v>41</v>
      </c>
      <c r="J1208" s="19" t="s">
        <v>87</v>
      </c>
      <c r="K1208" s="19" t="s">
        <v>64</v>
      </c>
      <c r="L1208" s="99" t="s">
        <v>151</v>
      </c>
      <c r="M1208" s="19" t="s">
        <v>260</v>
      </c>
      <c r="N1208" s="19" t="s">
        <v>66</v>
      </c>
      <c r="O1208" s="19" t="s">
        <v>155</v>
      </c>
      <c r="P1208" s="19" t="s">
        <v>162</v>
      </c>
      <c r="Q1208" s="19"/>
      <c r="R1208" s="19" t="s">
        <v>76</v>
      </c>
      <c r="S1208" s="19" t="s">
        <v>1250</v>
      </c>
      <c r="T1208" s="19" t="s">
        <v>54</v>
      </c>
      <c r="U1208" s="19" t="s">
        <v>54</v>
      </c>
      <c r="V1208" s="93">
        <v>21</v>
      </c>
      <c r="W1208" s="93" t="s">
        <v>45</v>
      </c>
      <c r="X1208" s="19" t="s">
        <v>46</v>
      </c>
      <c r="Y1208" s="29"/>
      <c r="Z1208" s="93">
        <v>1.41</v>
      </c>
      <c r="AA1208" s="93"/>
      <c r="AB1208" s="24">
        <v>92.1999</v>
      </c>
      <c r="AC1208" s="19" t="s">
        <v>214</v>
      </c>
      <c r="AD1208" s="93"/>
      <c r="AE1208" s="19">
        <v>225</v>
      </c>
      <c r="AF1208" s="19">
        <v>225</v>
      </c>
      <c r="AG1208" s="19"/>
      <c r="AH1208" s="19"/>
      <c r="AI1208" s="19"/>
      <c r="AJ1208" s="19">
        <v>6.6</v>
      </c>
      <c r="AK1208" s="19">
        <v>6.6</v>
      </c>
      <c r="AL1208" s="19"/>
      <c r="AM1208" s="19"/>
      <c r="AN1208" s="19"/>
      <c r="AO1208" s="19"/>
      <c r="AP1208" s="94">
        <v>5</v>
      </c>
      <c r="AQ1208" s="19"/>
      <c r="AR1208" s="19"/>
      <c r="AS1208" s="19"/>
      <c r="AT1208" s="65" t="str">
        <f t="shared" si="337"/>
        <v>Y</v>
      </c>
      <c r="AU1208" s="65" t="str">
        <f t="shared" si="342"/>
        <v>Y</v>
      </c>
      <c r="AV1208" s="65" t="str">
        <f t="shared" si="341"/>
        <v>Y</v>
      </c>
      <c r="AW1208" s="99"/>
      <c r="AX1208" s="99" t="s">
        <v>1644</v>
      </c>
      <c r="AY1208" s="93"/>
      <c r="AZ1208" s="96" t="str">
        <f t="shared" si="343"/>
        <v>NOEC</v>
      </c>
      <c r="BA1208" s="96">
        <f>IF(AZ1208="n","n",VLOOKUP(AZ1208,'Conversion factors'!$C$4:$D$24,2,FALSE))</f>
        <v>1</v>
      </c>
      <c r="BB1208" s="96">
        <f t="shared" si="344"/>
        <v>92.1999</v>
      </c>
      <c r="BC1208" s="97"/>
      <c r="BD1208" s="96" t="str">
        <f t="shared" si="338"/>
        <v>Chronic</v>
      </c>
      <c r="BE1208" s="96" t="str">
        <f t="shared" si="345"/>
        <v>y</v>
      </c>
      <c r="BF1208" s="98" t="str">
        <f t="shared" si="339"/>
        <v>NOEC</v>
      </c>
      <c r="BG1208" s="96" t="str">
        <f>IF(BF1208="","",IF(ISNUMBER(VLOOKUP(BF1208,'Conversion factors'!$B$35:$C$52,2,FALSE)),"y","n"))</f>
        <v>y</v>
      </c>
      <c r="BH1208" s="99"/>
      <c r="BI1208" s="19" t="s">
        <v>1644</v>
      </c>
      <c r="BJ1208" s="20"/>
    </row>
    <row r="1209" spans="1:62" s="103" customFormat="1" ht="15.75" customHeight="1" x14ac:dyDescent="0.2">
      <c r="A1209" s="18"/>
      <c r="B1209" s="19">
        <v>128</v>
      </c>
      <c r="C1209" s="36"/>
      <c r="D1209" s="36"/>
      <c r="E1209" s="93" t="s">
        <v>1235</v>
      </c>
      <c r="F1209" s="93">
        <v>2005</v>
      </c>
      <c r="G1209" s="19" t="s">
        <v>1230</v>
      </c>
      <c r="H1209" s="19" t="s">
        <v>162</v>
      </c>
      <c r="I1209" s="19" t="s">
        <v>41</v>
      </c>
      <c r="J1209" s="19" t="s">
        <v>87</v>
      </c>
      <c r="K1209" s="19" t="s">
        <v>64</v>
      </c>
      <c r="L1209" s="99" t="s">
        <v>151</v>
      </c>
      <c r="M1209" s="19" t="s">
        <v>260</v>
      </c>
      <c r="N1209" s="19" t="s">
        <v>66</v>
      </c>
      <c r="O1209" s="19" t="s">
        <v>155</v>
      </c>
      <c r="P1209" s="19" t="s">
        <v>162</v>
      </c>
      <c r="Q1209" s="19"/>
      <c r="R1209" s="19" t="s">
        <v>76</v>
      </c>
      <c r="S1209" s="19" t="s">
        <v>1250</v>
      </c>
      <c r="T1209" s="19" t="s">
        <v>54</v>
      </c>
      <c r="U1209" s="19" t="s">
        <v>54</v>
      </c>
      <c r="V1209" s="93">
        <v>21</v>
      </c>
      <c r="W1209" s="93" t="s">
        <v>45</v>
      </c>
      <c r="X1209" s="19" t="s">
        <v>46</v>
      </c>
      <c r="Y1209" s="29"/>
      <c r="Z1209" s="93">
        <v>2.41</v>
      </c>
      <c r="AA1209" s="93"/>
      <c r="AB1209" s="24">
        <v>157.5899</v>
      </c>
      <c r="AC1209" s="19" t="s">
        <v>214</v>
      </c>
      <c r="AD1209" s="93"/>
      <c r="AE1209" s="19">
        <v>325</v>
      </c>
      <c r="AF1209" s="19">
        <v>325</v>
      </c>
      <c r="AG1209" s="19"/>
      <c r="AH1209" s="19"/>
      <c r="AI1209" s="19"/>
      <c r="AJ1209" s="19">
        <v>6.6</v>
      </c>
      <c r="AK1209" s="19">
        <v>6.6</v>
      </c>
      <c r="AL1209" s="19"/>
      <c r="AM1209" s="19"/>
      <c r="AN1209" s="19"/>
      <c r="AO1209" s="19"/>
      <c r="AP1209" s="94">
        <v>5</v>
      </c>
      <c r="AQ1209" s="19"/>
      <c r="AR1209" s="19"/>
      <c r="AS1209" s="19"/>
      <c r="AT1209" s="65" t="str">
        <f t="shared" si="337"/>
        <v>Y</v>
      </c>
      <c r="AU1209" s="65" t="str">
        <f t="shared" si="342"/>
        <v>Y</v>
      </c>
      <c r="AV1209" s="65" t="str">
        <f t="shared" si="341"/>
        <v>Y</v>
      </c>
      <c r="AW1209" s="99"/>
      <c r="AX1209" s="99" t="s">
        <v>1644</v>
      </c>
      <c r="AY1209" s="93"/>
      <c r="AZ1209" s="96" t="str">
        <f t="shared" si="343"/>
        <v>NOEC</v>
      </c>
      <c r="BA1209" s="96">
        <f>IF(AZ1209="n","n",VLOOKUP(AZ1209,'Conversion factors'!$C$4:$D$24,2,FALSE))</f>
        <v>1</v>
      </c>
      <c r="BB1209" s="96">
        <f t="shared" si="344"/>
        <v>157.5899</v>
      </c>
      <c r="BC1209" s="97"/>
      <c r="BD1209" s="96" t="str">
        <f t="shared" si="338"/>
        <v>Chronic</v>
      </c>
      <c r="BE1209" s="96" t="str">
        <f t="shared" si="345"/>
        <v>y</v>
      </c>
      <c r="BF1209" s="98" t="str">
        <f t="shared" si="339"/>
        <v>NOEC</v>
      </c>
      <c r="BG1209" s="96" t="str">
        <f>IF(BF1209="","",IF(ISNUMBER(VLOOKUP(BF1209,'Conversion factors'!$B$35:$C$52,2,FALSE)),"y","n"))</f>
        <v>y</v>
      </c>
      <c r="BH1209" s="99"/>
      <c r="BI1209" s="19" t="s">
        <v>1644</v>
      </c>
      <c r="BJ1209" s="100"/>
    </row>
    <row r="1210" spans="1:62" s="103" customFormat="1" ht="15.75" customHeight="1" x14ac:dyDescent="0.2">
      <c r="A1210" s="18"/>
      <c r="B1210" s="19">
        <v>128</v>
      </c>
      <c r="C1210" s="36"/>
      <c r="D1210" s="36"/>
      <c r="E1210" s="93" t="s">
        <v>1235</v>
      </c>
      <c r="F1210" s="93">
        <v>2005</v>
      </c>
      <c r="G1210" s="19" t="s">
        <v>1230</v>
      </c>
      <c r="H1210" s="19" t="s">
        <v>162</v>
      </c>
      <c r="I1210" s="19" t="s">
        <v>41</v>
      </c>
      <c r="J1210" s="19" t="s">
        <v>87</v>
      </c>
      <c r="K1210" s="19" t="s">
        <v>64</v>
      </c>
      <c r="L1210" s="99" t="s">
        <v>151</v>
      </c>
      <c r="M1210" s="19" t="s">
        <v>260</v>
      </c>
      <c r="N1210" s="19" t="s">
        <v>66</v>
      </c>
      <c r="O1210" s="19" t="s">
        <v>155</v>
      </c>
      <c r="P1210" s="19" t="s">
        <v>162</v>
      </c>
      <c r="Q1210" s="19"/>
      <c r="R1210" s="19" t="s">
        <v>76</v>
      </c>
      <c r="S1210" s="19" t="s">
        <v>1250</v>
      </c>
      <c r="T1210" s="19" t="s">
        <v>54</v>
      </c>
      <c r="U1210" s="19" t="s">
        <v>54</v>
      </c>
      <c r="V1210" s="93">
        <v>21</v>
      </c>
      <c r="W1210" s="93" t="s">
        <v>45</v>
      </c>
      <c r="X1210" s="19" t="s">
        <v>46</v>
      </c>
      <c r="Y1210" s="29"/>
      <c r="Z1210" s="93">
        <v>1.5</v>
      </c>
      <c r="AA1210" s="93"/>
      <c r="AB1210" s="24">
        <v>98.085000000000008</v>
      </c>
      <c r="AC1210" s="19" t="s">
        <v>214</v>
      </c>
      <c r="AD1210" s="93"/>
      <c r="AE1210" s="19">
        <v>425</v>
      </c>
      <c r="AF1210" s="19">
        <v>425</v>
      </c>
      <c r="AG1210" s="19"/>
      <c r="AH1210" s="19"/>
      <c r="AI1210" s="19"/>
      <c r="AJ1210" s="19">
        <v>6.6</v>
      </c>
      <c r="AK1210" s="19">
        <v>6.6</v>
      </c>
      <c r="AL1210" s="19"/>
      <c r="AM1210" s="19"/>
      <c r="AN1210" s="19"/>
      <c r="AO1210" s="19"/>
      <c r="AP1210" s="94">
        <v>5</v>
      </c>
      <c r="AQ1210" s="19"/>
      <c r="AR1210" s="19"/>
      <c r="AS1210" s="19"/>
      <c r="AT1210" s="65" t="str">
        <f t="shared" si="337"/>
        <v>Y</v>
      </c>
      <c r="AU1210" s="65" t="str">
        <f t="shared" si="342"/>
        <v>Y</v>
      </c>
      <c r="AV1210" s="65" t="str">
        <f t="shared" si="341"/>
        <v>Y</v>
      </c>
      <c r="AW1210" s="99"/>
      <c r="AX1210" s="99" t="s">
        <v>1644</v>
      </c>
      <c r="AY1210" s="93"/>
      <c r="AZ1210" s="96" t="str">
        <f t="shared" si="343"/>
        <v>NOEC</v>
      </c>
      <c r="BA1210" s="96">
        <f>IF(AZ1210="n","n",VLOOKUP(AZ1210,'Conversion factors'!$C$4:$D$24,2,FALSE))</f>
        <v>1</v>
      </c>
      <c r="BB1210" s="96">
        <f t="shared" si="344"/>
        <v>98.085000000000008</v>
      </c>
      <c r="BC1210" s="97"/>
      <c r="BD1210" s="96" t="str">
        <f t="shared" si="338"/>
        <v>Chronic</v>
      </c>
      <c r="BE1210" s="96" t="str">
        <f t="shared" si="345"/>
        <v>y</v>
      </c>
      <c r="BF1210" s="98" t="str">
        <f t="shared" si="339"/>
        <v>NOEC</v>
      </c>
      <c r="BG1210" s="96" t="str">
        <f>IF(BF1210="","",IF(ISNUMBER(VLOOKUP(BF1210,'Conversion factors'!$B$35:$C$52,2,FALSE)),"y","n"))</f>
        <v>y</v>
      </c>
      <c r="BH1210" s="99"/>
      <c r="BI1210" s="19" t="s">
        <v>1644</v>
      </c>
      <c r="BJ1210" s="100"/>
    </row>
    <row r="1211" spans="1:62" s="103" customFormat="1" ht="15.75" customHeight="1" x14ac:dyDescent="0.2">
      <c r="A1211" s="18"/>
      <c r="B1211" s="19">
        <v>128</v>
      </c>
      <c r="C1211" s="36"/>
      <c r="D1211" s="36"/>
      <c r="E1211" s="93" t="s">
        <v>1235</v>
      </c>
      <c r="F1211" s="93">
        <v>2005</v>
      </c>
      <c r="G1211" s="19" t="s">
        <v>1230</v>
      </c>
      <c r="H1211" s="19" t="s">
        <v>162</v>
      </c>
      <c r="I1211" s="19" t="s">
        <v>41</v>
      </c>
      <c r="J1211" s="19" t="s">
        <v>87</v>
      </c>
      <c r="K1211" s="19" t="s">
        <v>64</v>
      </c>
      <c r="L1211" s="99" t="s">
        <v>151</v>
      </c>
      <c r="M1211" s="19" t="s">
        <v>260</v>
      </c>
      <c r="N1211" s="19" t="s">
        <v>66</v>
      </c>
      <c r="O1211" s="19" t="s">
        <v>155</v>
      </c>
      <c r="P1211" s="19" t="s">
        <v>162</v>
      </c>
      <c r="Q1211" s="19"/>
      <c r="R1211" s="19" t="s">
        <v>76</v>
      </c>
      <c r="S1211" s="19" t="s">
        <v>1250</v>
      </c>
      <c r="T1211" s="19" t="s">
        <v>54</v>
      </c>
      <c r="U1211" s="19" t="s">
        <v>54</v>
      </c>
      <c r="V1211" s="93">
        <v>21</v>
      </c>
      <c r="W1211" s="93" t="s">
        <v>45</v>
      </c>
      <c r="X1211" s="19" t="s">
        <v>46</v>
      </c>
      <c r="Y1211" s="29"/>
      <c r="Z1211" s="93">
        <v>0.73</v>
      </c>
      <c r="AA1211" s="93"/>
      <c r="AB1211" s="24">
        <f>Z1211*65.39</f>
        <v>47.734699999999997</v>
      </c>
      <c r="AC1211" s="19" t="s">
        <v>214</v>
      </c>
      <c r="AD1211" s="93"/>
      <c r="AE1211" s="19">
        <v>50</v>
      </c>
      <c r="AF1211" s="19">
        <v>50</v>
      </c>
      <c r="AG1211" s="19"/>
      <c r="AH1211" s="19"/>
      <c r="AI1211" s="19"/>
      <c r="AJ1211" s="19">
        <v>6.6</v>
      </c>
      <c r="AK1211" s="19">
        <v>6.6</v>
      </c>
      <c r="AL1211" s="19"/>
      <c r="AM1211" s="19"/>
      <c r="AN1211" s="19"/>
      <c r="AO1211" s="19"/>
      <c r="AP1211" s="94">
        <v>5</v>
      </c>
      <c r="AQ1211" s="19"/>
      <c r="AR1211" s="19"/>
      <c r="AS1211" s="19"/>
      <c r="AT1211" s="65" t="str">
        <f t="shared" si="337"/>
        <v>Y</v>
      </c>
      <c r="AU1211" s="65" t="str">
        <f t="shared" si="342"/>
        <v>Y</v>
      </c>
      <c r="AV1211" s="65" t="str">
        <f t="shared" si="341"/>
        <v>Y</v>
      </c>
      <c r="AW1211" s="99"/>
      <c r="AX1211" s="99" t="s">
        <v>1644</v>
      </c>
      <c r="AY1211" s="93"/>
      <c r="AZ1211" s="96" t="str">
        <f t="shared" si="343"/>
        <v>NOEC</v>
      </c>
      <c r="BA1211" s="96">
        <f>IF(AZ1211="n","n",VLOOKUP(AZ1211,'Conversion factors'!$C$4:$D$24,2,FALSE))</f>
        <v>1</v>
      </c>
      <c r="BB1211" s="96">
        <f t="shared" si="344"/>
        <v>47.734699999999997</v>
      </c>
      <c r="BC1211" s="97"/>
      <c r="BD1211" s="96" t="str">
        <f t="shared" si="338"/>
        <v>Chronic</v>
      </c>
      <c r="BE1211" s="96" t="str">
        <f t="shared" si="345"/>
        <v>y</v>
      </c>
      <c r="BF1211" s="98" t="str">
        <f t="shared" si="339"/>
        <v>NOEC</v>
      </c>
      <c r="BG1211" s="96" t="str">
        <f>IF(BF1211="","",IF(ISNUMBER(VLOOKUP(BF1211,'Conversion factors'!$B$35:$C$52,2,FALSE)),"y","n"))</f>
        <v>y</v>
      </c>
      <c r="BH1211" s="99"/>
      <c r="BI1211" s="19" t="s">
        <v>1644</v>
      </c>
      <c r="BJ1211" s="100"/>
    </row>
    <row r="1212" spans="1:62" s="103" customFormat="1" ht="15.75" customHeight="1" x14ac:dyDescent="0.2">
      <c r="A1212" s="18"/>
      <c r="B1212" s="19">
        <v>128</v>
      </c>
      <c r="C1212" s="36"/>
      <c r="D1212" s="36"/>
      <c r="E1212" s="93" t="s">
        <v>1235</v>
      </c>
      <c r="F1212" s="93">
        <v>2005</v>
      </c>
      <c r="G1212" s="19" t="s">
        <v>1230</v>
      </c>
      <c r="H1212" s="19" t="s">
        <v>162</v>
      </c>
      <c r="I1212" s="19" t="s">
        <v>41</v>
      </c>
      <c r="J1212" s="19" t="s">
        <v>87</v>
      </c>
      <c r="K1212" s="19" t="s">
        <v>64</v>
      </c>
      <c r="L1212" s="99" t="s">
        <v>151</v>
      </c>
      <c r="M1212" s="19" t="s">
        <v>260</v>
      </c>
      <c r="N1212" s="19" t="s">
        <v>66</v>
      </c>
      <c r="O1212" s="19" t="s">
        <v>155</v>
      </c>
      <c r="P1212" s="19" t="s">
        <v>162</v>
      </c>
      <c r="Q1212" s="19"/>
      <c r="R1212" s="19" t="s">
        <v>76</v>
      </c>
      <c r="S1212" s="19" t="s">
        <v>1250</v>
      </c>
      <c r="T1212" s="19" t="s">
        <v>54</v>
      </c>
      <c r="U1212" s="19" t="s">
        <v>54</v>
      </c>
      <c r="V1212" s="93">
        <v>21</v>
      </c>
      <c r="W1212" s="93" t="s">
        <v>45</v>
      </c>
      <c r="X1212" s="19" t="s">
        <v>46</v>
      </c>
      <c r="Y1212" s="29"/>
      <c r="Z1212" s="93">
        <v>0.73</v>
      </c>
      <c r="AA1212" s="93"/>
      <c r="AB1212" s="24">
        <f t="shared" ref="AB1212:AB1226" si="346">Z1212*65.39</f>
        <v>47.734699999999997</v>
      </c>
      <c r="AC1212" s="19" t="s">
        <v>214</v>
      </c>
      <c r="AD1212" s="93"/>
      <c r="AE1212" s="19">
        <v>75</v>
      </c>
      <c r="AF1212" s="19">
        <v>75</v>
      </c>
      <c r="AG1212" s="19"/>
      <c r="AH1212" s="19"/>
      <c r="AI1212" s="19"/>
      <c r="AJ1212" s="19">
        <v>6.6</v>
      </c>
      <c r="AK1212" s="19">
        <v>6.6</v>
      </c>
      <c r="AL1212" s="19"/>
      <c r="AM1212" s="19"/>
      <c r="AN1212" s="19"/>
      <c r="AO1212" s="19"/>
      <c r="AP1212" s="94">
        <v>5</v>
      </c>
      <c r="AQ1212" s="19"/>
      <c r="AR1212" s="19"/>
      <c r="AS1212" s="19"/>
      <c r="AT1212" s="65" t="str">
        <f t="shared" si="337"/>
        <v>Y</v>
      </c>
      <c r="AU1212" s="65" t="str">
        <f t="shared" si="342"/>
        <v>Y</v>
      </c>
      <c r="AV1212" s="65" t="str">
        <f t="shared" si="341"/>
        <v>Y</v>
      </c>
      <c r="AW1212" s="99"/>
      <c r="AX1212" s="99" t="s">
        <v>1644</v>
      </c>
      <c r="AY1212" s="93"/>
      <c r="AZ1212" s="96" t="str">
        <f t="shared" si="343"/>
        <v>NOEC</v>
      </c>
      <c r="BA1212" s="96">
        <f>IF(AZ1212="n","n",VLOOKUP(AZ1212,'Conversion factors'!$C$4:$D$24,2,FALSE))</f>
        <v>1</v>
      </c>
      <c r="BB1212" s="96">
        <f t="shared" si="344"/>
        <v>47.734699999999997</v>
      </c>
      <c r="BC1212" s="97"/>
      <c r="BD1212" s="96" t="str">
        <f t="shared" si="338"/>
        <v>Chronic</v>
      </c>
      <c r="BE1212" s="96" t="str">
        <f t="shared" si="345"/>
        <v>y</v>
      </c>
      <c r="BF1212" s="98" t="str">
        <f t="shared" si="339"/>
        <v>NOEC</v>
      </c>
      <c r="BG1212" s="96" t="str">
        <f>IF(BF1212="","",IF(ISNUMBER(VLOOKUP(BF1212,'Conversion factors'!$B$35:$C$52,2,FALSE)),"y","n"))</f>
        <v>y</v>
      </c>
      <c r="BH1212" s="99"/>
      <c r="BI1212" s="19" t="s">
        <v>1644</v>
      </c>
      <c r="BJ1212" s="100"/>
    </row>
    <row r="1213" spans="1:62" s="103" customFormat="1" ht="15.75" customHeight="1" x14ac:dyDescent="0.2">
      <c r="A1213" s="18"/>
      <c r="B1213" s="19">
        <v>128</v>
      </c>
      <c r="C1213" s="36"/>
      <c r="D1213" s="36"/>
      <c r="E1213" s="93" t="s">
        <v>1235</v>
      </c>
      <c r="F1213" s="93">
        <v>2005</v>
      </c>
      <c r="G1213" s="19" t="s">
        <v>1230</v>
      </c>
      <c r="H1213" s="19" t="s">
        <v>162</v>
      </c>
      <c r="I1213" s="19" t="s">
        <v>41</v>
      </c>
      <c r="J1213" s="19" t="s">
        <v>87</v>
      </c>
      <c r="K1213" s="19" t="s">
        <v>64</v>
      </c>
      <c r="L1213" s="99" t="s">
        <v>151</v>
      </c>
      <c r="M1213" s="19" t="s">
        <v>260</v>
      </c>
      <c r="N1213" s="19" t="s">
        <v>66</v>
      </c>
      <c r="O1213" s="19" t="s">
        <v>155</v>
      </c>
      <c r="P1213" s="19" t="s">
        <v>162</v>
      </c>
      <c r="Q1213" s="19"/>
      <c r="R1213" s="19" t="s">
        <v>76</v>
      </c>
      <c r="S1213" s="19" t="s">
        <v>1250</v>
      </c>
      <c r="T1213" s="19" t="s">
        <v>54</v>
      </c>
      <c r="U1213" s="19" t="s">
        <v>54</v>
      </c>
      <c r="V1213" s="93">
        <v>21</v>
      </c>
      <c r="W1213" s="93" t="s">
        <v>45</v>
      </c>
      <c r="X1213" s="19" t="s">
        <v>46</v>
      </c>
      <c r="Y1213" s="29"/>
      <c r="Z1213" s="93">
        <v>2.25</v>
      </c>
      <c r="AA1213" s="93"/>
      <c r="AB1213" s="24">
        <f t="shared" si="346"/>
        <v>147.1275</v>
      </c>
      <c r="AC1213" s="19" t="s">
        <v>214</v>
      </c>
      <c r="AD1213" s="93"/>
      <c r="AE1213" s="19">
        <v>125</v>
      </c>
      <c r="AF1213" s="19">
        <v>125</v>
      </c>
      <c r="AG1213" s="19"/>
      <c r="AH1213" s="19"/>
      <c r="AI1213" s="19"/>
      <c r="AJ1213" s="19">
        <v>6.6</v>
      </c>
      <c r="AK1213" s="19">
        <v>6.6</v>
      </c>
      <c r="AL1213" s="19"/>
      <c r="AM1213" s="19"/>
      <c r="AN1213" s="19"/>
      <c r="AO1213" s="19"/>
      <c r="AP1213" s="94">
        <v>5</v>
      </c>
      <c r="AQ1213" s="19"/>
      <c r="AR1213" s="19"/>
      <c r="AS1213" s="19"/>
      <c r="AT1213" s="65" t="str">
        <f t="shared" si="337"/>
        <v>Y</v>
      </c>
      <c r="AU1213" s="65" t="str">
        <f t="shared" si="342"/>
        <v>Y</v>
      </c>
      <c r="AV1213" s="65" t="str">
        <f t="shared" si="341"/>
        <v>Y</v>
      </c>
      <c r="AW1213" s="99"/>
      <c r="AX1213" s="99" t="s">
        <v>1644</v>
      </c>
      <c r="AY1213" s="93"/>
      <c r="AZ1213" s="96" t="str">
        <f t="shared" si="343"/>
        <v>NOEC</v>
      </c>
      <c r="BA1213" s="96">
        <f>IF(AZ1213="n","n",VLOOKUP(AZ1213,'Conversion factors'!$C$4:$D$24,2,FALSE))</f>
        <v>1</v>
      </c>
      <c r="BB1213" s="96">
        <f t="shared" si="344"/>
        <v>147.1275</v>
      </c>
      <c r="BC1213" s="97"/>
      <c r="BD1213" s="96" t="str">
        <f t="shared" si="338"/>
        <v>Chronic</v>
      </c>
      <c r="BE1213" s="96" t="str">
        <f t="shared" si="345"/>
        <v>y</v>
      </c>
      <c r="BF1213" s="98" t="str">
        <f t="shared" si="339"/>
        <v>NOEC</v>
      </c>
      <c r="BG1213" s="96" t="str">
        <f>IF(BF1213="","",IF(ISNUMBER(VLOOKUP(BF1213,'Conversion factors'!$B$35:$C$52,2,FALSE)),"y","n"))</f>
        <v>y</v>
      </c>
      <c r="BH1213" s="99"/>
      <c r="BI1213" s="19" t="s">
        <v>1644</v>
      </c>
      <c r="BJ1213" s="100"/>
    </row>
    <row r="1214" spans="1:62" s="103" customFormat="1" ht="15.75" customHeight="1" x14ac:dyDescent="0.2">
      <c r="A1214" s="18"/>
      <c r="B1214" s="19">
        <v>128</v>
      </c>
      <c r="C1214" s="36"/>
      <c r="D1214" s="36"/>
      <c r="E1214" s="93" t="s">
        <v>1235</v>
      </c>
      <c r="F1214" s="93">
        <v>2005</v>
      </c>
      <c r="G1214" s="19" t="s">
        <v>1230</v>
      </c>
      <c r="H1214" s="19" t="s">
        <v>162</v>
      </c>
      <c r="I1214" s="19" t="s">
        <v>41</v>
      </c>
      <c r="J1214" s="19" t="s">
        <v>87</v>
      </c>
      <c r="K1214" s="19" t="s">
        <v>64</v>
      </c>
      <c r="L1214" s="99" t="s">
        <v>151</v>
      </c>
      <c r="M1214" s="19" t="s">
        <v>260</v>
      </c>
      <c r="N1214" s="19" t="s">
        <v>66</v>
      </c>
      <c r="O1214" s="19" t="s">
        <v>155</v>
      </c>
      <c r="P1214" s="19" t="s">
        <v>162</v>
      </c>
      <c r="Q1214" s="19"/>
      <c r="R1214" s="19" t="s">
        <v>76</v>
      </c>
      <c r="S1214" s="19" t="s">
        <v>1250</v>
      </c>
      <c r="T1214" s="19" t="s">
        <v>54</v>
      </c>
      <c r="U1214" s="19" t="s">
        <v>54</v>
      </c>
      <c r="V1214" s="93">
        <v>21</v>
      </c>
      <c r="W1214" s="93" t="s">
        <v>45</v>
      </c>
      <c r="X1214" s="19" t="s">
        <v>46</v>
      </c>
      <c r="Y1214" s="29"/>
      <c r="Z1214" s="93">
        <v>2.52</v>
      </c>
      <c r="AA1214" s="93"/>
      <c r="AB1214" s="24">
        <f t="shared" si="346"/>
        <v>164.78280000000001</v>
      </c>
      <c r="AC1214" s="19" t="s">
        <v>214</v>
      </c>
      <c r="AD1214" s="93"/>
      <c r="AE1214" s="19">
        <v>225</v>
      </c>
      <c r="AF1214" s="19">
        <v>225</v>
      </c>
      <c r="AG1214" s="19"/>
      <c r="AH1214" s="19"/>
      <c r="AI1214" s="19"/>
      <c r="AJ1214" s="19">
        <v>6.6</v>
      </c>
      <c r="AK1214" s="19">
        <v>6.6</v>
      </c>
      <c r="AL1214" s="19"/>
      <c r="AM1214" s="19"/>
      <c r="AN1214" s="19"/>
      <c r="AO1214" s="19"/>
      <c r="AP1214" s="94">
        <v>5</v>
      </c>
      <c r="AQ1214" s="19"/>
      <c r="AR1214" s="19"/>
      <c r="AS1214" s="19"/>
      <c r="AT1214" s="65" t="str">
        <f t="shared" si="337"/>
        <v>Y</v>
      </c>
      <c r="AU1214" s="65" t="str">
        <f t="shared" si="342"/>
        <v>Y</v>
      </c>
      <c r="AV1214" s="65" t="str">
        <f t="shared" si="341"/>
        <v>Y</v>
      </c>
      <c r="AW1214" s="99"/>
      <c r="AX1214" s="99" t="s">
        <v>1644</v>
      </c>
      <c r="AY1214" s="93"/>
      <c r="AZ1214" s="96" t="str">
        <f t="shared" si="343"/>
        <v>NOEC</v>
      </c>
      <c r="BA1214" s="96">
        <f>IF(AZ1214="n","n",VLOOKUP(AZ1214,'Conversion factors'!$C$4:$D$24,2,FALSE))</f>
        <v>1</v>
      </c>
      <c r="BB1214" s="96">
        <f t="shared" si="344"/>
        <v>164.78280000000001</v>
      </c>
      <c r="BC1214" s="97"/>
      <c r="BD1214" s="96" t="str">
        <f t="shared" si="338"/>
        <v>Chronic</v>
      </c>
      <c r="BE1214" s="96" t="str">
        <f t="shared" si="345"/>
        <v>y</v>
      </c>
      <c r="BF1214" s="98" t="str">
        <f t="shared" si="339"/>
        <v>NOEC</v>
      </c>
      <c r="BG1214" s="96" t="str">
        <f>IF(BF1214="","",IF(ISNUMBER(VLOOKUP(BF1214,'Conversion factors'!$B$35:$C$52,2,FALSE)),"y","n"))</f>
        <v>y</v>
      </c>
      <c r="BH1214" s="99"/>
      <c r="BI1214" s="19" t="s">
        <v>1644</v>
      </c>
      <c r="BJ1214" s="100"/>
    </row>
    <row r="1215" spans="1:62" s="103" customFormat="1" ht="15.75" customHeight="1" x14ac:dyDescent="0.2">
      <c r="A1215" s="18"/>
      <c r="B1215" s="19">
        <v>128</v>
      </c>
      <c r="C1215" s="36"/>
      <c r="D1215" s="36"/>
      <c r="E1215" s="93" t="s">
        <v>1235</v>
      </c>
      <c r="F1215" s="93">
        <v>2005</v>
      </c>
      <c r="G1215" s="19" t="s">
        <v>1230</v>
      </c>
      <c r="H1215" s="19" t="s">
        <v>162</v>
      </c>
      <c r="I1215" s="19" t="s">
        <v>41</v>
      </c>
      <c r="J1215" s="19" t="s">
        <v>87</v>
      </c>
      <c r="K1215" s="19" t="s">
        <v>64</v>
      </c>
      <c r="L1215" s="99" t="s">
        <v>151</v>
      </c>
      <c r="M1215" s="19" t="s">
        <v>260</v>
      </c>
      <c r="N1215" s="19" t="s">
        <v>66</v>
      </c>
      <c r="O1215" s="19" t="s">
        <v>155</v>
      </c>
      <c r="P1215" s="19" t="s">
        <v>162</v>
      </c>
      <c r="Q1215" s="19"/>
      <c r="R1215" s="19" t="s">
        <v>76</v>
      </c>
      <c r="S1215" s="19" t="s">
        <v>1250</v>
      </c>
      <c r="T1215" s="19" t="s">
        <v>54</v>
      </c>
      <c r="U1215" s="19" t="s">
        <v>54</v>
      </c>
      <c r="V1215" s="93">
        <v>21</v>
      </c>
      <c r="W1215" s="93" t="s">
        <v>45</v>
      </c>
      <c r="X1215" s="19" t="s">
        <v>46</v>
      </c>
      <c r="Y1215" s="29"/>
      <c r="Z1215" s="93">
        <v>2.4300000000000002</v>
      </c>
      <c r="AA1215" s="93"/>
      <c r="AB1215" s="24">
        <f t="shared" si="346"/>
        <v>158.89770000000001</v>
      </c>
      <c r="AC1215" s="19" t="s">
        <v>214</v>
      </c>
      <c r="AD1215" s="93"/>
      <c r="AE1215" s="19">
        <v>325</v>
      </c>
      <c r="AF1215" s="19">
        <v>325</v>
      </c>
      <c r="AG1215" s="19"/>
      <c r="AH1215" s="19"/>
      <c r="AI1215" s="19"/>
      <c r="AJ1215" s="19">
        <v>6.6</v>
      </c>
      <c r="AK1215" s="19">
        <v>6.6</v>
      </c>
      <c r="AL1215" s="19"/>
      <c r="AM1215" s="19"/>
      <c r="AN1215" s="19"/>
      <c r="AO1215" s="19"/>
      <c r="AP1215" s="94">
        <v>5</v>
      </c>
      <c r="AQ1215" s="19"/>
      <c r="AR1215" s="19"/>
      <c r="AS1215" s="19"/>
      <c r="AT1215" s="65" t="str">
        <f t="shared" si="337"/>
        <v>Y</v>
      </c>
      <c r="AU1215" s="65" t="str">
        <f t="shared" si="342"/>
        <v>Y</v>
      </c>
      <c r="AV1215" s="65" t="str">
        <f t="shared" si="341"/>
        <v>Y</v>
      </c>
      <c r="AW1215" s="99"/>
      <c r="AX1215" s="99" t="s">
        <v>1644</v>
      </c>
      <c r="AY1215" s="93"/>
      <c r="AZ1215" s="96" t="str">
        <f t="shared" si="343"/>
        <v>NOEC</v>
      </c>
      <c r="BA1215" s="96">
        <f>IF(AZ1215="n","n",VLOOKUP(AZ1215,'Conversion factors'!$C$4:$D$24,2,FALSE))</f>
        <v>1</v>
      </c>
      <c r="BB1215" s="96">
        <f t="shared" si="344"/>
        <v>158.89770000000001</v>
      </c>
      <c r="BC1215" s="97"/>
      <c r="BD1215" s="96" t="str">
        <f t="shared" si="338"/>
        <v>Chronic</v>
      </c>
      <c r="BE1215" s="96" t="str">
        <f t="shared" si="345"/>
        <v>y</v>
      </c>
      <c r="BF1215" s="98" t="str">
        <f t="shared" si="339"/>
        <v>NOEC</v>
      </c>
      <c r="BG1215" s="96" t="str">
        <f>IF(BF1215="","",IF(ISNUMBER(VLOOKUP(BF1215,'Conversion factors'!$B$35:$C$52,2,FALSE)),"y","n"))</f>
        <v>y</v>
      </c>
      <c r="BH1215" s="99"/>
      <c r="BI1215" s="19" t="s">
        <v>1644</v>
      </c>
      <c r="BJ1215" s="100"/>
    </row>
    <row r="1216" spans="1:62" s="103" customFormat="1" ht="15.75" customHeight="1" x14ac:dyDescent="0.2">
      <c r="A1216" s="18"/>
      <c r="B1216" s="19">
        <v>128</v>
      </c>
      <c r="C1216" s="36"/>
      <c r="D1216" s="36"/>
      <c r="E1216" s="93" t="s">
        <v>1235</v>
      </c>
      <c r="F1216" s="93">
        <v>2005</v>
      </c>
      <c r="G1216" s="19" t="s">
        <v>1230</v>
      </c>
      <c r="H1216" s="19" t="s">
        <v>162</v>
      </c>
      <c r="I1216" s="19" t="s">
        <v>41</v>
      </c>
      <c r="J1216" s="19" t="s">
        <v>87</v>
      </c>
      <c r="K1216" s="19" t="s">
        <v>64</v>
      </c>
      <c r="L1216" s="99" t="s">
        <v>151</v>
      </c>
      <c r="M1216" s="19" t="s">
        <v>260</v>
      </c>
      <c r="N1216" s="19" t="s">
        <v>66</v>
      </c>
      <c r="O1216" s="19" t="s">
        <v>155</v>
      </c>
      <c r="P1216" s="19" t="s">
        <v>162</v>
      </c>
      <c r="Q1216" s="19"/>
      <c r="R1216" s="19" t="s">
        <v>76</v>
      </c>
      <c r="S1216" s="19" t="s">
        <v>1250</v>
      </c>
      <c r="T1216" s="19" t="s">
        <v>54</v>
      </c>
      <c r="U1216" s="19" t="s">
        <v>54</v>
      </c>
      <c r="V1216" s="93">
        <v>21</v>
      </c>
      <c r="W1216" s="93" t="s">
        <v>45</v>
      </c>
      <c r="X1216" s="19" t="s">
        <v>46</v>
      </c>
      <c r="Y1216" s="29"/>
      <c r="Z1216" s="93">
        <v>2.39</v>
      </c>
      <c r="AA1216" s="93"/>
      <c r="AB1216" s="24">
        <f t="shared" si="346"/>
        <v>156.28210000000001</v>
      </c>
      <c r="AC1216" s="19" t="s">
        <v>214</v>
      </c>
      <c r="AD1216" s="93"/>
      <c r="AE1216" s="19">
        <v>425</v>
      </c>
      <c r="AF1216" s="19">
        <v>425</v>
      </c>
      <c r="AG1216" s="19"/>
      <c r="AH1216" s="19"/>
      <c r="AI1216" s="19"/>
      <c r="AJ1216" s="19">
        <v>6.6</v>
      </c>
      <c r="AK1216" s="19">
        <v>6.6</v>
      </c>
      <c r="AL1216" s="19"/>
      <c r="AM1216" s="19"/>
      <c r="AN1216" s="19"/>
      <c r="AO1216" s="19"/>
      <c r="AP1216" s="94">
        <v>5</v>
      </c>
      <c r="AQ1216" s="19"/>
      <c r="AR1216" s="19"/>
      <c r="AS1216" s="19"/>
      <c r="AT1216" s="65" t="str">
        <f t="shared" si="337"/>
        <v>Y</v>
      </c>
      <c r="AU1216" s="65" t="str">
        <f t="shared" si="342"/>
        <v>Y</v>
      </c>
      <c r="AV1216" s="65" t="str">
        <f t="shared" si="341"/>
        <v>Y</v>
      </c>
      <c r="AW1216" s="99"/>
      <c r="AX1216" s="99" t="s">
        <v>1644</v>
      </c>
      <c r="AY1216" s="93"/>
      <c r="AZ1216" s="96" t="str">
        <f t="shared" si="343"/>
        <v>NOEC</v>
      </c>
      <c r="BA1216" s="96">
        <f>IF(AZ1216="n","n",VLOOKUP(AZ1216,'Conversion factors'!$C$4:$D$24,2,FALSE))</f>
        <v>1</v>
      </c>
      <c r="BB1216" s="96">
        <f t="shared" si="344"/>
        <v>156.28210000000001</v>
      </c>
      <c r="BC1216" s="97"/>
      <c r="BD1216" s="96" t="str">
        <f t="shared" si="338"/>
        <v>Chronic</v>
      </c>
      <c r="BE1216" s="96" t="str">
        <f t="shared" si="345"/>
        <v>y</v>
      </c>
      <c r="BF1216" s="98" t="str">
        <f t="shared" si="339"/>
        <v>NOEC</v>
      </c>
      <c r="BG1216" s="96" t="str">
        <f>IF(BF1216="","",IF(ISNUMBER(VLOOKUP(BF1216,'Conversion factors'!$B$35:$C$52,2,FALSE)),"y","n"))</f>
        <v>y</v>
      </c>
      <c r="BH1216" s="99"/>
      <c r="BI1216" s="19" t="s">
        <v>1644</v>
      </c>
      <c r="BJ1216" s="100"/>
    </row>
    <row r="1217" spans="1:62" s="103" customFormat="1" ht="15.75" customHeight="1" x14ac:dyDescent="0.2">
      <c r="A1217" s="18"/>
      <c r="B1217" s="19">
        <v>128</v>
      </c>
      <c r="C1217" s="36"/>
      <c r="D1217" s="36"/>
      <c r="E1217" s="93" t="s">
        <v>1235</v>
      </c>
      <c r="F1217" s="93">
        <v>2005</v>
      </c>
      <c r="G1217" s="19" t="s">
        <v>1230</v>
      </c>
      <c r="H1217" s="19" t="s">
        <v>162</v>
      </c>
      <c r="I1217" s="19" t="s">
        <v>41</v>
      </c>
      <c r="J1217" s="19" t="s">
        <v>87</v>
      </c>
      <c r="K1217" s="19" t="s">
        <v>64</v>
      </c>
      <c r="L1217" s="99" t="s">
        <v>151</v>
      </c>
      <c r="M1217" s="19" t="s">
        <v>260</v>
      </c>
      <c r="N1217" s="19" t="s">
        <v>66</v>
      </c>
      <c r="O1217" s="19" t="s">
        <v>155</v>
      </c>
      <c r="P1217" s="19" t="s">
        <v>162</v>
      </c>
      <c r="Q1217" s="19"/>
      <c r="R1217" s="19" t="s">
        <v>76</v>
      </c>
      <c r="S1217" s="19" t="s">
        <v>1250</v>
      </c>
      <c r="T1217" s="19" t="s">
        <v>54</v>
      </c>
      <c r="U1217" s="19" t="s">
        <v>54</v>
      </c>
      <c r="V1217" s="93">
        <v>21</v>
      </c>
      <c r="W1217" s="93" t="s">
        <v>45</v>
      </c>
      <c r="X1217" s="19" t="s">
        <v>46</v>
      </c>
      <c r="Y1217" s="29"/>
      <c r="Z1217" s="93">
        <v>1.21</v>
      </c>
      <c r="AA1217" s="93"/>
      <c r="AB1217" s="24">
        <f t="shared" si="346"/>
        <v>79.121899999999997</v>
      </c>
      <c r="AC1217" s="19" t="s">
        <v>214</v>
      </c>
      <c r="AD1217" s="93"/>
      <c r="AE1217" s="19">
        <v>50</v>
      </c>
      <c r="AF1217" s="19">
        <v>50</v>
      </c>
      <c r="AG1217" s="19"/>
      <c r="AH1217" s="19"/>
      <c r="AI1217" s="19"/>
      <c r="AJ1217" s="19">
        <v>6.6</v>
      </c>
      <c r="AK1217" s="19">
        <v>6.6</v>
      </c>
      <c r="AL1217" s="19"/>
      <c r="AM1217" s="19"/>
      <c r="AN1217" s="19"/>
      <c r="AO1217" s="19"/>
      <c r="AP1217" s="94">
        <v>5</v>
      </c>
      <c r="AQ1217" s="19"/>
      <c r="AR1217" s="19"/>
      <c r="AS1217" s="19"/>
      <c r="AT1217" s="65" t="str">
        <f t="shared" si="337"/>
        <v>Y</v>
      </c>
      <c r="AU1217" s="65" t="str">
        <f t="shared" si="342"/>
        <v>Y</v>
      </c>
      <c r="AV1217" s="65" t="str">
        <f t="shared" si="341"/>
        <v>Y</v>
      </c>
      <c r="AW1217" s="99"/>
      <c r="AX1217" s="99" t="s">
        <v>1644</v>
      </c>
      <c r="AY1217" s="93"/>
      <c r="AZ1217" s="96" t="str">
        <f t="shared" si="343"/>
        <v>NOEC</v>
      </c>
      <c r="BA1217" s="96">
        <f>IF(AZ1217="n","n",VLOOKUP(AZ1217,'Conversion factors'!$C$4:$D$24,2,FALSE))</f>
        <v>1</v>
      </c>
      <c r="BB1217" s="96">
        <f t="shared" si="344"/>
        <v>79.121899999999997</v>
      </c>
      <c r="BC1217" s="97"/>
      <c r="BD1217" s="96" t="str">
        <f t="shared" si="338"/>
        <v>Chronic</v>
      </c>
      <c r="BE1217" s="96" t="str">
        <f t="shared" si="345"/>
        <v>y</v>
      </c>
      <c r="BF1217" s="98" t="str">
        <f t="shared" si="339"/>
        <v>NOEC</v>
      </c>
      <c r="BG1217" s="96" t="str">
        <f>IF(BF1217="","",IF(ISNUMBER(VLOOKUP(BF1217,'Conversion factors'!$B$35:$C$52,2,FALSE)),"y","n"))</f>
        <v>y</v>
      </c>
      <c r="BH1217" s="99"/>
      <c r="BI1217" s="19" t="s">
        <v>1644</v>
      </c>
      <c r="BJ1217" s="100"/>
    </row>
    <row r="1218" spans="1:62" s="103" customFormat="1" ht="15.75" customHeight="1" x14ac:dyDescent="0.2">
      <c r="A1218" s="18"/>
      <c r="B1218" s="19">
        <v>128</v>
      </c>
      <c r="C1218" s="36"/>
      <c r="D1218" s="36"/>
      <c r="E1218" s="93" t="s">
        <v>1235</v>
      </c>
      <c r="F1218" s="93">
        <v>2005</v>
      </c>
      <c r="G1218" s="19" t="s">
        <v>1230</v>
      </c>
      <c r="H1218" s="19" t="s">
        <v>162</v>
      </c>
      <c r="I1218" s="19" t="s">
        <v>41</v>
      </c>
      <c r="J1218" s="19" t="s">
        <v>87</v>
      </c>
      <c r="K1218" s="19" t="s">
        <v>64</v>
      </c>
      <c r="L1218" s="99" t="s">
        <v>151</v>
      </c>
      <c r="M1218" s="19" t="s">
        <v>260</v>
      </c>
      <c r="N1218" s="19" t="s">
        <v>66</v>
      </c>
      <c r="O1218" s="19" t="s">
        <v>155</v>
      </c>
      <c r="P1218" s="19" t="s">
        <v>162</v>
      </c>
      <c r="Q1218" s="19"/>
      <c r="R1218" s="19" t="s">
        <v>76</v>
      </c>
      <c r="S1218" s="19" t="s">
        <v>1250</v>
      </c>
      <c r="T1218" s="19" t="s">
        <v>54</v>
      </c>
      <c r="U1218" s="19" t="s">
        <v>54</v>
      </c>
      <c r="V1218" s="93">
        <v>21</v>
      </c>
      <c r="W1218" s="93" t="s">
        <v>45</v>
      </c>
      <c r="X1218" s="19" t="s">
        <v>46</v>
      </c>
      <c r="Y1218" s="29"/>
      <c r="Z1218" s="93">
        <v>2.1800000000000002</v>
      </c>
      <c r="AA1218" s="93"/>
      <c r="AB1218" s="24">
        <f t="shared" si="346"/>
        <v>142.55020000000002</v>
      </c>
      <c r="AC1218" s="19" t="s">
        <v>214</v>
      </c>
      <c r="AD1218" s="93"/>
      <c r="AE1218" s="19">
        <v>50</v>
      </c>
      <c r="AF1218" s="19">
        <v>50</v>
      </c>
      <c r="AG1218" s="19"/>
      <c r="AH1218" s="19"/>
      <c r="AI1218" s="19"/>
      <c r="AJ1218" s="19">
        <v>6.6</v>
      </c>
      <c r="AK1218" s="19">
        <v>6.6</v>
      </c>
      <c r="AL1218" s="19"/>
      <c r="AM1218" s="19"/>
      <c r="AN1218" s="19"/>
      <c r="AO1218" s="19"/>
      <c r="AP1218" s="94">
        <v>5</v>
      </c>
      <c r="AQ1218" s="19"/>
      <c r="AR1218" s="19"/>
      <c r="AS1218" s="19"/>
      <c r="AT1218" s="65" t="str">
        <f t="shared" si="337"/>
        <v>Y</v>
      </c>
      <c r="AU1218" s="65" t="str">
        <f t="shared" si="342"/>
        <v>Y</v>
      </c>
      <c r="AV1218" s="65" t="str">
        <f t="shared" si="341"/>
        <v>Y</v>
      </c>
      <c r="AW1218" s="99"/>
      <c r="AX1218" s="99" t="s">
        <v>1644</v>
      </c>
      <c r="AY1218" s="93"/>
      <c r="AZ1218" s="96" t="str">
        <f t="shared" si="343"/>
        <v>NOEC</v>
      </c>
      <c r="BA1218" s="96">
        <f>IF(AZ1218="n","n",VLOOKUP(AZ1218,'Conversion factors'!$C$4:$D$24,2,FALSE))</f>
        <v>1</v>
      </c>
      <c r="BB1218" s="96">
        <f t="shared" si="344"/>
        <v>142.55020000000002</v>
      </c>
      <c r="BC1218" s="97"/>
      <c r="BD1218" s="96" t="str">
        <f t="shared" si="338"/>
        <v>Chronic</v>
      </c>
      <c r="BE1218" s="96" t="str">
        <f t="shared" si="345"/>
        <v>y</v>
      </c>
      <c r="BF1218" s="98" t="str">
        <f t="shared" si="339"/>
        <v>NOEC</v>
      </c>
      <c r="BG1218" s="96" t="str">
        <f>IF(BF1218="","",IF(ISNUMBER(VLOOKUP(BF1218,'Conversion factors'!$B$35:$C$52,2,FALSE)),"y","n"))</f>
        <v>y</v>
      </c>
      <c r="BH1218" s="99"/>
      <c r="BI1218" s="19" t="s">
        <v>1644</v>
      </c>
      <c r="BJ1218" s="100"/>
    </row>
    <row r="1219" spans="1:62" s="103" customFormat="1" ht="15.75" customHeight="1" x14ac:dyDescent="0.2">
      <c r="A1219" s="18"/>
      <c r="B1219" s="19">
        <v>128</v>
      </c>
      <c r="C1219" s="36"/>
      <c r="D1219" s="36"/>
      <c r="E1219" s="93" t="s">
        <v>1235</v>
      </c>
      <c r="F1219" s="93">
        <v>2005</v>
      </c>
      <c r="G1219" s="19" t="s">
        <v>1230</v>
      </c>
      <c r="H1219" s="19" t="s">
        <v>162</v>
      </c>
      <c r="I1219" s="19" t="s">
        <v>41</v>
      </c>
      <c r="J1219" s="19" t="s">
        <v>87</v>
      </c>
      <c r="K1219" s="19" t="s">
        <v>64</v>
      </c>
      <c r="L1219" s="99" t="s">
        <v>151</v>
      </c>
      <c r="M1219" s="19" t="s">
        <v>260</v>
      </c>
      <c r="N1219" s="19" t="s">
        <v>66</v>
      </c>
      <c r="O1219" s="19" t="s">
        <v>155</v>
      </c>
      <c r="P1219" s="19" t="s">
        <v>162</v>
      </c>
      <c r="Q1219" s="19"/>
      <c r="R1219" s="19" t="s">
        <v>76</v>
      </c>
      <c r="S1219" s="19" t="s">
        <v>1250</v>
      </c>
      <c r="T1219" s="19" t="s">
        <v>54</v>
      </c>
      <c r="U1219" s="19" t="s">
        <v>54</v>
      </c>
      <c r="V1219" s="93">
        <v>21</v>
      </c>
      <c r="W1219" s="93" t="s">
        <v>45</v>
      </c>
      <c r="X1219" s="19" t="s">
        <v>46</v>
      </c>
      <c r="Y1219" s="29"/>
      <c r="Z1219" s="93">
        <v>2.0699999999999998</v>
      </c>
      <c r="AA1219" s="93"/>
      <c r="AB1219" s="24">
        <f t="shared" si="346"/>
        <v>135.35729999999998</v>
      </c>
      <c r="AC1219" s="19" t="s">
        <v>214</v>
      </c>
      <c r="AD1219" s="93"/>
      <c r="AE1219" s="19">
        <v>50</v>
      </c>
      <c r="AF1219" s="19">
        <v>50</v>
      </c>
      <c r="AG1219" s="19"/>
      <c r="AH1219" s="19"/>
      <c r="AI1219" s="19"/>
      <c r="AJ1219" s="19">
        <v>6.6</v>
      </c>
      <c r="AK1219" s="19">
        <v>6.6</v>
      </c>
      <c r="AL1219" s="19"/>
      <c r="AM1219" s="19"/>
      <c r="AN1219" s="19"/>
      <c r="AO1219" s="19"/>
      <c r="AP1219" s="94">
        <v>5</v>
      </c>
      <c r="AQ1219" s="19"/>
      <c r="AR1219" s="19"/>
      <c r="AS1219" s="19"/>
      <c r="AT1219" s="65" t="str">
        <f t="shared" si="337"/>
        <v>Y</v>
      </c>
      <c r="AU1219" s="65" t="str">
        <f t="shared" si="342"/>
        <v>Y</v>
      </c>
      <c r="AV1219" s="65" t="str">
        <f t="shared" si="341"/>
        <v>Y</v>
      </c>
      <c r="AW1219" s="99"/>
      <c r="AX1219" s="99" t="s">
        <v>1644</v>
      </c>
      <c r="AY1219" s="93"/>
      <c r="AZ1219" s="96" t="str">
        <f t="shared" si="343"/>
        <v>NOEC</v>
      </c>
      <c r="BA1219" s="96">
        <f>IF(AZ1219="n","n",VLOOKUP(AZ1219,'Conversion factors'!$C$4:$D$24,2,FALSE))</f>
        <v>1</v>
      </c>
      <c r="BB1219" s="96">
        <f t="shared" si="344"/>
        <v>135.35729999999998</v>
      </c>
      <c r="BC1219" s="97"/>
      <c r="BD1219" s="96" t="str">
        <f t="shared" si="338"/>
        <v>Chronic</v>
      </c>
      <c r="BE1219" s="96" t="str">
        <f t="shared" si="345"/>
        <v>y</v>
      </c>
      <c r="BF1219" s="98" t="str">
        <f t="shared" si="339"/>
        <v>NOEC</v>
      </c>
      <c r="BG1219" s="96" t="str">
        <f>IF(BF1219="","",IF(ISNUMBER(VLOOKUP(BF1219,'Conversion factors'!$B$35:$C$52,2,FALSE)),"y","n"))</f>
        <v>y</v>
      </c>
      <c r="BH1219" s="99"/>
      <c r="BI1219" s="19" t="s">
        <v>1644</v>
      </c>
      <c r="BJ1219" s="100"/>
    </row>
    <row r="1220" spans="1:62" s="103" customFormat="1" ht="15.75" customHeight="1" x14ac:dyDescent="0.2">
      <c r="A1220" s="18"/>
      <c r="B1220" s="19">
        <v>128</v>
      </c>
      <c r="C1220" s="36"/>
      <c r="D1220" s="36"/>
      <c r="E1220" s="93" t="s">
        <v>1235</v>
      </c>
      <c r="F1220" s="93">
        <v>2005</v>
      </c>
      <c r="G1220" s="19" t="s">
        <v>1230</v>
      </c>
      <c r="H1220" s="19" t="s">
        <v>162</v>
      </c>
      <c r="I1220" s="19" t="s">
        <v>41</v>
      </c>
      <c r="J1220" s="19" t="s">
        <v>87</v>
      </c>
      <c r="K1220" s="19" t="s">
        <v>64</v>
      </c>
      <c r="L1220" s="99" t="s">
        <v>151</v>
      </c>
      <c r="M1220" s="19" t="s">
        <v>260</v>
      </c>
      <c r="N1220" s="19" t="s">
        <v>66</v>
      </c>
      <c r="O1220" s="19" t="s">
        <v>155</v>
      </c>
      <c r="P1220" s="19" t="s">
        <v>162</v>
      </c>
      <c r="Q1220" s="19"/>
      <c r="R1220" s="19" t="s">
        <v>76</v>
      </c>
      <c r="S1220" s="19" t="s">
        <v>1250</v>
      </c>
      <c r="T1220" s="19" t="s">
        <v>54</v>
      </c>
      <c r="U1220" s="19" t="s">
        <v>54</v>
      </c>
      <c r="V1220" s="93">
        <v>21</v>
      </c>
      <c r="W1220" s="93" t="s">
        <v>45</v>
      </c>
      <c r="X1220" s="19" t="s">
        <v>46</v>
      </c>
      <c r="Y1220" s="29"/>
      <c r="Z1220" s="93">
        <v>2.19</v>
      </c>
      <c r="AA1220" s="93"/>
      <c r="AB1220" s="24">
        <f t="shared" si="346"/>
        <v>143.20410000000001</v>
      </c>
      <c r="AC1220" s="19" t="s">
        <v>214</v>
      </c>
      <c r="AD1220" s="93"/>
      <c r="AE1220" s="19">
        <v>50</v>
      </c>
      <c r="AF1220" s="19">
        <v>50</v>
      </c>
      <c r="AG1220" s="19"/>
      <c r="AH1220" s="19"/>
      <c r="AI1220" s="19"/>
      <c r="AJ1220" s="19">
        <v>6.6</v>
      </c>
      <c r="AK1220" s="19">
        <v>6.6</v>
      </c>
      <c r="AL1220" s="19"/>
      <c r="AM1220" s="19"/>
      <c r="AN1220" s="19"/>
      <c r="AO1220" s="19"/>
      <c r="AP1220" s="94">
        <v>5</v>
      </c>
      <c r="AQ1220" s="19"/>
      <c r="AR1220" s="19"/>
      <c r="AS1220" s="19"/>
      <c r="AT1220" s="65" t="str">
        <f t="shared" si="337"/>
        <v>Y</v>
      </c>
      <c r="AU1220" s="65" t="str">
        <f t="shared" si="342"/>
        <v>Y</v>
      </c>
      <c r="AV1220" s="65" t="str">
        <f t="shared" si="341"/>
        <v>Y</v>
      </c>
      <c r="AW1220" s="99"/>
      <c r="AX1220" s="99" t="s">
        <v>1644</v>
      </c>
      <c r="AY1220" s="93"/>
      <c r="AZ1220" s="96" t="str">
        <f t="shared" si="343"/>
        <v>NOEC</v>
      </c>
      <c r="BA1220" s="96">
        <f>IF(AZ1220="n","n",VLOOKUP(AZ1220,'Conversion factors'!$C$4:$D$24,2,FALSE))</f>
        <v>1</v>
      </c>
      <c r="BB1220" s="96">
        <f t="shared" si="344"/>
        <v>143.20410000000001</v>
      </c>
      <c r="BC1220" s="97"/>
      <c r="BD1220" s="96" t="str">
        <f t="shared" si="338"/>
        <v>Chronic</v>
      </c>
      <c r="BE1220" s="96" t="str">
        <f t="shared" si="345"/>
        <v>y</v>
      </c>
      <c r="BF1220" s="98" t="str">
        <f t="shared" si="339"/>
        <v>NOEC</v>
      </c>
      <c r="BG1220" s="96" t="str">
        <f>IF(BF1220="","",IF(ISNUMBER(VLOOKUP(BF1220,'Conversion factors'!$B$35:$C$52,2,FALSE)),"y","n"))</f>
        <v>y</v>
      </c>
      <c r="BH1220" s="99"/>
      <c r="BI1220" s="19" t="s">
        <v>1644</v>
      </c>
      <c r="BJ1220" s="100"/>
    </row>
    <row r="1221" spans="1:62" s="103" customFormat="1" ht="15.75" customHeight="1" x14ac:dyDescent="0.2">
      <c r="A1221" s="18"/>
      <c r="B1221" s="19">
        <v>128</v>
      </c>
      <c r="C1221" s="36"/>
      <c r="D1221" s="36"/>
      <c r="E1221" s="93" t="s">
        <v>1235</v>
      </c>
      <c r="F1221" s="93">
        <v>2005</v>
      </c>
      <c r="G1221" s="19" t="s">
        <v>1230</v>
      </c>
      <c r="H1221" s="19" t="s">
        <v>162</v>
      </c>
      <c r="I1221" s="19" t="s">
        <v>41</v>
      </c>
      <c r="J1221" s="19" t="s">
        <v>87</v>
      </c>
      <c r="K1221" s="19" t="s">
        <v>64</v>
      </c>
      <c r="L1221" s="99" t="s">
        <v>151</v>
      </c>
      <c r="M1221" s="19" t="s">
        <v>260</v>
      </c>
      <c r="N1221" s="19" t="s">
        <v>66</v>
      </c>
      <c r="O1221" s="19" t="s">
        <v>155</v>
      </c>
      <c r="P1221" s="19" t="s">
        <v>162</v>
      </c>
      <c r="Q1221" s="19"/>
      <c r="R1221" s="19" t="s">
        <v>76</v>
      </c>
      <c r="S1221" s="19" t="s">
        <v>1250</v>
      </c>
      <c r="T1221" s="19" t="s">
        <v>54</v>
      </c>
      <c r="U1221" s="19" t="s">
        <v>54</v>
      </c>
      <c r="V1221" s="93">
        <v>21</v>
      </c>
      <c r="W1221" s="93" t="s">
        <v>45</v>
      </c>
      <c r="X1221" s="19" t="s">
        <v>46</v>
      </c>
      <c r="Y1221" s="29"/>
      <c r="Z1221" s="93">
        <v>2.46</v>
      </c>
      <c r="AA1221" s="93"/>
      <c r="AB1221" s="24">
        <f t="shared" si="346"/>
        <v>160.85939999999999</v>
      </c>
      <c r="AC1221" s="19" t="s">
        <v>214</v>
      </c>
      <c r="AD1221" s="93"/>
      <c r="AE1221" s="19">
        <v>50</v>
      </c>
      <c r="AF1221" s="19">
        <v>50</v>
      </c>
      <c r="AG1221" s="19"/>
      <c r="AH1221" s="19"/>
      <c r="AI1221" s="19"/>
      <c r="AJ1221" s="19">
        <v>5.5</v>
      </c>
      <c r="AK1221" s="19">
        <v>5.5</v>
      </c>
      <c r="AL1221" s="19"/>
      <c r="AM1221" s="19"/>
      <c r="AN1221" s="19"/>
      <c r="AO1221" s="19"/>
      <c r="AP1221" s="94">
        <v>5</v>
      </c>
      <c r="AQ1221" s="19"/>
      <c r="AR1221" s="19"/>
      <c r="AS1221" s="19"/>
      <c r="AT1221" s="65" t="str">
        <f t="shared" si="337"/>
        <v>Y</v>
      </c>
      <c r="AU1221" s="65" t="str">
        <f t="shared" si="342"/>
        <v>N</v>
      </c>
      <c r="AV1221" s="65" t="str">
        <f t="shared" si="341"/>
        <v>N</v>
      </c>
      <c r="AW1221" s="99" t="s">
        <v>1498</v>
      </c>
      <c r="AX1221" s="99"/>
      <c r="AY1221" s="93"/>
      <c r="AZ1221" s="96" t="str">
        <f t="shared" si="343"/>
        <v>n</v>
      </c>
      <c r="BA1221" s="96" t="str">
        <f>IF(AZ1221="n","n",VLOOKUP(AZ1221,'Conversion factors'!$C$4:$D$24,2,FALSE))</f>
        <v>n</v>
      </c>
      <c r="BB1221" s="96" t="str">
        <f t="shared" si="344"/>
        <v>n</v>
      </c>
      <c r="BC1221" s="97"/>
      <c r="BD1221" s="96" t="str">
        <f t="shared" si="338"/>
        <v>n</v>
      </c>
      <c r="BE1221" s="96" t="str">
        <f t="shared" si="345"/>
        <v>n</v>
      </c>
      <c r="BF1221" s="98" t="str">
        <f t="shared" si="339"/>
        <v/>
      </c>
      <c r="BG1221" s="96" t="str">
        <f>IF(BF1221="","",IF(ISNUMBER(VLOOKUP(BF1221,'Conversion factors'!$B$35:$C$52,2,FALSE)),"y","n"))</f>
        <v/>
      </c>
      <c r="BH1221" s="99"/>
      <c r="BI1221" s="100"/>
      <c r="BJ1221" s="100"/>
    </row>
    <row r="1222" spans="1:62" s="103" customFormat="1" ht="15.75" customHeight="1" x14ac:dyDescent="0.2">
      <c r="A1222" s="18"/>
      <c r="B1222" s="19">
        <v>128</v>
      </c>
      <c r="C1222" s="36"/>
      <c r="D1222" s="36"/>
      <c r="E1222" s="93" t="s">
        <v>1235</v>
      </c>
      <c r="F1222" s="93">
        <v>2005</v>
      </c>
      <c r="G1222" s="19" t="s">
        <v>1230</v>
      </c>
      <c r="H1222" s="19" t="s">
        <v>162</v>
      </c>
      <c r="I1222" s="19" t="s">
        <v>41</v>
      </c>
      <c r="J1222" s="19" t="s">
        <v>87</v>
      </c>
      <c r="K1222" s="19" t="s">
        <v>64</v>
      </c>
      <c r="L1222" s="99" t="s">
        <v>151</v>
      </c>
      <c r="M1222" s="19" t="s">
        <v>260</v>
      </c>
      <c r="N1222" s="19" t="s">
        <v>66</v>
      </c>
      <c r="O1222" s="19" t="s">
        <v>155</v>
      </c>
      <c r="P1222" s="19" t="s">
        <v>162</v>
      </c>
      <c r="Q1222" s="19"/>
      <c r="R1222" s="19" t="s">
        <v>76</v>
      </c>
      <c r="S1222" s="19" t="s">
        <v>1250</v>
      </c>
      <c r="T1222" s="19" t="s">
        <v>54</v>
      </c>
      <c r="U1222" s="19" t="s">
        <v>54</v>
      </c>
      <c r="V1222" s="93">
        <v>21</v>
      </c>
      <c r="W1222" s="93" t="s">
        <v>45</v>
      </c>
      <c r="X1222" s="19" t="s">
        <v>46</v>
      </c>
      <c r="Y1222" s="29"/>
      <c r="Z1222" s="93">
        <v>2.57</v>
      </c>
      <c r="AA1222" s="93"/>
      <c r="AB1222" s="24">
        <f t="shared" si="346"/>
        <v>168.0523</v>
      </c>
      <c r="AC1222" s="19" t="s">
        <v>214</v>
      </c>
      <c r="AD1222" s="93"/>
      <c r="AE1222" s="19">
        <v>50</v>
      </c>
      <c r="AF1222" s="19">
        <v>50</v>
      </c>
      <c r="AG1222" s="19"/>
      <c r="AH1222" s="19"/>
      <c r="AI1222" s="19"/>
      <c r="AJ1222" s="19">
        <v>6</v>
      </c>
      <c r="AK1222" s="19">
        <v>6</v>
      </c>
      <c r="AL1222" s="19"/>
      <c r="AM1222" s="19"/>
      <c r="AN1222" s="19"/>
      <c r="AO1222" s="19"/>
      <c r="AP1222" s="94">
        <v>5</v>
      </c>
      <c r="AQ1222" s="19"/>
      <c r="AR1222" s="19"/>
      <c r="AS1222" s="19"/>
      <c r="AT1222" s="65" t="str">
        <f t="shared" si="337"/>
        <v>Y</v>
      </c>
      <c r="AU1222" s="65" t="str">
        <f t="shared" si="342"/>
        <v>Y</v>
      </c>
      <c r="AV1222" s="65" t="str">
        <f t="shared" si="341"/>
        <v>Y</v>
      </c>
      <c r="AW1222" s="99"/>
      <c r="AX1222" s="99" t="s">
        <v>1644</v>
      </c>
      <c r="AY1222" s="93"/>
      <c r="AZ1222" s="96" t="str">
        <f t="shared" si="343"/>
        <v>NOEC</v>
      </c>
      <c r="BA1222" s="96">
        <f>IF(AZ1222="n","n",VLOOKUP(AZ1222,'Conversion factors'!$C$4:$D$24,2,FALSE))</f>
        <v>1</v>
      </c>
      <c r="BB1222" s="96">
        <f t="shared" si="344"/>
        <v>168.0523</v>
      </c>
      <c r="BC1222" s="97"/>
      <c r="BD1222" s="96" t="str">
        <f t="shared" si="338"/>
        <v>Chronic</v>
      </c>
      <c r="BE1222" s="96" t="str">
        <f t="shared" si="345"/>
        <v>y</v>
      </c>
      <c r="BF1222" s="98" t="str">
        <f t="shared" si="339"/>
        <v>NOEC</v>
      </c>
      <c r="BG1222" s="96" t="str">
        <f>IF(BF1222="","",IF(ISNUMBER(VLOOKUP(BF1222,'Conversion factors'!$B$35:$C$52,2,FALSE)),"y","n"))</f>
        <v>y</v>
      </c>
      <c r="BH1222" s="99"/>
      <c r="BI1222" s="19" t="s">
        <v>1644</v>
      </c>
      <c r="BJ1222" s="100"/>
    </row>
    <row r="1223" spans="1:62" s="103" customFormat="1" ht="15.75" customHeight="1" x14ac:dyDescent="0.2">
      <c r="A1223" s="18"/>
      <c r="B1223" s="19">
        <v>128</v>
      </c>
      <c r="C1223" s="36"/>
      <c r="D1223" s="36"/>
      <c r="E1223" s="93" t="s">
        <v>1235</v>
      </c>
      <c r="F1223" s="93">
        <v>2005</v>
      </c>
      <c r="G1223" s="19" t="s">
        <v>1230</v>
      </c>
      <c r="H1223" s="19" t="s">
        <v>162</v>
      </c>
      <c r="I1223" s="19" t="s">
        <v>41</v>
      </c>
      <c r="J1223" s="19" t="s">
        <v>87</v>
      </c>
      <c r="K1223" s="19" t="s">
        <v>64</v>
      </c>
      <c r="L1223" s="99" t="s">
        <v>151</v>
      </c>
      <c r="M1223" s="19" t="s">
        <v>260</v>
      </c>
      <c r="N1223" s="19" t="s">
        <v>66</v>
      </c>
      <c r="O1223" s="19" t="s">
        <v>155</v>
      </c>
      <c r="P1223" s="19" t="s">
        <v>162</v>
      </c>
      <c r="Q1223" s="19"/>
      <c r="R1223" s="19" t="s">
        <v>76</v>
      </c>
      <c r="S1223" s="19" t="s">
        <v>1250</v>
      </c>
      <c r="T1223" s="19" t="s">
        <v>54</v>
      </c>
      <c r="U1223" s="19" t="s">
        <v>54</v>
      </c>
      <c r="V1223" s="93">
        <v>21</v>
      </c>
      <c r="W1223" s="93" t="s">
        <v>45</v>
      </c>
      <c r="X1223" s="19" t="s">
        <v>46</v>
      </c>
      <c r="Y1223" s="29"/>
      <c r="Z1223" s="93">
        <v>2.4700000000000002</v>
      </c>
      <c r="AA1223" s="93"/>
      <c r="AB1223" s="24">
        <f t="shared" si="346"/>
        <v>161.51330000000002</v>
      </c>
      <c r="AC1223" s="19" t="s">
        <v>214</v>
      </c>
      <c r="AD1223" s="93"/>
      <c r="AE1223" s="19">
        <v>50</v>
      </c>
      <c r="AF1223" s="19">
        <v>50</v>
      </c>
      <c r="AG1223" s="19"/>
      <c r="AH1223" s="19"/>
      <c r="AI1223" s="19"/>
      <c r="AJ1223" s="19">
        <v>6.5</v>
      </c>
      <c r="AK1223" s="19">
        <v>6.5</v>
      </c>
      <c r="AL1223" s="19"/>
      <c r="AM1223" s="19"/>
      <c r="AN1223" s="19"/>
      <c r="AO1223" s="19"/>
      <c r="AP1223" s="94">
        <v>5</v>
      </c>
      <c r="AQ1223" s="19"/>
      <c r="AR1223" s="19"/>
      <c r="AS1223" s="19"/>
      <c r="AT1223" s="65" t="str">
        <f t="shared" si="337"/>
        <v>Y</v>
      </c>
      <c r="AU1223" s="65" t="str">
        <f t="shared" si="342"/>
        <v>Y</v>
      </c>
      <c r="AV1223" s="65" t="str">
        <f t="shared" si="341"/>
        <v>Y</v>
      </c>
      <c r="AW1223" s="99"/>
      <c r="AX1223" s="99" t="s">
        <v>1644</v>
      </c>
      <c r="AY1223" s="93"/>
      <c r="AZ1223" s="96" t="str">
        <f t="shared" si="343"/>
        <v>NOEC</v>
      </c>
      <c r="BA1223" s="96">
        <f>IF(AZ1223="n","n",VLOOKUP(AZ1223,'Conversion factors'!$C$4:$D$24,2,FALSE))</f>
        <v>1</v>
      </c>
      <c r="BB1223" s="96">
        <f t="shared" si="344"/>
        <v>161.51330000000002</v>
      </c>
      <c r="BC1223" s="97"/>
      <c r="BD1223" s="96" t="str">
        <f t="shared" si="338"/>
        <v>Chronic</v>
      </c>
      <c r="BE1223" s="96" t="str">
        <f t="shared" si="345"/>
        <v>y</v>
      </c>
      <c r="BF1223" s="98" t="str">
        <f t="shared" si="339"/>
        <v>NOEC</v>
      </c>
      <c r="BG1223" s="96" t="str">
        <f>IF(BF1223="","",IF(ISNUMBER(VLOOKUP(BF1223,'Conversion factors'!$B$35:$C$52,2,FALSE)),"y","n"))</f>
        <v>y</v>
      </c>
      <c r="BH1223" s="99"/>
      <c r="BI1223" s="19" t="s">
        <v>1644</v>
      </c>
      <c r="BJ1223" s="100"/>
    </row>
    <row r="1224" spans="1:62" s="103" customFormat="1" ht="15.75" customHeight="1" x14ac:dyDescent="0.2">
      <c r="A1224" s="18"/>
      <c r="B1224" s="19">
        <v>128</v>
      </c>
      <c r="C1224" s="36"/>
      <c r="D1224" s="36"/>
      <c r="E1224" s="93" t="s">
        <v>1235</v>
      </c>
      <c r="F1224" s="93">
        <v>2005</v>
      </c>
      <c r="G1224" s="19" t="s">
        <v>1230</v>
      </c>
      <c r="H1224" s="19" t="s">
        <v>162</v>
      </c>
      <c r="I1224" s="19" t="s">
        <v>41</v>
      </c>
      <c r="J1224" s="19" t="s">
        <v>87</v>
      </c>
      <c r="K1224" s="19" t="s">
        <v>64</v>
      </c>
      <c r="L1224" s="99" t="s">
        <v>151</v>
      </c>
      <c r="M1224" s="19" t="s">
        <v>260</v>
      </c>
      <c r="N1224" s="19" t="s">
        <v>66</v>
      </c>
      <c r="O1224" s="19" t="s">
        <v>155</v>
      </c>
      <c r="P1224" s="19" t="s">
        <v>162</v>
      </c>
      <c r="Q1224" s="19"/>
      <c r="R1224" s="19" t="s">
        <v>76</v>
      </c>
      <c r="S1224" s="19" t="s">
        <v>1250</v>
      </c>
      <c r="T1224" s="19" t="s">
        <v>54</v>
      </c>
      <c r="U1224" s="19" t="s">
        <v>54</v>
      </c>
      <c r="V1224" s="93">
        <v>21</v>
      </c>
      <c r="W1224" s="93" t="s">
        <v>45</v>
      </c>
      <c r="X1224" s="19" t="s">
        <v>46</v>
      </c>
      <c r="Y1224" s="29"/>
      <c r="Z1224" s="93">
        <v>2.35</v>
      </c>
      <c r="AA1224" s="93"/>
      <c r="AB1224" s="24">
        <f t="shared" si="346"/>
        <v>153.66650000000001</v>
      </c>
      <c r="AC1224" s="19" t="s">
        <v>214</v>
      </c>
      <c r="AD1224" s="93"/>
      <c r="AE1224" s="19">
        <v>50</v>
      </c>
      <c r="AF1224" s="19">
        <v>50</v>
      </c>
      <c r="AG1224" s="19"/>
      <c r="AH1224" s="19"/>
      <c r="AI1224" s="19"/>
      <c r="AJ1224" s="19">
        <v>7</v>
      </c>
      <c r="AK1224" s="19">
        <v>7</v>
      </c>
      <c r="AL1224" s="19"/>
      <c r="AM1224" s="19"/>
      <c r="AN1224" s="19"/>
      <c r="AO1224" s="19"/>
      <c r="AP1224" s="94">
        <v>5</v>
      </c>
      <c r="AQ1224" s="19"/>
      <c r="AR1224" s="19"/>
      <c r="AS1224" s="19"/>
      <c r="AT1224" s="65" t="str">
        <f t="shared" si="337"/>
        <v>Y</v>
      </c>
      <c r="AU1224" s="65" t="str">
        <f t="shared" si="342"/>
        <v>Y</v>
      </c>
      <c r="AV1224" s="65" t="str">
        <f t="shared" si="341"/>
        <v>Y</v>
      </c>
      <c r="AW1224" s="99"/>
      <c r="AX1224" s="99" t="s">
        <v>1644</v>
      </c>
      <c r="AY1224" s="93"/>
      <c r="AZ1224" s="96" t="str">
        <f t="shared" si="343"/>
        <v>NOEC</v>
      </c>
      <c r="BA1224" s="96">
        <f>IF(AZ1224="n","n",VLOOKUP(AZ1224,'Conversion factors'!$C$4:$D$24,2,FALSE))</f>
        <v>1</v>
      </c>
      <c r="BB1224" s="96">
        <f t="shared" si="344"/>
        <v>153.66650000000001</v>
      </c>
      <c r="BC1224" s="97"/>
      <c r="BD1224" s="96" t="str">
        <f t="shared" si="338"/>
        <v>Chronic</v>
      </c>
      <c r="BE1224" s="96" t="str">
        <f t="shared" si="345"/>
        <v>y</v>
      </c>
      <c r="BF1224" s="98" t="str">
        <f t="shared" si="339"/>
        <v>NOEC</v>
      </c>
      <c r="BG1224" s="96" t="str">
        <f>IF(BF1224="","",IF(ISNUMBER(VLOOKUP(BF1224,'Conversion factors'!$B$35:$C$52,2,FALSE)),"y","n"))</f>
        <v>y</v>
      </c>
      <c r="BH1224" s="99"/>
      <c r="BI1224" s="19" t="s">
        <v>1644</v>
      </c>
      <c r="BJ1224" s="100"/>
    </row>
    <row r="1225" spans="1:62" s="103" customFormat="1" ht="15.75" customHeight="1" x14ac:dyDescent="0.2">
      <c r="A1225" s="18"/>
      <c r="B1225" s="19">
        <v>128</v>
      </c>
      <c r="C1225" s="36"/>
      <c r="D1225" s="36"/>
      <c r="E1225" s="93" t="s">
        <v>1235</v>
      </c>
      <c r="F1225" s="93">
        <v>2005</v>
      </c>
      <c r="G1225" s="19" t="s">
        <v>1230</v>
      </c>
      <c r="H1225" s="19" t="s">
        <v>162</v>
      </c>
      <c r="I1225" s="19" t="s">
        <v>41</v>
      </c>
      <c r="J1225" s="19" t="s">
        <v>87</v>
      </c>
      <c r="K1225" s="19" t="s">
        <v>64</v>
      </c>
      <c r="L1225" s="99" t="s">
        <v>151</v>
      </c>
      <c r="M1225" s="19" t="s">
        <v>260</v>
      </c>
      <c r="N1225" s="19" t="s">
        <v>66</v>
      </c>
      <c r="O1225" s="19" t="s">
        <v>155</v>
      </c>
      <c r="P1225" s="19" t="s">
        <v>162</v>
      </c>
      <c r="Q1225" s="19"/>
      <c r="R1225" s="19" t="s">
        <v>76</v>
      </c>
      <c r="S1225" s="19" t="s">
        <v>1250</v>
      </c>
      <c r="T1225" s="19" t="s">
        <v>54</v>
      </c>
      <c r="U1225" s="19" t="s">
        <v>54</v>
      </c>
      <c r="V1225" s="93">
        <v>21</v>
      </c>
      <c r="W1225" s="93" t="s">
        <v>45</v>
      </c>
      <c r="X1225" s="19" t="s">
        <v>46</v>
      </c>
      <c r="Y1225" s="29"/>
      <c r="Z1225" s="93">
        <v>2.0299999999999998</v>
      </c>
      <c r="AA1225" s="93"/>
      <c r="AB1225" s="24">
        <f t="shared" si="346"/>
        <v>132.74169999999998</v>
      </c>
      <c r="AC1225" s="19" t="s">
        <v>214</v>
      </c>
      <c r="AD1225" s="93"/>
      <c r="AE1225" s="19">
        <v>50</v>
      </c>
      <c r="AF1225" s="19">
        <v>50</v>
      </c>
      <c r="AG1225" s="19"/>
      <c r="AH1225" s="19"/>
      <c r="AI1225" s="19"/>
      <c r="AJ1225" s="19">
        <v>7.5</v>
      </c>
      <c r="AK1225" s="19">
        <v>7.5</v>
      </c>
      <c r="AL1225" s="19"/>
      <c r="AM1225" s="19"/>
      <c r="AN1225" s="19"/>
      <c r="AO1225" s="19"/>
      <c r="AP1225" s="94">
        <v>5</v>
      </c>
      <c r="AQ1225" s="19"/>
      <c r="AR1225" s="19"/>
      <c r="AS1225" s="19"/>
      <c r="AT1225" s="65" t="str">
        <f t="shared" si="337"/>
        <v>Y</v>
      </c>
      <c r="AU1225" s="65" t="str">
        <f t="shared" si="342"/>
        <v>Y</v>
      </c>
      <c r="AV1225" s="65" t="str">
        <f t="shared" si="341"/>
        <v>Y</v>
      </c>
      <c r="AW1225" s="99"/>
      <c r="AX1225" s="99" t="s">
        <v>1644</v>
      </c>
      <c r="AY1225" s="93"/>
      <c r="AZ1225" s="96" t="str">
        <f t="shared" si="343"/>
        <v>NOEC</v>
      </c>
      <c r="BA1225" s="96">
        <f>IF(AZ1225="n","n",VLOOKUP(AZ1225,'Conversion factors'!$C$4:$D$24,2,FALSE))</f>
        <v>1</v>
      </c>
      <c r="BB1225" s="96">
        <f t="shared" si="344"/>
        <v>132.74169999999998</v>
      </c>
      <c r="BC1225" s="97"/>
      <c r="BD1225" s="96" t="str">
        <f t="shared" si="338"/>
        <v>Chronic</v>
      </c>
      <c r="BE1225" s="96" t="str">
        <f t="shared" si="345"/>
        <v>y</v>
      </c>
      <c r="BF1225" s="98" t="str">
        <f t="shared" si="339"/>
        <v>NOEC</v>
      </c>
      <c r="BG1225" s="96" t="str">
        <f>IF(BF1225="","",IF(ISNUMBER(VLOOKUP(BF1225,'Conversion factors'!$B$35:$C$52,2,FALSE)),"y","n"))</f>
        <v>y</v>
      </c>
      <c r="BH1225" s="99"/>
      <c r="BI1225" s="19" t="s">
        <v>1644</v>
      </c>
      <c r="BJ1225" s="100"/>
    </row>
    <row r="1226" spans="1:62" s="103" customFormat="1" ht="15.75" customHeight="1" x14ac:dyDescent="0.2">
      <c r="A1226" s="18"/>
      <c r="B1226" s="19">
        <v>128</v>
      </c>
      <c r="C1226" s="36"/>
      <c r="D1226" s="36"/>
      <c r="E1226" s="93" t="s">
        <v>1235</v>
      </c>
      <c r="F1226" s="93">
        <v>2005</v>
      </c>
      <c r="G1226" s="19" t="s">
        <v>1230</v>
      </c>
      <c r="H1226" s="19" t="s">
        <v>162</v>
      </c>
      <c r="I1226" s="19" t="s">
        <v>41</v>
      </c>
      <c r="J1226" s="19" t="s">
        <v>87</v>
      </c>
      <c r="K1226" s="19" t="s">
        <v>64</v>
      </c>
      <c r="L1226" s="99" t="s">
        <v>151</v>
      </c>
      <c r="M1226" s="19" t="s">
        <v>260</v>
      </c>
      <c r="N1226" s="19" t="s">
        <v>66</v>
      </c>
      <c r="O1226" s="19" t="s">
        <v>155</v>
      </c>
      <c r="P1226" s="19" t="s">
        <v>162</v>
      </c>
      <c r="Q1226" s="19"/>
      <c r="R1226" s="19" t="s">
        <v>76</v>
      </c>
      <c r="S1226" s="19" t="s">
        <v>1250</v>
      </c>
      <c r="T1226" s="19" t="s">
        <v>54</v>
      </c>
      <c r="U1226" s="19" t="s">
        <v>54</v>
      </c>
      <c r="V1226" s="93">
        <v>21</v>
      </c>
      <c r="W1226" s="93" t="s">
        <v>45</v>
      </c>
      <c r="X1226" s="19" t="s">
        <v>46</v>
      </c>
      <c r="Y1226" s="29"/>
      <c r="Z1226" s="93">
        <v>1.79</v>
      </c>
      <c r="AA1226" s="93"/>
      <c r="AB1226" s="24">
        <f t="shared" si="346"/>
        <v>117.04810000000001</v>
      </c>
      <c r="AC1226" s="19" t="s">
        <v>214</v>
      </c>
      <c r="AD1226" s="93"/>
      <c r="AE1226" s="19">
        <v>50</v>
      </c>
      <c r="AF1226" s="19">
        <v>50</v>
      </c>
      <c r="AG1226" s="19"/>
      <c r="AH1226" s="19"/>
      <c r="AI1226" s="19"/>
      <c r="AJ1226" s="19">
        <v>8</v>
      </c>
      <c r="AK1226" s="19">
        <v>8</v>
      </c>
      <c r="AL1226" s="19"/>
      <c r="AM1226" s="19"/>
      <c r="AN1226" s="19"/>
      <c r="AO1226" s="19"/>
      <c r="AP1226" s="94">
        <v>5</v>
      </c>
      <c r="AQ1226" s="19"/>
      <c r="AR1226" s="19"/>
      <c r="AS1226" s="19"/>
      <c r="AT1226" s="65" t="str">
        <f t="shared" si="337"/>
        <v>Y</v>
      </c>
      <c r="AU1226" s="65" t="str">
        <f t="shared" si="342"/>
        <v>Y</v>
      </c>
      <c r="AV1226" s="65" t="str">
        <f t="shared" si="341"/>
        <v>Y</v>
      </c>
      <c r="AW1226" s="99"/>
      <c r="AX1226" s="99" t="s">
        <v>1644</v>
      </c>
      <c r="AY1226" s="93"/>
      <c r="AZ1226" s="96" t="str">
        <f t="shared" si="343"/>
        <v>NOEC</v>
      </c>
      <c r="BA1226" s="96">
        <f>IF(AZ1226="n","n",VLOOKUP(AZ1226,'Conversion factors'!$C$4:$D$24,2,FALSE))</f>
        <v>1</v>
      </c>
      <c r="BB1226" s="96">
        <f t="shared" si="344"/>
        <v>117.04810000000001</v>
      </c>
      <c r="BC1226" s="97"/>
      <c r="BD1226" s="96" t="str">
        <f t="shared" si="338"/>
        <v>Chronic</v>
      </c>
      <c r="BE1226" s="96" t="str">
        <f t="shared" si="345"/>
        <v>y</v>
      </c>
      <c r="BF1226" s="98" t="str">
        <f t="shared" si="339"/>
        <v>NOEC</v>
      </c>
      <c r="BG1226" s="96" t="str">
        <f>IF(BF1226="","",IF(ISNUMBER(VLOOKUP(BF1226,'Conversion factors'!$B$35:$C$52,2,FALSE)),"y","n"))</f>
        <v>y</v>
      </c>
      <c r="BH1226" s="99"/>
      <c r="BI1226" s="19" t="s">
        <v>1644</v>
      </c>
      <c r="BJ1226" s="100"/>
    </row>
    <row r="1227" spans="1:62" s="103" customFormat="1" ht="15.75" customHeight="1" x14ac:dyDescent="0.2">
      <c r="A1227" s="18"/>
      <c r="B1227" s="20">
        <v>1449</v>
      </c>
      <c r="C1227" s="20"/>
      <c r="D1227" s="20">
        <v>2017</v>
      </c>
      <c r="E1227" s="20"/>
      <c r="F1227" s="20">
        <v>2017</v>
      </c>
      <c r="G1227" s="20" t="s">
        <v>1530</v>
      </c>
      <c r="H1227" s="19" t="s">
        <v>162</v>
      </c>
      <c r="I1227" s="20" t="s">
        <v>64</v>
      </c>
      <c r="J1227" s="19" t="s">
        <v>87</v>
      </c>
      <c r="K1227" s="20" t="s">
        <v>64</v>
      </c>
      <c r="L1227" s="99" t="s">
        <v>151</v>
      </c>
      <c r="M1227" s="19" t="s">
        <v>260</v>
      </c>
      <c r="N1227" s="19" t="s">
        <v>66</v>
      </c>
      <c r="O1227" s="20" t="s">
        <v>338</v>
      </c>
      <c r="P1227" s="19" t="s">
        <v>162</v>
      </c>
      <c r="R1227" s="20" t="s">
        <v>76</v>
      </c>
      <c r="S1227" s="20" t="s">
        <v>534</v>
      </c>
      <c r="T1227" s="20" t="s">
        <v>44</v>
      </c>
      <c r="U1227" s="20" t="s">
        <v>44</v>
      </c>
      <c r="V1227" s="20">
        <v>21</v>
      </c>
      <c r="W1227" s="93" t="s">
        <v>45</v>
      </c>
      <c r="X1227" s="19" t="s">
        <v>46</v>
      </c>
      <c r="AB1227" s="20">
        <v>340</v>
      </c>
      <c r="AC1227" s="20" t="s">
        <v>214</v>
      </c>
      <c r="AE1227" s="20">
        <v>607.6</v>
      </c>
      <c r="AJ1227" s="20">
        <v>8.1999999999999993</v>
      </c>
      <c r="AK1227" s="19"/>
      <c r="AL1227" s="19"/>
      <c r="AM1227" s="19"/>
      <c r="AN1227" s="19"/>
      <c r="AO1227" s="19"/>
      <c r="AP1227" s="20">
        <v>3.93</v>
      </c>
      <c r="AQ1227" s="20">
        <v>20</v>
      </c>
      <c r="AR1227" s="19"/>
      <c r="AS1227" s="19"/>
      <c r="AT1227" s="65" t="str">
        <f t="shared" si="337"/>
        <v>Y</v>
      </c>
      <c r="AU1227" s="65" t="str">
        <f t="shared" si="342"/>
        <v>Y</v>
      </c>
      <c r="AV1227" s="65" t="str">
        <f t="shared" si="341"/>
        <v>Y</v>
      </c>
      <c r="AW1227" s="99"/>
      <c r="AX1227" s="99"/>
      <c r="AY1227" s="93"/>
      <c r="AZ1227" s="96" t="str">
        <f t="shared" si="343"/>
        <v>EC50</v>
      </c>
      <c r="BA1227" s="96">
        <f>IF(AZ1227="n","n",VLOOKUP(AZ1227,'Conversion factors'!$C$4:$D$24,2,FALSE))</f>
        <v>5</v>
      </c>
      <c r="BB1227" s="96">
        <f t="shared" si="344"/>
        <v>68</v>
      </c>
      <c r="BC1227" s="97"/>
      <c r="BD1227" s="96" t="str">
        <f t="shared" si="338"/>
        <v>Chronic</v>
      </c>
      <c r="BE1227" s="96" t="str">
        <f t="shared" si="345"/>
        <v>y</v>
      </c>
      <c r="BF1227" s="98" t="str">
        <f t="shared" si="339"/>
        <v>EC50</v>
      </c>
      <c r="BG1227" s="96" t="str">
        <f>IF(BF1227="","",IF(ISNUMBER(VLOOKUP(BF1227,'Conversion factors'!$B$35:$C$52,2,FALSE)),"y","n"))</f>
        <v>n</v>
      </c>
      <c r="BH1227" s="99" t="s">
        <v>1534</v>
      </c>
      <c r="BI1227" s="100"/>
      <c r="BJ1227" s="100"/>
    </row>
    <row r="1228" spans="1:62" s="103" customFormat="1" ht="15.75" customHeight="1" x14ac:dyDescent="0.2">
      <c r="A1228" s="18"/>
      <c r="B1228" s="20">
        <v>1449</v>
      </c>
      <c r="C1228" s="20"/>
      <c r="D1228" s="20">
        <v>2017</v>
      </c>
      <c r="E1228" s="20"/>
      <c r="F1228" s="20">
        <v>2017</v>
      </c>
      <c r="G1228" s="20" t="s">
        <v>1530</v>
      </c>
      <c r="H1228" s="19" t="s">
        <v>162</v>
      </c>
      <c r="I1228" s="20" t="s">
        <v>64</v>
      </c>
      <c r="J1228" s="19" t="s">
        <v>87</v>
      </c>
      <c r="K1228" s="20" t="s">
        <v>64</v>
      </c>
      <c r="L1228" s="99" t="s">
        <v>151</v>
      </c>
      <c r="M1228" s="19" t="s">
        <v>260</v>
      </c>
      <c r="N1228" s="19" t="s">
        <v>66</v>
      </c>
      <c r="O1228" s="20" t="s">
        <v>338</v>
      </c>
      <c r="P1228" s="19" t="s">
        <v>162</v>
      </c>
      <c r="R1228" s="20" t="s">
        <v>76</v>
      </c>
      <c r="S1228" s="20" t="s">
        <v>534</v>
      </c>
      <c r="T1228" s="20" t="s">
        <v>44</v>
      </c>
      <c r="U1228" s="20" t="s">
        <v>44</v>
      </c>
      <c r="V1228" s="20">
        <v>21</v>
      </c>
      <c r="W1228" s="93" t="s">
        <v>45</v>
      </c>
      <c r="X1228" s="19" t="s">
        <v>46</v>
      </c>
      <c r="AB1228" s="20">
        <v>311</v>
      </c>
      <c r="AC1228" s="20" t="s">
        <v>214</v>
      </c>
      <c r="AE1228" s="20">
        <v>494.2</v>
      </c>
      <c r="AJ1228" s="20">
        <v>8.07</v>
      </c>
      <c r="AK1228" s="19"/>
      <c r="AL1228" s="19"/>
      <c r="AM1228" s="19"/>
      <c r="AN1228" s="19"/>
      <c r="AO1228" s="19"/>
      <c r="AP1228" s="20">
        <v>3.13</v>
      </c>
      <c r="AQ1228" s="20">
        <v>20</v>
      </c>
      <c r="AR1228" s="19"/>
      <c r="AS1228" s="19"/>
      <c r="AT1228" s="65" t="str">
        <f t="shared" si="337"/>
        <v>Y</v>
      </c>
      <c r="AU1228" s="65" t="str">
        <f t="shared" si="342"/>
        <v>Y</v>
      </c>
      <c r="AV1228" s="65" t="str">
        <f t="shared" si="341"/>
        <v>Y</v>
      </c>
      <c r="AW1228" s="99"/>
      <c r="AX1228" s="99"/>
      <c r="AY1228" s="93"/>
      <c r="AZ1228" s="96" t="str">
        <f t="shared" si="343"/>
        <v>EC50</v>
      </c>
      <c r="BA1228" s="96">
        <f>IF(AZ1228="n","n",VLOOKUP(AZ1228,'Conversion factors'!$C$4:$D$24,2,FALSE))</f>
        <v>5</v>
      </c>
      <c r="BB1228" s="96">
        <f t="shared" si="344"/>
        <v>62.2</v>
      </c>
      <c r="BC1228" s="97"/>
      <c r="BD1228" s="96" t="str">
        <f t="shared" si="338"/>
        <v>Chronic</v>
      </c>
      <c r="BE1228" s="96" t="str">
        <f t="shared" si="345"/>
        <v>y</v>
      </c>
      <c r="BF1228" s="98" t="str">
        <f t="shared" si="339"/>
        <v>EC50</v>
      </c>
      <c r="BG1228" s="96" t="str">
        <f>IF(BF1228="","",IF(ISNUMBER(VLOOKUP(BF1228,'Conversion factors'!$B$35:$C$52,2,FALSE)),"y","n"))</f>
        <v>n</v>
      </c>
      <c r="BH1228" s="99" t="s">
        <v>1534</v>
      </c>
      <c r="BI1228" s="100"/>
      <c r="BJ1228" s="100"/>
    </row>
    <row r="1229" spans="1:62" s="103" customFormat="1" ht="15.75" customHeight="1" x14ac:dyDescent="0.2">
      <c r="A1229" s="18"/>
      <c r="B1229" s="20">
        <v>1449</v>
      </c>
      <c r="C1229" s="20"/>
      <c r="D1229" s="20">
        <v>2017</v>
      </c>
      <c r="E1229" s="20"/>
      <c r="F1229" s="20">
        <v>2017</v>
      </c>
      <c r="G1229" s="20" t="s">
        <v>1530</v>
      </c>
      <c r="H1229" s="19" t="s">
        <v>162</v>
      </c>
      <c r="I1229" s="20" t="s">
        <v>64</v>
      </c>
      <c r="J1229" s="19" t="s">
        <v>87</v>
      </c>
      <c r="K1229" s="20" t="s">
        <v>64</v>
      </c>
      <c r="L1229" s="99" t="s">
        <v>151</v>
      </c>
      <c r="M1229" s="19" t="s">
        <v>260</v>
      </c>
      <c r="N1229" s="19" t="s">
        <v>66</v>
      </c>
      <c r="O1229" s="20" t="s">
        <v>338</v>
      </c>
      <c r="P1229" s="19" t="s">
        <v>162</v>
      </c>
      <c r="R1229" s="20" t="s">
        <v>76</v>
      </c>
      <c r="S1229" s="20" t="s">
        <v>534</v>
      </c>
      <c r="T1229" s="20" t="s">
        <v>44</v>
      </c>
      <c r="U1229" s="20" t="s">
        <v>44</v>
      </c>
      <c r="V1229" s="20">
        <v>21</v>
      </c>
      <c r="W1229" s="93" t="s">
        <v>45</v>
      </c>
      <c r="X1229" s="19" t="s">
        <v>46</v>
      </c>
      <c r="AB1229" s="20">
        <v>173</v>
      </c>
      <c r="AC1229" s="20" t="s">
        <v>214</v>
      </c>
      <c r="AE1229" s="20">
        <v>91.1</v>
      </c>
      <c r="AJ1229" s="20">
        <v>8.07</v>
      </c>
      <c r="AK1229" s="19"/>
      <c r="AL1229" s="19"/>
      <c r="AM1229" s="19"/>
      <c r="AN1229" s="19"/>
      <c r="AO1229" s="19"/>
      <c r="AP1229" s="20">
        <v>4.26</v>
      </c>
      <c r="AQ1229" s="20">
        <v>20</v>
      </c>
      <c r="AR1229" s="19"/>
      <c r="AS1229" s="19"/>
      <c r="AT1229" s="65" t="str">
        <f t="shared" si="337"/>
        <v>Y</v>
      </c>
      <c r="AU1229" s="65" t="str">
        <f t="shared" si="342"/>
        <v>Y</v>
      </c>
      <c r="AV1229" s="65" t="str">
        <f t="shared" si="341"/>
        <v>Y</v>
      </c>
      <c r="AW1229" s="99"/>
      <c r="AX1229" s="99"/>
      <c r="AY1229" s="93"/>
      <c r="AZ1229" s="96" t="str">
        <f t="shared" si="343"/>
        <v>EC50</v>
      </c>
      <c r="BA1229" s="96">
        <f>IF(AZ1229="n","n",VLOOKUP(AZ1229,'Conversion factors'!$C$4:$D$24,2,FALSE))</f>
        <v>5</v>
      </c>
      <c r="BB1229" s="96">
        <f t="shared" si="344"/>
        <v>34.6</v>
      </c>
      <c r="BC1229" s="97"/>
      <c r="BD1229" s="96" t="str">
        <f t="shared" si="338"/>
        <v>Chronic</v>
      </c>
      <c r="BE1229" s="96" t="str">
        <f t="shared" si="345"/>
        <v>y</v>
      </c>
      <c r="BF1229" s="98" t="str">
        <f t="shared" si="339"/>
        <v>EC50</v>
      </c>
      <c r="BG1229" s="96" t="str">
        <f>IF(BF1229="","",IF(ISNUMBER(VLOOKUP(BF1229,'Conversion factors'!$B$35:$C$52,2,FALSE)),"y","n"))</f>
        <v>n</v>
      </c>
      <c r="BH1229" s="99" t="s">
        <v>1534</v>
      </c>
      <c r="BI1229" s="100"/>
      <c r="BJ1229" s="100"/>
    </row>
    <row r="1230" spans="1:62" s="103" customFormat="1" ht="15.75" customHeight="1" x14ac:dyDescent="0.2">
      <c r="A1230" s="18"/>
      <c r="B1230" s="20">
        <v>1449</v>
      </c>
      <c r="C1230" s="20"/>
      <c r="D1230" s="20">
        <v>2017</v>
      </c>
      <c r="E1230" s="20"/>
      <c r="F1230" s="20">
        <v>2017</v>
      </c>
      <c r="G1230" s="20" t="s">
        <v>1530</v>
      </c>
      <c r="H1230" s="19" t="s">
        <v>162</v>
      </c>
      <c r="I1230" s="20" t="s">
        <v>64</v>
      </c>
      <c r="J1230" s="19" t="s">
        <v>87</v>
      </c>
      <c r="K1230" s="20" t="s">
        <v>64</v>
      </c>
      <c r="L1230" s="99" t="s">
        <v>151</v>
      </c>
      <c r="M1230" s="19" t="s">
        <v>260</v>
      </c>
      <c r="N1230" s="19" t="s">
        <v>66</v>
      </c>
      <c r="O1230" s="20" t="s">
        <v>338</v>
      </c>
      <c r="P1230" s="19" t="s">
        <v>162</v>
      </c>
      <c r="R1230" s="20" t="s">
        <v>76</v>
      </c>
      <c r="S1230" s="20" t="s">
        <v>534</v>
      </c>
      <c r="T1230" s="20" t="s">
        <v>44</v>
      </c>
      <c r="U1230" s="20" t="s">
        <v>44</v>
      </c>
      <c r="V1230" s="20">
        <v>21</v>
      </c>
      <c r="W1230" s="93" t="s">
        <v>45</v>
      </c>
      <c r="X1230" s="19" t="s">
        <v>46</v>
      </c>
      <c r="AB1230" s="20">
        <v>126</v>
      </c>
      <c r="AC1230" s="20" t="s">
        <v>214</v>
      </c>
      <c r="AE1230" s="20">
        <v>217.9</v>
      </c>
      <c r="AJ1230" s="20">
        <v>8.4</v>
      </c>
      <c r="AK1230" s="19"/>
      <c r="AL1230" s="19"/>
      <c r="AM1230" s="19"/>
      <c r="AN1230" s="19"/>
      <c r="AO1230" s="19"/>
      <c r="AP1230" s="20">
        <v>1</v>
      </c>
      <c r="AQ1230" s="20">
        <v>20</v>
      </c>
      <c r="AR1230" s="19"/>
      <c r="AS1230" s="19"/>
      <c r="AT1230" s="65" t="str">
        <f t="shared" si="337"/>
        <v>Y</v>
      </c>
      <c r="AU1230" s="65" t="str">
        <f t="shared" si="342"/>
        <v>Y</v>
      </c>
      <c r="AV1230" s="65" t="str">
        <f t="shared" si="341"/>
        <v>Y</v>
      </c>
      <c r="AW1230" s="99"/>
      <c r="AX1230" s="99"/>
      <c r="AY1230" s="93"/>
      <c r="AZ1230" s="96" t="str">
        <f t="shared" si="343"/>
        <v>EC50</v>
      </c>
      <c r="BA1230" s="96">
        <f>IF(AZ1230="n","n",VLOOKUP(AZ1230,'Conversion factors'!$C$4:$D$24,2,FALSE))</f>
        <v>5</v>
      </c>
      <c r="BB1230" s="96">
        <f t="shared" si="344"/>
        <v>25.2</v>
      </c>
      <c r="BC1230" s="97"/>
      <c r="BD1230" s="96" t="str">
        <f t="shared" si="338"/>
        <v>Chronic</v>
      </c>
      <c r="BE1230" s="96" t="str">
        <f t="shared" si="345"/>
        <v>y</v>
      </c>
      <c r="BF1230" s="98" t="str">
        <f t="shared" si="339"/>
        <v>EC50</v>
      </c>
      <c r="BG1230" s="96" t="str">
        <f>IF(BF1230="","",IF(ISNUMBER(VLOOKUP(BF1230,'Conversion factors'!$B$35:$C$52,2,FALSE)),"y","n"))</f>
        <v>n</v>
      </c>
      <c r="BH1230" s="99" t="s">
        <v>1534</v>
      </c>
      <c r="BI1230" s="100"/>
      <c r="BJ1230" s="100"/>
    </row>
    <row r="1231" spans="1:62" s="103" customFormat="1" ht="15.75" customHeight="1" x14ac:dyDescent="0.2">
      <c r="A1231" s="18"/>
      <c r="B1231" s="20">
        <v>1449</v>
      </c>
      <c r="C1231" s="20"/>
      <c r="D1231" s="20">
        <v>2017</v>
      </c>
      <c r="E1231" s="20"/>
      <c r="F1231" s="20">
        <v>2017</v>
      </c>
      <c r="G1231" s="20" t="s">
        <v>1530</v>
      </c>
      <c r="H1231" s="19" t="s">
        <v>162</v>
      </c>
      <c r="I1231" s="20" t="s">
        <v>64</v>
      </c>
      <c r="J1231" s="19" t="s">
        <v>87</v>
      </c>
      <c r="K1231" s="20" t="s">
        <v>64</v>
      </c>
      <c r="L1231" s="99" t="s">
        <v>151</v>
      </c>
      <c r="M1231" s="19" t="s">
        <v>260</v>
      </c>
      <c r="N1231" s="19" t="s">
        <v>66</v>
      </c>
      <c r="O1231" s="20" t="s">
        <v>338</v>
      </c>
      <c r="P1231" s="19" t="s">
        <v>162</v>
      </c>
      <c r="R1231" s="20" t="s">
        <v>76</v>
      </c>
      <c r="S1231" s="20" t="s">
        <v>534</v>
      </c>
      <c r="T1231" s="20" t="s">
        <v>44</v>
      </c>
      <c r="U1231" s="20" t="s">
        <v>44</v>
      </c>
      <c r="V1231" s="20">
        <v>21</v>
      </c>
      <c r="W1231" s="93" t="s">
        <v>45</v>
      </c>
      <c r="X1231" s="19" t="s">
        <v>46</v>
      </c>
      <c r="AB1231" s="20">
        <v>64</v>
      </c>
      <c r="AC1231" s="20" t="s">
        <v>214</v>
      </c>
      <c r="AE1231" s="20">
        <v>17.3</v>
      </c>
      <c r="AJ1231" s="20">
        <v>7.15</v>
      </c>
      <c r="AK1231" s="19"/>
      <c r="AL1231" s="19"/>
      <c r="AM1231" s="19"/>
      <c r="AN1231" s="19"/>
      <c r="AO1231" s="19"/>
      <c r="AP1231" s="20">
        <v>5.13</v>
      </c>
      <c r="AQ1231" s="20">
        <v>20</v>
      </c>
      <c r="AR1231" s="19"/>
      <c r="AS1231" s="19"/>
      <c r="AT1231" s="65" t="str">
        <f t="shared" si="337"/>
        <v>Y</v>
      </c>
      <c r="AU1231" s="65" t="str">
        <f t="shared" si="342"/>
        <v>Y</v>
      </c>
      <c r="AV1231" s="65" t="str">
        <f t="shared" si="341"/>
        <v>Y</v>
      </c>
      <c r="AW1231" s="99"/>
      <c r="AX1231" s="99"/>
      <c r="AY1231" s="93"/>
      <c r="AZ1231" s="96" t="str">
        <f t="shared" si="343"/>
        <v>EC50</v>
      </c>
      <c r="BA1231" s="96">
        <f>IF(AZ1231="n","n",VLOOKUP(AZ1231,'Conversion factors'!$C$4:$D$24,2,FALSE))</f>
        <v>5</v>
      </c>
      <c r="BB1231" s="96">
        <f t="shared" si="344"/>
        <v>12.8</v>
      </c>
      <c r="BC1231" s="97"/>
      <c r="BD1231" s="96" t="str">
        <f t="shared" si="338"/>
        <v>Chronic</v>
      </c>
      <c r="BE1231" s="96" t="str">
        <f t="shared" si="345"/>
        <v>y</v>
      </c>
      <c r="BF1231" s="98" t="str">
        <f t="shared" si="339"/>
        <v>EC50</v>
      </c>
      <c r="BG1231" s="96" t="str">
        <f>IF(BF1231="","",IF(ISNUMBER(VLOOKUP(BF1231,'Conversion factors'!$B$35:$C$52,2,FALSE)),"y","n"))</f>
        <v>n</v>
      </c>
      <c r="BH1231" s="99" t="s">
        <v>1534</v>
      </c>
      <c r="BI1231" s="100"/>
      <c r="BJ1231" s="100"/>
    </row>
    <row r="1232" spans="1:62" s="103" customFormat="1" ht="15.75" customHeight="1" x14ac:dyDescent="0.2">
      <c r="A1232" s="18"/>
      <c r="B1232" s="20">
        <v>1449</v>
      </c>
      <c r="C1232" s="20"/>
      <c r="D1232" s="20">
        <v>2017</v>
      </c>
      <c r="E1232" s="20"/>
      <c r="F1232" s="20">
        <v>2017</v>
      </c>
      <c r="G1232" s="20" t="s">
        <v>1530</v>
      </c>
      <c r="H1232" s="19" t="s">
        <v>162</v>
      </c>
      <c r="I1232" s="20" t="s">
        <v>64</v>
      </c>
      <c r="J1232" s="19" t="s">
        <v>87</v>
      </c>
      <c r="K1232" s="20" t="s">
        <v>64</v>
      </c>
      <c r="L1232" s="99" t="s">
        <v>151</v>
      </c>
      <c r="M1232" s="19" t="s">
        <v>260</v>
      </c>
      <c r="N1232" s="19" t="s">
        <v>66</v>
      </c>
      <c r="O1232" s="20" t="s">
        <v>338</v>
      </c>
      <c r="P1232" s="19" t="s">
        <v>162</v>
      </c>
      <c r="R1232" s="20" t="s">
        <v>76</v>
      </c>
      <c r="S1232" s="20" t="s">
        <v>534</v>
      </c>
      <c r="T1232" s="20" t="s">
        <v>44</v>
      </c>
      <c r="U1232" s="20" t="s">
        <v>44</v>
      </c>
      <c r="V1232" s="20">
        <v>21</v>
      </c>
      <c r="W1232" s="93" t="s">
        <v>45</v>
      </c>
      <c r="X1232" s="19" t="s">
        <v>46</v>
      </c>
      <c r="AB1232" s="20" t="s">
        <v>1531</v>
      </c>
      <c r="AC1232" s="20" t="s">
        <v>214</v>
      </c>
      <c r="AE1232" s="20">
        <v>7.1</v>
      </c>
      <c r="AJ1232" s="20">
        <v>6.48</v>
      </c>
      <c r="AK1232" s="19"/>
      <c r="AL1232" s="19"/>
      <c r="AM1232" s="19"/>
      <c r="AN1232" s="19"/>
      <c r="AO1232" s="19"/>
      <c r="AP1232" s="20">
        <v>6.26</v>
      </c>
      <c r="AQ1232" s="20">
        <v>20</v>
      </c>
      <c r="AR1232" s="19"/>
      <c r="AS1232" s="19"/>
      <c r="AT1232" s="65" t="str">
        <f t="shared" ref="AT1232:AT1295" si="347">IF(F1232&lt;1980,"N",IF(AC1232="M","Y",IF(AC1232="SM","Y","N")))</f>
        <v>Y</v>
      </c>
      <c r="AU1232" s="65" t="str">
        <f t="shared" si="342"/>
        <v>Y</v>
      </c>
      <c r="AV1232" s="65" t="str">
        <f t="shared" si="341"/>
        <v>Y</v>
      </c>
      <c r="AW1232" s="99"/>
      <c r="AX1232" s="99"/>
      <c r="AY1232" s="93"/>
      <c r="AZ1232" s="96" t="str">
        <f t="shared" si="343"/>
        <v>EC50</v>
      </c>
      <c r="BA1232" s="96">
        <f>IF(AZ1232="n","n",VLOOKUP(AZ1232,'Conversion factors'!$C$4:$D$24,2,FALSE))</f>
        <v>5</v>
      </c>
      <c r="BB1232" s="96" t="e">
        <f t="shared" si="344"/>
        <v>#VALUE!</v>
      </c>
      <c r="BC1232" s="97"/>
      <c r="BD1232" s="96" t="str">
        <f t="shared" ref="BD1232:BD1295" si="348">IF(AV1232="N","n",X1232)</f>
        <v>Chronic</v>
      </c>
      <c r="BE1232" s="96" t="str">
        <f t="shared" si="345"/>
        <v>y</v>
      </c>
      <c r="BF1232" s="98" t="str">
        <f t="shared" si="339"/>
        <v>EC50</v>
      </c>
      <c r="BG1232" s="96" t="str">
        <f>IF(BF1232="","",IF(ISNUMBER(VLOOKUP(BF1232,'Conversion factors'!$B$35:$C$52,2,FALSE)),"y","n"))</f>
        <v>n</v>
      </c>
      <c r="BH1232" s="99" t="s">
        <v>1534</v>
      </c>
      <c r="BI1232" s="100"/>
      <c r="BJ1232" s="100"/>
    </row>
    <row r="1233" spans="1:62" s="103" customFormat="1" ht="15.75" customHeight="1" x14ac:dyDescent="0.2">
      <c r="A1233" s="18"/>
      <c r="B1233" s="20">
        <v>1449</v>
      </c>
      <c r="C1233" s="20"/>
      <c r="D1233" s="20">
        <v>2017</v>
      </c>
      <c r="E1233" s="20"/>
      <c r="F1233" s="20">
        <v>2017</v>
      </c>
      <c r="G1233" s="20" t="s">
        <v>1530</v>
      </c>
      <c r="H1233" s="19" t="s">
        <v>162</v>
      </c>
      <c r="I1233" s="20" t="s">
        <v>64</v>
      </c>
      <c r="J1233" s="19" t="s">
        <v>87</v>
      </c>
      <c r="K1233" s="20" t="s">
        <v>64</v>
      </c>
      <c r="L1233" s="99" t="s">
        <v>151</v>
      </c>
      <c r="M1233" s="19" t="s">
        <v>260</v>
      </c>
      <c r="N1233" s="19" t="s">
        <v>66</v>
      </c>
      <c r="O1233" s="20" t="s">
        <v>338</v>
      </c>
      <c r="P1233" s="19" t="s">
        <v>162</v>
      </c>
      <c r="R1233" s="20" t="s">
        <v>76</v>
      </c>
      <c r="S1233" s="20" t="s">
        <v>534</v>
      </c>
      <c r="T1233" s="20" t="s">
        <v>44</v>
      </c>
      <c r="U1233" s="20" t="s">
        <v>44</v>
      </c>
      <c r="V1233" s="20">
        <v>21</v>
      </c>
      <c r="W1233" s="93" t="s">
        <v>45</v>
      </c>
      <c r="X1233" s="19" t="s">
        <v>46</v>
      </c>
      <c r="AB1233" s="20" t="s">
        <v>1532</v>
      </c>
      <c r="AC1233" s="20" t="s">
        <v>214</v>
      </c>
      <c r="AE1233" s="20">
        <v>6.7</v>
      </c>
      <c r="AJ1233" s="20">
        <v>6.51</v>
      </c>
      <c r="AK1233" s="19"/>
      <c r="AL1233" s="19"/>
      <c r="AM1233" s="19"/>
      <c r="AN1233" s="19"/>
      <c r="AO1233" s="19"/>
      <c r="AP1233" s="20">
        <v>6.37</v>
      </c>
      <c r="AQ1233" s="20">
        <v>20</v>
      </c>
      <c r="AR1233" s="19"/>
      <c r="AS1233" s="19"/>
      <c r="AT1233" s="65" t="str">
        <f t="shared" si="347"/>
        <v>Y</v>
      </c>
      <c r="AU1233" s="65" t="str">
        <f t="shared" si="342"/>
        <v>Y</v>
      </c>
      <c r="AV1233" s="65" t="str">
        <f t="shared" si="341"/>
        <v>Y</v>
      </c>
      <c r="AW1233" s="99"/>
      <c r="AX1233" s="99"/>
      <c r="AY1233" s="93"/>
      <c r="AZ1233" s="96" t="str">
        <f t="shared" si="343"/>
        <v>EC50</v>
      </c>
      <c r="BA1233" s="96">
        <f>IF(AZ1233="n","n",VLOOKUP(AZ1233,'Conversion factors'!$C$4:$D$24,2,FALSE))</f>
        <v>5</v>
      </c>
      <c r="BB1233" s="96" t="e">
        <f t="shared" si="344"/>
        <v>#VALUE!</v>
      </c>
      <c r="BC1233" s="97"/>
      <c r="BD1233" s="96" t="str">
        <f t="shared" si="348"/>
        <v>Chronic</v>
      </c>
      <c r="BE1233" s="96" t="str">
        <f t="shared" si="345"/>
        <v>y</v>
      </c>
      <c r="BF1233" s="98" t="str">
        <f t="shared" ref="BF1233:BF1260" si="349">IF(BE1233="n","",AZ1233)</f>
        <v>EC50</v>
      </c>
      <c r="BG1233" s="96" t="str">
        <f>IF(BF1233="","",IF(ISNUMBER(VLOOKUP(BF1233,'Conversion factors'!$B$35:$C$52,2,FALSE)),"y","n"))</f>
        <v>n</v>
      </c>
      <c r="BH1233" s="99" t="s">
        <v>1534</v>
      </c>
      <c r="BI1233" s="100"/>
      <c r="BJ1233" s="100"/>
    </row>
    <row r="1234" spans="1:62" s="103" customFormat="1" ht="15.75" customHeight="1" x14ac:dyDescent="0.2">
      <c r="A1234" s="18"/>
      <c r="B1234" s="20">
        <v>1449</v>
      </c>
      <c r="C1234" s="20"/>
      <c r="D1234" s="20">
        <v>2017</v>
      </c>
      <c r="E1234" s="20"/>
      <c r="F1234" s="20">
        <v>2017</v>
      </c>
      <c r="G1234" s="20" t="s">
        <v>1530</v>
      </c>
      <c r="H1234" s="19" t="s">
        <v>162</v>
      </c>
      <c r="I1234" s="20" t="s">
        <v>64</v>
      </c>
      <c r="J1234" s="19" t="s">
        <v>87</v>
      </c>
      <c r="K1234" s="20" t="s">
        <v>64</v>
      </c>
      <c r="L1234" s="99" t="s">
        <v>151</v>
      </c>
      <c r="M1234" s="19" t="s">
        <v>260</v>
      </c>
      <c r="N1234" s="19" t="s">
        <v>66</v>
      </c>
      <c r="O1234" s="20" t="s">
        <v>338</v>
      </c>
      <c r="P1234" s="19" t="s">
        <v>162</v>
      </c>
      <c r="R1234" s="20" t="s">
        <v>76</v>
      </c>
      <c r="S1234" s="20" t="s">
        <v>534</v>
      </c>
      <c r="T1234" s="20" t="s">
        <v>44</v>
      </c>
      <c r="U1234" s="20" t="s">
        <v>44</v>
      </c>
      <c r="V1234" s="20">
        <v>21</v>
      </c>
      <c r="W1234" s="93" t="s">
        <v>45</v>
      </c>
      <c r="X1234" s="19" t="s">
        <v>46</v>
      </c>
      <c r="AB1234" s="20" t="s">
        <v>1533</v>
      </c>
      <c r="AC1234" s="20" t="s">
        <v>214</v>
      </c>
      <c r="AE1234" s="20">
        <v>10.9</v>
      </c>
      <c r="AJ1234" s="20">
        <v>7.02</v>
      </c>
      <c r="AK1234" s="19"/>
      <c r="AL1234" s="19"/>
      <c r="AM1234" s="19"/>
      <c r="AN1234" s="19"/>
      <c r="AO1234" s="19"/>
      <c r="AP1234" s="20">
        <v>10.14</v>
      </c>
      <c r="AQ1234" s="20">
        <v>20</v>
      </c>
      <c r="AR1234" s="19"/>
      <c r="AS1234" s="19"/>
      <c r="AT1234" s="65" t="str">
        <f t="shared" si="347"/>
        <v>Y</v>
      </c>
      <c r="AU1234" s="65" t="str">
        <f t="shared" si="342"/>
        <v>Y</v>
      </c>
      <c r="AV1234" s="65" t="str">
        <f t="shared" si="341"/>
        <v>Y</v>
      </c>
      <c r="AW1234" s="99"/>
      <c r="AX1234" s="99"/>
      <c r="AY1234" s="93"/>
      <c r="AZ1234" s="96" t="str">
        <f t="shared" si="343"/>
        <v>EC50</v>
      </c>
      <c r="BA1234" s="96">
        <f>IF(AZ1234="n","n",VLOOKUP(AZ1234,'Conversion factors'!$C$4:$D$24,2,FALSE))</f>
        <v>5</v>
      </c>
      <c r="BB1234" s="96" t="e">
        <f t="shared" si="344"/>
        <v>#VALUE!</v>
      </c>
      <c r="BC1234" s="97"/>
      <c r="BD1234" s="96" t="str">
        <f t="shared" si="348"/>
        <v>Chronic</v>
      </c>
      <c r="BE1234" s="96" t="str">
        <f t="shared" si="345"/>
        <v>y</v>
      </c>
      <c r="BF1234" s="98" t="str">
        <f t="shared" si="349"/>
        <v>EC50</v>
      </c>
      <c r="BG1234" s="96" t="str">
        <f>IF(BF1234="","",IF(ISNUMBER(VLOOKUP(BF1234,'Conversion factors'!$B$35:$C$52,2,FALSE)),"y","n"))</f>
        <v>n</v>
      </c>
      <c r="BH1234" s="99" t="s">
        <v>1534</v>
      </c>
      <c r="BI1234" s="100"/>
      <c r="BJ1234" s="100"/>
    </row>
    <row r="1235" spans="1:62" s="103" customFormat="1" ht="15.75" customHeight="1" x14ac:dyDescent="0.2">
      <c r="A1235" s="18"/>
      <c r="B1235" s="20">
        <v>1449</v>
      </c>
      <c r="C1235" s="20"/>
      <c r="D1235" s="20">
        <v>2017</v>
      </c>
      <c r="E1235" s="20"/>
      <c r="F1235" s="20">
        <v>2017</v>
      </c>
      <c r="G1235" s="20" t="s">
        <v>1530</v>
      </c>
      <c r="H1235" s="19" t="s">
        <v>162</v>
      </c>
      <c r="I1235" s="20" t="s">
        <v>64</v>
      </c>
      <c r="J1235" s="19" t="s">
        <v>87</v>
      </c>
      <c r="K1235" s="20" t="s">
        <v>64</v>
      </c>
      <c r="L1235" s="99" t="s">
        <v>151</v>
      </c>
      <c r="M1235" s="19" t="s">
        <v>260</v>
      </c>
      <c r="N1235" s="19" t="s">
        <v>66</v>
      </c>
      <c r="O1235" s="20" t="s">
        <v>338</v>
      </c>
      <c r="P1235" s="19" t="s">
        <v>162</v>
      </c>
      <c r="R1235" s="20" t="s">
        <v>76</v>
      </c>
      <c r="S1235" s="20" t="s">
        <v>534</v>
      </c>
      <c r="T1235" s="20" t="s">
        <v>49</v>
      </c>
      <c r="U1235" s="20" t="s">
        <v>49</v>
      </c>
      <c r="V1235" s="20">
        <v>21</v>
      </c>
      <c r="W1235" s="93" t="s">
        <v>45</v>
      </c>
      <c r="X1235" s="19" t="s">
        <v>46</v>
      </c>
      <c r="AB1235" s="20">
        <v>165</v>
      </c>
      <c r="AC1235" s="20" t="s">
        <v>214</v>
      </c>
      <c r="AE1235" s="20">
        <v>607.6</v>
      </c>
      <c r="AJ1235" s="20">
        <v>8.1999999999999993</v>
      </c>
      <c r="AK1235" s="19"/>
      <c r="AL1235" s="19"/>
      <c r="AM1235" s="19"/>
      <c r="AN1235" s="19"/>
      <c r="AO1235" s="19"/>
      <c r="AP1235" s="20">
        <v>3.93</v>
      </c>
      <c r="AQ1235" s="20">
        <v>20</v>
      </c>
      <c r="AR1235" s="19"/>
      <c r="AS1235" s="19"/>
      <c r="AT1235" s="65" t="str">
        <f t="shared" si="347"/>
        <v>Y</v>
      </c>
      <c r="AU1235" s="65" t="str">
        <f t="shared" si="342"/>
        <v>Y</v>
      </c>
      <c r="AV1235" s="65" t="str">
        <f t="shared" si="341"/>
        <v>Y</v>
      </c>
      <c r="AW1235" s="99"/>
      <c r="AX1235" s="99"/>
      <c r="AY1235" s="93"/>
      <c r="AZ1235" s="96" t="str">
        <f t="shared" si="343"/>
        <v>EC10</v>
      </c>
      <c r="BA1235" s="96">
        <f>IF(AZ1235="n","n",VLOOKUP(AZ1235,'Conversion factors'!$C$4:$D$24,2,FALSE))</f>
        <v>1</v>
      </c>
      <c r="BB1235" s="96">
        <f t="shared" si="344"/>
        <v>165</v>
      </c>
      <c r="BC1235" s="97"/>
      <c r="BD1235" s="96" t="str">
        <f t="shared" si="348"/>
        <v>Chronic</v>
      </c>
      <c r="BE1235" s="96" t="str">
        <f t="shared" si="345"/>
        <v>y</v>
      </c>
      <c r="BF1235" s="98" t="str">
        <f t="shared" si="349"/>
        <v>EC10</v>
      </c>
      <c r="BG1235" s="96" t="str">
        <f>IF(BF1235="","",IF(ISNUMBER(VLOOKUP(BF1235,'Conversion factors'!$B$35:$C$52,2,FALSE)),"y","n"))</f>
        <v>y</v>
      </c>
      <c r="BH1235" s="99"/>
      <c r="BI1235" s="100"/>
      <c r="BJ1235" s="100"/>
    </row>
    <row r="1236" spans="1:62" s="103" customFormat="1" ht="15.75" customHeight="1" x14ac:dyDescent="0.2">
      <c r="A1236" s="18"/>
      <c r="B1236" s="20">
        <v>1449</v>
      </c>
      <c r="C1236" s="20"/>
      <c r="D1236" s="20">
        <v>2017</v>
      </c>
      <c r="E1236" s="20"/>
      <c r="F1236" s="20">
        <v>2017</v>
      </c>
      <c r="G1236" s="20" t="s">
        <v>1530</v>
      </c>
      <c r="H1236" s="19" t="s">
        <v>162</v>
      </c>
      <c r="I1236" s="20" t="s">
        <v>64</v>
      </c>
      <c r="J1236" s="19" t="s">
        <v>87</v>
      </c>
      <c r="K1236" s="20" t="s">
        <v>64</v>
      </c>
      <c r="L1236" s="99" t="s">
        <v>151</v>
      </c>
      <c r="M1236" s="19" t="s">
        <v>260</v>
      </c>
      <c r="N1236" s="19" t="s">
        <v>66</v>
      </c>
      <c r="O1236" s="20" t="s">
        <v>338</v>
      </c>
      <c r="P1236" s="19" t="s">
        <v>162</v>
      </c>
      <c r="R1236" s="20" t="s">
        <v>76</v>
      </c>
      <c r="S1236" s="20" t="s">
        <v>534</v>
      </c>
      <c r="T1236" s="20" t="s">
        <v>49</v>
      </c>
      <c r="U1236" s="20" t="s">
        <v>49</v>
      </c>
      <c r="V1236" s="20">
        <v>21</v>
      </c>
      <c r="W1236" s="93" t="s">
        <v>45</v>
      </c>
      <c r="X1236" s="19" t="s">
        <v>46</v>
      </c>
      <c r="AB1236" s="20">
        <v>203</v>
      </c>
      <c r="AC1236" s="20" t="s">
        <v>214</v>
      </c>
      <c r="AE1236" s="20">
        <v>494.2</v>
      </c>
      <c r="AJ1236" s="20">
        <v>8.07</v>
      </c>
      <c r="AK1236" s="19"/>
      <c r="AL1236" s="19"/>
      <c r="AM1236" s="19"/>
      <c r="AN1236" s="19"/>
      <c r="AO1236" s="19"/>
      <c r="AP1236" s="20">
        <v>3.13</v>
      </c>
      <c r="AQ1236" s="20">
        <v>20</v>
      </c>
      <c r="AR1236" s="19"/>
      <c r="AS1236" s="19"/>
      <c r="AT1236" s="65" t="str">
        <f t="shared" si="347"/>
        <v>Y</v>
      </c>
      <c r="AU1236" s="65" t="str">
        <f t="shared" si="342"/>
        <v>Y</v>
      </c>
      <c r="AV1236" s="65" t="str">
        <f t="shared" si="341"/>
        <v>Y</v>
      </c>
      <c r="AW1236" s="99"/>
      <c r="AX1236" s="99"/>
      <c r="AY1236" s="93"/>
      <c r="AZ1236" s="96" t="str">
        <f t="shared" si="343"/>
        <v>EC10</v>
      </c>
      <c r="BA1236" s="96">
        <f>IF(AZ1236="n","n",VLOOKUP(AZ1236,'Conversion factors'!$C$4:$D$24,2,FALSE))</f>
        <v>1</v>
      </c>
      <c r="BB1236" s="96">
        <f t="shared" si="344"/>
        <v>203</v>
      </c>
      <c r="BC1236" s="97"/>
      <c r="BD1236" s="96" t="str">
        <f t="shared" si="348"/>
        <v>Chronic</v>
      </c>
      <c r="BE1236" s="96" t="str">
        <f t="shared" si="345"/>
        <v>y</v>
      </c>
      <c r="BF1236" s="98" t="str">
        <f t="shared" si="349"/>
        <v>EC10</v>
      </c>
      <c r="BG1236" s="96" t="str">
        <f>IF(BF1236="","",IF(ISNUMBER(VLOOKUP(BF1236,'Conversion factors'!$B$35:$C$52,2,FALSE)),"y","n"))</f>
        <v>y</v>
      </c>
      <c r="BH1236" s="99"/>
      <c r="BI1236" s="100"/>
      <c r="BJ1236" s="100"/>
    </row>
    <row r="1237" spans="1:62" s="103" customFormat="1" ht="15.75" customHeight="1" x14ac:dyDescent="0.2">
      <c r="A1237" s="18"/>
      <c r="B1237" s="20">
        <v>1449</v>
      </c>
      <c r="C1237" s="20"/>
      <c r="D1237" s="20">
        <v>2017</v>
      </c>
      <c r="E1237" s="20"/>
      <c r="F1237" s="20">
        <v>2017</v>
      </c>
      <c r="G1237" s="20" t="s">
        <v>1530</v>
      </c>
      <c r="H1237" s="19" t="s">
        <v>162</v>
      </c>
      <c r="I1237" s="20" t="s">
        <v>64</v>
      </c>
      <c r="J1237" s="19" t="s">
        <v>87</v>
      </c>
      <c r="K1237" s="20" t="s">
        <v>64</v>
      </c>
      <c r="L1237" s="99" t="s">
        <v>151</v>
      </c>
      <c r="M1237" s="19" t="s">
        <v>260</v>
      </c>
      <c r="N1237" s="19" t="s">
        <v>66</v>
      </c>
      <c r="O1237" s="20" t="s">
        <v>338</v>
      </c>
      <c r="P1237" s="19" t="s">
        <v>162</v>
      </c>
      <c r="R1237" s="20" t="s">
        <v>76</v>
      </c>
      <c r="S1237" s="20" t="s">
        <v>534</v>
      </c>
      <c r="T1237" s="20" t="s">
        <v>49</v>
      </c>
      <c r="U1237" s="20" t="s">
        <v>49</v>
      </c>
      <c r="V1237" s="20">
        <v>21</v>
      </c>
      <c r="W1237" s="93" t="s">
        <v>45</v>
      </c>
      <c r="X1237" s="19" t="s">
        <v>46</v>
      </c>
      <c r="AB1237" s="20">
        <v>109</v>
      </c>
      <c r="AC1237" s="20" t="s">
        <v>214</v>
      </c>
      <c r="AE1237" s="20">
        <v>91.1</v>
      </c>
      <c r="AJ1237" s="20">
        <v>8.07</v>
      </c>
      <c r="AK1237" s="19"/>
      <c r="AL1237" s="19"/>
      <c r="AM1237" s="19"/>
      <c r="AN1237" s="19"/>
      <c r="AO1237" s="19"/>
      <c r="AP1237" s="20">
        <v>4.26</v>
      </c>
      <c r="AQ1237" s="20">
        <v>20</v>
      </c>
      <c r="AR1237" s="19"/>
      <c r="AS1237" s="19"/>
      <c r="AT1237" s="65" t="str">
        <f t="shared" si="347"/>
        <v>Y</v>
      </c>
      <c r="AU1237" s="65" t="str">
        <f t="shared" si="342"/>
        <v>Y</v>
      </c>
      <c r="AV1237" s="65" t="str">
        <f t="shared" si="341"/>
        <v>Y</v>
      </c>
      <c r="AW1237" s="99"/>
      <c r="AX1237" s="99"/>
      <c r="AY1237" s="93"/>
      <c r="AZ1237" s="96" t="str">
        <f t="shared" si="343"/>
        <v>EC10</v>
      </c>
      <c r="BA1237" s="96">
        <f>IF(AZ1237="n","n",VLOOKUP(AZ1237,'Conversion factors'!$C$4:$D$24,2,FALSE))</f>
        <v>1</v>
      </c>
      <c r="BB1237" s="96">
        <f t="shared" si="344"/>
        <v>109</v>
      </c>
      <c r="BC1237" s="97"/>
      <c r="BD1237" s="96" t="str">
        <f t="shared" si="348"/>
        <v>Chronic</v>
      </c>
      <c r="BE1237" s="96" t="str">
        <f t="shared" si="345"/>
        <v>y</v>
      </c>
      <c r="BF1237" s="98" t="str">
        <f t="shared" si="349"/>
        <v>EC10</v>
      </c>
      <c r="BG1237" s="96" t="str">
        <f>IF(BF1237="","",IF(ISNUMBER(VLOOKUP(BF1237,'Conversion factors'!$B$35:$C$52,2,FALSE)),"y","n"))</f>
        <v>y</v>
      </c>
      <c r="BH1237" s="99"/>
      <c r="BI1237" s="100"/>
      <c r="BJ1237" s="100"/>
    </row>
    <row r="1238" spans="1:62" s="103" customFormat="1" ht="15.75" customHeight="1" x14ac:dyDescent="0.2">
      <c r="A1238" s="18"/>
      <c r="B1238" s="20">
        <v>1449</v>
      </c>
      <c r="C1238" s="20"/>
      <c r="D1238" s="20">
        <v>2017</v>
      </c>
      <c r="E1238" s="20"/>
      <c r="F1238" s="20">
        <v>2017</v>
      </c>
      <c r="G1238" s="20" t="s">
        <v>1530</v>
      </c>
      <c r="H1238" s="19" t="s">
        <v>162</v>
      </c>
      <c r="I1238" s="20" t="s">
        <v>64</v>
      </c>
      <c r="J1238" s="19" t="s">
        <v>87</v>
      </c>
      <c r="K1238" s="20" t="s">
        <v>64</v>
      </c>
      <c r="L1238" s="99" t="s">
        <v>151</v>
      </c>
      <c r="M1238" s="19" t="s">
        <v>260</v>
      </c>
      <c r="N1238" s="19" t="s">
        <v>66</v>
      </c>
      <c r="O1238" s="20" t="s">
        <v>338</v>
      </c>
      <c r="P1238" s="19" t="s">
        <v>162</v>
      </c>
      <c r="R1238" s="20" t="s">
        <v>76</v>
      </c>
      <c r="S1238" s="20" t="s">
        <v>534</v>
      </c>
      <c r="T1238" s="20" t="s">
        <v>49</v>
      </c>
      <c r="U1238" s="20" t="s">
        <v>49</v>
      </c>
      <c r="V1238" s="20">
        <v>21</v>
      </c>
      <c r="W1238" s="93" t="s">
        <v>45</v>
      </c>
      <c r="X1238" s="19" t="s">
        <v>46</v>
      </c>
      <c r="AB1238" s="20" t="s">
        <v>231</v>
      </c>
      <c r="AC1238" s="20" t="s">
        <v>214</v>
      </c>
      <c r="AE1238" s="20">
        <v>217.9</v>
      </c>
      <c r="AJ1238" s="20">
        <v>8.4</v>
      </c>
      <c r="AK1238" s="19"/>
      <c r="AL1238" s="19"/>
      <c r="AM1238" s="19"/>
      <c r="AN1238" s="19"/>
      <c r="AO1238" s="19"/>
      <c r="AP1238" s="20">
        <v>1</v>
      </c>
      <c r="AQ1238" s="20">
        <v>20</v>
      </c>
      <c r="AR1238" s="19"/>
      <c r="AS1238" s="19"/>
      <c r="AT1238" s="65" t="str">
        <f t="shared" si="347"/>
        <v>Y</v>
      </c>
      <c r="AU1238" s="65" t="str">
        <f t="shared" si="342"/>
        <v>Y</v>
      </c>
      <c r="AV1238" s="65" t="str">
        <f t="shared" ref="AV1238:AV1246" si="350">AU1238</f>
        <v>Y</v>
      </c>
      <c r="AW1238" s="99"/>
      <c r="AX1238" s="99"/>
      <c r="AY1238" s="93"/>
      <c r="AZ1238" s="96" t="str">
        <f t="shared" si="343"/>
        <v>EC10</v>
      </c>
      <c r="BA1238" s="96">
        <f>IF(AZ1238="n","n",VLOOKUP(AZ1238,'Conversion factors'!$C$4:$D$24,2,FALSE))</f>
        <v>1</v>
      </c>
      <c r="BB1238" s="96" t="e">
        <f t="shared" si="344"/>
        <v>#VALUE!</v>
      </c>
      <c r="BC1238" s="97"/>
      <c r="BD1238" s="96" t="str">
        <f t="shared" si="348"/>
        <v>Chronic</v>
      </c>
      <c r="BE1238" s="96" t="str">
        <f t="shared" si="345"/>
        <v>y</v>
      </c>
      <c r="BF1238" s="98" t="str">
        <f t="shared" si="349"/>
        <v>EC10</v>
      </c>
      <c r="BG1238" s="96" t="str">
        <f>IF(BF1238="","",IF(ISNUMBER(VLOOKUP(BF1238,'Conversion factors'!$B$35:$C$52,2,FALSE)),"y","n"))</f>
        <v>y</v>
      </c>
      <c r="BH1238" s="99"/>
      <c r="BI1238" s="100"/>
      <c r="BJ1238" s="100"/>
    </row>
    <row r="1239" spans="1:62" s="103" customFormat="1" ht="15.75" customHeight="1" x14ac:dyDescent="0.2">
      <c r="A1239" s="18"/>
      <c r="B1239" s="20">
        <v>1449</v>
      </c>
      <c r="C1239" s="20"/>
      <c r="D1239" s="20">
        <v>2017</v>
      </c>
      <c r="E1239" s="20"/>
      <c r="F1239" s="20">
        <v>2017</v>
      </c>
      <c r="G1239" s="20" t="s">
        <v>1530</v>
      </c>
      <c r="H1239" s="19" t="s">
        <v>162</v>
      </c>
      <c r="I1239" s="20" t="s">
        <v>64</v>
      </c>
      <c r="J1239" s="19" t="s">
        <v>87</v>
      </c>
      <c r="K1239" s="20" t="s">
        <v>64</v>
      </c>
      <c r="L1239" s="99" t="s">
        <v>151</v>
      </c>
      <c r="M1239" s="19" t="s">
        <v>260</v>
      </c>
      <c r="N1239" s="19" t="s">
        <v>66</v>
      </c>
      <c r="O1239" s="20" t="s">
        <v>338</v>
      </c>
      <c r="P1239" s="19" t="s">
        <v>162</v>
      </c>
      <c r="R1239" s="20" t="s">
        <v>76</v>
      </c>
      <c r="S1239" s="20" t="s">
        <v>534</v>
      </c>
      <c r="T1239" s="20" t="s">
        <v>49</v>
      </c>
      <c r="U1239" s="20" t="s">
        <v>49</v>
      </c>
      <c r="V1239" s="20">
        <v>21</v>
      </c>
      <c r="W1239" s="93" t="s">
        <v>45</v>
      </c>
      <c r="X1239" s="19" t="s">
        <v>46</v>
      </c>
      <c r="AB1239" s="20">
        <v>58</v>
      </c>
      <c r="AC1239" s="20" t="s">
        <v>214</v>
      </c>
      <c r="AE1239" s="20">
        <v>17.3</v>
      </c>
      <c r="AJ1239" s="20">
        <v>7.15</v>
      </c>
      <c r="AK1239" s="19"/>
      <c r="AL1239" s="19"/>
      <c r="AM1239" s="19"/>
      <c r="AN1239" s="19"/>
      <c r="AO1239" s="19"/>
      <c r="AP1239" s="20">
        <v>5.13</v>
      </c>
      <c r="AQ1239" s="20">
        <v>20</v>
      </c>
      <c r="AR1239" s="19"/>
      <c r="AS1239" s="19"/>
      <c r="AT1239" s="65" t="str">
        <f t="shared" si="347"/>
        <v>Y</v>
      </c>
      <c r="AU1239" s="65" t="str">
        <f t="shared" si="342"/>
        <v>Y</v>
      </c>
      <c r="AV1239" s="65" t="str">
        <f t="shared" si="350"/>
        <v>Y</v>
      </c>
      <c r="AW1239" s="99"/>
      <c r="AX1239" s="99"/>
      <c r="AY1239" s="93"/>
      <c r="AZ1239" s="96" t="str">
        <f t="shared" si="343"/>
        <v>EC10</v>
      </c>
      <c r="BA1239" s="96">
        <f>IF(AZ1239="n","n",VLOOKUP(AZ1239,'Conversion factors'!$C$4:$D$24,2,FALSE))</f>
        <v>1</v>
      </c>
      <c r="BB1239" s="96">
        <f t="shared" si="344"/>
        <v>58</v>
      </c>
      <c r="BC1239" s="97"/>
      <c r="BD1239" s="96" t="str">
        <f t="shared" si="348"/>
        <v>Chronic</v>
      </c>
      <c r="BE1239" s="96" t="str">
        <f t="shared" si="345"/>
        <v>y</v>
      </c>
      <c r="BF1239" s="98" t="str">
        <f t="shared" si="349"/>
        <v>EC10</v>
      </c>
      <c r="BG1239" s="96" t="str">
        <f>IF(BF1239="","",IF(ISNUMBER(VLOOKUP(BF1239,'Conversion factors'!$B$35:$C$52,2,FALSE)),"y","n"))</f>
        <v>y</v>
      </c>
      <c r="BH1239" s="99"/>
      <c r="BI1239" s="100"/>
      <c r="BJ1239" s="100"/>
    </row>
    <row r="1240" spans="1:62" s="103" customFormat="1" ht="15.75" customHeight="1" x14ac:dyDescent="0.2">
      <c r="A1240" s="18"/>
      <c r="B1240" s="20">
        <v>1449</v>
      </c>
      <c r="C1240" s="20"/>
      <c r="D1240" s="20">
        <v>2017</v>
      </c>
      <c r="E1240" s="20"/>
      <c r="F1240" s="20">
        <v>2017</v>
      </c>
      <c r="G1240" s="20" t="s">
        <v>1530</v>
      </c>
      <c r="H1240" s="19" t="s">
        <v>162</v>
      </c>
      <c r="I1240" s="20" t="s">
        <v>64</v>
      </c>
      <c r="J1240" s="19" t="s">
        <v>87</v>
      </c>
      <c r="K1240" s="20" t="s">
        <v>64</v>
      </c>
      <c r="L1240" s="99" t="s">
        <v>151</v>
      </c>
      <c r="M1240" s="19" t="s">
        <v>260</v>
      </c>
      <c r="N1240" s="19" t="s">
        <v>66</v>
      </c>
      <c r="O1240" s="20" t="s">
        <v>338</v>
      </c>
      <c r="P1240" s="19" t="s">
        <v>162</v>
      </c>
      <c r="R1240" s="20" t="s">
        <v>76</v>
      </c>
      <c r="S1240" s="20" t="s">
        <v>534</v>
      </c>
      <c r="T1240" s="20" t="s">
        <v>49</v>
      </c>
      <c r="U1240" s="20" t="s">
        <v>49</v>
      </c>
      <c r="V1240" s="20">
        <v>21</v>
      </c>
      <c r="W1240" s="93" t="s">
        <v>45</v>
      </c>
      <c r="X1240" s="19" t="s">
        <v>46</v>
      </c>
      <c r="AB1240" s="20" t="s">
        <v>1531</v>
      </c>
      <c r="AC1240" s="20" t="s">
        <v>214</v>
      </c>
      <c r="AE1240" s="20">
        <v>7.1</v>
      </c>
      <c r="AJ1240" s="20">
        <v>6.48</v>
      </c>
      <c r="AK1240" s="19"/>
      <c r="AL1240" s="19"/>
      <c r="AM1240" s="19"/>
      <c r="AN1240" s="19"/>
      <c r="AO1240" s="19"/>
      <c r="AP1240" s="20">
        <v>6.26</v>
      </c>
      <c r="AQ1240" s="20">
        <v>20</v>
      </c>
      <c r="AR1240" s="19"/>
      <c r="AS1240" s="19"/>
      <c r="AT1240" s="65" t="str">
        <f t="shared" si="347"/>
        <v>Y</v>
      </c>
      <c r="AU1240" s="65" t="str">
        <f t="shared" si="342"/>
        <v>Y</v>
      </c>
      <c r="AV1240" s="65" t="str">
        <f t="shared" si="350"/>
        <v>Y</v>
      </c>
      <c r="AW1240" s="99"/>
      <c r="AX1240" s="99"/>
      <c r="AY1240" s="93"/>
      <c r="AZ1240" s="96" t="str">
        <f t="shared" si="343"/>
        <v>EC10</v>
      </c>
      <c r="BA1240" s="96">
        <f>IF(AZ1240="n","n",VLOOKUP(AZ1240,'Conversion factors'!$C$4:$D$24,2,FALSE))</f>
        <v>1</v>
      </c>
      <c r="BB1240" s="96" t="e">
        <f t="shared" si="344"/>
        <v>#VALUE!</v>
      </c>
      <c r="BC1240" s="97"/>
      <c r="BD1240" s="96" t="str">
        <f t="shared" si="348"/>
        <v>Chronic</v>
      </c>
      <c r="BE1240" s="96" t="str">
        <f t="shared" si="345"/>
        <v>y</v>
      </c>
      <c r="BF1240" s="98" t="str">
        <f t="shared" si="349"/>
        <v>EC10</v>
      </c>
      <c r="BG1240" s="96" t="str">
        <f>IF(BF1240="","",IF(ISNUMBER(VLOOKUP(BF1240,'Conversion factors'!$B$35:$C$52,2,FALSE)),"y","n"))</f>
        <v>y</v>
      </c>
      <c r="BH1240" s="99"/>
      <c r="BI1240" s="100"/>
      <c r="BJ1240" s="100"/>
    </row>
    <row r="1241" spans="1:62" s="103" customFormat="1" ht="15.75" customHeight="1" x14ac:dyDescent="0.2">
      <c r="A1241" s="18"/>
      <c r="B1241" s="20">
        <v>1449</v>
      </c>
      <c r="C1241" s="20"/>
      <c r="D1241" s="20">
        <v>2017</v>
      </c>
      <c r="E1241" s="20"/>
      <c r="F1241" s="20">
        <v>2017</v>
      </c>
      <c r="G1241" s="20" t="s">
        <v>1530</v>
      </c>
      <c r="H1241" s="19" t="s">
        <v>162</v>
      </c>
      <c r="I1241" s="20" t="s">
        <v>64</v>
      </c>
      <c r="J1241" s="19" t="s">
        <v>87</v>
      </c>
      <c r="K1241" s="20" t="s">
        <v>64</v>
      </c>
      <c r="L1241" s="99" t="s">
        <v>151</v>
      </c>
      <c r="M1241" s="19" t="s">
        <v>260</v>
      </c>
      <c r="N1241" s="19" t="s">
        <v>66</v>
      </c>
      <c r="O1241" s="20" t="s">
        <v>338</v>
      </c>
      <c r="P1241" s="19" t="s">
        <v>162</v>
      </c>
      <c r="R1241" s="20" t="s">
        <v>76</v>
      </c>
      <c r="S1241" s="20" t="s">
        <v>534</v>
      </c>
      <c r="T1241" s="20" t="s">
        <v>49</v>
      </c>
      <c r="U1241" s="20" t="s">
        <v>49</v>
      </c>
      <c r="V1241" s="20">
        <v>21</v>
      </c>
      <c r="W1241" s="93" t="s">
        <v>45</v>
      </c>
      <c r="X1241" s="19" t="s">
        <v>46</v>
      </c>
      <c r="AB1241" s="20" t="s">
        <v>1532</v>
      </c>
      <c r="AC1241" s="20" t="s">
        <v>214</v>
      </c>
      <c r="AE1241" s="20">
        <v>6.7</v>
      </c>
      <c r="AJ1241" s="20">
        <v>6.51</v>
      </c>
      <c r="AK1241" s="19"/>
      <c r="AL1241" s="19"/>
      <c r="AM1241" s="19"/>
      <c r="AN1241" s="19"/>
      <c r="AO1241" s="19"/>
      <c r="AP1241" s="20">
        <v>6.37</v>
      </c>
      <c r="AQ1241" s="20">
        <v>20</v>
      </c>
      <c r="AR1241" s="19"/>
      <c r="AS1241" s="19"/>
      <c r="AT1241" s="65" t="str">
        <f t="shared" si="347"/>
        <v>Y</v>
      </c>
      <c r="AU1241" s="65" t="str">
        <f t="shared" si="342"/>
        <v>Y</v>
      </c>
      <c r="AV1241" s="65" t="str">
        <f t="shared" si="350"/>
        <v>Y</v>
      </c>
      <c r="AW1241" s="99"/>
      <c r="AX1241" s="99"/>
      <c r="AY1241" s="93"/>
      <c r="AZ1241" s="96" t="str">
        <f t="shared" si="343"/>
        <v>EC10</v>
      </c>
      <c r="BA1241" s="96">
        <f>IF(AZ1241="n","n",VLOOKUP(AZ1241,'Conversion factors'!$C$4:$D$24,2,FALSE))</f>
        <v>1</v>
      </c>
      <c r="BB1241" s="96" t="e">
        <f t="shared" si="344"/>
        <v>#VALUE!</v>
      </c>
      <c r="BC1241" s="97"/>
      <c r="BD1241" s="96" t="str">
        <f t="shared" si="348"/>
        <v>Chronic</v>
      </c>
      <c r="BE1241" s="96" t="str">
        <f t="shared" si="345"/>
        <v>y</v>
      </c>
      <c r="BF1241" s="98" t="str">
        <f t="shared" si="349"/>
        <v>EC10</v>
      </c>
      <c r="BG1241" s="96" t="str">
        <f>IF(BF1241="","",IF(ISNUMBER(VLOOKUP(BF1241,'Conversion factors'!$B$35:$C$52,2,FALSE)),"y","n"))</f>
        <v>y</v>
      </c>
      <c r="BH1241" s="99"/>
      <c r="BI1241" s="100"/>
      <c r="BJ1241" s="100"/>
    </row>
    <row r="1242" spans="1:62" s="103" customFormat="1" ht="15.75" customHeight="1" x14ac:dyDescent="0.2">
      <c r="A1242" s="18"/>
      <c r="B1242" s="20">
        <v>1449</v>
      </c>
      <c r="C1242" s="20"/>
      <c r="D1242" s="20">
        <v>2017</v>
      </c>
      <c r="E1242" s="20"/>
      <c r="F1242" s="20">
        <v>2017</v>
      </c>
      <c r="G1242" s="20" t="s">
        <v>1530</v>
      </c>
      <c r="H1242" s="19" t="s">
        <v>162</v>
      </c>
      <c r="I1242" s="20" t="s">
        <v>64</v>
      </c>
      <c r="J1242" s="19" t="s">
        <v>87</v>
      </c>
      <c r="K1242" s="20" t="s">
        <v>64</v>
      </c>
      <c r="L1242" s="99" t="s">
        <v>151</v>
      </c>
      <c r="M1242" s="19" t="s">
        <v>260</v>
      </c>
      <c r="N1242" s="19" t="s">
        <v>66</v>
      </c>
      <c r="O1242" s="20" t="s">
        <v>338</v>
      </c>
      <c r="P1242" s="19" t="s">
        <v>162</v>
      </c>
      <c r="R1242" s="20" t="s">
        <v>76</v>
      </c>
      <c r="S1242" s="20" t="s">
        <v>534</v>
      </c>
      <c r="T1242" s="20" t="s">
        <v>49</v>
      </c>
      <c r="U1242" s="20" t="s">
        <v>49</v>
      </c>
      <c r="V1242" s="20">
        <v>21</v>
      </c>
      <c r="W1242" s="93" t="s">
        <v>45</v>
      </c>
      <c r="X1242" s="19" t="s">
        <v>46</v>
      </c>
      <c r="AB1242" s="20" t="s">
        <v>1533</v>
      </c>
      <c r="AC1242" s="20" t="s">
        <v>214</v>
      </c>
      <c r="AE1242" s="20">
        <v>10.9</v>
      </c>
      <c r="AJ1242" s="20">
        <v>7.02</v>
      </c>
      <c r="AK1242" s="19"/>
      <c r="AL1242" s="19"/>
      <c r="AM1242" s="19"/>
      <c r="AN1242" s="19"/>
      <c r="AO1242" s="19"/>
      <c r="AP1242" s="20">
        <v>10.14</v>
      </c>
      <c r="AQ1242" s="20">
        <v>20</v>
      </c>
      <c r="AR1242" s="19"/>
      <c r="AS1242" s="19"/>
      <c r="AT1242" s="65" t="str">
        <f t="shared" si="347"/>
        <v>Y</v>
      </c>
      <c r="AU1242" s="65" t="str">
        <f t="shared" si="342"/>
        <v>Y</v>
      </c>
      <c r="AV1242" s="65" t="str">
        <f t="shared" si="350"/>
        <v>Y</v>
      </c>
      <c r="AW1242" s="99"/>
      <c r="AX1242" s="99"/>
      <c r="AY1242" s="93"/>
      <c r="AZ1242" s="96" t="str">
        <f t="shared" si="343"/>
        <v>EC10</v>
      </c>
      <c r="BA1242" s="96">
        <f>IF(AZ1242="n","n",VLOOKUP(AZ1242,'Conversion factors'!$C$4:$D$24,2,FALSE))</f>
        <v>1</v>
      </c>
      <c r="BB1242" s="96" t="e">
        <f t="shared" si="344"/>
        <v>#VALUE!</v>
      </c>
      <c r="BC1242" s="97"/>
      <c r="BD1242" s="96" t="str">
        <f t="shared" si="348"/>
        <v>Chronic</v>
      </c>
      <c r="BE1242" s="96" t="str">
        <f t="shared" si="345"/>
        <v>y</v>
      </c>
      <c r="BF1242" s="98" t="str">
        <f t="shared" si="349"/>
        <v>EC10</v>
      </c>
      <c r="BG1242" s="96" t="str">
        <f>IF(BF1242="","",IF(ISNUMBER(VLOOKUP(BF1242,'Conversion factors'!$B$35:$C$52,2,FALSE)),"y","n"))</f>
        <v>y</v>
      </c>
      <c r="BH1242" s="99"/>
      <c r="BI1242" s="100"/>
      <c r="BJ1242" s="100"/>
    </row>
    <row r="1243" spans="1:62" s="103" customFormat="1" ht="15.75" customHeight="1" x14ac:dyDescent="0.2">
      <c r="A1243" s="18"/>
      <c r="B1243" s="19">
        <v>245</v>
      </c>
      <c r="C1243" s="19"/>
      <c r="D1243" s="19">
        <v>80006</v>
      </c>
      <c r="E1243" s="19" t="s">
        <v>1224</v>
      </c>
      <c r="F1243" s="93">
        <v>2004</v>
      </c>
      <c r="G1243" s="19" t="s">
        <v>683</v>
      </c>
      <c r="H1243" s="19"/>
      <c r="I1243" s="19" t="s">
        <v>41</v>
      </c>
      <c r="J1243" s="19" t="s">
        <v>684</v>
      </c>
      <c r="K1243" s="19" t="s">
        <v>64</v>
      </c>
      <c r="L1243" s="19" t="s">
        <v>65</v>
      </c>
      <c r="M1243" s="19" t="s">
        <v>260</v>
      </c>
      <c r="N1243" s="19" t="s">
        <v>66</v>
      </c>
      <c r="O1243" s="19" t="s">
        <v>685</v>
      </c>
      <c r="P1243" s="19" t="s">
        <v>162</v>
      </c>
      <c r="Q1243" s="19"/>
      <c r="R1243" s="19" t="s">
        <v>228</v>
      </c>
      <c r="S1243" s="19" t="s">
        <v>268</v>
      </c>
      <c r="T1243" s="19" t="s">
        <v>44</v>
      </c>
      <c r="U1243" s="19" t="s">
        <v>44</v>
      </c>
      <c r="V1243" s="19" t="s">
        <v>1015</v>
      </c>
      <c r="W1243" s="19" t="s">
        <v>231</v>
      </c>
      <c r="X1243" s="19" t="s">
        <v>46</v>
      </c>
      <c r="Y1243" s="29"/>
      <c r="Z1243" s="19"/>
      <c r="AA1243" s="19"/>
      <c r="AB1243" s="19" t="s">
        <v>686</v>
      </c>
      <c r="AC1243" s="19" t="s">
        <v>1322</v>
      </c>
      <c r="AD1243" s="19"/>
      <c r="AE1243" s="19"/>
      <c r="AF1243" s="19"/>
      <c r="AG1243" s="19" t="s">
        <v>235</v>
      </c>
      <c r="AH1243" s="19"/>
      <c r="AI1243" s="19"/>
      <c r="AJ1243" s="19" t="s">
        <v>234</v>
      </c>
      <c r="AK1243" s="19" t="s">
        <v>234</v>
      </c>
      <c r="AL1243" s="19"/>
      <c r="AM1243" s="19" t="s">
        <v>234</v>
      </c>
      <c r="AN1243" s="19" t="s">
        <v>234</v>
      </c>
      <c r="AO1243" s="19" t="s">
        <v>235</v>
      </c>
      <c r="AP1243" s="94"/>
      <c r="AQ1243" s="19" t="s">
        <v>102</v>
      </c>
      <c r="AR1243" s="19" t="s">
        <v>241</v>
      </c>
      <c r="AS1243" s="19"/>
      <c r="AT1243" s="65" t="str">
        <f t="shared" si="347"/>
        <v>N</v>
      </c>
      <c r="AU1243" s="65" t="str">
        <f t="shared" si="342"/>
        <v>N</v>
      </c>
      <c r="AV1243" s="65" t="str">
        <f t="shared" si="350"/>
        <v>N</v>
      </c>
      <c r="AW1243" s="99"/>
      <c r="AX1243" s="99"/>
      <c r="AY1243" s="19"/>
      <c r="AZ1243" s="96" t="str">
        <f t="shared" si="343"/>
        <v>n</v>
      </c>
      <c r="BA1243" s="96" t="str">
        <f>IF(AZ1243="n","n",VLOOKUP(AZ1243,'Conversion factors'!$C$4:$D$24,2,FALSE))</f>
        <v>n</v>
      </c>
      <c r="BB1243" s="96" t="str">
        <f t="shared" si="344"/>
        <v>n</v>
      </c>
      <c r="BC1243" s="97"/>
      <c r="BD1243" s="96" t="str">
        <f t="shared" si="348"/>
        <v>n</v>
      </c>
      <c r="BE1243" s="96" t="str">
        <f t="shared" si="345"/>
        <v>n</v>
      </c>
      <c r="BF1243" s="98" t="str">
        <f t="shared" si="349"/>
        <v/>
      </c>
      <c r="BG1243" s="96" t="str">
        <f>IF(BF1243="","",IF(ISNUMBER(VLOOKUP(BF1243,'Conversion factors'!$B$35:$C$52,2,FALSE)),"y","n"))</f>
        <v/>
      </c>
      <c r="BH1243" s="99"/>
    </row>
    <row r="1244" spans="1:62" s="103" customFormat="1" ht="15.75" customHeight="1" x14ac:dyDescent="0.2">
      <c r="A1244" s="18"/>
      <c r="B1244" s="19">
        <v>185</v>
      </c>
      <c r="C1244" s="19"/>
      <c r="D1244" s="19">
        <v>18008</v>
      </c>
      <c r="E1244" s="19" t="s">
        <v>1535</v>
      </c>
      <c r="F1244" s="93">
        <v>1997</v>
      </c>
      <c r="G1244" s="19" t="s">
        <v>336</v>
      </c>
      <c r="H1244" s="19"/>
      <c r="I1244" s="19" t="s">
        <v>41</v>
      </c>
      <c r="J1244" s="19" t="s">
        <v>337</v>
      </c>
      <c r="K1244" s="19" t="s">
        <v>64</v>
      </c>
      <c r="L1244" s="19" t="s">
        <v>65</v>
      </c>
      <c r="M1244" s="19" t="s">
        <v>260</v>
      </c>
      <c r="N1244" s="19" t="s">
        <v>66</v>
      </c>
      <c r="O1244" s="19" t="s">
        <v>338</v>
      </c>
      <c r="P1244" s="19" t="s">
        <v>162</v>
      </c>
      <c r="Q1244" s="19"/>
      <c r="R1244" s="19" t="s">
        <v>76</v>
      </c>
      <c r="S1244" s="19" t="s">
        <v>335</v>
      </c>
      <c r="T1244" s="19" t="s">
        <v>44</v>
      </c>
      <c r="U1244" s="19" t="s">
        <v>44</v>
      </c>
      <c r="V1244" s="19" t="s">
        <v>1206</v>
      </c>
      <c r="W1244" s="19" t="s">
        <v>231</v>
      </c>
      <c r="X1244" s="19" t="s">
        <v>46</v>
      </c>
      <c r="Y1244" s="29"/>
      <c r="Z1244" s="19"/>
      <c r="AA1244" s="19"/>
      <c r="AB1244" s="19" t="s">
        <v>339</v>
      </c>
      <c r="AC1244" s="19" t="s">
        <v>1322</v>
      </c>
      <c r="AD1244" s="19"/>
      <c r="AE1244" s="19" t="s">
        <v>340</v>
      </c>
      <c r="AF1244" s="19" t="s">
        <v>340</v>
      </c>
      <c r="AG1244" s="19" t="s">
        <v>270</v>
      </c>
      <c r="AH1244" s="19"/>
      <c r="AI1244" s="19"/>
      <c r="AJ1244" s="19">
        <v>7</v>
      </c>
      <c r="AK1244" s="19" t="s">
        <v>85</v>
      </c>
      <c r="AL1244" s="19"/>
      <c r="AM1244" s="19" t="s">
        <v>234</v>
      </c>
      <c r="AN1244" s="19" t="s">
        <v>234</v>
      </c>
      <c r="AO1244" s="19" t="s">
        <v>235</v>
      </c>
      <c r="AP1244" s="94"/>
      <c r="AQ1244" s="19" t="s">
        <v>97</v>
      </c>
      <c r="AR1244" s="19" t="s">
        <v>341</v>
      </c>
      <c r="AS1244" s="19"/>
      <c r="AT1244" s="65" t="str">
        <f t="shared" si="347"/>
        <v>N</v>
      </c>
      <c r="AU1244" s="65" t="str">
        <f t="shared" si="342"/>
        <v>N</v>
      </c>
      <c r="AV1244" s="65" t="str">
        <f t="shared" si="350"/>
        <v>N</v>
      </c>
      <c r="AW1244" s="99"/>
      <c r="AX1244" s="99"/>
      <c r="AY1244" s="19"/>
      <c r="AZ1244" s="96" t="str">
        <f t="shared" si="343"/>
        <v>n</v>
      </c>
      <c r="BA1244" s="96" t="str">
        <f>IF(AZ1244="n","n",VLOOKUP(AZ1244,'Conversion factors'!$C$4:$D$24,2,FALSE))</f>
        <v>n</v>
      </c>
      <c r="BB1244" s="96" t="str">
        <f t="shared" si="344"/>
        <v>n</v>
      </c>
      <c r="BC1244" s="97"/>
      <c r="BD1244" s="96" t="str">
        <f t="shared" si="348"/>
        <v>n</v>
      </c>
      <c r="BE1244" s="96" t="str">
        <f t="shared" si="345"/>
        <v>n</v>
      </c>
      <c r="BF1244" s="98" t="str">
        <f t="shared" si="349"/>
        <v/>
      </c>
      <c r="BG1244" s="96" t="str">
        <f>IF(BF1244="","",IF(ISNUMBER(VLOOKUP(BF1244,'Conversion factors'!$B$35:$C$52,2,FALSE)),"y","n"))</f>
        <v/>
      </c>
      <c r="BH1244" s="99"/>
    </row>
    <row r="1245" spans="1:62" ht="15.75" customHeight="1" x14ac:dyDescent="0.2">
      <c r="B1245" s="19">
        <v>185</v>
      </c>
      <c r="C1245" s="19"/>
      <c r="D1245" s="19">
        <v>18008</v>
      </c>
      <c r="E1245" s="19" t="s">
        <v>1535</v>
      </c>
      <c r="F1245" s="93">
        <v>1997</v>
      </c>
      <c r="G1245" s="19" t="s">
        <v>336</v>
      </c>
      <c r="H1245" s="19"/>
      <c r="I1245" s="19" t="s">
        <v>41</v>
      </c>
      <c r="J1245" s="19" t="s">
        <v>337</v>
      </c>
      <c r="K1245" s="19" t="s">
        <v>64</v>
      </c>
      <c r="L1245" s="19" t="s">
        <v>65</v>
      </c>
      <c r="M1245" s="19" t="s">
        <v>260</v>
      </c>
      <c r="N1245" s="19" t="s">
        <v>66</v>
      </c>
      <c r="O1245" s="19" t="s">
        <v>338</v>
      </c>
      <c r="P1245" s="19" t="s">
        <v>162</v>
      </c>
      <c r="Q1245" s="19"/>
      <c r="R1245" s="19" t="s">
        <v>76</v>
      </c>
      <c r="S1245" s="19" t="s">
        <v>335</v>
      </c>
      <c r="T1245" s="19" t="s">
        <v>55</v>
      </c>
      <c r="U1245" s="19" t="s">
        <v>55</v>
      </c>
      <c r="V1245" s="19" t="s">
        <v>1206</v>
      </c>
      <c r="W1245" s="19" t="s">
        <v>231</v>
      </c>
      <c r="X1245" s="19" t="s">
        <v>46</v>
      </c>
      <c r="Y1245" s="29"/>
      <c r="Z1245" s="19"/>
      <c r="AA1245" s="19"/>
      <c r="AB1245" s="19" t="s">
        <v>342</v>
      </c>
      <c r="AC1245" s="19" t="s">
        <v>1322</v>
      </c>
      <c r="AD1245" s="19"/>
      <c r="AE1245" s="19" t="s">
        <v>340</v>
      </c>
      <c r="AF1245" s="19" t="s">
        <v>340</v>
      </c>
      <c r="AG1245" s="19" t="s">
        <v>270</v>
      </c>
      <c r="AH1245" s="19"/>
      <c r="AI1245" s="19"/>
      <c r="AJ1245" s="19">
        <v>7</v>
      </c>
      <c r="AK1245" s="19" t="s">
        <v>85</v>
      </c>
      <c r="AL1245" s="19"/>
      <c r="AM1245" s="19" t="s">
        <v>234</v>
      </c>
      <c r="AN1245" s="19" t="s">
        <v>234</v>
      </c>
      <c r="AO1245" s="19" t="s">
        <v>235</v>
      </c>
      <c r="AP1245" s="94"/>
      <c r="AQ1245" s="19" t="s">
        <v>97</v>
      </c>
      <c r="AR1245" s="19" t="s">
        <v>341</v>
      </c>
      <c r="AS1245" s="19"/>
      <c r="AT1245" s="65" t="str">
        <f t="shared" si="347"/>
        <v>N</v>
      </c>
      <c r="AU1245" s="65" t="str">
        <f t="shared" si="342"/>
        <v>N</v>
      </c>
      <c r="AV1245" s="65" t="str">
        <f t="shared" si="350"/>
        <v>N</v>
      </c>
      <c r="AW1245" s="99"/>
      <c r="AX1245" s="99"/>
      <c r="AY1245" s="19"/>
      <c r="AZ1245" s="96" t="str">
        <f t="shared" si="343"/>
        <v>n</v>
      </c>
      <c r="BA1245" s="96" t="str">
        <f>IF(AZ1245="n","n",VLOOKUP(AZ1245,'Conversion factors'!$C$4:$D$24,2,FALSE))</f>
        <v>n</v>
      </c>
      <c r="BB1245" s="96" t="str">
        <f t="shared" si="344"/>
        <v>n</v>
      </c>
      <c r="BC1245" s="97"/>
      <c r="BD1245" s="96" t="str">
        <f t="shared" si="348"/>
        <v>n</v>
      </c>
      <c r="BE1245" s="96" t="str">
        <f t="shared" si="345"/>
        <v>n</v>
      </c>
      <c r="BF1245" s="98" t="str">
        <f t="shared" si="349"/>
        <v/>
      </c>
      <c r="BG1245" s="96" t="str">
        <f>IF(BF1245="","",IF(ISNUMBER(VLOOKUP(BF1245,'Conversion factors'!$B$35:$C$52,2,FALSE)),"y","n"))</f>
        <v/>
      </c>
      <c r="BH1245" s="99"/>
      <c r="BI1245" s="103"/>
      <c r="BJ1245" s="103"/>
    </row>
    <row r="1246" spans="1:62" s="103" customFormat="1" ht="15.75" customHeight="1" x14ac:dyDescent="0.2">
      <c r="A1246" s="18"/>
      <c r="B1246" s="19">
        <v>185</v>
      </c>
      <c r="C1246" s="19"/>
      <c r="D1246" s="19">
        <v>18008</v>
      </c>
      <c r="E1246" s="19" t="s">
        <v>1535</v>
      </c>
      <c r="F1246" s="93">
        <v>1997</v>
      </c>
      <c r="G1246" s="19" t="s">
        <v>336</v>
      </c>
      <c r="H1246" s="19"/>
      <c r="I1246" s="19" t="s">
        <v>41</v>
      </c>
      <c r="J1246" s="19" t="s">
        <v>337</v>
      </c>
      <c r="K1246" s="19" t="s">
        <v>64</v>
      </c>
      <c r="L1246" s="19" t="s">
        <v>65</v>
      </c>
      <c r="M1246" s="19" t="s">
        <v>260</v>
      </c>
      <c r="N1246" s="19" t="s">
        <v>66</v>
      </c>
      <c r="O1246" s="19" t="s">
        <v>338</v>
      </c>
      <c r="P1246" s="19" t="s">
        <v>162</v>
      </c>
      <c r="Q1246" s="19"/>
      <c r="R1246" s="19" t="s">
        <v>76</v>
      </c>
      <c r="S1246" s="19" t="s">
        <v>335</v>
      </c>
      <c r="T1246" s="19" t="s">
        <v>54</v>
      </c>
      <c r="U1246" s="19" t="s">
        <v>54</v>
      </c>
      <c r="V1246" s="19" t="s">
        <v>1206</v>
      </c>
      <c r="W1246" s="19" t="s">
        <v>231</v>
      </c>
      <c r="X1246" s="19" t="s">
        <v>46</v>
      </c>
      <c r="Y1246" s="29"/>
      <c r="Z1246" s="19"/>
      <c r="AA1246" s="19"/>
      <c r="AB1246" s="19" t="s">
        <v>102</v>
      </c>
      <c r="AC1246" s="19" t="s">
        <v>1322</v>
      </c>
      <c r="AD1246" s="19"/>
      <c r="AE1246" s="19" t="s">
        <v>340</v>
      </c>
      <c r="AF1246" s="19" t="s">
        <v>340</v>
      </c>
      <c r="AG1246" s="19" t="s">
        <v>270</v>
      </c>
      <c r="AH1246" s="19"/>
      <c r="AI1246" s="19"/>
      <c r="AJ1246" s="19">
        <v>7</v>
      </c>
      <c r="AK1246" s="19" t="s">
        <v>85</v>
      </c>
      <c r="AL1246" s="19"/>
      <c r="AM1246" s="19" t="s">
        <v>234</v>
      </c>
      <c r="AN1246" s="19" t="s">
        <v>234</v>
      </c>
      <c r="AO1246" s="19" t="s">
        <v>235</v>
      </c>
      <c r="AP1246" s="94"/>
      <c r="AQ1246" s="19" t="s">
        <v>97</v>
      </c>
      <c r="AR1246" s="19" t="s">
        <v>341</v>
      </c>
      <c r="AS1246" s="19"/>
      <c r="AT1246" s="65" t="str">
        <f t="shared" si="347"/>
        <v>N</v>
      </c>
      <c r="AU1246" s="65" t="str">
        <f t="shared" si="342"/>
        <v>N</v>
      </c>
      <c r="AV1246" s="65" t="str">
        <f t="shared" si="350"/>
        <v>N</v>
      </c>
      <c r="AW1246" s="99"/>
      <c r="AX1246" s="99"/>
      <c r="AY1246" s="19"/>
      <c r="AZ1246" s="96" t="str">
        <f t="shared" si="343"/>
        <v>n</v>
      </c>
      <c r="BA1246" s="96" t="str">
        <f>IF(AZ1246="n","n",VLOOKUP(AZ1246,'Conversion factors'!$C$4:$D$24,2,FALSE))</f>
        <v>n</v>
      </c>
      <c r="BB1246" s="96" t="str">
        <f t="shared" si="344"/>
        <v>n</v>
      </c>
      <c r="BC1246" s="97"/>
      <c r="BD1246" s="96" t="str">
        <f t="shared" si="348"/>
        <v>n</v>
      </c>
      <c r="BE1246" s="96" t="str">
        <f t="shared" si="345"/>
        <v>n</v>
      </c>
      <c r="BF1246" s="98" t="str">
        <f t="shared" si="349"/>
        <v/>
      </c>
      <c r="BG1246" s="96" t="str">
        <f>IF(BF1246="","",IF(ISNUMBER(VLOOKUP(BF1246,'Conversion factors'!$B$35:$C$52,2,FALSE)),"y","n"))</f>
        <v/>
      </c>
      <c r="BH1246" s="99"/>
    </row>
    <row r="1247" spans="1:62" s="103" customFormat="1" ht="15.75" customHeight="1" x14ac:dyDescent="0.2">
      <c r="A1247" s="18"/>
      <c r="B1247" s="19">
        <v>177</v>
      </c>
      <c r="C1247" s="19"/>
      <c r="D1247" s="19">
        <v>14907</v>
      </c>
      <c r="E1247" s="19" t="s">
        <v>1224</v>
      </c>
      <c r="F1247" s="93">
        <v>1995</v>
      </c>
      <c r="G1247" s="19" t="s">
        <v>295</v>
      </c>
      <c r="H1247" s="19"/>
      <c r="I1247" s="19" t="s">
        <v>41</v>
      </c>
      <c r="J1247" s="19" t="s">
        <v>296</v>
      </c>
      <c r="K1247" s="19" t="s">
        <v>64</v>
      </c>
      <c r="L1247" s="19" t="s">
        <v>65</v>
      </c>
      <c r="M1247" s="99" t="s">
        <v>153</v>
      </c>
      <c r="N1247" s="19" t="s">
        <v>66</v>
      </c>
      <c r="O1247" s="19" t="s">
        <v>235</v>
      </c>
      <c r="P1247" s="19" t="s">
        <v>162</v>
      </c>
      <c r="Q1247" s="19"/>
      <c r="R1247" s="19" t="s">
        <v>237</v>
      </c>
      <c r="S1247" s="19" t="s">
        <v>79</v>
      </c>
      <c r="T1247" s="19" t="s">
        <v>56</v>
      </c>
      <c r="U1247" s="19" t="s">
        <v>44</v>
      </c>
      <c r="V1247" s="19" t="s">
        <v>126</v>
      </c>
      <c r="W1247" s="19" t="s">
        <v>231</v>
      </c>
      <c r="X1247" s="19" t="s">
        <v>46</v>
      </c>
      <c r="Y1247" s="29"/>
      <c r="Z1247" s="19"/>
      <c r="AA1247" s="19"/>
      <c r="AB1247" s="19" t="s">
        <v>297</v>
      </c>
      <c r="AC1247" s="19" t="s">
        <v>214</v>
      </c>
      <c r="AD1247" s="19"/>
      <c r="AE1247" s="19"/>
      <c r="AF1247" s="19"/>
      <c r="AG1247" s="19" t="s">
        <v>235</v>
      </c>
      <c r="AH1247" s="19"/>
      <c r="AI1247" s="19"/>
      <c r="AJ1247" s="19" t="s">
        <v>1503</v>
      </c>
      <c r="AK1247" s="19" t="s">
        <v>234</v>
      </c>
      <c r="AL1247" s="19"/>
      <c r="AM1247" s="19" t="s">
        <v>234</v>
      </c>
      <c r="AN1247" s="19" t="s">
        <v>234</v>
      </c>
      <c r="AO1247" s="19" t="s">
        <v>235</v>
      </c>
      <c r="AP1247" s="94"/>
      <c r="AQ1247" s="19" t="s">
        <v>298</v>
      </c>
      <c r="AR1247" s="19" t="s">
        <v>241</v>
      </c>
      <c r="AS1247" s="19"/>
      <c r="AT1247" s="65" t="str">
        <f t="shared" si="347"/>
        <v>Y</v>
      </c>
      <c r="AU1247" s="65" t="str">
        <f t="shared" si="342"/>
        <v>N</v>
      </c>
      <c r="AV1247" s="65" t="str">
        <f>AU1247</f>
        <v>N</v>
      </c>
      <c r="AW1247" s="99"/>
      <c r="AX1247" s="99"/>
      <c r="AY1247" s="19"/>
      <c r="AZ1247" s="96" t="str">
        <f t="shared" si="343"/>
        <v>n</v>
      </c>
      <c r="BA1247" s="96" t="str">
        <f>IF(AZ1247="n","n",VLOOKUP(AZ1247,'Conversion factors'!$C$4:$D$24,2,FALSE))</f>
        <v>n</v>
      </c>
      <c r="BB1247" s="96" t="str">
        <f t="shared" si="344"/>
        <v>n</v>
      </c>
      <c r="BC1247" s="97"/>
      <c r="BD1247" s="96" t="str">
        <f t="shared" si="348"/>
        <v>n</v>
      </c>
      <c r="BE1247" s="96" t="str">
        <f t="shared" si="345"/>
        <v>n</v>
      </c>
      <c r="BF1247" s="98" t="str">
        <f t="shared" si="349"/>
        <v/>
      </c>
      <c r="BG1247" s="96" t="str">
        <f>IF(BF1247="","",IF(ISNUMBER(VLOOKUP(BF1247,'Conversion factors'!$B$35:$C$52,2,FALSE)),"y","n"))</f>
        <v/>
      </c>
      <c r="BH1247" s="99"/>
    </row>
    <row r="1248" spans="1:62" s="103" customFormat="1" ht="15.75" customHeight="1" x14ac:dyDescent="0.2">
      <c r="A1248" s="18"/>
      <c r="B1248" s="19">
        <v>183</v>
      </c>
      <c r="C1248" s="19"/>
      <c r="D1248" s="19">
        <v>17365</v>
      </c>
      <c r="E1248" s="19" t="s">
        <v>1224</v>
      </c>
      <c r="F1248" s="93">
        <v>1996</v>
      </c>
      <c r="G1248" s="19" t="s">
        <v>327</v>
      </c>
      <c r="H1248" s="19"/>
      <c r="I1248" s="19" t="s">
        <v>41</v>
      </c>
      <c r="J1248" s="19" t="s">
        <v>296</v>
      </c>
      <c r="K1248" s="19" t="s">
        <v>64</v>
      </c>
      <c r="L1248" s="19" t="s">
        <v>65</v>
      </c>
      <c r="M1248" s="99" t="s">
        <v>153</v>
      </c>
      <c r="N1248" s="19" t="s">
        <v>66</v>
      </c>
      <c r="O1248" s="19" t="s">
        <v>328</v>
      </c>
      <c r="P1248" s="19" t="s">
        <v>162</v>
      </c>
      <c r="Q1248" s="19"/>
      <c r="R1248" s="19" t="s">
        <v>237</v>
      </c>
      <c r="S1248" s="19" t="s">
        <v>79</v>
      </c>
      <c r="T1248" s="19" t="s">
        <v>56</v>
      </c>
      <c r="U1248" s="19" t="s">
        <v>44</v>
      </c>
      <c r="V1248" s="19" t="s">
        <v>97</v>
      </c>
      <c r="W1248" s="19" t="s">
        <v>231</v>
      </c>
      <c r="X1248" s="19" t="s">
        <v>46</v>
      </c>
      <c r="Y1248" s="29"/>
      <c r="Z1248" s="19"/>
      <c r="AA1248" s="19"/>
      <c r="AB1248" s="19" t="s">
        <v>329</v>
      </c>
      <c r="AC1248" s="19" t="s">
        <v>214</v>
      </c>
      <c r="AD1248" s="19"/>
      <c r="AE1248" s="19"/>
      <c r="AF1248" s="19"/>
      <c r="AG1248" s="19" t="s">
        <v>235</v>
      </c>
      <c r="AH1248" s="19"/>
      <c r="AI1248" s="19"/>
      <c r="AJ1248" s="19" t="s">
        <v>1503</v>
      </c>
      <c r="AK1248" s="19" t="s">
        <v>234</v>
      </c>
      <c r="AL1248" s="19"/>
      <c r="AM1248" s="19" t="s">
        <v>234</v>
      </c>
      <c r="AN1248" s="19" t="s">
        <v>234</v>
      </c>
      <c r="AO1248" s="19" t="s">
        <v>235</v>
      </c>
      <c r="AP1248" s="94"/>
      <c r="AQ1248" s="19" t="s">
        <v>91</v>
      </c>
      <c r="AR1248" s="19" t="s">
        <v>241</v>
      </c>
      <c r="AS1248" s="19"/>
      <c r="AT1248" s="65" t="str">
        <f t="shared" si="347"/>
        <v>Y</v>
      </c>
      <c r="AU1248" s="65" t="str">
        <f t="shared" si="342"/>
        <v>N</v>
      </c>
      <c r="AV1248" s="65" t="s">
        <v>162</v>
      </c>
      <c r="AW1248" s="99" t="s">
        <v>1494</v>
      </c>
      <c r="AX1248" s="99"/>
      <c r="AY1248" s="19"/>
      <c r="AZ1248" s="96" t="str">
        <f t="shared" si="343"/>
        <v>n</v>
      </c>
      <c r="BA1248" s="96" t="str">
        <f>IF(AZ1248="n","n",VLOOKUP(AZ1248,'Conversion factors'!$C$4:$D$24,2,FALSE))</f>
        <v>n</v>
      </c>
      <c r="BB1248" s="96" t="str">
        <f t="shared" si="344"/>
        <v>n</v>
      </c>
      <c r="BC1248" s="97"/>
      <c r="BD1248" s="96" t="str">
        <f t="shared" si="348"/>
        <v>n</v>
      </c>
      <c r="BE1248" s="96" t="str">
        <f t="shared" si="345"/>
        <v>n</v>
      </c>
      <c r="BF1248" s="98" t="str">
        <f t="shared" si="349"/>
        <v/>
      </c>
      <c r="BG1248" s="96" t="str">
        <f>IF(BF1248="","",IF(ISNUMBER(VLOOKUP(BF1248,'Conversion factors'!$B$35:$C$52,2,FALSE)),"y","n"))</f>
        <v/>
      </c>
      <c r="BH1248" s="99"/>
    </row>
    <row r="1249" spans="1:62" s="103" customFormat="1" ht="15.75" customHeight="1" x14ac:dyDescent="0.2">
      <c r="A1249" s="150"/>
      <c r="B1249" s="55">
        <v>1448</v>
      </c>
      <c r="C1249" s="55"/>
      <c r="D1249" s="55"/>
      <c r="E1249" s="55" t="s">
        <v>1565</v>
      </c>
      <c r="F1249" s="56">
        <v>2010</v>
      </c>
      <c r="G1249" s="55" t="s">
        <v>1566</v>
      </c>
      <c r="H1249" s="55"/>
      <c r="I1249" s="55"/>
      <c r="J1249" s="55" t="s">
        <v>1567</v>
      </c>
      <c r="K1249" s="55" t="s">
        <v>1023</v>
      </c>
      <c r="L1249" s="55" t="s">
        <v>65</v>
      </c>
      <c r="M1249" s="55" t="s">
        <v>1403</v>
      </c>
      <c r="N1249" s="55" t="s">
        <v>66</v>
      </c>
      <c r="O1249" s="55" t="s">
        <v>1568</v>
      </c>
      <c r="P1249" s="55" t="s">
        <v>162</v>
      </c>
      <c r="Q1249" s="55"/>
      <c r="R1249" s="55" t="s">
        <v>256</v>
      </c>
      <c r="S1249" s="55" t="s">
        <v>1569</v>
      </c>
      <c r="T1249" s="55" t="s">
        <v>49</v>
      </c>
      <c r="U1249" s="55" t="s">
        <v>49</v>
      </c>
      <c r="V1249" s="55">
        <v>2</v>
      </c>
      <c r="W1249" s="55" t="s">
        <v>45</v>
      </c>
      <c r="X1249" s="55" t="s">
        <v>46</v>
      </c>
      <c r="Y1249" s="151"/>
      <c r="Z1249" s="55"/>
      <c r="AA1249" s="55"/>
      <c r="AB1249" s="55">
        <v>550</v>
      </c>
      <c r="AC1249" s="55" t="s">
        <v>214</v>
      </c>
      <c r="AD1249" s="152"/>
      <c r="AE1249" s="55">
        <v>255</v>
      </c>
      <c r="AF1249" s="55" t="s">
        <v>1570</v>
      </c>
      <c r="AG1249" s="55"/>
      <c r="AH1249" s="55"/>
      <c r="AI1249" s="55"/>
      <c r="AJ1249" s="55">
        <v>7.77</v>
      </c>
      <c r="AK1249" s="55">
        <v>7.77</v>
      </c>
      <c r="AL1249" s="55"/>
      <c r="AM1249" s="55"/>
      <c r="AN1249" s="55"/>
      <c r="AO1249" s="55"/>
      <c r="AP1249" s="153">
        <v>8.94</v>
      </c>
      <c r="AQ1249" s="55">
        <v>25</v>
      </c>
      <c r="AR1249" s="55"/>
      <c r="AS1249" s="153"/>
      <c r="AT1249" s="65" t="str">
        <f t="shared" si="347"/>
        <v>Y</v>
      </c>
      <c r="AU1249" s="65" t="str">
        <f t="shared" ref="AU1249:AU1253" si="351">IF(AT1249="N","N",IF(AJ1249&lt;6,"N",IF(AJ1249&gt;8.5,"N","Y")))</f>
        <v>Y</v>
      </c>
      <c r="AV1249" s="65" t="str">
        <f t="shared" ref="AV1249:AV1253" si="352">AU1249</f>
        <v>Y</v>
      </c>
      <c r="AW1249" s="99"/>
      <c r="AX1249" s="99" t="s">
        <v>1643</v>
      </c>
      <c r="AY1249" s="19"/>
      <c r="AZ1249" s="96" t="str">
        <f t="shared" ref="AZ1249:AZ1253" si="353">IF(AV1249="N","n",T1249)</f>
        <v>EC10</v>
      </c>
      <c r="BA1249" s="96">
        <f>IF(AZ1249="n","n",VLOOKUP(AZ1249,'Conversion factors'!$C$4:$D$24,2,FALSE))</f>
        <v>1</v>
      </c>
      <c r="BB1249" s="96">
        <f t="shared" ref="BB1249:BB1253" si="354">IF(BA1249="n","n",AB1249/BA1249)</f>
        <v>550</v>
      </c>
      <c r="BC1249" s="97"/>
      <c r="BD1249" s="96" t="str">
        <f t="shared" si="348"/>
        <v>Chronic</v>
      </c>
      <c r="BE1249" s="96" t="str">
        <f t="shared" ref="BE1249:BE1253" si="355">IF(BD1249="chronic","y","n")</f>
        <v>y</v>
      </c>
      <c r="BF1249" s="98" t="str">
        <f t="shared" si="349"/>
        <v>EC10</v>
      </c>
      <c r="BG1249" s="96" t="str">
        <f>IF(BF1249="","",IF(ISNUMBER(VLOOKUP(BF1249,'Conversion factors'!$B$35:$C$52,2,FALSE)),"y","n"))</f>
        <v>y</v>
      </c>
      <c r="BH1249" s="99"/>
      <c r="BI1249" s="19" t="s">
        <v>1643</v>
      </c>
    </row>
    <row r="1250" spans="1:62" s="103" customFormat="1" ht="15.75" customHeight="1" x14ac:dyDescent="0.2">
      <c r="A1250" s="150"/>
      <c r="B1250" s="55">
        <v>1448</v>
      </c>
      <c r="C1250" s="55"/>
      <c r="D1250" s="55"/>
      <c r="E1250" s="55" t="s">
        <v>1565</v>
      </c>
      <c r="F1250" s="56">
        <v>2010</v>
      </c>
      <c r="G1250" s="55" t="s">
        <v>1566</v>
      </c>
      <c r="H1250" s="55"/>
      <c r="I1250" s="55"/>
      <c r="J1250" s="55" t="s">
        <v>1567</v>
      </c>
      <c r="K1250" s="55" t="s">
        <v>1023</v>
      </c>
      <c r="L1250" s="55" t="s">
        <v>65</v>
      </c>
      <c r="M1250" s="55" t="s">
        <v>1403</v>
      </c>
      <c r="N1250" s="55" t="s">
        <v>66</v>
      </c>
      <c r="O1250" s="55" t="s">
        <v>1568</v>
      </c>
      <c r="P1250" s="55" t="s">
        <v>162</v>
      </c>
      <c r="Q1250" s="55"/>
      <c r="R1250" s="55" t="s">
        <v>256</v>
      </c>
      <c r="S1250" s="55" t="s">
        <v>1569</v>
      </c>
      <c r="T1250" s="55" t="s">
        <v>49</v>
      </c>
      <c r="U1250" s="55" t="s">
        <v>49</v>
      </c>
      <c r="V1250" s="55">
        <v>2</v>
      </c>
      <c r="W1250" s="55" t="s">
        <v>45</v>
      </c>
      <c r="X1250" s="55" t="s">
        <v>46</v>
      </c>
      <c r="Y1250" s="151"/>
      <c r="Z1250" s="55"/>
      <c r="AA1250" s="55"/>
      <c r="AB1250" s="55">
        <v>197</v>
      </c>
      <c r="AC1250" s="55" t="s">
        <v>214</v>
      </c>
      <c r="AD1250" s="152"/>
      <c r="AE1250" s="55">
        <v>45.7</v>
      </c>
      <c r="AF1250" s="55" t="s">
        <v>1571</v>
      </c>
      <c r="AG1250" s="55"/>
      <c r="AH1250" s="55"/>
      <c r="AI1250" s="55"/>
      <c r="AJ1250" s="55">
        <v>7.4</v>
      </c>
      <c r="AK1250" s="55">
        <v>7.4</v>
      </c>
      <c r="AL1250" s="55"/>
      <c r="AM1250" s="55"/>
      <c r="AN1250" s="55"/>
      <c r="AO1250" s="55"/>
      <c r="AP1250" s="153">
        <v>2.83</v>
      </c>
      <c r="AQ1250" s="55">
        <v>25</v>
      </c>
      <c r="AR1250" s="55"/>
      <c r="AS1250" s="153"/>
      <c r="AT1250" s="65" t="str">
        <f t="shared" si="347"/>
        <v>Y</v>
      </c>
      <c r="AU1250" s="65" t="str">
        <f t="shared" si="351"/>
        <v>Y</v>
      </c>
      <c r="AV1250" s="65" t="str">
        <f t="shared" si="352"/>
        <v>Y</v>
      </c>
      <c r="AW1250" s="99"/>
      <c r="AX1250" s="99" t="s">
        <v>1643</v>
      </c>
      <c r="AY1250" s="19"/>
      <c r="AZ1250" s="96" t="str">
        <f t="shared" si="353"/>
        <v>EC10</v>
      </c>
      <c r="BA1250" s="96">
        <f>IF(AZ1250="n","n",VLOOKUP(AZ1250,'Conversion factors'!$C$4:$D$24,2,FALSE))</f>
        <v>1</v>
      </c>
      <c r="BB1250" s="96">
        <f t="shared" si="354"/>
        <v>197</v>
      </c>
      <c r="BC1250" s="97"/>
      <c r="BD1250" s="96" t="str">
        <f t="shared" si="348"/>
        <v>Chronic</v>
      </c>
      <c r="BE1250" s="96" t="str">
        <f t="shared" si="355"/>
        <v>y</v>
      </c>
      <c r="BF1250" s="98" t="str">
        <f t="shared" si="349"/>
        <v>EC10</v>
      </c>
      <c r="BG1250" s="96" t="str">
        <f>IF(BF1250="","",IF(ISNUMBER(VLOOKUP(BF1250,'Conversion factors'!$B$35:$C$52,2,FALSE)),"y","n"))</f>
        <v>y</v>
      </c>
      <c r="BH1250" s="99"/>
      <c r="BI1250" s="19" t="s">
        <v>1643</v>
      </c>
    </row>
    <row r="1251" spans="1:62" s="103" customFormat="1" ht="15.75" customHeight="1" x14ac:dyDescent="0.2">
      <c r="A1251" s="150"/>
      <c r="B1251" s="55">
        <v>1448</v>
      </c>
      <c r="C1251" s="55"/>
      <c r="D1251" s="55"/>
      <c r="E1251" s="55" t="s">
        <v>1565</v>
      </c>
      <c r="F1251" s="56">
        <v>2010</v>
      </c>
      <c r="G1251" s="55" t="s">
        <v>1566</v>
      </c>
      <c r="H1251" s="55"/>
      <c r="I1251" s="55"/>
      <c r="J1251" s="55" t="s">
        <v>1567</v>
      </c>
      <c r="K1251" s="55" t="s">
        <v>1023</v>
      </c>
      <c r="L1251" s="55" t="s">
        <v>65</v>
      </c>
      <c r="M1251" s="55" t="s">
        <v>1403</v>
      </c>
      <c r="N1251" s="55" t="s">
        <v>66</v>
      </c>
      <c r="O1251" s="55" t="s">
        <v>1568</v>
      </c>
      <c r="P1251" s="55" t="s">
        <v>162</v>
      </c>
      <c r="Q1251" s="55"/>
      <c r="R1251" s="55" t="s">
        <v>256</v>
      </c>
      <c r="S1251" s="55" t="s">
        <v>1569</v>
      </c>
      <c r="T1251" s="55" t="s">
        <v>49</v>
      </c>
      <c r="U1251" s="55" t="s">
        <v>49</v>
      </c>
      <c r="V1251" s="55">
        <v>2</v>
      </c>
      <c r="W1251" s="55" t="s">
        <v>45</v>
      </c>
      <c r="X1251" s="55" t="s">
        <v>46</v>
      </c>
      <c r="Y1251" s="151"/>
      <c r="Z1251" s="55"/>
      <c r="AA1251" s="55"/>
      <c r="AB1251" s="55">
        <v>142</v>
      </c>
      <c r="AC1251" s="55" t="s">
        <v>214</v>
      </c>
      <c r="AD1251" s="152"/>
      <c r="AE1251" s="55">
        <v>46.9</v>
      </c>
      <c r="AF1251" s="55" t="s">
        <v>1572</v>
      </c>
      <c r="AG1251" s="55"/>
      <c r="AH1251" s="55"/>
      <c r="AI1251" s="55"/>
      <c r="AJ1251" s="55">
        <v>6.89</v>
      </c>
      <c r="AK1251" s="55">
        <v>6.89</v>
      </c>
      <c r="AL1251" s="55"/>
      <c r="AM1251" s="55"/>
      <c r="AN1251" s="55"/>
      <c r="AO1251" s="55"/>
      <c r="AP1251" s="153">
        <v>1.18</v>
      </c>
      <c r="AQ1251" s="55">
        <v>25</v>
      </c>
      <c r="AR1251" s="55"/>
      <c r="AS1251" s="153"/>
      <c r="AT1251" s="65" t="str">
        <f t="shared" si="347"/>
        <v>Y</v>
      </c>
      <c r="AU1251" s="65" t="str">
        <f t="shared" si="351"/>
        <v>Y</v>
      </c>
      <c r="AV1251" s="65" t="str">
        <f t="shared" si="352"/>
        <v>Y</v>
      </c>
      <c r="AW1251" s="99"/>
      <c r="AX1251" s="99" t="s">
        <v>1643</v>
      </c>
      <c r="AY1251" s="19"/>
      <c r="AZ1251" s="96" t="str">
        <f t="shared" si="353"/>
        <v>EC10</v>
      </c>
      <c r="BA1251" s="96">
        <f>IF(AZ1251="n","n",VLOOKUP(AZ1251,'Conversion factors'!$C$4:$D$24,2,FALSE))</f>
        <v>1</v>
      </c>
      <c r="BB1251" s="96">
        <f t="shared" si="354"/>
        <v>142</v>
      </c>
      <c r="BC1251" s="97"/>
      <c r="BD1251" s="96" t="str">
        <f t="shared" si="348"/>
        <v>Chronic</v>
      </c>
      <c r="BE1251" s="96" t="str">
        <f t="shared" si="355"/>
        <v>y</v>
      </c>
      <c r="BF1251" s="98" t="str">
        <f t="shared" si="349"/>
        <v>EC10</v>
      </c>
      <c r="BG1251" s="96" t="str">
        <f>IF(BF1251="","",IF(ISNUMBER(VLOOKUP(BF1251,'Conversion factors'!$B$35:$C$52,2,FALSE)),"y","n"))</f>
        <v>y</v>
      </c>
      <c r="BH1251" s="99"/>
      <c r="BI1251" s="19" t="s">
        <v>1643</v>
      </c>
    </row>
    <row r="1252" spans="1:62" s="103" customFormat="1" ht="15.75" customHeight="1" x14ac:dyDescent="0.2">
      <c r="A1252" s="150"/>
      <c r="B1252" s="55">
        <v>1448</v>
      </c>
      <c r="C1252" s="55"/>
      <c r="D1252" s="55"/>
      <c r="E1252" s="55" t="s">
        <v>1565</v>
      </c>
      <c r="F1252" s="56">
        <v>2010</v>
      </c>
      <c r="G1252" s="55" t="s">
        <v>1566</v>
      </c>
      <c r="H1252" s="55"/>
      <c r="I1252" s="55"/>
      <c r="J1252" s="55" t="s">
        <v>1567</v>
      </c>
      <c r="K1252" s="55" t="s">
        <v>1023</v>
      </c>
      <c r="L1252" s="55" t="s">
        <v>65</v>
      </c>
      <c r="M1252" s="55" t="s">
        <v>1403</v>
      </c>
      <c r="N1252" s="55" t="s">
        <v>66</v>
      </c>
      <c r="O1252" s="55" t="s">
        <v>1568</v>
      </c>
      <c r="P1252" s="55" t="s">
        <v>162</v>
      </c>
      <c r="Q1252" s="55"/>
      <c r="R1252" s="55" t="s">
        <v>256</v>
      </c>
      <c r="S1252" s="55" t="s">
        <v>1569</v>
      </c>
      <c r="T1252" s="55" t="s">
        <v>49</v>
      </c>
      <c r="U1252" s="55" t="s">
        <v>49</v>
      </c>
      <c r="V1252" s="55">
        <v>2</v>
      </c>
      <c r="W1252" s="55" t="s">
        <v>45</v>
      </c>
      <c r="X1252" s="55" t="s">
        <v>46</v>
      </c>
      <c r="Y1252" s="151"/>
      <c r="Z1252" s="55"/>
      <c r="AA1252" s="55"/>
      <c r="AB1252" s="55">
        <v>66</v>
      </c>
      <c r="AC1252" s="55" t="s">
        <v>214</v>
      </c>
      <c r="AD1252" s="152"/>
      <c r="AE1252" s="55">
        <v>41.5</v>
      </c>
      <c r="AF1252" s="55" t="s">
        <v>1573</v>
      </c>
      <c r="AG1252" s="55"/>
      <c r="AH1252" s="55"/>
      <c r="AI1252" s="55"/>
      <c r="AJ1252" s="55">
        <v>8.09</v>
      </c>
      <c r="AK1252" s="55">
        <v>8.09</v>
      </c>
      <c r="AL1252" s="55"/>
      <c r="AM1252" s="55"/>
      <c r="AN1252" s="55"/>
      <c r="AO1252" s="55"/>
      <c r="AP1252" s="153">
        <v>1.73</v>
      </c>
      <c r="AQ1252" s="55">
        <v>25</v>
      </c>
      <c r="AR1252" s="55"/>
      <c r="AS1252" s="153"/>
      <c r="AT1252" s="65" t="str">
        <f t="shared" si="347"/>
        <v>Y</v>
      </c>
      <c r="AU1252" s="65" t="str">
        <f t="shared" si="351"/>
        <v>Y</v>
      </c>
      <c r="AV1252" s="65" t="str">
        <f t="shared" si="352"/>
        <v>Y</v>
      </c>
      <c r="AW1252" s="99"/>
      <c r="AX1252" s="99" t="s">
        <v>1643</v>
      </c>
      <c r="AY1252" s="19"/>
      <c r="AZ1252" s="96" t="str">
        <f t="shared" si="353"/>
        <v>EC10</v>
      </c>
      <c r="BA1252" s="96">
        <f>IF(AZ1252="n","n",VLOOKUP(AZ1252,'Conversion factors'!$C$4:$D$24,2,FALSE))</f>
        <v>1</v>
      </c>
      <c r="BB1252" s="96">
        <f t="shared" si="354"/>
        <v>66</v>
      </c>
      <c r="BC1252" s="97"/>
      <c r="BD1252" s="96" t="str">
        <f t="shared" si="348"/>
        <v>Chronic</v>
      </c>
      <c r="BE1252" s="96" t="str">
        <f t="shared" si="355"/>
        <v>y</v>
      </c>
      <c r="BF1252" s="98" t="str">
        <f t="shared" si="349"/>
        <v>EC10</v>
      </c>
      <c r="BG1252" s="96" t="str">
        <f>IF(BF1252="","",IF(ISNUMBER(VLOOKUP(BF1252,'Conversion factors'!$B$35:$C$52,2,FALSE)),"y","n"))</f>
        <v>y</v>
      </c>
      <c r="BH1252" s="99"/>
      <c r="BI1252" s="19" t="s">
        <v>1643</v>
      </c>
    </row>
    <row r="1253" spans="1:62" s="103" customFormat="1" ht="15.75" customHeight="1" x14ac:dyDescent="0.2">
      <c r="A1253" s="150"/>
      <c r="B1253" s="55">
        <v>1448</v>
      </c>
      <c r="C1253" s="55"/>
      <c r="D1253" s="55"/>
      <c r="E1253" s="55" t="s">
        <v>1565</v>
      </c>
      <c r="F1253" s="56">
        <v>2010</v>
      </c>
      <c r="G1253" s="55" t="s">
        <v>1566</v>
      </c>
      <c r="H1253" s="55"/>
      <c r="I1253" s="55"/>
      <c r="J1253" s="55" t="s">
        <v>1567</v>
      </c>
      <c r="K1253" s="55" t="s">
        <v>1023</v>
      </c>
      <c r="L1253" s="55" t="s">
        <v>65</v>
      </c>
      <c r="M1253" s="55" t="s">
        <v>1403</v>
      </c>
      <c r="N1253" s="55" t="s">
        <v>66</v>
      </c>
      <c r="O1253" s="55" t="s">
        <v>1568</v>
      </c>
      <c r="P1253" s="55" t="s">
        <v>162</v>
      </c>
      <c r="Q1253" s="55"/>
      <c r="R1253" s="55" t="s">
        <v>256</v>
      </c>
      <c r="S1253" s="55" t="s">
        <v>1569</v>
      </c>
      <c r="T1253" s="55" t="s">
        <v>49</v>
      </c>
      <c r="U1253" s="55" t="s">
        <v>49</v>
      </c>
      <c r="V1253" s="55">
        <v>2</v>
      </c>
      <c r="W1253" s="55" t="s">
        <v>45</v>
      </c>
      <c r="X1253" s="55" t="s">
        <v>46</v>
      </c>
      <c r="Y1253" s="151"/>
      <c r="Z1253" s="55"/>
      <c r="AA1253" s="55"/>
      <c r="AB1253" s="55">
        <v>453</v>
      </c>
      <c r="AC1253" s="55" t="s">
        <v>214</v>
      </c>
      <c r="AD1253" s="152"/>
      <c r="AE1253" s="55">
        <v>311</v>
      </c>
      <c r="AF1253" s="55" t="s">
        <v>1574</v>
      </c>
      <c r="AG1253" s="55"/>
      <c r="AH1253" s="55"/>
      <c r="AI1253" s="55"/>
      <c r="AJ1253" s="55">
        <v>8.16</v>
      </c>
      <c r="AK1253" s="55">
        <v>8.16</v>
      </c>
      <c r="AL1253" s="55"/>
      <c r="AM1253" s="55"/>
      <c r="AN1253" s="55"/>
      <c r="AO1253" s="55"/>
      <c r="AP1253" s="153">
        <v>1.49</v>
      </c>
      <c r="AQ1253" s="55">
        <v>25</v>
      </c>
      <c r="AR1253" s="55"/>
      <c r="AS1253" s="153"/>
      <c r="AT1253" s="65" t="str">
        <f t="shared" si="347"/>
        <v>Y</v>
      </c>
      <c r="AU1253" s="65" t="str">
        <f t="shared" si="351"/>
        <v>Y</v>
      </c>
      <c r="AV1253" s="65" t="str">
        <f t="shared" si="352"/>
        <v>Y</v>
      </c>
      <c r="AW1253" s="99"/>
      <c r="AX1253" s="99" t="s">
        <v>1643</v>
      </c>
      <c r="AY1253" s="19"/>
      <c r="AZ1253" s="96" t="str">
        <f t="shared" si="353"/>
        <v>EC10</v>
      </c>
      <c r="BA1253" s="96">
        <f>IF(AZ1253="n","n",VLOOKUP(AZ1253,'Conversion factors'!$C$4:$D$24,2,FALSE))</f>
        <v>1</v>
      </c>
      <c r="BB1253" s="96">
        <f t="shared" si="354"/>
        <v>453</v>
      </c>
      <c r="BC1253" s="97"/>
      <c r="BD1253" s="96" t="str">
        <f t="shared" si="348"/>
        <v>Chronic</v>
      </c>
      <c r="BE1253" s="96" t="str">
        <f t="shared" si="355"/>
        <v>y</v>
      </c>
      <c r="BF1253" s="98" t="str">
        <f t="shared" si="349"/>
        <v>EC10</v>
      </c>
      <c r="BG1253" s="96" t="str">
        <f>IF(BF1253="","",IF(ISNUMBER(VLOOKUP(BF1253,'Conversion factors'!$B$35:$C$52,2,FALSE)),"y","n"))</f>
        <v>y</v>
      </c>
      <c r="BH1253" s="99"/>
      <c r="BI1253" s="19" t="s">
        <v>1643</v>
      </c>
    </row>
    <row r="1254" spans="1:62" s="103" customFormat="1" ht="15.75" customHeight="1" x14ac:dyDescent="0.2">
      <c r="A1254" s="18"/>
      <c r="B1254" s="19">
        <v>292</v>
      </c>
      <c r="C1254" s="19"/>
      <c r="D1254" s="19">
        <v>101880</v>
      </c>
      <c r="E1254" s="19" t="s">
        <v>1224</v>
      </c>
      <c r="F1254" s="93">
        <v>2007</v>
      </c>
      <c r="G1254" s="19" t="s">
        <v>1021</v>
      </c>
      <c r="H1254" s="19"/>
      <c r="I1254" s="154" t="s">
        <v>1585</v>
      </c>
      <c r="J1254" s="19" t="s">
        <v>1022</v>
      </c>
      <c r="K1254" s="19" t="s">
        <v>1023</v>
      </c>
      <c r="L1254" s="19" t="s">
        <v>65</v>
      </c>
      <c r="M1254" s="19" t="s">
        <v>1403</v>
      </c>
      <c r="N1254" s="19" t="s">
        <v>66</v>
      </c>
      <c r="O1254" s="19" t="s">
        <v>235</v>
      </c>
      <c r="P1254" s="19" t="s">
        <v>162</v>
      </c>
      <c r="Q1254" s="19"/>
      <c r="R1254" s="19" t="s">
        <v>256</v>
      </c>
      <c r="S1254" s="19" t="s">
        <v>309</v>
      </c>
      <c r="T1254" s="19" t="s">
        <v>454</v>
      </c>
      <c r="U1254" s="19" t="s">
        <v>454</v>
      </c>
      <c r="V1254" s="19">
        <v>18</v>
      </c>
      <c r="W1254" s="19" t="s">
        <v>231</v>
      </c>
      <c r="X1254" s="19" t="s">
        <v>46</v>
      </c>
      <c r="Y1254" s="29"/>
      <c r="Z1254" s="19"/>
      <c r="AA1254" s="19"/>
      <c r="AB1254" s="19" t="s">
        <v>1024</v>
      </c>
      <c r="AC1254" s="19" t="s">
        <v>162</v>
      </c>
      <c r="AD1254" s="19"/>
      <c r="AE1254" s="19">
        <v>85</v>
      </c>
      <c r="AF1254" s="19" t="s">
        <v>1599</v>
      </c>
      <c r="AG1254" s="19" t="s">
        <v>235</v>
      </c>
      <c r="AH1254" s="19"/>
      <c r="AI1254" s="19"/>
      <c r="AJ1254" s="19">
        <v>7.2</v>
      </c>
      <c r="AK1254" s="19" t="s">
        <v>1598</v>
      </c>
      <c r="AL1254" s="19"/>
      <c r="AM1254" s="19" t="s">
        <v>234</v>
      </c>
      <c r="AN1254" s="19" t="s">
        <v>234</v>
      </c>
      <c r="AO1254" s="19" t="s">
        <v>235</v>
      </c>
      <c r="AP1254" s="94">
        <v>0.5</v>
      </c>
      <c r="AQ1254" s="19">
        <v>23</v>
      </c>
      <c r="AR1254" s="19" t="s">
        <v>241</v>
      </c>
      <c r="AS1254" s="19"/>
      <c r="AT1254" s="65" t="str">
        <f t="shared" si="347"/>
        <v>N</v>
      </c>
      <c r="AU1254" s="65" t="str">
        <f t="shared" si="342"/>
        <v>N</v>
      </c>
      <c r="AV1254" s="65" t="str">
        <f t="shared" ref="AV1254:AV1277" si="356">AU1254</f>
        <v>N</v>
      </c>
      <c r="AW1254" s="99" t="s">
        <v>1600</v>
      </c>
      <c r="AX1254" s="99"/>
      <c r="AY1254" s="19"/>
      <c r="AZ1254" s="96" t="str">
        <f t="shared" si="343"/>
        <v>n</v>
      </c>
      <c r="BA1254" s="96" t="str">
        <f>IF(AZ1254="n","n",VLOOKUP(AZ1254,'Conversion factors'!$C$4:$D$24,2,FALSE))</f>
        <v>n</v>
      </c>
      <c r="BB1254" s="96" t="str">
        <f t="shared" si="344"/>
        <v>n</v>
      </c>
      <c r="BC1254" s="97"/>
      <c r="BD1254" s="96" t="str">
        <f t="shared" si="348"/>
        <v>n</v>
      </c>
      <c r="BE1254" s="96" t="str">
        <f t="shared" si="345"/>
        <v>n</v>
      </c>
      <c r="BF1254" s="98" t="str">
        <f t="shared" si="349"/>
        <v/>
      </c>
      <c r="BG1254" s="96" t="str">
        <f>IF(BF1254="","",IF(ISNUMBER(VLOOKUP(BF1254,'Conversion factors'!$B$35:$C$52,2,FALSE)),"y","n"))</f>
        <v/>
      </c>
      <c r="BH1254" s="99"/>
    </row>
    <row r="1255" spans="1:62" s="103" customFormat="1" ht="15.75" customHeight="1" x14ac:dyDescent="0.2">
      <c r="A1255" s="18"/>
      <c r="B1255" s="19">
        <v>292</v>
      </c>
      <c r="C1255" s="19"/>
      <c r="D1255" s="19">
        <v>101880</v>
      </c>
      <c r="E1255" s="19" t="s">
        <v>1224</v>
      </c>
      <c r="F1255" s="93">
        <v>2007</v>
      </c>
      <c r="G1255" s="19" t="s">
        <v>1021</v>
      </c>
      <c r="H1255" s="19"/>
      <c r="I1255" s="154" t="s">
        <v>1585</v>
      </c>
      <c r="J1255" s="19" t="s">
        <v>1022</v>
      </c>
      <c r="K1255" s="19" t="s">
        <v>1023</v>
      </c>
      <c r="L1255" s="19" t="s">
        <v>65</v>
      </c>
      <c r="M1255" s="19" t="s">
        <v>1403</v>
      </c>
      <c r="N1255" s="19" t="s">
        <v>66</v>
      </c>
      <c r="O1255" s="19" t="s">
        <v>235</v>
      </c>
      <c r="P1255" s="19" t="s">
        <v>162</v>
      </c>
      <c r="Q1255" s="19"/>
      <c r="R1255" s="19" t="s">
        <v>256</v>
      </c>
      <c r="S1255" s="19" t="s">
        <v>309</v>
      </c>
      <c r="T1255" s="19" t="s">
        <v>465</v>
      </c>
      <c r="U1255" s="19" t="s">
        <v>54</v>
      </c>
      <c r="V1255" s="19">
        <v>18</v>
      </c>
      <c r="W1255" s="19" t="s">
        <v>231</v>
      </c>
      <c r="X1255" s="19" t="s">
        <v>46</v>
      </c>
      <c r="Y1255" s="29"/>
      <c r="Z1255" s="19"/>
      <c r="AA1255" s="19"/>
      <c r="AB1255" s="19" t="s">
        <v>1025</v>
      </c>
      <c r="AC1255" s="19" t="s">
        <v>162</v>
      </c>
      <c r="AD1255" s="19"/>
      <c r="AE1255" s="19">
        <v>85</v>
      </c>
      <c r="AF1255" s="19" t="s">
        <v>1599</v>
      </c>
      <c r="AG1255" s="19" t="s">
        <v>235</v>
      </c>
      <c r="AH1255" s="19"/>
      <c r="AI1255" s="19"/>
      <c r="AJ1255" s="19">
        <v>7.2</v>
      </c>
      <c r="AK1255" s="19" t="s">
        <v>1598</v>
      </c>
      <c r="AL1255" s="19"/>
      <c r="AM1255" s="19" t="s">
        <v>234</v>
      </c>
      <c r="AN1255" s="19" t="s">
        <v>234</v>
      </c>
      <c r="AO1255" s="19" t="s">
        <v>235</v>
      </c>
      <c r="AP1255" s="94">
        <v>0.5</v>
      </c>
      <c r="AQ1255" s="19">
        <v>23</v>
      </c>
      <c r="AR1255" s="19" t="s">
        <v>241</v>
      </c>
      <c r="AS1255" s="19"/>
      <c r="AT1255" s="65" t="str">
        <f t="shared" si="347"/>
        <v>N</v>
      </c>
      <c r="AU1255" s="65" t="str">
        <f t="shared" si="342"/>
        <v>N</v>
      </c>
      <c r="AV1255" s="65" t="str">
        <f t="shared" si="356"/>
        <v>N</v>
      </c>
      <c r="AW1255" s="99" t="s">
        <v>1600</v>
      </c>
      <c r="AX1255" s="99"/>
      <c r="AY1255" s="19"/>
      <c r="AZ1255" s="96" t="str">
        <f t="shared" si="343"/>
        <v>n</v>
      </c>
      <c r="BA1255" s="96" t="str">
        <f>IF(AZ1255="n","n",VLOOKUP(AZ1255,'Conversion factors'!$C$4:$D$24,2,FALSE))</f>
        <v>n</v>
      </c>
      <c r="BB1255" s="96" t="str">
        <f t="shared" si="344"/>
        <v>n</v>
      </c>
      <c r="BC1255" s="97"/>
      <c r="BD1255" s="96" t="str">
        <f t="shared" si="348"/>
        <v>n</v>
      </c>
      <c r="BE1255" s="96" t="str">
        <f t="shared" si="345"/>
        <v>n</v>
      </c>
      <c r="BF1255" s="98" t="str">
        <f t="shared" si="349"/>
        <v/>
      </c>
      <c r="BG1255" s="96" t="str">
        <f>IF(BF1255="","",IF(ISNUMBER(VLOOKUP(BF1255,'Conversion factors'!$B$35:$C$52,2,FALSE)),"y","n"))</f>
        <v/>
      </c>
      <c r="BH1255" s="99"/>
    </row>
    <row r="1256" spans="1:62" s="103" customFormat="1" ht="15.75" customHeight="1" x14ac:dyDescent="0.2">
      <c r="A1256" s="18"/>
      <c r="B1256" s="19">
        <v>292</v>
      </c>
      <c r="C1256" s="19"/>
      <c r="D1256" s="19">
        <v>101880</v>
      </c>
      <c r="E1256" s="19" t="s">
        <v>1584</v>
      </c>
      <c r="F1256" s="93">
        <v>2007</v>
      </c>
      <c r="G1256" s="19" t="s">
        <v>1021</v>
      </c>
      <c r="H1256" s="19"/>
      <c r="I1256" s="154" t="s">
        <v>1585</v>
      </c>
      <c r="J1256" s="19" t="s">
        <v>1022</v>
      </c>
      <c r="K1256" s="19" t="s">
        <v>1023</v>
      </c>
      <c r="L1256" s="19" t="s">
        <v>65</v>
      </c>
      <c r="M1256" s="19" t="s">
        <v>1403</v>
      </c>
      <c r="N1256" s="19" t="s">
        <v>66</v>
      </c>
      <c r="O1256" s="19" t="s">
        <v>235</v>
      </c>
      <c r="P1256" s="19" t="s">
        <v>162</v>
      </c>
      <c r="Q1256" s="19"/>
      <c r="R1256" s="19" t="s">
        <v>256</v>
      </c>
      <c r="S1256" s="19" t="s">
        <v>309</v>
      </c>
      <c r="T1256" s="19" t="s">
        <v>49</v>
      </c>
      <c r="U1256" s="19" t="s">
        <v>49</v>
      </c>
      <c r="V1256" s="19">
        <v>18</v>
      </c>
      <c r="W1256" s="19" t="s">
        <v>231</v>
      </c>
      <c r="X1256" s="19" t="s">
        <v>46</v>
      </c>
      <c r="Y1256" s="29"/>
      <c r="Z1256" s="19"/>
      <c r="AA1256" s="19"/>
      <c r="AB1256" s="19">
        <v>78.2</v>
      </c>
      <c r="AC1256" s="19" t="s">
        <v>162</v>
      </c>
      <c r="AD1256" s="19"/>
      <c r="AE1256" s="19">
        <v>85</v>
      </c>
      <c r="AF1256" s="19" t="s">
        <v>1599</v>
      </c>
      <c r="AG1256" s="19" t="s">
        <v>235</v>
      </c>
      <c r="AH1256" s="19"/>
      <c r="AI1256" s="19"/>
      <c r="AJ1256" s="19">
        <v>7.2</v>
      </c>
      <c r="AK1256" s="19" t="s">
        <v>1598</v>
      </c>
      <c r="AL1256" s="19"/>
      <c r="AM1256" s="19" t="s">
        <v>234</v>
      </c>
      <c r="AN1256" s="19" t="s">
        <v>234</v>
      </c>
      <c r="AO1256" s="19" t="s">
        <v>235</v>
      </c>
      <c r="AP1256" s="94">
        <v>0.5</v>
      </c>
      <c r="AQ1256" s="19">
        <v>23</v>
      </c>
      <c r="AR1256" s="19" t="s">
        <v>241</v>
      </c>
      <c r="AS1256" s="19"/>
      <c r="AT1256" s="65" t="str">
        <f t="shared" si="347"/>
        <v>N</v>
      </c>
      <c r="AU1256" s="65" t="str">
        <f t="shared" ref="AU1256" si="357">IF(AT1256="N","N",IF(AJ1256&lt;6,"N",IF(AJ1256&gt;8.5,"N","Y")))</f>
        <v>N</v>
      </c>
      <c r="AV1256" s="65" t="str">
        <f t="shared" ref="AV1256" si="358">AU1256</f>
        <v>N</v>
      </c>
      <c r="AW1256" s="99" t="s">
        <v>1600</v>
      </c>
      <c r="AX1256" s="99"/>
      <c r="AY1256" s="19"/>
      <c r="AZ1256" s="96" t="str">
        <f t="shared" ref="AZ1256" si="359">IF(AV1256="N","n",T1256)</f>
        <v>n</v>
      </c>
      <c r="BA1256" s="96" t="str">
        <f>IF(AZ1256="n","n",VLOOKUP(AZ1256,'Conversion factors'!$C$4:$D$24,2,FALSE))</f>
        <v>n</v>
      </c>
      <c r="BB1256" s="96" t="str">
        <f t="shared" ref="BB1256" si="360">IF(BA1256="n","n",AB1256/BA1256)</f>
        <v>n</v>
      </c>
      <c r="BC1256" s="97"/>
      <c r="BD1256" s="96" t="str">
        <f t="shared" si="348"/>
        <v>n</v>
      </c>
      <c r="BE1256" s="96" t="str">
        <f t="shared" ref="BE1256" si="361">IF(BD1256="chronic","y","n")</f>
        <v>n</v>
      </c>
      <c r="BF1256" s="98" t="str">
        <f t="shared" si="349"/>
        <v/>
      </c>
      <c r="BG1256" s="96" t="str">
        <f>IF(BF1256="","",IF(ISNUMBER(VLOOKUP(BF1256,'Conversion factors'!$B$35:$C$52,2,FALSE)),"y","n"))</f>
        <v/>
      </c>
      <c r="BH1256" s="99"/>
    </row>
    <row r="1257" spans="1:62" s="103" customFormat="1" ht="15.75" customHeight="1" x14ac:dyDescent="0.2">
      <c r="A1257" s="18"/>
      <c r="B1257" s="19"/>
      <c r="C1257" s="19"/>
      <c r="D1257" s="19"/>
      <c r="E1257" s="19" t="s">
        <v>1583</v>
      </c>
      <c r="F1257" s="93">
        <v>2006</v>
      </c>
      <c r="G1257" s="19" t="s">
        <v>1479</v>
      </c>
      <c r="H1257" s="19"/>
      <c r="I1257" s="19" t="s">
        <v>1480</v>
      </c>
      <c r="J1257" s="19" t="s">
        <v>1482</v>
      </c>
      <c r="K1257" s="19" t="s">
        <v>1023</v>
      </c>
      <c r="L1257" s="19" t="s">
        <v>65</v>
      </c>
      <c r="M1257" s="19" t="s">
        <v>1403</v>
      </c>
      <c r="N1257" s="19" t="s">
        <v>66</v>
      </c>
      <c r="O1257" s="19" t="s">
        <v>67</v>
      </c>
      <c r="P1257" s="19" t="s">
        <v>162</v>
      </c>
      <c r="Q1257" s="19"/>
      <c r="R1257" s="19" t="s">
        <v>256</v>
      </c>
      <c r="S1257" s="19" t="s">
        <v>309</v>
      </c>
      <c r="T1257" s="19" t="s">
        <v>54</v>
      </c>
      <c r="U1257" s="19" t="s">
        <v>54</v>
      </c>
      <c r="V1257" s="19">
        <v>20</v>
      </c>
      <c r="W1257" s="19" t="s">
        <v>45</v>
      </c>
      <c r="X1257" s="19" t="s">
        <v>46</v>
      </c>
      <c r="Y1257" s="29"/>
      <c r="Z1257" s="19"/>
      <c r="AA1257" s="19"/>
      <c r="AB1257" s="19">
        <v>50</v>
      </c>
      <c r="AC1257" s="19" t="s">
        <v>214</v>
      </c>
      <c r="AD1257" s="19"/>
      <c r="AE1257" s="19">
        <v>94</v>
      </c>
      <c r="AF1257" s="19">
        <v>94</v>
      </c>
      <c r="AG1257" s="19"/>
      <c r="AH1257" s="19"/>
      <c r="AI1257" s="19"/>
      <c r="AJ1257" s="19">
        <v>7.2</v>
      </c>
      <c r="AK1257" s="19">
        <v>7.2</v>
      </c>
      <c r="AL1257" s="19"/>
      <c r="AM1257" s="19"/>
      <c r="AN1257" s="19"/>
      <c r="AO1257" s="19"/>
      <c r="AP1257" s="94">
        <v>0.3</v>
      </c>
      <c r="AQ1257" s="19"/>
      <c r="AR1257" s="19"/>
      <c r="AS1257" s="19"/>
      <c r="AT1257" s="65" t="str">
        <f t="shared" si="347"/>
        <v>Y</v>
      </c>
      <c r="AU1257" s="65" t="str">
        <f t="shared" si="342"/>
        <v>Y</v>
      </c>
      <c r="AV1257" s="65" t="s">
        <v>162</v>
      </c>
      <c r="AW1257" s="99" t="s">
        <v>1582</v>
      </c>
      <c r="AX1257" s="99"/>
      <c r="AY1257" s="19"/>
      <c r="AZ1257" s="96" t="str">
        <f t="shared" si="343"/>
        <v>n</v>
      </c>
      <c r="BA1257" s="96" t="str">
        <f>IF(AZ1257="n","n",VLOOKUP(AZ1257,'Conversion factors'!$C$4:$D$24,2,FALSE))</f>
        <v>n</v>
      </c>
      <c r="BB1257" s="96" t="str">
        <f t="shared" si="344"/>
        <v>n</v>
      </c>
      <c r="BC1257" s="97"/>
      <c r="BD1257" s="96" t="str">
        <f t="shared" si="348"/>
        <v>n</v>
      </c>
      <c r="BE1257" s="96" t="str">
        <f t="shared" si="345"/>
        <v>n</v>
      </c>
      <c r="BF1257" s="98" t="str">
        <f t="shared" si="349"/>
        <v/>
      </c>
      <c r="BG1257" s="96" t="str">
        <f>IF(BF1257="","",IF(ISNUMBER(VLOOKUP(BF1257,'Conversion factors'!$B$35:$C$52,2,FALSE)),"y","n"))</f>
        <v/>
      </c>
      <c r="BH1257" s="99"/>
    </row>
    <row r="1258" spans="1:62" s="103" customFormat="1" ht="15.75" customHeight="1" x14ac:dyDescent="0.2">
      <c r="A1258" s="18"/>
      <c r="B1258" s="19"/>
      <c r="C1258" s="19"/>
      <c r="D1258" s="19"/>
      <c r="E1258" s="19" t="s">
        <v>1581</v>
      </c>
      <c r="F1258" s="93">
        <v>2006</v>
      </c>
      <c r="G1258" s="19" t="s">
        <v>1479</v>
      </c>
      <c r="H1258" s="19"/>
      <c r="I1258" s="19" t="s">
        <v>1480</v>
      </c>
      <c r="J1258" s="19" t="s">
        <v>1481</v>
      </c>
      <c r="K1258" s="19" t="s">
        <v>1023</v>
      </c>
      <c r="L1258" s="19" t="s">
        <v>65</v>
      </c>
      <c r="M1258" s="19" t="s">
        <v>1403</v>
      </c>
      <c r="N1258" s="19" t="s">
        <v>66</v>
      </c>
      <c r="O1258" s="19" t="s">
        <v>67</v>
      </c>
      <c r="P1258" s="19" t="s">
        <v>162</v>
      </c>
      <c r="Q1258" s="19"/>
      <c r="R1258" s="19" t="s">
        <v>256</v>
      </c>
      <c r="S1258" s="19" t="s">
        <v>309</v>
      </c>
      <c r="T1258" s="19" t="s">
        <v>54</v>
      </c>
      <c r="U1258" s="19" t="s">
        <v>54</v>
      </c>
      <c r="V1258" s="19">
        <v>20</v>
      </c>
      <c r="W1258" s="19" t="s">
        <v>45</v>
      </c>
      <c r="X1258" s="19" t="s">
        <v>46</v>
      </c>
      <c r="Y1258" s="29"/>
      <c r="Z1258" s="19"/>
      <c r="AA1258" s="19"/>
      <c r="AB1258" s="19">
        <v>50</v>
      </c>
      <c r="AC1258" s="19" t="s">
        <v>214</v>
      </c>
      <c r="AD1258" s="19"/>
      <c r="AE1258" s="19">
        <v>94</v>
      </c>
      <c r="AF1258" s="19">
        <v>94</v>
      </c>
      <c r="AG1258" s="19"/>
      <c r="AH1258" s="19"/>
      <c r="AI1258" s="19"/>
      <c r="AJ1258" s="19">
        <v>7.2</v>
      </c>
      <c r="AK1258" s="19">
        <v>7.2</v>
      </c>
      <c r="AL1258" s="19"/>
      <c r="AM1258" s="19"/>
      <c r="AN1258" s="19"/>
      <c r="AO1258" s="19"/>
      <c r="AP1258" s="94">
        <v>0.3</v>
      </c>
      <c r="AQ1258" s="19"/>
      <c r="AR1258" s="19"/>
      <c r="AS1258" s="19"/>
      <c r="AT1258" s="65" t="str">
        <f t="shared" si="347"/>
        <v>Y</v>
      </c>
      <c r="AU1258" s="65" t="str">
        <f t="shared" si="342"/>
        <v>Y</v>
      </c>
      <c r="AV1258" s="65" t="s">
        <v>162</v>
      </c>
      <c r="AW1258" s="99" t="s">
        <v>1582</v>
      </c>
      <c r="AX1258" s="99"/>
      <c r="AY1258" s="19"/>
      <c r="AZ1258" s="96" t="str">
        <f t="shared" si="343"/>
        <v>n</v>
      </c>
      <c r="BA1258" s="96" t="str">
        <f>IF(AZ1258="n","n",VLOOKUP(AZ1258,'Conversion factors'!$C$4:$D$24,2,FALSE))</f>
        <v>n</v>
      </c>
      <c r="BB1258" s="96" t="str">
        <f t="shared" si="344"/>
        <v>n</v>
      </c>
      <c r="BC1258" s="97"/>
      <c r="BD1258" s="96" t="str">
        <f t="shared" si="348"/>
        <v>n</v>
      </c>
      <c r="BE1258" s="96" t="str">
        <f t="shared" si="345"/>
        <v>n</v>
      </c>
      <c r="BF1258" s="98" t="str">
        <f t="shared" si="349"/>
        <v/>
      </c>
      <c r="BG1258" s="96" t="str">
        <f>IF(BF1258="","",IF(ISNUMBER(VLOOKUP(BF1258,'Conversion factors'!$B$35:$C$52,2,FALSE)),"y","n"))</f>
        <v/>
      </c>
      <c r="BH1258" s="99"/>
    </row>
    <row r="1259" spans="1:62" s="103" customFormat="1" ht="15.75" customHeight="1" x14ac:dyDescent="0.2">
      <c r="A1259" s="18"/>
      <c r="B1259" s="19">
        <v>217</v>
      </c>
      <c r="C1259" s="19"/>
      <c r="D1259" s="19">
        <v>62146</v>
      </c>
      <c r="E1259" s="19" t="s">
        <v>1224</v>
      </c>
      <c r="F1259" s="93">
        <v>2001</v>
      </c>
      <c r="G1259" s="19" t="s">
        <v>516</v>
      </c>
      <c r="H1259" s="19"/>
      <c r="I1259" s="19" t="s">
        <v>41</v>
      </c>
      <c r="J1259" s="19" t="s">
        <v>517</v>
      </c>
      <c r="K1259" s="19" t="s">
        <v>518</v>
      </c>
      <c r="L1259" s="19" t="s">
        <v>65</v>
      </c>
      <c r="M1259" s="19" t="s">
        <v>1487</v>
      </c>
      <c r="N1259" s="19" t="s">
        <v>66</v>
      </c>
      <c r="O1259" s="19" t="s">
        <v>235</v>
      </c>
      <c r="P1259" s="19" t="s">
        <v>1390</v>
      </c>
      <c r="Q1259" s="19"/>
      <c r="R1259" s="19" t="s">
        <v>256</v>
      </c>
      <c r="S1259" s="19" t="s">
        <v>309</v>
      </c>
      <c r="T1259" s="19" t="s">
        <v>55</v>
      </c>
      <c r="U1259" s="19" t="s">
        <v>55</v>
      </c>
      <c r="V1259" s="19" t="s">
        <v>85</v>
      </c>
      <c r="W1259" s="19" t="s">
        <v>231</v>
      </c>
      <c r="X1259" s="19" t="s">
        <v>46</v>
      </c>
      <c r="Y1259" s="29"/>
      <c r="Z1259" s="19"/>
      <c r="AA1259" s="19"/>
      <c r="AB1259" s="19" t="s">
        <v>519</v>
      </c>
      <c r="AC1259" s="19" t="s">
        <v>162</v>
      </c>
      <c r="AD1259" s="19"/>
      <c r="AE1259" s="19" t="s">
        <v>521</v>
      </c>
      <c r="AF1259" s="19" t="s">
        <v>521</v>
      </c>
      <c r="AG1259" s="19" t="s">
        <v>270</v>
      </c>
      <c r="AH1259" s="19"/>
      <c r="AI1259" s="19"/>
      <c r="AJ1259" s="19">
        <f>MEDIAN(7.25,7.53)</f>
        <v>7.3900000000000006</v>
      </c>
      <c r="AK1259" s="19" t="s">
        <v>520</v>
      </c>
      <c r="AL1259" s="19"/>
      <c r="AM1259" s="19" t="s">
        <v>234</v>
      </c>
      <c r="AN1259" s="19" t="s">
        <v>234</v>
      </c>
      <c r="AO1259" s="19" t="s">
        <v>235</v>
      </c>
      <c r="AP1259" s="94"/>
      <c r="AQ1259" s="19" t="s">
        <v>522</v>
      </c>
      <c r="AR1259" s="19" t="s">
        <v>523</v>
      </c>
      <c r="AS1259" s="19"/>
      <c r="AT1259" s="65" t="str">
        <f t="shared" si="347"/>
        <v>N</v>
      </c>
      <c r="AU1259" s="65" t="str">
        <f t="shared" si="342"/>
        <v>N</v>
      </c>
      <c r="AV1259" s="65" t="str">
        <f t="shared" si="356"/>
        <v>N</v>
      </c>
      <c r="AW1259" s="99"/>
      <c r="AX1259" s="99"/>
      <c r="AY1259" s="19"/>
      <c r="AZ1259" s="96" t="str">
        <f t="shared" si="343"/>
        <v>n</v>
      </c>
      <c r="BA1259" s="96" t="str">
        <f>IF(AZ1259="n","n",VLOOKUP(AZ1259,'Conversion factors'!$C$4:$D$24,2,FALSE))</f>
        <v>n</v>
      </c>
      <c r="BB1259" s="96" t="str">
        <f t="shared" si="344"/>
        <v>n</v>
      </c>
      <c r="BC1259" s="97"/>
      <c r="BD1259" s="96" t="str">
        <f t="shared" si="348"/>
        <v>n</v>
      </c>
      <c r="BE1259" s="96" t="str">
        <f t="shared" si="345"/>
        <v>n</v>
      </c>
      <c r="BF1259" s="98" t="str">
        <f t="shared" si="349"/>
        <v/>
      </c>
      <c r="BG1259" s="96" t="str">
        <f>IF(BF1259="","",IF(ISNUMBER(VLOOKUP(BF1259,'Conversion factors'!$B$35:$C$52,2,FALSE)),"y","n"))</f>
        <v/>
      </c>
      <c r="BH1259" s="99" t="s">
        <v>1470</v>
      </c>
    </row>
    <row r="1260" spans="1:62" s="103" customFormat="1" ht="15.75" customHeight="1" x14ac:dyDescent="0.2">
      <c r="A1260" s="18"/>
      <c r="B1260" s="19">
        <v>217</v>
      </c>
      <c r="C1260" s="19"/>
      <c r="D1260" s="19">
        <v>62146</v>
      </c>
      <c r="E1260" s="19" t="s">
        <v>1224</v>
      </c>
      <c r="F1260" s="93">
        <v>2001</v>
      </c>
      <c r="G1260" s="19" t="s">
        <v>516</v>
      </c>
      <c r="H1260" s="19"/>
      <c r="I1260" s="19" t="s">
        <v>41</v>
      </c>
      <c r="J1260" s="19" t="s">
        <v>517</v>
      </c>
      <c r="K1260" s="19" t="s">
        <v>518</v>
      </c>
      <c r="L1260" s="19" t="s">
        <v>65</v>
      </c>
      <c r="M1260" s="19" t="s">
        <v>1487</v>
      </c>
      <c r="N1260" s="19" t="s">
        <v>66</v>
      </c>
      <c r="O1260" s="19" t="s">
        <v>235</v>
      </c>
      <c r="P1260" s="19" t="s">
        <v>1390</v>
      </c>
      <c r="Q1260" s="19"/>
      <c r="R1260" s="19" t="s">
        <v>256</v>
      </c>
      <c r="S1260" s="19" t="s">
        <v>309</v>
      </c>
      <c r="T1260" s="19" t="s">
        <v>54</v>
      </c>
      <c r="U1260" s="19" t="s">
        <v>54</v>
      </c>
      <c r="V1260" s="19" t="s">
        <v>85</v>
      </c>
      <c r="W1260" s="19" t="s">
        <v>231</v>
      </c>
      <c r="X1260" s="19" t="s">
        <v>46</v>
      </c>
      <c r="Y1260" s="29"/>
      <c r="Z1260" s="19"/>
      <c r="AA1260" s="19"/>
      <c r="AB1260" s="19" t="s">
        <v>526</v>
      </c>
      <c r="AC1260" s="19" t="s">
        <v>162</v>
      </c>
      <c r="AD1260" s="19"/>
      <c r="AE1260" s="19" t="s">
        <v>521</v>
      </c>
      <c r="AF1260" s="19" t="s">
        <v>521</v>
      </c>
      <c r="AG1260" s="19" t="s">
        <v>270</v>
      </c>
      <c r="AH1260" s="19"/>
      <c r="AI1260" s="19"/>
      <c r="AJ1260" s="19">
        <f>MEDIAN(7.25,7.53)</f>
        <v>7.3900000000000006</v>
      </c>
      <c r="AK1260" s="19" t="s">
        <v>520</v>
      </c>
      <c r="AL1260" s="19"/>
      <c r="AM1260" s="19" t="s">
        <v>234</v>
      </c>
      <c r="AN1260" s="19" t="s">
        <v>234</v>
      </c>
      <c r="AO1260" s="19" t="s">
        <v>235</v>
      </c>
      <c r="AP1260" s="94"/>
      <c r="AQ1260" s="19" t="s">
        <v>522</v>
      </c>
      <c r="AR1260" s="19" t="s">
        <v>523</v>
      </c>
      <c r="AS1260" s="19"/>
      <c r="AT1260" s="65" t="str">
        <f t="shared" si="347"/>
        <v>N</v>
      </c>
      <c r="AU1260" s="65" t="str">
        <f t="shared" si="342"/>
        <v>N</v>
      </c>
      <c r="AV1260" s="65" t="str">
        <f t="shared" si="356"/>
        <v>N</v>
      </c>
      <c r="AW1260" s="99"/>
      <c r="AX1260" s="99"/>
      <c r="AY1260" s="19"/>
      <c r="AZ1260" s="96" t="str">
        <f t="shared" si="343"/>
        <v>n</v>
      </c>
      <c r="BA1260" s="96" t="str">
        <f>IF(AZ1260="n","n",VLOOKUP(AZ1260,'Conversion factors'!$C$4:$D$24,2,FALSE))</f>
        <v>n</v>
      </c>
      <c r="BB1260" s="96" t="str">
        <f t="shared" si="344"/>
        <v>n</v>
      </c>
      <c r="BC1260" s="97"/>
      <c r="BD1260" s="96" t="str">
        <f t="shared" si="348"/>
        <v>n</v>
      </c>
      <c r="BE1260" s="96" t="str">
        <f t="shared" si="345"/>
        <v>n</v>
      </c>
      <c r="BF1260" s="98" t="str">
        <f t="shared" si="349"/>
        <v/>
      </c>
      <c r="BG1260" s="96" t="str">
        <f>IF(BF1260="","",IF(ISNUMBER(VLOOKUP(BF1260,'Conversion factors'!$B$35:$C$52,2,FALSE)),"y","n"))</f>
        <v/>
      </c>
      <c r="BH1260" s="99"/>
    </row>
    <row r="1261" spans="1:62" ht="15.75" customHeight="1" x14ac:dyDescent="0.2">
      <c r="B1261" s="19">
        <v>217</v>
      </c>
      <c r="C1261" s="19"/>
      <c r="D1261" s="19">
        <v>62146</v>
      </c>
      <c r="E1261" s="19" t="s">
        <v>1224</v>
      </c>
      <c r="F1261" s="93">
        <v>2001</v>
      </c>
      <c r="G1261" s="19" t="s">
        <v>516</v>
      </c>
      <c r="H1261" s="19"/>
      <c r="I1261" s="19" t="s">
        <v>41</v>
      </c>
      <c r="J1261" s="19" t="s">
        <v>524</v>
      </c>
      <c r="K1261" s="19" t="s">
        <v>518</v>
      </c>
      <c r="L1261" s="19" t="s">
        <v>65</v>
      </c>
      <c r="M1261" s="19" t="s">
        <v>1487</v>
      </c>
      <c r="N1261" s="19" t="s">
        <v>66</v>
      </c>
      <c r="O1261" s="19" t="s">
        <v>235</v>
      </c>
      <c r="P1261" s="19" t="s">
        <v>1390</v>
      </c>
      <c r="Q1261" s="19"/>
      <c r="R1261" s="19" t="s">
        <v>256</v>
      </c>
      <c r="S1261" s="19" t="s">
        <v>309</v>
      </c>
      <c r="T1261" s="19" t="s">
        <v>55</v>
      </c>
      <c r="U1261" s="19" t="s">
        <v>55</v>
      </c>
      <c r="V1261" s="19" t="s">
        <v>85</v>
      </c>
      <c r="W1261" s="19" t="s">
        <v>231</v>
      </c>
      <c r="X1261" s="19" t="s">
        <v>46</v>
      </c>
      <c r="Y1261" s="29"/>
      <c r="Z1261" s="19"/>
      <c r="AA1261" s="19"/>
      <c r="AB1261" s="19" t="s">
        <v>262</v>
      </c>
      <c r="AC1261" s="19" t="s">
        <v>162</v>
      </c>
      <c r="AD1261" s="19"/>
      <c r="AE1261" s="19" t="s">
        <v>521</v>
      </c>
      <c r="AF1261" s="19" t="s">
        <v>521</v>
      </c>
      <c r="AG1261" s="19" t="s">
        <v>270</v>
      </c>
      <c r="AH1261" s="19"/>
      <c r="AI1261" s="19"/>
      <c r="AJ1261" s="19">
        <f>MEDIAN(7.25,7.53)</f>
        <v>7.3900000000000006</v>
      </c>
      <c r="AK1261" s="19" t="s">
        <v>520</v>
      </c>
      <c r="AL1261" s="19"/>
      <c r="AM1261" s="19" t="s">
        <v>234</v>
      </c>
      <c r="AN1261" s="19" t="s">
        <v>234</v>
      </c>
      <c r="AO1261" s="19" t="s">
        <v>235</v>
      </c>
      <c r="AP1261" s="94"/>
      <c r="AQ1261" s="19" t="s">
        <v>522</v>
      </c>
      <c r="AR1261" s="19" t="s">
        <v>523</v>
      </c>
      <c r="AS1261" s="19"/>
      <c r="AT1261" s="65" t="str">
        <f t="shared" si="347"/>
        <v>N</v>
      </c>
      <c r="AU1261" s="65" t="str">
        <f t="shared" si="342"/>
        <v>N</v>
      </c>
      <c r="AV1261" s="65" t="str">
        <f t="shared" si="356"/>
        <v>N</v>
      </c>
      <c r="AW1261" s="99"/>
      <c r="AX1261" s="99"/>
      <c r="AY1261" s="19"/>
      <c r="AZ1261" s="96" t="str">
        <f t="shared" si="343"/>
        <v>n</v>
      </c>
      <c r="BA1261" s="96" t="str">
        <f>IF(AZ1261="n","n",VLOOKUP(AZ1261,'Conversion factors'!$C$4:$D$24,2,FALSE))</f>
        <v>n</v>
      </c>
      <c r="BB1261" s="96" t="str">
        <f t="shared" si="344"/>
        <v>n</v>
      </c>
      <c r="BC1261" s="97"/>
      <c r="BD1261" s="96" t="str">
        <f t="shared" si="348"/>
        <v>n</v>
      </c>
      <c r="BE1261" s="96" t="str">
        <f t="shared" si="345"/>
        <v>n</v>
      </c>
      <c r="BF1261" s="96" t="s">
        <v>47</v>
      </c>
      <c r="BG1261" s="96" t="str">
        <f>IF(BF1261="","",IF(ISNUMBER(VLOOKUP(BF1261,'Conversion factors'!$B$35:$C$52,2,FALSE)),"y","n"))</f>
        <v>n</v>
      </c>
      <c r="BH1261" s="99"/>
      <c r="BI1261" s="103"/>
      <c r="BJ1261" s="103"/>
    </row>
    <row r="1262" spans="1:62" ht="15.75" customHeight="1" x14ac:dyDescent="0.2">
      <c r="B1262" s="19">
        <v>217</v>
      </c>
      <c r="C1262" s="19"/>
      <c r="D1262" s="19">
        <v>62146</v>
      </c>
      <c r="E1262" s="19" t="s">
        <v>1224</v>
      </c>
      <c r="F1262" s="93">
        <v>2001</v>
      </c>
      <c r="G1262" s="19" t="s">
        <v>516</v>
      </c>
      <c r="H1262" s="19"/>
      <c r="I1262" s="19" t="s">
        <v>41</v>
      </c>
      <c r="J1262" s="19" t="s">
        <v>524</v>
      </c>
      <c r="K1262" s="19" t="s">
        <v>518</v>
      </c>
      <c r="L1262" s="19" t="s">
        <v>65</v>
      </c>
      <c r="M1262" s="19" t="s">
        <v>1487</v>
      </c>
      <c r="N1262" s="19" t="s">
        <v>66</v>
      </c>
      <c r="O1262" s="19" t="s">
        <v>235</v>
      </c>
      <c r="P1262" s="19" t="s">
        <v>1390</v>
      </c>
      <c r="Q1262" s="19"/>
      <c r="R1262" s="19" t="s">
        <v>256</v>
      </c>
      <c r="S1262" s="19" t="s">
        <v>309</v>
      </c>
      <c r="T1262" s="19" t="s">
        <v>54</v>
      </c>
      <c r="U1262" s="19" t="s">
        <v>54</v>
      </c>
      <c r="V1262" s="19" t="s">
        <v>85</v>
      </c>
      <c r="W1262" s="19" t="s">
        <v>231</v>
      </c>
      <c r="X1262" s="19" t="s">
        <v>46</v>
      </c>
      <c r="Y1262" s="29"/>
      <c r="Z1262" s="19"/>
      <c r="AA1262" s="19"/>
      <c r="AB1262" s="19" t="s">
        <v>525</v>
      </c>
      <c r="AC1262" s="19" t="s">
        <v>162</v>
      </c>
      <c r="AD1262" s="19"/>
      <c r="AE1262" s="19" t="s">
        <v>521</v>
      </c>
      <c r="AF1262" s="19" t="s">
        <v>521</v>
      </c>
      <c r="AG1262" s="19" t="s">
        <v>270</v>
      </c>
      <c r="AH1262" s="19"/>
      <c r="AI1262" s="19"/>
      <c r="AJ1262" s="19">
        <f>MEDIAN(7.25,7.53)</f>
        <v>7.3900000000000006</v>
      </c>
      <c r="AK1262" s="19" t="s">
        <v>520</v>
      </c>
      <c r="AL1262" s="19"/>
      <c r="AM1262" s="19" t="s">
        <v>234</v>
      </c>
      <c r="AN1262" s="19" t="s">
        <v>234</v>
      </c>
      <c r="AO1262" s="19" t="s">
        <v>235</v>
      </c>
      <c r="AP1262" s="94"/>
      <c r="AQ1262" s="19" t="s">
        <v>522</v>
      </c>
      <c r="AR1262" s="19" t="s">
        <v>523</v>
      </c>
      <c r="AS1262" s="19"/>
      <c r="AT1262" s="65" t="str">
        <f t="shared" si="347"/>
        <v>N</v>
      </c>
      <c r="AU1262" s="65" t="str">
        <f t="shared" ref="AU1262:AU1287" si="362">IF(AT1262="N","N",IF(AJ1262&lt;6,"N",IF(AJ1262&gt;8.5,"N","Y")))</f>
        <v>N</v>
      </c>
      <c r="AV1262" s="65" t="str">
        <f t="shared" si="356"/>
        <v>N</v>
      </c>
      <c r="AW1262" s="99"/>
      <c r="AX1262" s="99"/>
      <c r="AY1262" s="19"/>
      <c r="AZ1262" s="96" t="str">
        <f t="shared" si="343"/>
        <v>n</v>
      </c>
      <c r="BA1262" s="96" t="str">
        <f>IF(AZ1262="n","n",VLOOKUP(AZ1262,'Conversion factors'!$C$4:$D$24,2,FALSE))</f>
        <v>n</v>
      </c>
      <c r="BB1262" s="96" t="str">
        <f t="shared" si="344"/>
        <v>n</v>
      </c>
      <c r="BC1262" s="97"/>
      <c r="BD1262" s="96" t="str">
        <f t="shared" si="348"/>
        <v>n</v>
      </c>
      <c r="BE1262" s="96" t="str">
        <f t="shared" si="345"/>
        <v>n</v>
      </c>
      <c r="BF1262" s="98" t="str">
        <f>IF(BE1262="n","",AZ1262)</f>
        <v/>
      </c>
      <c r="BG1262" s="96" t="str">
        <f>IF(BF1262="","",IF(ISNUMBER(VLOOKUP(BF1262,'Conversion factors'!$B$35:$C$52,2,FALSE)),"y","n"))</f>
        <v/>
      </c>
      <c r="BH1262" s="99"/>
      <c r="BI1262" s="103"/>
      <c r="BJ1262" s="103"/>
    </row>
    <row r="1263" spans="1:62" ht="15.75" customHeight="1" x14ac:dyDescent="0.2">
      <c r="B1263" s="19">
        <v>227</v>
      </c>
      <c r="C1263" s="19"/>
      <c r="D1263" s="19">
        <v>67700</v>
      </c>
      <c r="E1263" s="19" t="s">
        <v>1224</v>
      </c>
      <c r="F1263" s="93">
        <v>2000</v>
      </c>
      <c r="G1263" s="19" t="s">
        <v>565</v>
      </c>
      <c r="H1263" s="19"/>
      <c r="I1263" s="19" t="s">
        <v>41</v>
      </c>
      <c r="J1263" s="19" t="s">
        <v>524</v>
      </c>
      <c r="K1263" s="19" t="s">
        <v>518</v>
      </c>
      <c r="L1263" s="19" t="s">
        <v>65</v>
      </c>
      <c r="M1263" s="19" t="s">
        <v>1487</v>
      </c>
      <c r="N1263" s="19" t="s">
        <v>66</v>
      </c>
      <c r="O1263" s="19" t="s">
        <v>235</v>
      </c>
      <c r="P1263" s="19" t="s">
        <v>1390</v>
      </c>
      <c r="Q1263" s="19"/>
      <c r="R1263" s="19" t="s">
        <v>537</v>
      </c>
      <c r="S1263" s="19" t="s">
        <v>402</v>
      </c>
      <c r="T1263" s="19" t="s">
        <v>454</v>
      </c>
      <c r="U1263" s="19" t="s">
        <v>454</v>
      </c>
      <c r="V1263" s="19" t="s">
        <v>444</v>
      </c>
      <c r="W1263" s="19" t="s">
        <v>231</v>
      </c>
      <c r="X1263" s="19" t="s">
        <v>46</v>
      </c>
      <c r="Y1263" s="29"/>
      <c r="Z1263" s="19"/>
      <c r="AA1263" s="19"/>
      <c r="AB1263" s="19" t="s">
        <v>265</v>
      </c>
      <c r="AC1263" s="19" t="s">
        <v>1322</v>
      </c>
      <c r="AD1263" s="19"/>
      <c r="AE1263" s="19" t="s">
        <v>351</v>
      </c>
      <c r="AF1263" s="19" t="s">
        <v>351</v>
      </c>
      <c r="AG1263" s="19" t="s">
        <v>235</v>
      </c>
      <c r="AH1263" s="19"/>
      <c r="AI1263" s="19"/>
      <c r="AJ1263" s="19" t="s">
        <v>1503</v>
      </c>
      <c r="AK1263" s="19" t="s">
        <v>234</v>
      </c>
      <c r="AL1263" s="19"/>
      <c r="AM1263" s="19" t="s">
        <v>234</v>
      </c>
      <c r="AN1263" s="19" t="s">
        <v>234</v>
      </c>
      <c r="AO1263" s="19" t="s">
        <v>235</v>
      </c>
      <c r="AP1263" s="94"/>
      <c r="AQ1263" s="19" t="s">
        <v>234</v>
      </c>
      <c r="AR1263" s="19" t="s">
        <v>241</v>
      </c>
      <c r="AS1263" s="19"/>
      <c r="AT1263" s="65" t="str">
        <f t="shared" si="347"/>
        <v>N</v>
      </c>
      <c r="AU1263" s="65" t="str">
        <f t="shared" si="362"/>
        <v>N</v>
      </c>
      <c r="AV1263" s="65" t="str">
        <f t="shared" si="356"/>
        <v>N</v>
      </c>
      <c r="AW1263" s="99"/>
      <c r="AX1263" s="99"/>
      <c r="AY1263" s="19"/>
      <c r="AZ1263" s="96" t="str">
        <f t="shared" ref="AZ1263:AZ1287" si="363">IF(AV1263="N","n",T1263)</f>
        <v>n</v>
      </c>
      <c r="BA1263" s="96" t="str">
        <f>IF(AZ1263="n","n",VLOOKUP(AZ1263,'Conversion factors'!$C$4:$D$24,2,FALSE))</f>
        <v>n</v>
      </c>
      <c r="BB1263" s="96" t="str">
        <f t="shared" ref="BB1263:BB1287" si="364">IF(BA1263="n","n",AB1263/BA1263)</f>
        <v>n</v>
      </c>
      <c r="BC1263" s="97"/>
      <c r="BD1263" s="96" t="str">
        <f t="shared" si="348"/>
        <v>n</v>
      </c>
      <c r="BE1263" s="96" t="str">
        <f t="shared" ref="BE1263:BE1287" si="365">IF(BD1263="chronic","y","n")</f>
        <v>n</v>
      </c>
      <c r="BF1263" s="98" t="str">
        <f>IF(BE1263="n","",AZ1263)</f>
        <v/>
      </c>
      <c r="BG1263" s="96" t="str">
        <f>IF(BF1263="","",IF(ISNUMBER(VLOOKUP(BF1263,'Conversion factors'!$B$35:$C$52,2,FALSE)),"y","n"))</f>
        <v/>
      </c>
      <c r="BH1263" s="99"/>
      <c r="BI1263" s="103"/>
      <c r="BJ1263" s="103"/>
    </row>
    <row r="1264" spans="1:62" ht="15.75" customHeight="1" x14ac:dyDescent="0.2">
      <c r="B1264" s="19">
        <v>308</v>
      </c>
      <c r="C1264" s="19"/>
      <c r="D1264" s="19">
        <v>115699</v>
      </c>
      <c r="E1264" s="19" t="s">
        <v>1224</v>
      </c>
      <c r="F1264" s="93">
        <v>2005</v>
      </c>
      <c r="G1264" s="19" t="s">
        <v>1063</v>
      </c>
      <c r="H1264" s="19"/>
      <c r="I1264" s="19" t="s">
        <v>41</v>
      </c>
      <c r="J1264" s="19" t="s">
        <v>1064</v>
      </c>
      <c r="K1264" s="19" t="s">
        <v>1400</v>
      </c>
      <c r="L1264" s="19" t="s">
        <v>43</v>
      </c>
      <c r="M1264" s="19" t="s">
        <v>1401</v>
      </c>
      <c r="N1264" s="19" t="s">
        <v>109</v>
      </c>
      <c r="O1264" s="19" t="s">
        <v>235</v>
      </c>
      <c r="P1264" s="19" t="s">
        <v>51</v>
      </c>
      <c r="Q1264" s="19"/>
      <c r="R1264" s="19" t="s">
        <v>256</v>
      </c>
      <c r="S1264" s="19" t="s">
        <v>302</v>
      </c>
      <c r="T1264" s="19" t="s">
        <v>55</v>
      </c>
      <c r="U1264" s="19" t="s">
        <v>55</v>
      </c>
      <c r="V1264" s="19" t="s">
        <v>78</v>
      </c>
      <c r="W1264" s="19" t="s">
        <v>231</v>
      </c>
      <c r="X1264" s="19" t="s">
        <v>46</v>
      </c>
      <c r="Y1264" s="29"/>
      <c r="Z1264" s="19"/>
      <c r="AA1264" s="19"/>
      <c r="AB1264" s="19" t="s">
        <v>538</v>
      </c>
      <c r="AC1264" s="19" t="s">
        <v>1322</v>
      </c>
      <c r="AD1264" s="19"/>
      <c r="AE1264" s="19"/>
      <c r="AF1264" s="19"/>
      <c r="AG1264" s="19" t="s">
        <v>235</v>
      </c>
      <c r="AH1264" s="19"/>
      <c r="AI1264" s="19"/>
      <c r="AJ1264" s="19" t="s">
        <v>1503</v>
      </c>
      <c r="AK1264" s="19" t="s">
        <v>234</v>
      </c>
      <c r="AL1264" s="19"/>
      <c r="AM1264" s="19" t="s">
        <v>234</v>
      </c>
      <c r="AN1264" s="19" t="s">
        <v>234</v>
      </c>
      <c r="AO1264" s="19" t="s">
        <v>235</v>
      </c>
      <c r="AP1264" s="94"/>
      <c r="AQ1264" s="19" t="s">
        <v>1065</v>
      </c>
      <c r="AR1264" s="19" t="s">
        <v>241</v>
      </c>
      <c r="AS1264" s="19"/>
      <c r="AT1264" s="65" t="str">
        <f t="shared" si="347"/>
        <v>N</v>
      </c>
      <c r="AU1264" s="65" t="str">
        <f t="shared" si="362"/>
        <v>N</v>
      </c>
      <c r="AV1264" s="65" t="str">
        <f t="shared" si="356"/>
        <v>N</v>
      </c>
      <c r="AW1264" s="99"/>
      <c r="AX1264" s="99"/>
      <c r="AY1264" s="19"/>
      <c r="AZ1264" s="96" t="str">
        <f t="shared" si="363"/>
        <v>n</v>
      </c>
      <c r="BA1264" s="96" t="str">
        <f>IF(AZ1264="n","n",VLOOKUP(AZ1264,'Conversion factors'!$C$4:$D$24,2,FALSE))</f>
        <v>n</v>
      </c>
      <c r="BB1264" s="96" t="str">
        <f t="shared" si="364"/>
        <v>n</v>
      </c>
      <c r="BC1264" s="97"/>
      <c r="BD1264" s="96" t="str">
        <f t="shared" si="348"/>
        <v>n</v>
      </c>
      <c r="BE1264" s="96" t="str">
        <f t="shared" si="365"/>
        <v>n</v>
      </c>
      <c r="BF1264" s="96" t="s">
        <v>47</v>
      </c>
      <c r="BG1264" s="96" t="str">
        <f>IF(BF1264="","",IF(ISNUMBER(VLOOKUP(BF1264,'Conversion factors'!$B$35:$C$52,2,FALSE)),"y","n"))</f>
        <v>n</v>
      </c>
      <c r="BH1264" s="99"/>
      <c r="BI1264" s="103"/>
      <c r="BJ1264" s="103"/>
    </row>
    <row r="1265" spans="2:62" ht="15.75" customHeight="1" x14ac:dyDescent="0.2">
      <c r="B1265" s="19">
        <v>308</v>
      </c>
      <c r="C1265" s="19"/>
      <c r="D1265" s="19">
        <v>115699</v>
      </c>
      <c r="E1265" s="19" t="s">
        <v>1224</v>
      </c>
      <c r="F1265" s="93">
        <v>2005</v>
      </c>
      <c r="G1265" s="19" t="s">
        <v>1063</v>
      </c>
      <c r="H1265" s="19"/>
      <c r="I1265" s="19" t="s">
        <v>41</v>
      </c>
      <c r="J1265" s="19" t="s">
        <v>1064</v>
      </c>
      <c r="K1265" s="19" t="s">
        <v>1400</v>
      </c>
      <c r="L1265" s="19" t="s">
        <v>43</v>
      </c>
      <c r="M1265" s="19" t="s">
        <v>1401</v>
      </c>
      <c r="N1265" s="19" t="s">
        <v>109</v>
      </c>
      <c r="O1265" s="19" t="s">
        <v>235</v>
      </c>
      <c r="P1265" s="19" t="s">
        <v>51</v>
      </c>
      <c r="Q1265" s="19"/>
      <c r="R1265" s="19" t="s">
        <v>256</v>
      </c>
      <c r="S1265" s="19" t="s">
        <v>302</v>
      </c>
      <c r="T1265" s="19" t="s">
        <v>54</v>
      </c>
      <c r="U1265" s="19" t="s">
        <v>54</v>
      </c>
      <c r="V1265" s="19" t="s">
        <v>78</v>
      </c>
      <c r="W1265" s="19" t="s">
        <v>231</v>
      </c>
      <c r="X1265" s="19" t="s">
        <v>46</v>
      </c>
      <c r="Y1265" s="29"/>
      <c r="Z1265" s="19"/>
      <c r="AA1265" s="19"/>
      <c r="AB1265" s="19" t="s">
        <v>585</v>
      </c>
      <c r="AC1265" s="19" t="s">
        <v>1322</v>
      </c>
      <c r="AD1265" s="19"/>
      <c r="AE1265" s="19"/>
      <c r="AF1265" s="19"/>
      <c r="AG1265" s="19" t="s">
        <v>235</v>
      </c>
      <c r="AH1265" s="19"/>
      <c r="AI1265" s="19"/>
      <c r="AJ1265" s="19" t="s">
        <v>1503</v>
      </c>
      <c r="AK1265" s="19" t="s">
        <v>234</v>
      </c>
      <c r="AL1265" s="19"/>
      <c r="AM1265" s="19" t="s">
        <v>234</v>
      </c>
      <c r="AN1265" s="19" t="s">
        <v>234</v>
      </c>
      <c r="AO1265" s="19" t="s">
        <v>235</v>
      </c>
      <c r="AP1265" s="94"/>
      <c r="AQ1265" s="19" t="s">
        <v>1065</v>
      </c>
      <c r="AR1265" s="19" t="s">
        <v>241</v>
      </c>
      <c r="AS1265" s="19"/>
      <c r="AT1265" s="65" t="str">
        <f t="shared" si="347"/>
        <v>N</v>
      </c>
      <c r="AU1265" s="65" t="str">
        <f t="shared" si="362"/>
        <v>N</v>
      </c>
      <c r="AV1265" s="65" t="str">
        <f t="shared" si="356"/>
        <v>N</v>
      </c>
      <c r="AW1265" s="99"/>
      <c r="AX1265" s="99"/>
      <c r="AY1265" s="19"/>
      <c r="AZ1265" s="96" t="str">
        <f t="shared" si="363"/>
        <v>n</v>
      </c>
      <c r="BA1265" s="96" t="str">
        <f>IF(AZ1265="n","n",VLOOKUP(AZ1265,'Conversion factors'!$C$4:$D$24,2,FALSE))</f>
        <v>n</v>
      </c>
      <c r="BB1265" s="96" t="str">
        <f t="shared" si="364"/>
        <v>n</v>
      </c>
      <c r="BC1265" s="97"/>
      <c r="BD1265" s="96" t="str">
        <f t="shared" si="348"/>
        <v>n</v>
      </c>
      <c r="BE1265" s="96" t="str">
        <f t="shared" si="365"/>
        <v>n</v>
      </c>
      <c r="BF1265" s="98" t="str">
        <f t="shared" ref="BF1265:BF1283" si="366">IF(BE1265="n","",AZ1265)</f>
        <v/>
      </c>
      <c r="BG1265" s="96" t="str">
        <f>IF(BF1265="","",IF(ISNUMBER(VLOOKUP(BF1265,'Conversion factors'!$B$35:$C$52,2,FALSE)),"y","n"))</f>
        <v/>
      </c>
      <c r="BH1265" s="99"/>
      <c r="BI1265" s="103"/>
      <c r="BJ1265" s="103"/>
    </row>
    <row r="1266" spans="2:62" ht="15.75" customHeight="1" x14ac:dyDescent="0.2">
      <c r="B1266" s="19">
        <v>257</v>
      </c>
      <c r="C1266" s="19"/>
      <c r="D1266" s="19">
        <v>84082</v>
      </c>
      <c r="E1266" s="19" t="s">
        <v>1224</v>
      </c>
      <c r="F1266" s="93">
        <v>2004</v>
      </c>
      <c r="G1266" s="19" t="s">
        <v>872</v>
      </c>
      <c r="H1266" s="19"/>
      <c r="I1266" s="19" t="s">
        <v>41</v>
      </c>
      <c r="J1266" s="19" t="s">
        <v>873</v>
      </c>
      <c r="K1266" s="19" t="s">
        <v>874</v>
      </c>
      <c r="L1266" s="19"/>
      <c r="M1266" s="19" t="s">
        <v>672</v>
      </c>
      <c r="N1266" s="19" t="s">
        <v>66</v>
      </c>
      <c r="O1266" s="19" t="s">
        <v>235</v>
      </c>
      <c r="P1266" s="19" t="s">
        <v>1404</v>
      </c>
      <c r="Q1266" s="19"/>
      <c r="R1266" s="19" t="s">
        <v>256</v>
      </c>
      <c r="S1266" s="19" t="s">
        <v>304</v>
      </c>
      <c r="T1266" s="19" t="s">
        <v>55</v>
      </c>
      <c r="U1266" s="19" t="s">
        <v>55</v>
      </c>
      <c r="V1266" s="19" t="s">
        <v>101</v>
      </c>
      <c r="W1266" s="19" t="s">
        <v>45</v>
      </c>
      <c r="X1266" s="19" t="s">
        <v>46</v>
      </c>
      <c r="Y1266" s="29"/>
      <c r="Z1266" s="19"/>
      <c r="AA1266" s="19"/>
      <c r="AB1266" s="19" t="s">
        <v>875</v>
      </c>
      <c r="AC1266" s="19" t="s">
        <v>214</v>
      </c>
      <c r="AD1266" s="19"/>
      <c r="AE1266" s="19" t="s">
        <v>351</v>
      </c>
      <c r="AF1266" s="19" t="s">
        <v>351</v>
      </c>
      <c r="AG1266" s="19" t="s">
        <v>235</v>
      </c>
      <c r="AH1266" s="19"/>
      <c r="AI1266" s="19"/>
      <c r="AJ1266" s="19">
        <f>MEDIAN(6.52,6.57)</f>
        <v>6.5449999999999999</v>
      </c>
      <c r="AK1266" s="19" t="s">
        <v>876</v>
      </c>
      <c r="AL1266" s="19"/>
      <c r="AM1266" s="19" t="s">
        <v>234</v>
      </c>
      <c r="AN1266" s="19" t="s">
        <v>877</v>
      </c>
      <c r="AO1266" s="19" t="s">
        <v>303</v>
      </c>
      <c r="AP1266" s="94">
        <v>3.79</v>
      </c>
      <c r="AQ1266" s="19" t="s">
        <v>878</v>
      </c>
      <c r="AR1266" s="19" t="s">
        <v>241</v>
      </c>
      <c r="AS1266" s="19"/>
      <c r="AT1266" s="65" t="str">
        <f t="shared" si="347"/>
        <v>Y</v>
      </c>
      <c r="AU1266" s="65" t="str">
        <f t="shared" si="362"/>
        <v>Y</v>
      </c>
      <c r="AV1266" s="65" t="str">
        <f t="shared" si="356"/>
        <v>Y</v>
      </c>
      <c r="AW1266" s="99" t="s">
        <v>1406</v>
      </c>
      <c r="AX1266" s="99"/>
      <c r="AY1266" s="19"/>
      <c r="AZ1266" s="96" t="str">
        <f t="shared" si="363"/>
        <v>LOEC</v>
      </c>
      <c r="BA1266" s="96">
        <f>IF(AZ1266="n","n",VLOOKUP(AZ1266,'Conversion factors'!$C$4:$D$24,2,FALSE))</f>
        <v>2.5</v>
      </c>
      <c r="BB1266" s="96">
        <f t="shared" si="364"/>
        <v>25.2</v>
      </c>
      <c r="BC1266" s="97"/>
      <c r="BD1266" s="96" t="str">
        <f t="shared" si="348"/>
        <v>Chronic</v>
      </c>
      <c r="BE1266" s="96" t="str">
        <f t="shared" si="365"/>
        <v>y</v>
      </c>
      <c r="BF1266" s="98" t="str">
        <f t="shared" si="366"/>
        <v>LOEC</v>
      </c>
      <c r="BG1266" s="96" t="str">
        <f>IF(BF1266="","",IF(ISNUMBER(VLOOKUP(BF1266,'Conversion factors'!$B$35:$C$52,2,FALSE)),"y","n"))</f>
        <v>n</v>
      </c>
      <c r="BH1266" s="99"/>
      <c r="BI1266" s="103"/>
      <c r="BJ1266" s="103"/>
    </row>
    <row r="1267" spans="2:62" ht="15.75" customHeight="1" x14ac:dyDescent="0.2">
      <c r="B1267" s="19">
        <v>269</v>
      </c>
      <c r="C1267" s="19"/>
      <c r="D1267" s="19">
        <v>97671</v>
      </c>
      <c r="E1267" s="19" t="s">
        <v>1224</v>
      </c>
      <c r="F1267" s="93">
        <v>2007</v>
      </c>
      <c r="G1267" s="19" t="s">
        <v>913</v>
      </c>
      <c r="H1267" s="19"/>
      <c r="I1267" s="19" t="s">
        <v>41</v>
      </c>
      <c r="J1267" s="19" t="s">
        <v>914</v>
      </c>
      <c r="K1267" s="19" t="s">
        <v>874</v>
      </c>
      <c r="L1267" s="19"/>
      <c r="M1267" s="19" t="s">
        <v>672</v>
      </c>
      <c r="N1267" s="19"/>
      <c r="O1267" s="19" t="s">
        <v>235</v>
      </c>
      <c r="P1267" s="19" t="s">
        <v>1404</v>
      </c>
      <c r="Q1267" s="19"/>
      <c r="R1267" s="19" t="s">
        <v>81</v>
      </c>
      <c r="S1267" s="19" t="s">
        <v>915</v>
      </c>
      <c r="T1267" s="19" t="s">
        <v>454</v>
      </c>
      <c r="U1267" s="19" t="s">
        <v>454</v>
      </c>
      <c r="V1267" s="19" t="s">
        <v>1215</v>
      </c>
      <c r="W1267" s="19" t="s">
        <v>231</v>
      </c>
      <c r="X1267" s="19" t="s">
        <v>46</v>
      </c>
      <c r="Y1267" s="29"/>
      <c r="Z1267" s="19"/>
      <c r="AA1267" s="19"/>
      <c r="AB1267" s="19" t="s">
        <v>101</v>
      </c>
      <c r="AC1267" s="19" t="s">
        <v>1322</v>
      </c>
      <c r="AD1267" s="19"/>
      <c r="AE1267" s="19"/>
      <c r="AF1267" s="19"/>
      <c r="AG1267" s="19" t="s">
        <v>235</v>
      </c>
      <c r="AH1267" s="19"/>
      <c r="AI1267" s="19"/>
      <c r="AJ1267" s="19" t="s">
        <v>234</v>
      </c>
      <c r="AK1267" s="19" t="s">
        <v>234</v>
      </c>
      <c r="AL1267" s="19"/>
      <c r="AM1267" s="19" t="s">
        <v>234</v>
      </c>
      <c r="AN1267" s="19" t="s">
        <v>234</v>
      </c>
      <c r="AO1267" s="19" t="s">
        <v>235</v>
      </c>
      <c r="AP1267" s="94"/>
      <c r="AQ1267" s="19" t="s">
        <v>471</v>
      </c>
      <c r="AR1267" s="19" t="s">
        <v>241</v>
      </c>
      <c r="AS1267" s="19"/>
      <c r="AT1267" s="65" t="str">
        <f t="shared" si="347"/>
        <v>N</v>
      </c>
      <c r="AU1267" s="65" t="str">
        <f t="shared" si="362"/>
        <v>N</v>
      </c>
      <c r="AV1267" s="65" t="str">
        <f t="shared" si="356"/>
        <v>N</v>
      </c>
      <c r="AW1267" s="99"/>
      <c r="AX1267" s="99"/>
      <c r="AY1267" s="19"/>
      <c r="AZ1267" s="96" t="str">
        <f t="shared" si="363"/>
        <v>n</v>
      </c>
      <c r="BA1267" s="96" t="str">
        <f>IF(AZ1267="n","n",VLOOKUP(AZ1267,'Conversion factors'!$C$4:$D$24,2,FALSE))</f>
        <v>n</v>
      </c>
      <c r="BB1267" s="96" t="str">
        <f t="shared" si="364"/>
        <v>n</v>
      </c>
      <c r="BC1267" s="97"/>
      <c r="BD1267" s="96" t="str">
        <f t="shared" si="348"/>
        <v>n</v>
      </c>
      <c r="BE1267" s="96" t="str">
        <f t="shared" si="365"/>
        <v>n</v>
      </c>
      <c r="BF1267" s="98" t="str">
        <f t="shared" si="366"/>
        <v/>
      </c>
      <c r="BG1267" s="96" t="str">
        <f>IF(BF1267="","",IF(ISNUMBER(VLOOKUP(BF1267,'Conversion factors'!$B$35:$C$52,2,FALSE)),"y","n"))</f>
        <v/>
      </c>
      <c r="BH1267" s="99"/>
      <c r="BI1267" s="103"/>
      <c r="BJ1267" s="103"/>
    </row>
    <row r="1268" spans="2:62" ht="15.75" customHeight="1" x14ac:dyDescent="0.2">
      <c r="B1268" s="19">
        <v>269</v>
      </c>
      <c r="C1268" s="19"/>
      <c r="D1268" s="19">
        <v>97671</v>
      </c>
      <c r="E1268" s="19" t="s">
        <v>1224</v>
      </c>
      <c r="F1268" s="93">
        <v>2007</v>
      </c>
      <c r="G1268" s="19" t="s">
        <v>913</v>
      </c>
      <c r="H1268" s="19"/>
      <c r="I1268" s="19" t="s">
        <v>41</v>
      </c>
      <c r="J1268" s="19" t="s">
        <v>914</v>
      </c>
      <c r="K1268" s="19" t="s">
        <v>874</v>
      </c>
      <c r="L1268" s="19"/>
      <c r="M1268" s="19" t="s">
        <v>672</v>
      </c>
      <c r="N1268" s="19"/>
      <c r="O1268" s="19" t="s">
        <v>235</v>
      </c>
      <c r="P1268" s="19" t="s">
        <v>1404</v>
      </c>
      <c r="Q1268" s="19"/>
      <c r="R1268" s="19" t="s">
        <v>81</v>
      </c>
      <c r="S1268" s="19" t="s">
        <v>481</v>
      </c>
      <c r="T1268" s="19" t="s">
        <v>454</v>
      </c>
      <c r="U1268" s="19" t="s">
        <v>454</v>
      </c>
      <c r="V1268" s="19" t="s">
        <v>1215</v>
      </c>
      <c r="W1268" s="19" t="s">
        <v>231</v>
      </c>
      <c r="X1268" s="19" t="s">
        <v>46</v>
      </c>
      <c r="Y1268" s="29"/>
      <c r="Z1268" s="19"/>
      <c r="AA1268" s="19"/>
      <c r="AB1268" s="19" t="s">
        <v>101</v>
      </c>
      <c r="AC1268" s="19" t="s">
        <v>1322</v>
      </c>
      <c r="AD1268" s="19"/>
      <c r="AE1268" s="19"/>
      <c r="AF1268" s="19"/>
      <c r="AG1268" s="19" t="s">
        <v>235</v>
      </c>
      <c r="AH1268" s="19"/>
      <c r="AI1268" s="19"/>
      <c r="AJ1268" s="19" t="s">
        <v>234</v>
      </c>
      <c r="AK1268" s="19" t="s">
        <v>234</v>
      </c>
      <c r="AL1268" s="19"/>
      <c r="AM1268" s="19" t="s">
        <v>234</v>
      </c>
      <c r="AN1268" s="19" t="s">
        <v>234</v>
      </c>
      <c r="AO1268" s="19" t="s">
        <v>235</v>
      </c>
      <c r="AP1268" s="94"/>
      <c r="AQ1268" s="19" t="s">
        <v>471</v>
      </c>
      <c r="AR1268" s="19" t="s">
        <v>241</v>
      </c>
      <c r="AS1268" s="19"/>
      <c r="AT1268" s="65" t="str">
        <f t="shared" si="347"/>
        <v>N</v>
      </c>
      <c r="AU1268" s="65" t="str">
        <f t="shared" si="362"/>
        <v>N</v>
      </c>
      <c r="AV1268" s="65" t="str">
        <f t="shared" si="356"/>
        <v>N</v>
      </c>
      <c r="AW1268" s="99"/>
      <c r="AX1268" s="99"/>
      <c r="AY1268" s="19"/>
      <c r="AZ1268" s="96" t="str">
        <f t="shared" si="363"/>
        <v>n</v>
      </c>
      <c r="BA1268" s="96" t="str">
        <f>IF(AZ1268="n","n",VLOOKUP(AZ1268,'Conversion factors'!$C$4:$D$24,2,FALSE))</f>
        <v>n</v>
      </c>
      <c r="BB1268" s="96" t="str">
        <f t="shared" si="364"/>
        <v>n</v>
      </c>
      <c r="BC1268" s="97"/>
      <c r="BD1268" s="96" t="str">
        <f t="shared" si="348"/>
        <v>n</v>
      </c>
      <c r="BE1268" s="96" t="str">
        <f t="shared" si="365"/>
        <v>n</v>
      </c>
      <c r="BF1268" s="98" t="str">
        <f t="shared" si="366"/>
        <v/>
      </c>
      <c r="BG1268" s="96" t="str">
        <f>IF(BF1268="","",IF(ISNUMBER(VLOOKUP(BF1268,'Conversion factors'!$B$35:$C$52,2,FALSE)),"y","n"))</f>
        <v/>
      </c>
      <c r="BH1268" s="99"/>
      <c r="BI1268" s="103"/>
      <c r="BJ1268" s="103"/>
    </row>
    <row r="1269" spans="2:62" ht="15.75" customHeight="1" x14ac:dyDescent="0.2">
      <c r="B1269" s="19">
        <v>269</v>
      </c>
      <c r="C1269" s="19"/>
      <c r="D1269" s="19">
        <v>97671</v>
      </c>
      <c r="E1269" s="19" t="s">
        <v>1224</v>
      </c>
      <c r="F1269" s="93">
        <v>2007</v>
      </c>
      <c r="G1269" s="19" t="s">
        <v>913</v>
      </c>
      <c r="H1269" s="19"/>
      <c r="I1269" s="19" t="s">
        <v>41</v>
      </c>
      <c r="J1269" s="19" t="s">
        <v>914</v>
      </c>
      <c r="K1269" s="19" t="s">
        <v>874</v>
      </c>
      <c r="L1269" s="19"/>
      <c r="M1269" s="19" t="s">
        <v>672</v>
      </c>
      <c r="N1269" s="19"/>
      <c r="O1269" s="19" t="s">
        <v>235</v>
      </c>
      <c r="P1269" s="19" t="s">
        <v>1404</v>
      </c>
      <c r="Q1269" s="19"/>
      <c r="R1269" s="19" t="s">
        <v>81</v>
      </c>
      <c r="S1269" s="19" t="s">
        <v>402</v>
      </c>
      <c r="T1269" s="19" t="s">
        <v>454</v>
      </c>
      <c r="U1269" s="19" t="s">
        <v>454</v>
      </c>
      <c r="V1269" s="19" t="s">
        <v>1215</v>
      </c>
      <c r="W1269" s="19" t="s">
        <v>231</v>
      </c>
      <c r="X1269" s="19" t="s">
        <v>46</v>
      </c>
      <c r="Y1269" s="29"/>
      <c r="Z1269" s="19"/>
      <c r="AA1269" s="19"/>
      <c r="AB1269" s="19" t="s">
        <v>101</v>
      </c>
      <c r="AC1269" s="19" t="s">
        <v>1322</v>
      </c>
      <c r="AD1269" s="19"/>
      <c r="AE1269" s="19"/>
      <c r="AF1269" s="19"/>
      <c r="AG1269" s="19" t="s">
        <v>235</v>
      </c>
      <c r="AH1269" s="19"/>
      <c r="AI1269" s="19"/>
      <c r="AJ1269" s="19" t="s">
        <v>234</v>
      </c>
      <c r="AK1269" s="19" t="s">
        <v>234</v>
      </c>
      <c r="AL1269" s="19"/>
      <c r="AM1269" s="19" t="s">
        <v>234</v>
      </c>
      <c r="AN1269" s="19" t="s">
        <v>234</v>
      </c>
      <c r="AO1269" s="19" t="s">
        <v>235</v>
      </c>
      <c r="AP1269" s="94"/>
      <c r="AQ1269" s="19" t="s">
        <v>471</v>
      </c>
      <c r="AR1269" s="19" t="s">
        <v>241</v>
      </c>
      <c r="AS1269" s="19"/>
      <c r="AT1269" s="65" t="str">
        <f t="shared" si="347"/>
        <v>N</v>
      </c>
      <c r="AU1269" s="65" t="str">
        <f t="shared" si="362"/>
        <v>N</v>
      </c>
      <c r="AV1269" s="65" t="str">
        <f t="shared" si="356"/>
        <v>N</v>
      </c>
      <c r="AW1269" s="99"/>
      <c r="AX1269" s="99"/>
      <c r="AY1269" s="19"/>
      <c r="AZ1269" s="96" t="str">
        <f t="shared" si="363"/>
        <v>n</v>
      </c>
      <c r="BA1269" s="96" t="str">
        <f>IF(AZ1269="n","n",VLOOKUP(AZ1269,'Conversion factors'!$C$4:$D$24,2,FALSE))</f>
        <v>n</v>
      </c>
      <c r="BB1269" s="96" t="str">
        <f t="shared" si="364"/>
        <v>n</v>
      </c>
      <c r="BC1269" s="97"/>
      <c r="BD1269" s="96" t="str">
        <f t="shared" si="348"/>
        <v>n</v>
      </c>
      <c r="BE1269" s="96" t="str">
        <f t="shared" si="365"/>
        <v>n</v>
      </c>
      <c r="BF1269" s="98" t="str">
        <f t="shared" si="366"/>
        <v/>
      </c>
      <c r="BG1269" s="96" t="str">
        <f>IF(BF1269="","",IF(ISNUMBER(VLOOKUP(BF1269,'Conversion factors'!$B$35:$C$52,2,FALSE)),"y","n"))</f>
        <v/>
      </c>
      <c r="BH1269" s="99"/>
      <c r="BI1269" s="103"/>
      <c r="BJ1269" s="103"/>
    </row>
    <row r="1270" spans="2:62" ht="15.75" customHeight="1" x14ac:dyDescent="0.2">
      <c r="B1270" s="19">
        <v>269</v>
      </c>
      <c r="C1270" s="19"/>
      <c r="D1270" s="19">
        <v>97671</v>
      </c>
      <c r="E1270" s="19" t="s">
        <v>1224</v>
      </c>
      <c r="F1270" s="93">
        <v>2007</v>
      </c>
      <c r="G1270" s="19" t="s">
        <v>913</v>
      </c>
      <c r="H1270" s="19"/>
      <c r="I1270" s="19" t="s">
        <v>41</v>
      </c>
      <c r="J1270" s="19" t="s">
        <v>914</v>
      </c>
      <c r="K1270" s="19" t="s">
        <v>874</v>
      </c>
      <c r="L1270" s="19"/>
      <c r="M1270" s="19" t="s">
        <v>672</v>
      </c>
      <c r="N1270" s="19"/>
      <c r="O1270" s="19" t="s">
        <v>235</v>
      </c>
      <c r="P1270" s="19" t="s">
        <v>1404</v>
      </c>
      <c r="Q1270" s="19"/>
      <c r="R1270" s="19" t="s">
        <v>237</v>
      </c>
      <c r="S1270" s="19" t="s">
        <v>918</v>
      </c>
      <c r="T1270" s="19" t="s">
        <v>465</v>
      </c>
      <c r="U1270" s="19" t="s">
        <v>54</v>
      </c>
      <c r="V1270" s="19" t="s">
        <v>148</v>
      </c>
      <c r="W1270" s="19" t="s">
        <v>231</v>
      </c>
      <c r="X1270" s="19" t="s">
        <v>46</v>
      </c>
      <c r="Y1270" s="29"/>
      <c r="Z1270" s="19"/>
      <c r="AA1270" s="19"/>
      <c r="AB1270" s="19" t="s">
        <v>415</v>
      </c>
      <c r="AC1270" s="19" t="s">
        <v>1322</v>
      </c>
      <c r="AD1270" s="19"/>
      <c r="AE1270" s="19"/>
      <c r="AF1270" s="19"/>
      <c r="AG1270" s="19" t="s">
        <v>235</v>
      </c>
      <c r="AH1270" s="19"/>
      <c r="AI1270" s="19"/>
      <c r="AJ1270" s="19" t="s">
        <v>234</v>
      </c>
      <c r="AK1270" s="19" t="s">
        <v>234</v>
      </c>
      <c r="AL1270" s="19"/>
      <c r="AM1270" s="19" t="s">
        <v>234</v>
      </c>
      <c r="AN1270" s="19" t="s">
        <v>234</v>
      </c>
      <c r="AO1270" s="19" t="s">
        <v>235</v>
      </c>
      <c r="AP1270" s="94"/>
      <c r="AQ1270" s="19" t="s">
        <v>471</v>
      </c>
      <c r="AR1270" s="19" t="s">
        <v>241</v>
      </c>
      <c r="AS1270" s="19"/>
      <c r="AT1270" s="65" t="str">
        <f t="shared" si="347"/>
        <v>N</v>
      </c>
      <c r="AU1270" s="65" t="str">
        <f t="shared" si="362"/>
        <v>N</v>
      </c>
      <c r="AV1270" s="65" t="str">
        <f t="shared" si="356"/>
        <v>N</v>
      </c>
      <c r="AW1270" s="99"/>
      <c r="AX1270" s="99"/>
      <c r="AY1270" s="19"/>
      <c r="AZ1270" s="96" t="str">
        <f t="shared" si="363"/>
        <v>n</v>
      </c>
      <c r="BA1270" s="96" t="str">
        <f>IF(AZ1270="n","n",VLOOKUP(AZ1270,'Conversion factors'!$C$4:$D$24,2,FALSE))</f>
        <v>n</v>
      </c>
      <c r="BB1270" s="96" t="str">
        <f t="shared" si="364"/>
        <v>n</v>
      </c>
      <c r="BC1270" s="97"/>
      <c r="BD1270" s="96" t="str">
        <f t="shared" si="348"/>
        <v>n</v>
      </c>
      <c r="BE1270" s="96" t="str">
        <f t="shared" si="365"/>
        <v>n</v>
      </c>
      <c r="BF1270" s="98" t="str">
        <f t="shared" si="366"/>
        <v/>
      </c>
      <c r="BG1270" s="96" t="str">
        <f>IF(BF1270="","",IF(ISNUMBER(VLOOKUP(BF1270,'Conversion factors'!$B$35:$C$52,2,FALSE)),"y","n"))</f>
        <v/>
      </c>
      <c r="BH1270" s="99"/>
      <c r="BI1270" s="103"/>
      <c r="BJ1270" s="103"/>
    </row>
    <row r="1271" spans="2:62" ht="15.75" customHeight="1" x14ac:dyDescent="0.2">
      <c r="B1271" s="19">
        <v>269</v>
      </c>
      <c r="C1271" s="19"/>
      <c r="D1271" s="19">
        <v>97671</v>
      </c>
      <c r="E1271" s="19" t="s">
        <v>1224</v>
      </c>
      <c r="F1271" s="93">
        <v>2007</v>
      </c>
      <c r="G1271" s="19" t="s">
        <v>913</v>
      </c>
      <c r="H1271" s="19"/>
      <c r="I1271" s="19" t="s">
        <v>41</v>
      </c>
      <c r="J1271" s="19" t="s">
        <v>914</v>
      </c>
      <c r="K1271" s="19" t="s">
        <v>874</v>
      </c>
      <c r="L1271" s="19"/>
      <c r="M1271" s="19" t="s">
        <v>672</v>
      </c>
      <c r="N1271" s="19"/>
      <c r="O1271" s="19" t="s">
        <v>235</v>
      </c>
      <c r="P1271" s="19" t="s">
        <v>1404</v>
      </c>
      <c r="Q1271" s="19"/>
      <c r="R1271" s="19" t="s">
        <v>537</v>
      </c>
      <c r="S1271" s="19" t="s">
        <v>916</v>
      </c>
      <c r="T1271" s="19" t="s">
        <v>454</v>
      </c>
      <c r="U1271" s="19" t="s">
        <v>454</v>
      </c>
      <c r="V1271" s="19" t="s">
        <v>1215</v>
      </c>
      <c r="W1271" s="19" t="s">
        <v>231</v>
      </c>
      <c r="X1271" s="19" t="s">
        <v>46</v>
      </c>
      <c r="Y1271" s="29"/>
      <c r="Z1271" s="19"/>
      <c r="AA1271" s="19"/>
      <c r="AB1271" s="19" t="s">
        <v>101</v>
      </c>
      <c r="AC1271" s="19" t="s">
        <v>1322</v>
      </c>
      <c r="AD1271" s="19"/>
      <c r="AE1271" s="19"/>
      <c r="AF1271" s="19"/>
      <c r="AG1271" s="19" t="s">
        <v>235</v>
      </c>
      <c r="AH1271" s="19"/>
      <c r="AI1271" s="19"/>
      <c r="AJ1271" s="19" t="s">
        <v>234</v>
      </c>
      <c r="AK1271" s="19" t="s">
        <v>234</v>
      </c>
      <c r="AL1271" s="19"/>
      <c r="AM1271" s="19" t="s">
        <v>234</v>
      </c>
      <c r="AN1271" s="19" t="s">
        <v>234</v>
      </c>
      <c r="AO1271" s="19" t="s">
        <v>235</v>
      </c>
      <c r="AP1271" s="94"/>
      <c r="AQ1271" s="19" t="s">
        <v>471</v>
      </c>
      <c r="AR1271" s="19" t="s">
        <v>241</v>
      </c>
      <c r="AS1271" s="19"/>
      <c r="AT1271" s="65" t="str">
        <f t="shared" si="347"/>
        <v>N</v>
      </c>
      <c r="AU1271" s="65" t="str">
        <f t="shared" si="362"/>
        <v>N</v>
      </c>
      <c r="AV1271" s="65" t="str">
        <f t="shared" si="356"/>
        <v>N</v>
      </c>
      <c r="AW1271" s="99"/>
      <c r="AX1271" s="99"/>
      <c r="AY1271" s="19"/>
      <c r="AZ1271" s="96" t="str">
        <f t="shared" si="363"/>
        <v>n</v>
      </c>
      <c r="BA1271" s="96" t="str">
        <f>IF(AZ1271="n","n",VLOOKUP(AZ1271,'Conversion factors'!$C$4:$D$24,2,FALSE))</f>
        <v>n</v>
      </c>
      <c r="BB1271" s="96" t="str">
        <f t="shared" si="364"/>
        <v>n</v>
      </c>
      <c r="BC1271" s="97"/>
      <c r="BD1271" s="96" t="str">
        <f t="shared" si="348"/>
        <v>n</v>
      </c>
      <c r="BE1271" s="96" t="str">
        <f t="shared" si="365"/>
        <v>n</v>
      </c>
      <c r="BF1271" s="98" t="str">
        <f t="shared" si="366"/>
        <v/>
      </c>
      <c r="BG1271" s="96" t="str">
        <f>IF(BF1271="","",IF(ISNUMBER(VLOOKUP(BF1271,'Conversion factors'!$B$35:$C$52,2,FALSE)),"y","n"))</f>
        <v/>
      </c>
      <c r="BH1271" s="99"/>
      <c r="BI1271" s="103"/>
      <c r="BJ1271" s="103"/>
    </row>
    <row r="1272" spans="2:62" ht="15.75" customHeight="1" x14ac:dyDescent="0.2">
      <c r="B1272" s="19">
        <v>269</v>
      </c>
      <c r="C1272" s="19"/>
      <c r="D1272" s="19">
        <v>97671</v>
      </c>
      <c r="E1272" s="19" t="s">
        <v>1224</v>
      </c>
      <c r="F1272" s="93">
        <v>2007</v>
      </c>
      <c r="G1272" s="19" t="s">
        <v>913</v>
      </c>
      <c r="H1272" s="19"/>
      <c r="I1272" s="19" t="s">
        <v>41</v>
      </c>
      <c r="J1272" s="19" t="s">
        <v>914</v>
      </c>
      <c r="K1272" s="19" t="s">
        <v>874</v>
      </c>
      <c r="L1272" s="19"/>
      <c r="M1272" s="19" t="s">
        <v>672</v>
      </c>
      <c r="N1272" s="19"/>
      <c r="O1272" s="19" t="s">
        <v>235</v>
      </c>
      <c r="P1272" s="19" t="s">
        <v>1404</v>
      </c>
      <c r="Q1272" s="19"/>
      <c r="R1272" s="19" t="s">
        <v>537</v>
      </c>
      <c r="S1272" s="19" t="s">
        <v>915</v>
      </c>
      <c r="T1272" s="19" t="s">
        <v>454</v>
      </c>
      <c r="U1272" s="19" t="s">
        <v>454</v>
      </c>
      <c r="V1272" s="19" t="s">
        <v>1215</v>
      </c>
      <c r="W1272" s="19" t="s">
        <v>231</v>
      </c>
      <c r="X1272" s="19" t="s">
        <v>46</v>
      </c>
      <c r="Y1272" s="29"/>
      <c r="Z1272" s="19"/>
      <c r="AA1272" s="19"/>
      <c r="AB1272" s="19" t="s">
        <v>101</v>
      </c>
      <c r="AC1272" s="19" t="s">
        <v>1322</v>
      </c>
      <c r="AD1272" s="19"/>
      <c r="AE1272" s="19"/>
      <c r="AF1272" s="19"/>
      <c r="AG1272" s="19" t="s">
        <v>235</v>
      </c>
      <c r="AH1272" s="19"/>
      <c r="AI1272" s="19"/>
      <c r="AJ1272" s="19" t="s">
        <v>234</v>
      </c>
      <c r="AK1272" s="19" t="s">
        <v>234</v>
      </c>
      <c r="AL1272" s="19"/>
      <c r="AM1272" s="19" t="s">
        <v>234</v>
      </c>
      <c r="AN1272" s="19" t="s">
        <v>234</v>
      </c>
      <c r="AO1272" s="19" t="s">
        <v>235</v>
      </c>
      <c r="AP1272" s="94"/>
      <c r="AQ1272" s="19" t="s">
        <v>471</v>
      </c>
      <c r="AR1272" s="19" t="s">
        <v>241</v>
      </c>
      <c r="AS1272" s="19"/>
      <c r="AT1272" s="65" t="str">
        <f t="shared" si="347"/>
        <v>N</v>
      </c>
      <c r="AU1272" s="65" t="str">
        <f t="shared" si="362"/>
        <v>N</v>
      </c>
      <c r="AV1272" s="65" t="str">
        <f t="shared" si="356"/>
        <v>N</v>
      </c>
      <c r="AW1272" s="99"/>
      <c r="AX1272" s="99"/>
      <c r="AY1272" s="19"/>
      <c r="AZ1272" s="96" t="str">
        <f t="shared" si="363"/>
        <v>n</v>
      </c>
      <c r="BA1272" s="96" t="str">
        <f>IF(AZ1272="n","n",VLOOKUP(AZ1272,'Conversion factors'!$C$4:$D$24,2,FALSE))</f>
        <v>n</v>
      </c>
      <c r="BB1272" s="96" t="str">
        <f t="shared" si="364"/>
        <v>n</v>
      </c>
      <c r="BC1272" s="97"/>
      <c r="BD1272" s="96" t="str">
        <f t="shared" si="348"/>
        <v>n</v>
      </c>
      <c r="BE1272" s="96" t="str">
        <f t="shared" si="365"/>
        <v>n</v>
      </c>
      <c r="BF1272" s="98" t="str">
        <f t="shared" si="366"/>
        <v/>
      </c>
      <c r="BG1272" s="96" t="str">
        <f>IF(BF1272="","",IF(ISNUMBER(VLOOKUP(BF1272,'Conversion factors'!$B$35:$C$52,2,FALSE)),"y","n"))</f>
        <v/>
      </c>
      <c r="BH1272" s="99"/>
      <c r="BI1272" s="103"/>
      <c r="BJ1272" s="103"/>
    </row>
    <row r="1273" spans="2:62" ht="15.75" customHeight="1" x14ac:dyDescent="0.2">
      <c r="B1273" s="19">
        <v>269</v>
      </c>
      <c r="C1273" s="19"/>
      <c r="D1273" s="19">
        <v>97671</v>
      </c>
      <c r="E1273" s="19" t="s">
        <v>1224</v>
      </c>
      <c r="F1273" s="93">
        <v>2007</v>
      </c>
      <c r="G1273" s="19" t="s">
        <v>913</v>
      </c>
      <c r="H1273" s="19"/>
      <c r="I1273" s="19" t="s">
        <v>41</v>
      </c>
      <c r="J1273" s="19" t="s">
        <v>914</v>
      </c>
      <c r="K1273" s="19" t="s">
        <v>874</v>
      </c>
      <c r="L1273" s="19"/>
      <c r="M1273" s="19" t="s">
        <v>672</v>
      </c>
      <c r="N1273" s="19"/>
      <c r="O1273" s="19" t="s">
        <v>235</v>
      </c>
      <c r="P1273" s="19" t="s">
        <v>1404</v>
      </c>
      <c r="Q1273" s="19"/>
      <c r="R1273" s="19" t="s">
        <v>537</v>
      </c>
      <c r="S1273" s="19" t="s">
        <v>402</v>
      </c>
      <c r="T1273" s="19" t="s">
        <v>454</v>
      </c>
      <c r="U1273" s="19" t="s">
        <v>454</v>
      </c>
      <c r="V1273" s="19" t="s">
        <v>1215</v>
      </c>
      <c r="W1273" s="19" t="s">
        <v>231</v>
      </c>
      <c r="X1273" s="19" t="s">
        <v>46</v>
      </c>
      <c r="Y1273" s="29"/>
      <c r="Z1273" s="19"/>
      <c r="AA1273" s="19"/>
      <c r="AB1273" s="19" t="s">
        <v>101</v>
      </c>
      <c r="AC1273" s="19" t="s">
        <v>1322</v>
      </c>
      <c r="AD1273" s="19"/>
      <c r="AE1273" s="19"/>
      <c r="AF1273" s="19"/>
      <c r="AG1273" s="19" t="s">
        <v>235</v>
      </c>
      <c r="AH1273" s="19"/>
      <c r="AI1273" s="19"/>
      <c r="AJ1273" s="19" t="s">
        <v>234</v>
      </c>
      <c r="AK1273" s="19" t="s">
        <v>234</v>
      </c>
      <c r="AL1273" s="19"/>
      <c r="AM1273" s="19" t="s">
        <v>234</v>
      </c>
      <c r="AN1273" s="19" t="s">
        <v>234</v>
      </c>
      <c r="AO1273" s="19" t="s">
        <v>235</v>
      </c>
      <c r="AP1273" s="94"/>
      <c r="AQ1273" s="19" t="s">
        <v>471</v>
      </c>
      <c r="AR1273" s="19" t="s">
        <v>241</v>
      </c>
      <c r="AS1273" s="19"/>
      <c r="AT1273" s="65" t="str">
        <f t="shared" si="347"/>
        <v>N</v>
      </c>
      <c r="AU1273" s="65" t="str">
        <f t="shared" si="362"/>
        <v>N</v>
      </c>
      <c r="AV1273" s="65" t="str">
        <f t="shared" si="356"/>
        <v>N</v>
      </c>
      <c r="AW1273" s="99"/>
      <c r="AX1273" s="99"/>
      <c r="AY1273" s="19"/>
      <c r="AZ1273" s="96" t="str">
        <f t="shared" si="363"/>
        <v>n</v>
      </c>
      <c r="BA1273" s="96" t="str">
        <f>IF(AZ1273="n","n",VLOOKUP(AZ1273,'Conversion factors'!$C$4:$D$24,2,FALSE))</f>
        <v>n</v>
      </c>
      <c r="BB1273" s="96" t="str">
        <f t="shared" si="364"/>
        <v>n</v>
      </c>
      <c r="BC1273" s="97"/>
      <c r="BD1273" s="96" t="str">
        <f t="shared" si="348"/>
        <v>n</v>
      </c>
      <c r="BE1273" s="96" t="str">
        <f t="shared" si="365"/>
        <v>n</v>
      </c>
      <c r="BF1273" s="98" t="str">
        <f t="shared" si="366"/>
        <v/>
      </c>
      <c r="BG1273" s="96" t="str">
        <f>IF(BF1273="","",IF(ISNUMBER(VLOOKUP(BF1273,'Conversion factors'!$B$35:$C$52,2,FALSE)),"y","n"))</f>
        <v/>
      </c>
      <c r="BH1273" s="99"/>
      <c r="BI1273" s="103"/>
      <c r="BJ1273" s="103"/>
    </row>
    <row r="1274" spans="2:62" ht="15.75" customHeight="1" x14ac:dyDescent="0.2">
      <c r="B1274" s="19">
        <v>269</v>
      </c>
      <c r="C1274" s="19"/>
      <c r="D1274" s="19">
        <v>97671</v>
      </c>
      <c r="E1274" s="19" t="s">
        <v>1224</v>
      </c>
      <c r="F1274" s="93">
        <v>2007</v>
      </c>
      <c r="G1274" s="19" t="s">
        <v>913</v>
      </c>
      <c r="H1274" s="19"/>
      <c r="I1274" s="19" t="s">
        <v>41</v>
      </c>
      <c r="J1274" s="19" t="s">
        <v>914</v>
      </c>
      <c r="K1274" s="19" t="s">
        <v>874</v>
      </c>
      <c r="L1274" s="19"/>
      <c r="M1274" s="19" t="s">
        <v>672</v>
      </c>
      <c r="N1274" s="19"/>
      <c r="O1274" s="19" t="s">
        <v>235</v>
      </c>
      <c r="P1274" s="19" t="s">
        <v>1404</v>
      </c>
      <c r="Q1274" s="19"/>
      <c r="R1274" s="19" t="s">
        <v>76</v>
      </c>
      <c r="S1274" s="19" t="s">
        <v>917</v>
      </c>
      <c r="T1274" s="19" t="s">
        <v>465</v>
      </c>
      <c r="U1274" s="19" t="s">
        <v>54</v>
      </c>
      <c r="V1274" s="19" t="s">
        <v>546</v>
      </c>
      <c r="W1274" s="19" t="s">
        <v>231</v>
      </c>
      <c r="X1274" s="19" t="s">
        <v>46</v>
      </c>
      <c r="Y1274" s="29"/>
      <c r="Z1274" s="19"/>
      <c r="AA1274" s="19"/>
      <c r="AB1274" s="19" t="s">
        <v>415</v>
      </c>
      <c r="AC1274" s="19" t="s">
        <v>1322</v>
      </c>
      <c r="AD1274" s="19"/>
      <c r="AE1274" s="19"/>
      <c r="AF1274" s="19"/>
      <c r="AG1274" s="19" t="s">
        <v>235</v>
      </c>
      <c r="AH1274" s="19"/>
      <c r="AI1274" s="19"/>
      <c r="AJ1274" s="19" t="s">
        <v>234</v>
      </c>
      <c r="AK1274" s="19" t="s">
        <v>234</v>
      </c>
      <c r="AL1274" s="19"/>
      <c r="AM1274" s="19" t="s">
        <v>234</v>
      </c>
      <c r="AN1274" s="19" t="s">
        <v>234</v>
      </c>
      <c r="AO1274" s="19" t="s">
        <v>235</v>
      </c>
      <c r="AP1274" s="94"/>
      <c r="AQ1274" s="19" t="s">
        <v>471</v>
      </c>
      <c r="AR1274" s="19" t="s">
        <v>241</v>
      </c>
      <c r="AS1274" s="19"/>
      <c r="AT1274" s="65" t="str">
        <f t="shared" si="347"/>
        <v>N</v>
      </c>
      <c r="AU1274" s="65" t="str">
        <f t="shared" si="362"/>
        <v>N</v>
      </c>
      <c r="AV1274" s="65" t="str">
        <f t="shared" si="356"/>
        <v>N</v>
      </c>
      <c r="AW1274" s="99"/>
      <c r="AX1274" s="99"/>
      <c r="AY1274" s="19"/>
      <c r="AZ1274" s="96" t="str">
        <f t="shared" si="363"/>
        <v>n</v>
      </c>
      <c r="BA1274" s="96" t="str">
        <f>IF(AZ1274="n","n",VLOOKUP(AZ1274,'Conversion factors'!$C$4:$D$24,2,FALSE))</f>
        <v>n</v>
      </c>
      <c r="BB1274" s="96" t="str">
        <f t="shared" si="364"/>
        <v>n</v>
      </c>
      <c r="BC1274" s="97"/>
      <c r="BD1274" s="96" t="str">
        <f t="shared" si="348"/>
        <v>n</v>
      </c>
      <c r="BE1274" s="96" t="str">
        <f t="shared" si="365"/>
        <v>n</v>
      </c>
      <c r="BF1274" s="98" t="str">
        <f t="shared" si="366"/>
        <v/>
      </c>
      <c r="BG1274" s="96" t="str">
        <f>IF(BF1274="","",IF(ISNUMBER(VLOOKUP(BF1274,'Conversion factors'!$B$35:$C$52,2,FALSE)),"y","n"))</f>
        <v/>
      </c>
      <c r="BH1274" s="99"/>
      <c r="BI1274" s="103"/>
      <c r="BJ1274" s="103"/>
    </row>
    <row r="1275" spans="2:62" ht="15.75" customHeight="1" x14ac:dyDescent="0.2">
      <c r="B1275" s="19">
        <v>269</v>
      </c>
      <c r="C1275" s="19"/>
      <c r="D1275" s="19">
        <v>97671</v>
      </c>
      <c r="E1275" s="19" t="s">
        <v>1224</v>
      </c>
      <c r="F1275" s="93">
        <v>2007</v>
      </c>
      <c r="G1275" s="19" t="s">
        <v>913</v>
      </c>
      <c r="H1275" s="19"/>
      <c r="I1275" s="19" t="s">
        <v>41</v>
      </c>
      <c r="J1275" s="19" t="s">
        <v>914</v>
      </c>
      <c r="K1275" s="19" t="s">
        <v>874</v>
      </c>
      <c r="L1275" s="19"/>
      <c r="M1275" s="19" t="s">
        <v>672</v>
      </c>
      <c r="N1275" s="19"/>
      <c r="O1275" s="19" t="s">
        <v>235</v>
      </c>
      <c r="P1275" s="19" t="s">
        <v>1404</v>
      </c>
      <c r="Q1275" s="19"/>
      <c r="R1275" s="19" t="s">
        <v>76</v>
      </c>
      <c r="S1275" s="19" t="s">
        <v>919</v>
      </c>
      <c r="T1275" s="19" t="s">
        <v>465</v>
      </c>
      <c r="U1275" s="19" t="s">
        <v>54</v>
      </c>
      <c r="V1275" s="19" t="s">
        <v>546</v>
      </c>
      <c r="W1275" s="19" t="s">
        <v>231</v>
      </c>
      <c r="X1275" s="19" t="s">
        <v>46</v>
      </c>
      <c r="Y1275" s="29"/>
      <c r="Z1275" s="19"/>
      <c r="AA1275" s="19"/>
      <c r="AB1275" s="19" t="s">
        <v>415</v>
      </c>
      <c r="AC1275" s="19" t="s">
        <v>1322</v>
      </c>
      <c r="AD1275" s="19"/>
      <c r="AE1275" s="19"/>
      <c r="AF1275" s="19"/>
      <c r="AG1275" s="19" t="s">
        <v>235</v>
      </c>
      <c r="AH1275" s="19"/>
      <c r="AI1275" s="19"/>
      <c r="AJ1275" s="19" t="s">
        <v>234</v>
      </c>
      <c r="AK1275" s="19" t="s">
        <v>234</v>
      </c>
      <c r="AL1275" s="19"/>
      <c r="AM1275" s="19" t="s">
        <v>234</v>
      </c>
      <c r="AN1275" s="19" t="s">
        <v>234</v>
      </c>
      <c r="AO1275" s="19" t="s">
        <v>235</v>
      </c>
      <c r="AP1275" s="94"/>
      <c r="AQ1275" s="19" t="s">
        <v>471</v>
      </c>
      <c r="AR1275" s="19" t="s">
        <v>241</v>
      </c>
      <c r="AS1275" s="19"/>
      <c r="AT1275" s="65" t="str">
        <f t="shared" si="347"/>
        <v>N</v>
      </c>
      <c r="AU1275" s="65" t="str">
        <f t="shared" si="362"/>
        <v>N</v>
      </c>
      <c r="AV1275" s="65" t="str">
        <f t="shared" si="356"/>
        <v>N</v>
      </c>
      <c r="AW1275" s="99"/>
      <c r="AX1275" s="99"/>
      <c r="AY1275" s="19"/>
      <c r="AZ1275" s="96" t="str">
        <f t="shared" si="363"/>
        <v>n</v>
      </c>
      <c r="BA1275" s="96" t="str">
        <f>IF(AZ1275="n","n",VLOOKUP(AZ1275,'Conversion factors'!$C$4:$D$24,2,FALSE))</f>
        <v>n</v>
      </c>
      <c r="BB1275" s="96" t="str">
        <f t="shared" si="364"/>
        <v>n</v>
      </c>
      <c r="BC1275" s="97"/>
      <c r="BD1275" s="96" t="str">
        <f t="shared" si="348"/>
        <v>n</v>
      </c>
      <c r="BE1275" s="96" t="str">
        <f t="shared" si="365"/>
        <v>n</v>
      </c>
      <c r="BF1275" s="98" t="str">
        <f t="shared" si="366"/>
        <v/>
      </c>
      <c r="BG1275" s="96" t="str">
        <f>IF(BF1275="","",IF(ISNUMBER(VLOOKUP(BF1275,'Conversion factors'!$B$35:$C$52,2,FALSE)),"y","n"))</f>
        <v/>
      </c>
      <c r="BH1275" s="99"/>
      <c r="BI1275" s="103"/>
      <c r="BJ1275" s="103"/>
    </row>
    <row r="1276" spans="2:62" ht="15.75" customHeight="1" x14ac:dyDescent="0.2">
      <c r="B1276" s="19">
        <v>269</v>
      </c>
      <c r="C1276" s="19"/>
      <c r="D1276" s="19">
        <v>97671</v>
      </c>
      <c r="E1276" s="19" t="s">
        <v>1224</v>
      </c>
      <c r="F1276" s="93">
        <v>2007</v>
      </c>
      <c r="G1276" s="19" t="s">
        <v>913</v>
      </c>
      <c r="H1276" s="19"/>
      <c r="I1276" s="19" t="s">
        <v>41</v>
      </c>
      <c r="J1276" s="19" t="s">
        <v>914</v>
      </c>
      <c r="K1276" s="19" t="s">
        <v>874</v>
      </c>
      <c r="L1276" s="19"/>
      <c r="M1276" s="19" t="s">
        <v>672</v>
      </c>
      <c r="N1276" s="19"/>
      <c r="O1276" s="19" t="s">
        <v>235</v>
      </c>
      <c r="P1276" s="19" t="s">
        <v>1404</v>
      </c>
      <c r="Q1276" s="19"/>
      <c r="R1276" s="19" t="s">
        <v>76</v>
      </c>
      <c r="S1276" s="19" t="s">
        <v>917</v>
      </c>
      <c r="T1276" s="19" t="s">
        <v>465</v>
      </c>
      <c r="U1276" s="19" t="s">
        <v>54</v>
      </c>
      <c r="V1276" s="19" t="s">
        <v>546</v>
      </c>
      <c r="W1276" s="19" t="s">
        <v>231</v>
      </c>
      <c r="X1276" s="19" t="s">
        <v>46</v>
      </c>
      <c r="Y1276" s="29"/>
      <c r="Z1276" s="19"/>
      <c r="AA1276" s="19"/>
      <c r="AB1276" s="19" t="s">
        <v>415</v>
      </c>
      <c r="AC1276" s="19" t="s">
        <v>1322</v>
      </c>
      <c r="AD1276" s="19"/>
      <c r="AE1276" s="19"/>
      <c r="AF1276" s="19"/>
      <c r="AG1276" s="19" t="s">
        <v>235</v>
      </c>
      <c r="AH1276" s="19"/>
      <c r="AI1276" s="19"/>
      <c r="AJ1276" s="19" t="s">
        <v>234</v>
      </c>
      <c r="AK1276" s="19" t="s">
        <v>234</v>
      </c>
      <c r="AL1276" s="19"/>
      <c r="AM1276" s="19" t="s">
        <v>234</v>
      </c>
      <c r="AN1276" s="19" t="s">
        <v>234</v>
      </c>
      <c r="AO1276" s="19" t="s">
        <v>235</v>
      </c>
      <c r="AP1276" s="94"/>
      <c r="AQ1276" s="19" t="s">
        <v>471</v>
      </c>
      <c r="AR1276" s="19" t="s">
        <v>241</v>
      </c>
      <c r="AS1276" s="19"/>
      <c r="AT1276" s="65" t="str">
        <f t="shared" si="347"/>
        <v>N</v>
      </c>
      <c r="AU1276" s="65" t="str">
        <f t="shared" si="362"/>
        <v>N</v>
      </c>
      <c r="AV1276" s="65" t="str">
        <f t="shared" si="356"/>
        <v>N</v>
      </c>
      <c r="AW1276" s="99"/>
      <c r="AX1276" s="99"/>
      <c r="AY1276" s="19"/>
      <c r="AZ1276" s="96" t="str">
        <f t="shared" si="363"/>
        <v>n</v>
      </c>
      <c r="BA1276" s="96" t="str">
        <f>IF(AZ1276="n","n",VLOOKUP(AZ1276,'Conversion factors'!$C$4:$D$24,2,FALSE))</f>
        <v>n</v>
      </c>
      <c r="BB1276" s="96" t="str">
        <f t="shared" si="364"/>
        <v>n</v>
      </c>
      <c r="BC1276" s="97"/>
      <c r="BD1276" s="96" t="str">
        <f t="shared" si="348"/>
        <v>n</v>
      </c>
      <c r="BE1276" s="96" t="str">
        <f t="shared" si="365"/>
        <v>n</v>
      </c>
      <c r="BF1276" s="98" t="str">
        <f t="shared" si="366"/>
        <v/>
      </c>
      <c r="BG1276" s="96" t="str">
        <f>IF(BF1276="","",IF(ISNUMBER(VLOOKUP(BF1276,'Conversion factors'!$B$35:$C$52,2,FALSE)),"y","n"))</f>
        <v/>
      </c>
      <c r="BH1276" s="99"/>
      <c r="BI1276" s="103"/>
      <c r="BJ1276" s="103"/>
    </row>
    <row r="1277" spans="2:62" ht="15.75" customHeight="1" x14ac:dyDescent="0.2">
      <c r="B1277" s="19">
        <v>269</v>
      </c>
      <c r="C1277" s="19"/>
      <c r="D1277" s="19">
        <v>97671</v>
      </c>
      <c r="E1277" s="19" t="s">
        <v>1224</v>
      </c>
      <c r="F1277" s="93">
        <v>2007</v>
      </c>
      <c r="G1277" s="19" t="s">
        <v>913</v>
      </c>
      <c r="H1277" s="19"/>
      <c r="I1277" s="19" t="s">
        <v>41</v>
      </c>
      <c r="J1277" s="19" t="s">
        <v>914</v>
      </c>
      <c r="K1277" s="19" t="s">
        <v>874</v>
      </c>
      <c r="L1277" s="19"/>
      <c r="M1277" s="19" t="s">
        <v>672</v>
      </c>
      <c r="N1277" s="19"/>
      <c r="O1277" s="19" t="s">
        <v>235</v>
      </c>
      <c r="P1277" s="19" t="s">
        <v>1404</v>
      </c>
      <c r="Q1277" s="19"/>
      <c r="R1277" s="19" t="s">
        <v>76</v>
      </c>
      <c r="S1277" s="19" t="s">
        <v>534</v>
      </c>
      <c r="T1277" s="19" t="s">
        <v>465</v>
      </c>
      <c r="U1277" s="19" t="s">
        <v>54</v>
      </c>
      <c r="V1277" s="19" t="s">
        <v>546</v>
      </c>
      <c r="W1277" s="19" t="s">
        <v>231</v>
      </c>
      <c r="X1277" s="19" t="s">
        <v>46</v>
      </c>
      <c r="Y1277" s="29"/>
      <c r="Z1277" s="19"/>
      <c r="AA1277" s="19"/>
      <c r="AB1277" s="19" t="s">
        <v>415</v>
      </c>
      <c r="AC1277" s="19" t="s">
        <v>1322</v>
      </c>
      <c r="AD1277" s="19"/>
      <c r="AE1277" s="19"/>
      <c r="AF1277" s="19"/>
      <c r="AG1277" s="19" t="s">
        <v>235</v>
      </c>
      <c r="AH1277" s="19"/>
      <c r="AI1277" s="19"/>
      <c r="AJ1277" s="19" t="s">
        <v>234</v>
      </c>
      <c r="AK1277" s="19" t="s">
        <v>234</v>
      </c>
      <c r="AL1277" s="19"/>
      <c r="AM1277" s="19" t="s">
        <v>234</v>
      </c>
      <c r="AN1277" s="19" t="s">
        <v>234</v>
      </c>
      <c r="AO1277" s="19" t="s">
        <v>235</v>
      </c>
      <c r="AP1277" s="94"/>
      <c r="AQ1277" s="19" t="s">
        <v>471</v>
      </c>
      <c r="AR1277" s="19" t="s">
        <v>241</v>
      </c>
      <c r="AS1277" s="19"/>
      <c r="AT1277" s="65" t="str">
        <f t="shared" si="347"/>
        <v>N</v>
      </c>
      <c r="AU1277" s="65" t="str">
        <f t="shared" si="362"/>
        <v>N</v>
      </c>
      <c r="AV1277" s="65" t="str">
        <f t="shared" si="356"/>
        <v>N</v>
      </c>
      <c r="AW1277" s="99"/>
      <c r="AX1277" s="99"/>
      <c r="AY1277" s="19"/>
      <c r="AZ1277" s="96" t="str">
        <f t="shared" si="363"/>
        <v>n</v>
      </c>
      <c r="BA1277" s="96" t="str">
        <f>IF(AZ1277="n","n",VLOOKUP(AZ1277,'Conversion factors'!$C$4:$D$24,2,FALSE))</f>
        <v>n</v>
      </c>
      <c r="BB1277" s="96" t="str">
        <f t="shared" si="364"/>
        <v>n</v>
      </c>
      <c r="BC1277" s="97"/>
      <c r="BD1277" s="96" t="str">
        <f t="shared" si="348"/>
        <v>n</v>
      </c>
      <c r="BE1277" s="96" t="str">
        <f t="shared" si="365"/>
        <v>n</v>
      </c>
      <c r="BF1277" s="98" t="str">
        <f t="shared" si="366"/>
        <v/>
      </c>
      <c r="BG1277" s="96" t="str">
        <f>IF(BF1277="","",IF(ISNUMBER(VLOOKUP(BF1277,'Conversion factors'!$B$35:$C$52,2,FALSE)),"y","n"))</f>
        <v/>
      </c>
      <c r="BH1277" s="99"/>
      <c r="BI1277" s="103"/>
      <c r="BJ1277" s="103"/>
    </row>
    <row r="1278" spans="2:62" ht="15.75" customHeight="1" x14ac:dyDescent="0.2">
      <c r="B1278" s="19">
        <v>203</v>
      </c>
      <c r="C1278" s="19"/>
      <c r="D1278" s="19">
        <v>53032</v>
      </c>
      <c r="E1278" s="19" t="s">
        <v>1224</v>
      </c>
      <c r="F1278" s="93">
        <v>2000</v>
      </c>
      <c r="G1278" s="19" t="s">
        <v>430</v>
      </c>
      <c r="H1278" s="19"/>
      <c r="I1278" s="19" t="s">
        <v>41</v>
      </c>
      <c r="J1278" s="19" t="s">
        <v>431</v>
      </c>
      <c r="K1278" s="19"/>
      <c r="L1278" s="19"/>
      <c r="M1278" s="19"/>
      <c r="N1278" s="19" t="s">
        <v>345</v>
      </c>
      <c r="O1278" s="19" t="s">
        <v>235</v>
      </c>
      <c r="P1278" s="19"/>
      <c r="Q1278" s="19"/>
      <c r="R1278" s="19" t="s">
        <v>256</v>
      </c>
      <c r="S1278" s="19" t="s">
        <v>356</v>
      </c>
      <c r="T1278" s="19" t="s">
        <v>54</v>
      </c>
      <c r="U1278" s="19" t="s">
        <v>54</v>
      </c>
      <c r="V1278" s="19" t="s">
        <v>252</v>
      </c>
      <c r="W1278" s="19" t="s">
        <v>231</v>
      </c>
      <c r="X1278" s="19" t="s">
        <v>46</v>
      </c>
      <c r="Y1278" s="29"/>
      <c r="Z1278" s="19" t="s">
        <v>432</v>
      </c>
      <c r="AA1278" s="19"/>
      <c r="AB1278" s="19"/>
      <c r="AC1278" s="19" t="s">
        <v>214</v>
      </c>
      <c r="AD1278" s="19"/>
      <c r="AE1278" s="19"/>
      <c r="AF1278" s="19"/>
      <c r="AG1278" s="19" t="s">
        <v>235</v>
      </c>
      <c r="AH1278" s="19"/>
      <c r="AI1278" s="19"/>
      <c r="AJ1278" s="19">
        <f>MEDIAN(6.1,7.1)</f>
        <v>6.6</v>
      </c>
      <c r="AK1278" s="19" t="s">
        <v>433</v>
      </c>
      <c r="AL1278" s="19"/>
      <c r="AM1278" s="19" t="s">
        <v>234</v>
      </c>
      <c r="AN1278" s="19" t="s">
        <v>234</v>
      </c>
      <c r="AO1278" s="19" t="s">
        <v>235</v>
      </c>
      <c r="AP1278" s="94"/>
      <c r="AQ1278" s="19" t="s">
        <v>434</v>
      </c>
      <c r="AR1278" s="19" t="s">
        <v>241</v>
      </c>
      <c r="AS1278" s="19"/>
      <c r="AT1278" s="65" t="str">
        <f t="shared" si="347"/>
        <v>Y</v>
      </c>
      <c r="AU1278" s="65" t="str">
        <f t="shared" si="362"/>
        <v>Y</v>
      </c>
      <c r="AV1278" s="65" t="s">
        <v>162</v>
      </c>
      <c r="AW1278" s="99" t="s">
        <v>1405</v>
      </c>
      <c r="AX1278" s="99"/>
      <c r="AY1278" s="19"/>
      <c r="AZ1278" s="96" t="str">
        <f t="shared" si="363"/>
        <v>n</v>
      </c>
      <c r="BA1278" s="96" t="str">
        <f>IF(AZ1278="n","n",VLOOKUP(AZ1278,'Conversion factors'!$C$4:$D$24,2,FALSE))</f>
        <v>n</v>
      </c>
      <c r="BB1278" s="96" t="str">
        <f t="shared" si="364"/>
        <v>n</v>
      </c>
      <c r="BC1278" s="97"/>
      <c r="BD1278" s="96" t="str">
        <f t="shared" si="348"/>
        <v>n</v>
      </c>
      <c r="BE1278" s="96" t="str">
        <f t="shared" si="365"/>
        <v>n</v>
      </c>
      <c r="BF1278" s="98" t="str">
        <f t="shared" si="366"/>
        <v/>
      </c>
      <c r="BG1278" s="96" t="str">
        <f>IF(BF1278="","",IF(ISNUMBER(VLOOKUP(BF1278,'Conversion factors'!$B$35:$C$52,2,FALSE)),"y","n"))</f>
        <v/>
      </c>
      <c r="BH1278" s="99"/>
      <c r="BI1278" s="103"/>
      <c r="BJ1278" s="103"/>
    </row>
    <row r="1279" spans="2:62" ht="15.75" customHeight="1" x14ac:dyDescent="0.2">
      <c r="B1279" s="19">
        <v>203</v>
      </c>
      <c r="C1279" s="19"/>
      <c r="D1279" s="19">
        <v>53032</v>
      </c>
      <c r="E1279" s="19" t="s">
        <v>1224</v>
      </c>
      <c r="F1279" s="93">
        <v>2000</v>
      </c>
      <c r="G1279" s="19" t="s">
        <v>430</v>
      </c>
      <c r="H1279" s="19"/>
      <c r="I1279" s="19" t="s">
        <v>41</v>
      </c>
      <c r="J1279" s="19" t="s">
        <v>431</v>
      </c>
      <c r="K1279" s="19"/>
      <c r="L1279" s="19"/>
      <c r="M1279" s="19"/>
      <c r="N1279" s="19" t="s">
        <v>345</v>
      </c>
      <c r="O1279" s="19" t="s">
        <v>235</v>
      </c>
      <c r="P1279" s="19"/>
      <c r="Q1279" s="19"/>
      <c r="R1279" s="19" t="s">
        <v>256</v>
      </c>
      <c r="S1279" s="19" t="s">
        <v>435</v>
      </c>
      <c r="T1279" s="19" t="s">
        <v>54</v>
      </c>
      <c r="U1279" s="19" t="s">
        <v>54</v>
      </c>
      <c r="V1279" s="19" t="s">
        <v>252</v>
      </c>
      <c r="W1279" s="19" t="s">
        <v>231</v>
      </c>
      <c r="X1279" s="19" t="s">
        <v>46</v>
      </c>
      <c r="Y1279" s="29"/>
      <c r="Z1279" s="19" t="s">
        <v>436</v>
      </c>
      <c r="AA1279" s="19"/>
      <c r="AB1279" s="19"/>
      <c r="AC1279" s="19" t="s">
        <v>214</v>
      </c>
      <c r="AD1279" s="19"/>
      <c r="AE1279" s="19"/>
      <c r="AF1279" s="19"/>
      <c r="AG1279" s="19" t="s">
        <v>235</v>
      </c>
      <c r="AH1279" s="19"/>
      <c r="AI1279" s="19"/>
      <c r="AJ1279" s="19">
        <f>MEDIAN(6.1,7.1)</f>
        <v>6.6</v>
      </c>
      <c r="AK1279" s="19" t="s">
        <v>433</v>
      </c>
      <c r="AL1279" s="19"/>
      <c r="AM1279" s="19" t="s">
        <v>234</v>
      </c>
      <c r="AN1279" s="19" t="s">
        <v>234</v>
      </c>
      <c r="AO1279" s="19" t="s">
        <v>235</v>
      </c>
      <c r="AP1279" s="94"/>
      <c r="AQ1279" s="19" t="s">
        <v>434</v>
      </c>
      <c r="AR1279" s="19" t="s">
        <v>241</v>
      </c>
      <c r="AS1279" s="19"/>
      <c r="AT1279" s="65" t="str">
        <f t="shared" si="347"/>
        <v>Y</v>
      </c>
      <c r="AU1279" s="65" t="str">
        <f t="shared" si="362"/>
        <v>Y</v>
      </c>
      <c r="AV1279" s="65" t="s">
        <v>162</v>
      </c>
      <c r="AW1279" s="99" t="s">
        <v>1405</v>
      </c>
      <c r="AX1279" s="99"/>
      <c r="AY1279" s="19"/>
      <c r="AZ1279" s="96" t="str">
        <f t="shared" si="363"/>
        <v>n</v>
      </c>
      <c r="BA1279" s="96" t="str">
        <f>IF(AZ1279="n","n",VLOOKUP(AZ1279,'Conversion factors'!$C$4:$D$24,2,FALSE))</f>
        <v>n</v>
      </c>
      <c r="BB1279" s="96" t="str">
        <f t="shared" si="364"/>
        <v>n</v>
      </c>
      <c r="BC1279" s="97"/>
      <c r="BD1279" s="96" t="str">
        <f t="shared" si="348"/>
        <v>n</v>
      </c>
      <c r="BE1279" s="96" t="str">
        <f t="shared" si="365"/>
        <v>n</v>
      </c>
      <c r="BF1279" s="98" t="str">
        <f t="shared" si="366"/>
        <v/>
      </c>
      <c r="BG1279" s="96" t="str">
        <f>IF(BF1279="","",IF(ISNUMBER(VLOOKUP(BF1279,'Conversion factors'!$B$35:$C$52,2,FALSE)),"y","n"))</f>
        <v/>
      </c>
      <c r="BH1279" s="99"/>
      <c r="BI1279" s="103"/>
      <c r="BJ1279" s="103"/>
    </row>
    <row r="1280" spans="2:62" ht="15.75" customHeight="1" x14ac:dyDescent="0.2">
      <c r="B1280" s="19">
        <v>203</v>
      </c>
      <c r="C1280" s="19"/>
      <c r="D1280" s="19">
        <v>53032</v>
      </c>
      <c r="E1280" s="19" t="s">
        <v>1224</v>
      </c>
      <c r="F1280" s="93">
        <v>2000</v>
      </c>
      <c r="G1280" s="19" t="s">
        <v>430</v>
      </c>
      <c r="H1280" s="19"/>
      <c r="I1280" s="19" t="s">
        <v>41</v>
      </c>
      <c r="J1280" s="19" t="s">
        <v>431</v>
      </c>
      <c r="K1280" s="19"/>
      <c r="L1280" s="19"/>
      <c r="M1280" s="19"/>
      <c r="N1280" s="19" t="s">
        <v>345</v>
      </c>
      <c r="O1280" s="19" t="s">
        <v>235</v>
      </c>
      <c r="P1280" s="19"/>
      <c r="Q1280" s="19"/>
      <c r="R1280" s="19" t="s">
        <v>256</v>
      </c>
      <c r="S1280" s="19" t="s">
        <v>437</v>
      </c>
      <c r="T1280" s="19" t="s">
        <v>54</v>
      </c>
      <c r="U1280" s="19" t="s">
        <v>54</v>
      </c>
      <c r="V1280" s="19" t="s">
        <v>252</v>
      </c>
      <c r="W1280" s="19" t="s">
        <v>231</v>
      </c>
      <c r="X1280" s="19" t="s">
        <v>46</v>
      </c>
      <c r="Y1280" s="29"/>
      <c r="Z1280" s="19" t="s">
        <v>438</v>
      </c>
      <c r="AA1280" s="19"/>
      <c r="AB1280" s="19"/>
      <c r="AC1280" s="19" t="s">
        <v>214</v>
      </c>
      <c r="AD1280" s="19"/>
      <c r="AE1280" s="19"/>
      <c r="AF1280" s="19"/>
      <c r="AG1280" s="19" t="s">
        <v>235</v>
      </c>
      <c r="AH1280" s="19"/>
      <c r="AI1280" s="19"/>
      <c r="AJ1280" s="19">
        <f>MEDIAN(6.1,7.1)</f>
        <v>6.6</v>
      </c>
      <c r="AK1280" s="19" t="s">
        <v>433</v>
      </c>
      <c r="AL1280" s="19"/>
      <c r="AM1280" s="19" t="s">
        <v>234</v>
      </c>
      <c r="AN1280" s="19" t="s">
        <v>234</v>
      </c>
      <c r="AO1280" s="19" t="s">
        <v>235</v>
      </c>
      <c r="AP1280" s="94"/>
      <c r="AQ1280" s="19" t="s">
        <v>434</v>
      </c>
      <c r="AR1280" s="19" t="s">
        <v>241</v>
      </c>
      <c r="AS1280" s="19"/>
      <c r="AT1280" s="65" t="str">
        <f t="shared" si="347"/>
        <v>Y</v>
      </c>
      <c r="AU1280" s="65" t="str">
        <f t="shared" si="362"/>
        <v>Y</v>
      </c>
      <c r="AV1280" s="65" t="s">
        <v>162</v>
      </c>
      <c r="AW1280" s="99" t="s">
        <v>1405</v>
      </c>
      <c r="AX1280" s="99"/>
      <c r="AY1280" s="19"/>
      <c r="AZ1280" s="96" t="str">
        <f t="shared" si="363"/>
        <v>n</v>
      </c>
      <c r="BA1280" s="96" t="str">
        <f>IF(AZ1280="n","n",VLOOKUP(AZ1280,'Conversion factors'!$C$4:$D$24,2,FALSE))</f>
        <v>n</v>
      </c>
      <c r="BB1280" s="96" t="str">
        <f t="shared" si="364"/>
        <v>n</v>
      </c>
      <c r="BC1280" s="97"/>
      <c r="BD1280" s="96" t="str">
        <f t="shared" si="348"/>
        <v>n</v>
      </c>
      <c r="BE1280" s="96" t="str">
        <f t="shared" si="365"/>
        <v>n</v>
      </c>
      <c r="BF1280" s="98" t="str">
        <f t="shared" si="366"/>
        <v/>
      </c>
      <c r="BG1280" s="96" t="str">
        <f>IF(BF1280="","",IF(ISNUMBER(VLOOKUP(BF1280,'Conversion factors'!$B$35:$C$52,2,FALSE)),"y","n"))</f>
        <v/>
      </c>
      <c r="BH1280" s="99"/>
      <c r="BI1280" s="103"/>
      <c r="BJ1280" s="103"/>
    </row>
    <row r="1281" spans="1:62" ht="15.75" customHeight="1" x14ac:dyDescent="0.2">
      <c r="B1281" s="19">
        <v>203</v>
      </c>
      <c r="C1281" s="19"/>
      <c r="D1281" s="19">
        <v>53032</v>
      </c>
      <c r="E1281" s="19" t="s">
        <v>1224</v>
      </c>
      <c r="F1281" s="93">
        <v>2000</v>
      </c>
      <c r="G1281" s="19" t="s">
        <v>430</v>
      </c>
      <c r="H1281" s="19"/>
      <c r="I1281" s="19" t="s">
        <v>41</v>
      </c>
      <c r="J1281" s="19" t="s">
        <v>431</v>
      </c>
      <c r="K1281" s="19"/>
      <c r="L1281" s="19"/>
      <c r="M1281" s="19"/>
      <c r="N1281" s="19" t="s">
        <v>345</v>
      </c>
      <c r="O1281" s="19" t="s">
        <v>235</v>
      </c>
      <c r="P1281" s="19"/>
      <c r="Q1281" s="19"/>
      <c r="R1281" s="19" t="s">
        <v>256</v>
      </c>
      <c r="S1281" s="19" t="s">
        <v>439</v>
      </c>
      <c r="T1281" s="19" t="s">
        <v>54</v>
      </c>
      <c r="U1281" s="19" t="s">
        <v>54</v>
      </c>
      <c r="V1281" s="19" t="s">
        <v>252</v>
      </c>
      <c r="W1281" s="19" t="s">
        <v>231</v>
      </c>
      <c r="X1281" s="19" t="s">
        <v>46</v>
      </c>
      <c r="Y1281" s="29"/>
      <c r="Z1281" s="19" t="s">
        <v>440</v>
      </c>
      <c r="AA1281" s="19"/>
      <c r="AB1281" s="19"/>
      <c r="AC1281" s="19" t="s">
        <v>214</v>
      </c>
      <c r="AD1281" s="19"/>
      <c r="AE1281" s="19"/>
      <c r="AF1281" s="19"/>
      <c r="AG1281" s="19" t="s">
        <v>235</v>
      </c>
      <c r="AH1281" s="19"/>
      <c r="AI1281" s="19"/>
      <c r="AJ1281" s="19">
        <f>MEDIAN(6.1,7.1)</f>
        <v>6.6</v>
      </c>
      <c r="AK1281" s="19" t="s">
        <v>433</v>
      </c>
      <c r="AL1281" s="19"/>
      <c r="AM1281" s="19" t="s">
        <v>234</v>
      </c>
      <c r="AN1281" s="19" t="s">
        <v>234</v>
      </c>
      <c r="AO1281" s="19" t="s">
        <v>235</v>
      </c>
      <c r="AP1281" s="94"/>
      <c r="AQ1281" s="19" t="s">
        <v>434</v>
      </c>
      <c r="AR1281" s="19" t="s">
        <v>241</v>
      </c>
      <c r="AS1281" s="19"/>
      <c r="AT1281" s="65" t="str">
        <f t="shared" si="347"/>
        <v>Y</v>
      </c>
      <c r="AU1281" s="65" t="str">
        <f t="shared" si="362"/>
        <v>Y</v>
      </c>
      <c r="AV1281" s="65" t="s">
        <v>162</v>
      </c>
      <c r="AW1281" s="99" t="s">
        <v>1405</v>
      </c>
      <c r="AX1281" s="99"/>
      <c r="AY1281" s="19"/>
      <c r="AZ1281" s="96" t="str">
        <f t="shared" si="363"/>
        <v>n</v>
      </c>
      <c r="BA1281" s="96" t="str">
        <f>IF(AZ1281="n","n",VLOOKUP(AZ1281,'Conversion factors'!$C$4:$D$24,2,FALSE))</f>
        <v>n</v>
      </c>
      <c r="BB1281" s="96" t="str">
        <f t="shared" si="364"/>
        <v>n</v>
      </c>
      <c r="BC1281" s="97"/>
      <c r="BD1281" s="96" t="str">
        <f t="shared" si="348"/>
        <v>n</v>
      </c>
      <c r="BE1281" s="96" t="str">
        <f t="shared" si="365"/>
        <v>n</v>
      </c>
      <c r="BF1281" s="98" t="str">
        <f t="shared" si="366"/>
        <v/>
      </c>
      <c r="BG1281" s="96" t="str">
        <f>IF(BF1281="","",IF(ISNUMBER(VLOOKUP(BF1281,'Conversion factors'!$B$35:$C$52,2,FALSE)),"y","n"))</f>
        <v/>
      </c>
      <c r="BH1281" s="99"/>
      <c r="BI1281" s="103"/>
      <c r="BJ1281" s="103"/>
    </row>
    <row r="1282" spans="1:62" ht="15.75" customHeight="1" x14ac:dyDescent="0.2">
      <c r="B1282" s="19">
        <v>203</v>
      </c>
      <c r="C1282" s="19"/>
      <c r="D1282" s="19">
        <v>53032</v>
      </c>
      <c r="E1282" s="19" t="s">
        <v>1224</v>
      </c>
      <c r="F1282" s="93">
        <v>2000</v>
      </c>
      <c r="G1282" s="19" t="s">
        <v>430</v>
      </c>
      <c r="H1282" s="19"/>
      <c r="I1282" s="19" t="s">
        <v>41</v>
      </c>
      <c r="J1282" s="19" t="s">
        <v>431</v>
      </c>
      <c r="K1282" s="19"/>
      <c r="L1282" s="19"/>
      <c r="M1282" s="19"/>
      <c r="N1282" s="19" t="s">
        <v>345</v>
      </c>
      <c r="O1282" s="19" t="s">
        <v>235</v>
      </c>
      <c r="P1282" s="19"/>
      <c r="Q1282" s="19"/>
      <c r="R1282" s="19" t="s">
        <v>256</v>
      </c>
      <c r="S1282" s="19" t="s">
        <v>441</v>
      </c>
      <c r="T1282" s="19" t="s">
        <v>54</v>
      </c>
      <c r="U1282" s="19" t="s">
        <v>54</v>
      </c>
      <c r="V1282" s="19" t="s">
        <v>252</v>
      </c>
      <c r="W1282" s="19" t="s">
        <v>231</v>
      </c>
      <c r="X1282" s="19" t="s">
        <v>46</v>
      </c>
      <c r="Y1282" s="29"/>
      <c r="Z1282" s="19" t="s">
        <v>442</v>
      </c>
      <c r="AA1282" s="19"/>
      <c r="AB1282" s="19"/>
      <c r="AC1282" s="19" t="s">
        <v>214</v>
      </c>
      <c r="AD1282" s="19"/>
      <c r="AE1282" s="19"/>
      <c r="AF1282" s="19"/>
      <c r="AG1282" s="19" t="s">
        <v>235</v>
      </c>
      <c r="AH1282" s="19"/>
      <c r="AI1282" s="19"/>
      <c r="AJ1282" s="19">
        <f>MEDIAN(6.1,7.1)</f>
        <v>6.6</v>
      </c>
      <c r="AK1282" s="19" t="s">
        <v>433</v>
      </c>
      <c r="AL1282" s="19"/>
      <c r="AM1282" s="19" t="s">
        <v>234</v>
      </c>
      <c r="AN1282" s="19" t="s">
        <v>234</v>
      </c>
      <c r="AO1282" s="19" t="s">
        <v>235</v>
      </c>
      <c r="AP1282" s="94"/>
      <c r="AQ1282" s="19" t="s">
        <v>434</v>
      </c>
      <c r="AR1282" s="19" t="s">
        <v>241</v>
      </c>
      <c r="AS1282" s="19"/>
      <c r="AT1282" s="65" t="str">
        <f t="shared" si="347"/>
        <v>Y</v>
      </c>
      <c r="AU1282" s="65" t="str">
        <f t="shared" si="362"/>
        <v>Y</v>
      </c>
      <c r="AV1282" s="65" t="s">
        <v>162</v>
      </c>
      <c r="AW1282" s="99" t="s">
        <v>1405</v>
      </c>
      <c r="AX1282" s="99"/>
      <c r="AY1282" s="19"/>
      <c r="AZ1282" s="96" t="str">
        <f t="shared" si="363"/>
        <v>n</v>
      </c>
      <c r="BA1282" s="96" t="str">
        <f>IF(AZ1282="n","n",VLOOKUP(AZ1282,'Conversion factors'!$C$4:$D$24,2,FALSE))</f>
        <v>n</v>
      </c>
      <c r="BB1282" s="96" t="str">
        <f t="shared" si="364"/>
        <v>n</v>
      </c>
      <c r="BC1282" s="97"/>
      <c r="BD1282" s="96" t="str">
        <f t="shared" si="348"/>
        <v>n</v>
      </c>
      <c r="BE1282" s="96" t="str">
        <f t="shared" si="365"/>
        <v>n</v>
      </c>
      <c r="BF1282" s="98" t="str">
        <f t="shared" si="366"/>
        <v/>
      </c>
      <c r="BG1282" s="96" t="str">
        <f>IF(BF1282="","",IF(ISNUMBER(VLOOKUP(BF1282,'Conversion factors'!$B$35:$C$52,2,FALSE)),"y","n"))</f>
        <v/>
      </c>
      <c r="BH1282" s="99"/>
      <c r="BI1282" s="103"/>
      <c r="BJ1282" s="103"/>
    </row>
    <row r="1283" spans="1:62" ht="15.75" customHeight="1" x14ac:dyDescent="0.2">
      <c r="B1283" s="19">
        <v>219</v>
      </c>
      <c r="C1283" s="19"/>
      <c r="D1283" s="19">
        <v>62311</v>
      </c>
      <c r="E1283" s="19" t="s">
        <v>1224</v>
      </c>
      <c r="F1283" s="93">
        <v>2002</v>
      </c>
      <c r="G1283" s="19" t="s">
        <v>530</v>
      </c>
      <c r="H1283" s="19"/>
      <c r="I1283" s="19" t="s">
        <v>41</v>
      </c>
      <c r="J1283" s="19" t="s">
        <v>431</v>
      </c>
      <c r="K1283" s="19"/>
      <c r="L1283" s="19"/>
      <c r="M1283" s="19"/>
      <c r="N1283" s="19" t="s">
        <v>345</v>
      </c>
      <c r="O1283" s="19" t="s">
        <v>235</v>
      </c>
      <c r="P1283" s="19"/>
      <c r="Q1283" s="19"/>
      <c r="R1283" s="19" t="s">
        <v>256</v>
      </c>
      <c r="S1283" s="19" t="s">
        <v>439</v>
      </c>
      <c r="T1283" s="19" t="s">
        <v>54</v>
      </c>
      <c r="U1283" s="19" t="s">
        <v>54</v>
      </c>
      <c r="V1283" s="19" t="s">
        <v>252</v>
      </c>
      <c r="W1283" s="19" t="s">
        <v>231</v>
      </c>
      <c r="X1283" s="19" t="s">
        <v>46</v>
      </c>
      <c r="Y1283" s="29"/>
      <c r="Z1283" s="19" t="s">
        <v>531</v>
      </c>
      <c r="AA1283" s="19"/>
      <c r="AB1283" s="19"/>
      <c r="AC1283" s="19" t="s">
        <v>214</v>
      </c>
      <c r="AD1283" s="19"/>
      <c r="AE1283" s="19"/>
      <c r="AF1283" s="19"/>
      <c r="AG1283" s="19" t="s">
        <v>235</v>
      </c>
      <c r="AH1283" s="19"/>
      <c r="AI1283" s="19"/>
      <c r="AJ1283" s="19">
        <f>MEDIAN(7.1,7.2)</f>
        <v>7.15</v>
      </c>
      <c r="AK1283" s="19" t="s">
        <v>532</v>
      </c>
      <c r="AL1283" s="19"/>
      <c r="AM1283" s="19"/>
      <c r="AN1283" s="19" t="s">
        <v>234</v>
      </c>
      <c r="AO1283" s="19" t="s">
        <v>235</v>
      </c>
      <c r="AP1283" s="94"/>
      <c r="AQ1283" s="19" t="s">
        <v>533</v>
      </c>
      <c r="AR1283" s="19" t="s">
        <v>241</v>
      </c>
      <c r="AS1283" s="19"/>
      <c r="AT1283" s="65" t="str">
        <f t="shared" si="347"/>
        <v>Y</v>
      </c>
      <c r="AU1283" s="65" t="str">
        <f t="shared" si="362"/>
        <v>Y</v>
      </c>
      <c r="AV1283" s="65" t="s">
        <v>162</v>
      </c>
      <c r="AW1283" s="99" t="s">
        <v>1648</v>
      </c>
      <c r="AX1283" s="99"/>
      <c r="AY1283" s="19"/>
      <c r="AZ1283" s="96" t="str">
        <f t="shared" si="363"/>
        <v>n</v>
      </c>
      <c r="BA1283" s="96" t="str">
        <f>IF(AZ1283="n","n",VLOOKUP(AZ1283,'Conversion factors'!$C$4:$D$24,2,FALSE))</f>
        <v>n</v>
      </c>
      <c r="BB1283" s="96" t="str">
        <f t="shared" si="364"/>
        <v>n</v>
      </c>
      <c r="BC1283" s="97"/>
      <c r="BD1283" s="96" t="str">
        <f t="shared" si="348"/>
        <v>n</v>
      </c>
      <c r="BE1283" s="96" t="str">
        <f t="shared" si="365"/>
        <v>n</v>
      </c>
      <c r="BF1283" s="98" t="str">
        <f t="shared" si="366"/>
        <v/>
      </c>
      <c r="BG1283" s="96" t="str">
        <f>IF(BF1283="","",IF(ISNUMBER(VLOOKUP(BF1283,'Conversion factors'!$B$35:$C$52,2,FALSE)),"y","n"))</f>
        <v/>
      </c>
      <c r="BH1283" s="99"/>
      <c r="BI1283" s="103"/>
      <c r="BJ1283" s="103"/>
    </row>
    <row r="1284" spans="1:62" ht="15.75" customHeight="1" x14ac:dyDescent="0.2">
      <c r="B1284" s="19">
        <v>209</v>
      </c>
      <c r="C1284" s="19"/>
      <c r="D1284" s="19">
        <v>59931</v>
      </c>
      <c r="E1284" s="19" t="s">
        <v>1224</v>
      </c>
      <c r="F1284" s="93">
        <v>1997</v>
      </c>
      <c r="G1284" s="19" t="s">
        <v>466</v>
      </c>
      <c r="H1284" s="19"/>
      <c r="I1284" s="19" t="s">
        <v>41</v>
      </c>
      <c r="J1284" s="19" t="s">
        <v>354</v>
      </c>
      <c r="K1284" s="19"/>
      <c r="L1284" s="19"/>
      <c r="M1284" s="19"/>
      <c r="N1284" s="19" t="s">
        <v>66</v>
      </c>
      <c r="O1284" s="19" t="s">
        <v>235</v>
      </c>
      <c r="P1284" s="19"/>
      <c r="Q1284" s="19"/>
      <c r="R1284" s="19" t="s">
        <v>256</v>
      </c>
      <c r="S1284" s="19" t="s">
        <v>439</v>
      </c>
      <c r="T1284" s="19" t="s">
        <v>55</v>
      </c>
      <c r="U1284" s="19" t="s">
        <v>55</v>
      </c>
      <c r="V1284" s="19" t="s">
        <v>252</v>
      </c>
      <c r="W1284" s="19" t="s">
        <v>231</v>
      </c>
      <c r="X1284" s="19" t="s">
        <v>46</v>
      </c>
      <c r="Y1284" s="29"/>
      <c r="Z1284" s="19"/>
      <c r="AA1284" s="19"/>
      <c r="AB1284" s="19" t="s">
        <v>467</v>
      </c>
      <c r="AC1284" s="19" t="s">
        <v>214</v>
      </c>
      <c r="AD1284" s="19"/>
      <c r="AE1284" s="19">
        <v>65</v>
      </c>
      <c r="AF1284" s="19">
        <v>65</v>
      </c>
      <c r="AG1284" s="19" t="s">
        <v>270</v>
      </c>
      <c r="AH1284" s="19"/>
      <c r="AI1284" s="19"/>
      <c r="AJ1284" s="19">
        <v>8</v>
      </c>
      <c r="AK1284" s="19">
        <v>8</v>
      </c>
      <c r="AL1284" s="19"/>
      <c r="AM1284" s="19" t="s">
        <v>234</v>
      </c>
      <c r="AN1284" s="19" t="s">
        <v>234</v>
      </c>
      <c r="AO1284" s="19" t="s">
        <v>235</v>
      </c>
      <c r="AP1284" s="94"/>
      <c r="AQ1284" s="19" t="s">
        <v>468</v>
      </c>
      <c r="AR1284" s="19" t="s">
        <v>469</v>
      </c>
      <c r="AS1284" s="19"/>
      <c r="AT1284" s="65" t="str">
        <f t="shared" si="347"/>
        <v>Y</v>
      </c>
      <c r="AU1284" s="65" t="str">
        <f t="shared" si="362"/>
        <v>Y</v>
      </c>
      <c r="AV1284" s="65" t="s">
        <v>162</v>
      </c>
      <c r="AW1284" s="99"/>
      <c r="AX1284" s="99"/>
      <c r="AY1284" s="19"/>
      <c r="AZ1284" s="96" t="str">
        <f t="shared" si="363"/>
        <v>n</v>
      </c>
      <c r="BA1284" s="96" t="str">
        <f>IF(AZ1284="n","n",VLOOKUP(AZ1284,'Conversion factors'!$C$4:$D$24,2,FALSE))</f>
        <v>n</v>
      </c>
      <c r="BB1284" s="96" t="str">
        <f t="shared" si="364"/>
        <v>n</v>
      </c>
      <c r="BC1284" s="97"/>
      <c r="BD1284" s="96" t="str">
        <f t="shared" si="348"/>
        <v>n</v>
      </c>
      <c r="BE1284" s="96" t="str">
        <f t="shared" si="365"/>
        <v>n</v>
      </c>
      <c r="BF1284" s="96" t="s">
        <v>47</v>
      </c>
      <c r="BG1284" s="96" t="str">
        <f>IF(BF1284="","",IF(ISNUMBER(VLOOKUP(BF1284,'Conversion factors'!$B$35:$C$52,2,FALSE)),"y","n"))</f>
        <v>n</v>
      </c>
      <c r="BH1284" s="99"/>
      <c r="BI1284" s="103"/>
      <c r="BJ1284" s="103"/>
    </row>
    <row r="1285" spans="1:62" ht="15.75" customHeight="1" x14ac:dyDescent="0.2">
      <c r="B1285" s="19">
        <v>209</v>
      </c>
      <c r="C1285" s="19"/>
      <c r="D1285" s="19">
        <v>59931</v>
      </c>
      <c r="E1285" s="19" t="s">
        <v>1224</v>
      </c>
      <c r="F1285" s="93">
        <v>1997</v>
      </c>
      <c r="G1285" s="19" t="s">
        <v>466</v>
      </c>
      <c r="H1285" s="19"/>
      <c r="I1285" s="19" t="s">
        <v>41</v>
      </c>
      <c r="J1285" s="19" t="s">
        <v>354</v>
      </c>
      <c r="K1285" s="19"/>
      <c r="L1285" s="99"/>
      <c r="M1285" s="19"/>
      <c r="N1285" s="19" t="s">
        <v>66</v>
      </c>
      <c r="O1285" s="19" t="s">
        <v>235</v>
      </c>
      <c r="P1285" s="19"/>
      <c r="Q1285" s="19"/>
      <c r="R1285" s="19" t="s">
        <v>256</v>
      </c>
      <c r="S1285" s="19" t="s">
        <v>302</v>
      </c>
      <c r="T1285" s="19" t="s">
        <v>55</v>
      </c>
      <c r="U1285" s="19" t="s">
        <v>55</v>
      </c>
      <c r="V1285" s="19" t="s">
        <v>252</v>
      </c>
      <c r="W1285" s="19" t="s">
        <v>231</v>
      </c>
      <c r="X1285" s="19" t="s">
        <v>46</v>
      </c>
      <c r="Y1285" s="29"/>
      <c r="Z1285" s="19"/>
      <c r="AA1285" s="19"/>
      <c r="AB1285" s="19" t="s">
        <v>470</v>
      </c>
      <c r="AC1285" s="19" t="s">
        <v>214</v>
      </c>
      <c r="AD1285" s="19"/>
      <c r="AE1285" s="19">
        <v>65</v>
      </c>
      <c r="AF1285" s="19">
        <v>65</v>
      </c>
      <c r="AG1285" s="19" t="s">
        <v>270</v>
      </c>
      <c r="AH1285" s="19"/>
      <c r="AI1285" s="19"/>
      <c r="AJ1285" s="19">
        <v>8</v>
      </c>
      <c r="AK1285" s="19">
        <v>8</v>
      </c>
      <c r="AL1285" s="19"/>
      <c r="AM1285" s="19" t="s">
        <v>234</v>
      </c>
      <c r="AN1285" s="19" t="s">
        <v>234</v>
      </c>
      <c r="AO1285" s="19" t="s">
        <v>235</v>
      </c>
      <c r="AP1285" s="94"/>
      <c r="AQ1285" s="19" t="s">
        <v>468</v>
      </c>
      <c r="AR1285" s="19" t="s">
        <v>469</v>
      </c>
      <c r="AS1285" s="19"/>
      <c r="AT1285" s="65" t="str">
        <f t="shared" si="347"/>
        <v>Y</v>
      </c>
      <c r="AU1285" s="65" t="str">
        <f t="shared" si="362"/>
        <v>Y</v>
      </c>
      <c r="AV1285" s="65" t="s">
        <v>162</v>
      </c>
      <c r="AW1285" s="99"/>
      <c r="AX1285" s="99"/>
      <c r="AY1285" s="19"/>
      <c r="AZ1285" s="96" t="str">
        <f t="shared" si="363"/>
        <v>n</v>
      </c>
      <c r="BA1285" s="96" t="str">
        <f>IF(AZ1285="n","n",VLOOKUP(AZ1285,'Conversion factors'!$C$4:$D$24,2,FALSE))</f>
        <v>n</v>
      </c>
      <c r="BB1285" s="96" t="str">
        <f t="shared" si="364"/>
        <v>n</v>
      </c>
      <c r="BC1285" s="97"/>
      <c r="BD1285" s="96" t="str">
        <f t="shared" si="348"/>
        <v>n</v>
      </c>
      <c r="BE1285" s="96" t="str">
        <f t="shared" si="365"/>
        <v>n</v>
      </c>
      <c r="BF1285" s="98" t="str">
        <f t="shared" ref="BF1285:BF1316" si="367">IF(BE1285="n","",AZ1285)</f>
        <v/>
      </c>
      <c r="BG1285" s="96" t="str">
        <f>IF(BF1285="","",IF(ISNUMBER(VLOOKUP(BF1285,'Conversion factors'!$B$35:$C$52,2,FALSE)),"y","n"))</f>
        <v/>
      </c>
      <c r="BH1285" s="99" t="s">
        <v>1470</v>
      </c>
      <c r="BI1285" s="103"/>
      <c r="BJ1285" s="103"/>
    </row>
    <row r="1286" spans="1:62" ht="15.75" customHeight="1" x14ac:dyDescent="0.2">
      <c r="B1286" s="19">
        <v>209</v>
      </c>
      <c r="C1286" s="19"/>
      <c r="D1286" s="19">
        <v>59931</v>
      </c>
      <c r="E1286" s="19" t="s">
        <v>1224</v>
      </c>
      <c r="F1286" s="93">
        <v>1997</v>
      </c>
      <c r="G1286" s="19" t="s">
        <v>466</v>
      </c>
      <c r="H1286" s="19"/>
      <c r="I1286" s="19" t="s">
        <v>41</v>
      </c>
      <c r="J1286" s="19" t="s">
        <v>354</v>
      </c>
      <c r="K1286" s="19"/>
      <c r="L1286" s="99"/>
      <c r="M1286" s="19"/>
      <c r="N1286" s="19" t="s">
        <v>66</v>
      </c>
      <c r="O1286" s="19" t="s">
        <v>235</v>
      </c>
      <c r="P1286" s="19"/>
      <c r="Q1286" s="19"/>
      <c r="R1286" s="19" t="s">
        <v>256</v>
      </c>
      <c r="S1286" s="19" t="s">
        <v>302</v>
      </c>
      <c r="T1286" s="19" t="s">
        <v>54</v>
      </c>
      <c r="U1286" s="19" t="s">
        <v>54</v>
      </c>
      <c r="V1286" s="19" t="s">
        <v>252</v>
      </c>
      <c r="W1286" s="19" t="s">
        <v>231</v>
      </c>
      <c r="X1286" s="19" t="s">
        <v>46</v>
      </c>
      <c r="Y1286" s="29"/>
      <c r="Z1286" s="19"/>
      <c r="AA1286" s="19"/>
      <c r="AB1286" s="19">
        <v>4.2</v>
      </c>
      <c r="AC1286" s="19" t="s">
        <v>214</v>
      </c>
      <c r="AD1286" s="19"/>
      <c r="AE1286" s="19">
        <v>65</v>
      </c>
      <c r="AF1286" s="19">
        <v>65</v>
      </c>
      <c r="AG1286" s="19" t="s">
        <v>270</v>
      </c>
      <c r="AH1286" s="19"/>
      <c r="AI1286" s="19"/>
      <c r="AJ1286" s="101">
        <v>8</v>
      </c>
      <c r="AK1286" s="19">
        <v>8</v>
      </c>
      <c r="AL1286" s="19"/>
      <c r="AM1286" s="19"/>
      <c r="AN1286" s="19" t="s">
        <v>234</v>
      </c>
      <c r="AO1286" s="19" t="s">
        <v>235</v>
      </c>
      <c r="AP1286" s="94"/>
      <c r="AQ1286" s="19" t="s">
        <v>468</v>
      </c>
      <c r="AR1286" s="19" t="s">
        <v>469</v>
      </c>
      <c r="AS1286" s="19"/>
      <c r="AT1286" s="65" t="str">
        <f t="shared" si="347"/>
        <v>Y</v>
      </c>
      <c r="AU1286" s="65" t="str">
        <f t="shared" si="362"/>
        <v>Y</v>
      </c>
      <c r="AV1286" s="65" t="s">
        <v>162</v>
      </c>
      <c r="AW1286" s="99" t="s">
        <v>1648</v>
      </c>
      <c r="AX1286" s="99"/>
      <c r="AY1286" s="19"/>
      <c r="AZ1286" s="96" t="str">
        <f t="shared" si="363"/>
        <v>n</v>
      </c>
      <c r="BA1286" s="96" t="str">
        <f>IF(AZ1286="n","n",VLOOKUP(AZ1286,'Conversion factors'!$C$4:$D$24,2,FALSE))</f>
        <v>n</v>
      </c>
      <c r="BB1286" s="96" t="str">
        <f t="shared" si="364"/>
        <v>n</v>
      </c>
      <c r="BC1286" s="97"/>
      <c r="BD1286" s="96" t="str">
        <f t="shared" si="348"/>
        <v>n</v>
      </c>
      <c r="BE1286" s="96" t="str">
        <f t="shared" si="365"/>
        <v>n</v>
      </c>
      <c r="BF1286" s="98" t="str">
        <f t="shared" si="367"/>
        <v/>
      </c>
      <c r="BG1286" s="96" t="str">
        <f>IF(BF1286="","",IF(ISNUMBER(VLOOKUP(BF1286,'Conversion factors'!$B$35:$C$52,2,FALSE)),"y","n"))</f>
        <v/>
      </c>
      <c r="BH1286" s="99"/>
      <c r="BI1286" s="103"/>
      <c r="BJ1286" s="103"/>
    </row>
    <row r="1287" spans="1:62" ht="15.75" customHeight="1" x14ac:dyDescent="0.2">
      <c r="B1287" s="19">
        <v>221</v>
      </c>
      <c r="C1287" s="19"/>
      <c r="D1287" s="19">
        <v>62469</v>
      </c>
      <c r="E1287" s="19" t="s">
        <v>1224</v>
      </c>
      <c r="F1287" s="93">
        <v>2002</v>
      </c>
      <c r="G1287" s="19" t="s">
        <v>539</v>
      </c>
      <c r="H1287" s="19"/>
      <c r="I1287" s="19" t="s">
        <v>41</v>
      </c>
      <c r="J1287" s="19" t="s">
        <v>316</v>
      </c>
      <c r="K1287" s="19" t="s">
        <v>316</v>
      </c>
      <c r="L1287" s="19" t="s">
        <v>43</v>
      </c>
      <c r="M1287" s="19" t="s">
        <v>1402</v>
      </c>
      <c r="N1287" s="19" t="s">
        <v>109</v>
      </c>
      <c r="O1287" s="19" t="s">
        <v>235</v>
      </c>
      <c r="P1287" s="19" t="s">
        <v>51</v>
      </c>
      <c r="Q1287" s="19"/>
      <c r="R1287" s="19" t="s">
        <v>256</v>
      </c>
      <c r="S1287" s="19" t="s">
        <v>435</v>
      </c>
      <c r="T1287" s="19" t="s">
        <v>454</v>
      </c>
      <c r="U1287" s="19" t="s">
        <v>454</v>
      </c>
      <c r="V1287" s="19" t="s">
        <v>94</v>
      </c>
      <c r="W1287" s="19" t="s">
        <v>231</v>
      </c>
      <c r="X1287" s="19" t="s">
        <v>46</v>
      </c>
      <c r="Y1287" s="29"/>
      <c r="Z1287" s="19"/>
      <c r="AA1287" s="19"/>
      <c r="AB1287" s="19" t="s">
        <v>540</v>
      </c>
      <c r="AC1287" s="19" t="s">
        <v>214</v>
      </c>
      <c r="AD1287" s="19"/>
      <c r="AE1287" s="19"/>
      <c r="AF1287" s="19"/>
      <c r="AG1287" s="19" t="s">
        <v>235</v>
      </c>
      <c r="AH1287" s="19"/>
      <c r="AI1287" s="19"/>
      <c r="AJ1287" s="19">
        <f>MEDIAN(7.3,7.6)</f>
        <v>7.4499999999999993</v>
      </c>
      <c r="AK1287" s="19" t="s">
        <v>541</v>
      </c>
      <c r="AL1287" s="19"/>
      <c r="AM1287" s="19" t="s">
        <v>234</v>
      </c>
      <c r="AN1287" s="19" t="s">
        <v>234</v>
      </c>
      <c r="AO1287" s="19" t="s">
        <v>235</v>
      </c>
      <c r="AP1287" s="94">
        <v>8.6</v>
      </c>
      <c r="AQ1287" s="19" t="s">
        <v>126</v>
      </c>
      <c r="AR1287" s="19" t="s">
        <v>241</v>
      </c>
      <c r="AS1287" s="19"/>
      <c r="AT1287" s="65" t="str">
        <f t="shared" si="347"/>
        <v>Y</v>
      </c>
      <c r="AU1287" s="65" t="str">
        <f t="shared" si="362"/>
        <v>Y</v>
      </c>
      <c r="AV1287" s="65" t="s">
        <v>162</v>
      </c>
      <c r="AW1287" s="99" t="s">
        <v>1406</v>
      </c>
      <c r="AX1287" s="99"/>
      <c r="AY1287" s="19"/>
      <c r="AZ1287" s="96" t="str">
        <f t="shared" si="363"/>
        <v>n</v>
      </c>
      <c r="BA1287" s="96" t="str">
        <f>IF(AZ1287="n","n",VLOOKUP(AZ1287,'Conversion factors'!$C$4:$D$24,2,FALSE))</f>
        <v>n</v>
      </c>
      <c r="BB1287" s="96" t="str">
        <f t="shared" si="364"/>
        <v>n</v>
      </c>
      <c r="BC1287" s="97"/>
      <c r="BD1287" s="96" t="str">
        <f t="shared" si="348"/>
        <v>n</v>
      </c>
      <c r="BE1287" s="96" t="str">
        <f t="shared" si="365"/>
        <v>n</v>
      </c>
      <c r="BF1287" s="98" t="str">
        <f t="shared" si="367"/>
        <v/>
      </c>
      <c r="BG1287" s="96" t="str">
        <f>IF(BF1287="","",IF(ISNUMBER(VLOOKUP(BF1287,'Conversion factors'!$B$35:$C$52,2,FALSE)),"y","n"))</f>
        <v/>
      </c>
      <c r="BH1287" s="99"/>
      <c r="BI1287" s="103"/>
      <c r="BJ1287" s="103"/>
    </row>
    <row r="1288" spans="1:62" ht="15.95" customHeight="1" x14ac:dyDescent="0.2">
      <c r="B1288" s="19"/>
      <c r="C1288" s="19"/>
      <c r="D1288" s="19"/>
      <c r="E1288" s="19" t="s">
        <v>1390</v>
      </c>
      <c r="F1288" s="93">
        <v>2021</v>
      </c>
      <c r="G1288" s="19" t="s">
        <v>1652</v>
      </c>
      <c r="H1288" s="19" t="s">
        <v>1658</v>
      </c>
      <c r="I1288" s="19" t="s">
        <v>1311</v>
      </c>
      <c r="J1288" s="19" t="s">
        <v>567</v>
      </c>
      <c r="K1288" s="19" t="s">
        <v>42</v>
      </c>
      <c r="L1288" s="19" t="s">
        <v>43</v>
      </c>
      <c r="M1288" s="19" t="s">
        <v>1303</v>
      </c>
      <c r="N1288" s="19" t="s">
        <v>109</v>
      </c>
      <c r="O1288" s="19" t="s">
        <v>1649</v>
      </c>
      <c r="P1288" s="19" t="s">
        <v>1650</v>
      </c>
      <c r="Q1288" s="19"/>
      <c r="R1288" s="19" t="s">
        <v>81</v>
      </c>
      <c r="S1288" s="19" t="s">
        <v>1651</v>
      </c>
      <c r="T1288" s="19" t="s">
        <v>49</v>
      </c>
      <c r="U1288" s="19" t="s">
        <v>49</v>
      </c>
      <c r="V1288" s="19">
        <v>3</v>
      </c>
      <c r="W1288" s="19" t="s">
        <v>45</v>
      </c>
      <c r="X1288" s="19" t="s">
        <v>46</v>
      </c>
      <c r="Y1288" s="29"/>
      <c r="Z1288" s="19"/>
      <c r="AA1288" s="19"/>
      <c r="AB1288" s="19">
        <v>4.5</v>
      </c>
      <c r="AC1288" s="19" t="s">
        <v>214</v>
      </c>
      <c r="AD1288" s="19"/>
      <c r="AE1288" s="19">
        <v>93</v>
      </c>
      <c r="AF1288" s="19"/>
      <c r="AG1288" s="19"/>
      <c r="AH1288" s="19"/>
      <c r="AI1288" s="19"/>
      <c r="AJ1288" s="19">
        <v>6.7</v>
      </c>
      <c r="AK1288" s="19"/>
      <c r="AL1288" s="19"/>
      <c r="AM1288" s="19"/>
      <c r="AN1288" s="19"/>
      <c r="AO1288" s="19"/>
      <c r="AP1288" s="94">
        <v>0.66</v>
      </c>
      <c r="AQ1288" s="19">
        <v>27</v>
      </c>
      <c r="AR1288" s="19"/>
      <c r="AS1288" s="19"/>
      <c r="AT1288" s="65" t="str">
        <f t="shared" si="347"/>
        <v>Y</v>
      </c>
      <c r="AU1288" s="65" t="str">
        <f t="shared" ref="AU1288:AU1302" si="368">IF(AT1288="N","N",IF(AJ1288&lt;6,"N",IF(AJ1288&gt;8.5,"N","Y")))</f>
        <v>Y</v>
      </c>
      <c r="AV1288" s="65" t="str">
        <f t="shared" ref="AV1288:AV1424" si="369">AU1288</f>
        <v>Y</v>
      </c>
      <c r="AW1288" s="99"/>
      <c r="AX1288" s="99"/>
      <c r="AY1288" s="19"/>
      <c r="AZ1288" s="96" t="str">
        <f t="shared" ref="AZ1288:AZ1293" si="370">IF(AV1288="N","n",T1288)</f>
        <v>EC10</v>
      </c>
      <c r="BA1288" s="96">
        <f>IF(AZ1288="n","n",VLOOKUP(AZ1288,'Conversion factors'!$C$4:$D$24,2,FALSE))</f>
        <v>1</v>
      </c>
      <c r="BB1288" s="96">
        <f t="shared" ref="BB1288:BB1293" si="371">IF(BA1288="n","n",AB1288/BA1288)</f>
        <v>4.5</v>
      </c>
      <c r="BC1288" s="97"/>
      <c r="BD1288" s="96" t="str">
        <f t="shared" si="348"/>
        <v>Chronic</v>
      </c>
      <c r="BE1288" s="96" t="str">
        <f t="shared" ref="BE1288:BE1293" si="372">IF(BD1288="chronic","y","n")</f>
        <v>y</v>
      </c>
      <c r="BF1288" s="98" t="str">
        <f t="shared" si="367"/>
        <v>EC10</v>
      </c>
      <c r="BG1288" s="96" t="str">
        <f>IF(BF1288="","",IF(ISNUMBER(VLOOKUP(BF1288,'Conversion factors'!$B$35:$C$52,2,FALSE)),"y","n"))</f>
        <v>y</v>
      </c>
      <c r="BH1288" s="99"/>
      <c r="BI1288" s="103"/>
      <c r="BJ1288" s="103"/>
    </row>
    <row r="1289" spans="1:62" ht="15.95" customHeight="1" x14ac:dyDescent="0.2">
      <c r="B1289" s="19"/>
      <c r="C1289" s="19"/>
      <c r="D1289" s="19"/>
      <c r="E1289" s="19" t="s">
        <v>1390</v>
      </c>
      <c r="F1289" s="93">
        <v>2021</v>
      </c>
      <c r="G1289" s="19" t="s">
        <v>1652</v>
      </c>
      <c r="H1289" s="19" t="s">
        <v>1658</v>
      </c>
      <c r="I1289" s="19" t="s">
        <v>1311</v>
      </c>
      <c r="J1289" s="19" t="s">
        <v>567</v>
      </c>
      <c r="K1289" s="19" t="s">
        <v>42</v>
      </c>
      <c r="L1289" s="19" t="s">
        <v>43</v>
      </c>
      <c r="M1289" s="19" t="s">
        <v>1303</v>
      </c>
      <c r="N1289" s="19" t="s">
        <v>109</v>
      </c>
      <c r="O1289" s="19" t="s">
        <v>1649</v>
      </c>
      <c r="P1289" s="19" t="s">
        <v>1650</v>
      </c>
      <c r="Q1289" s="19"/>
      <c r="R1289" s="19" t="s">
        <v>81</v>
      </c>
      <c r="S1289" s="19" t="s">
        <v>1651</v>
      </c>
      <c r="T1289" s="19" t="s">
        <v>49</v>
      </c>
      <c r="U1289" s="19" t="s">
        <v>49</v>
      </c>
      <c r="V1289" s="19">
        <v>3</v>
      </c>
      <c r="W1289" s="19" t="s">
        <v>45</v>
      </c>
      <c r="X1289" s="19" t="s">
        <v>46</v>
      </c>
      <c r="Y1289" s="29"/>
      <c r="Z1289" s="19"/>
      <c r="AA1289" s="19"/>
      <c r="AB1289" s="19">
        <v>1.8</v>
      </c>
      <c r="AC1289" s="19" t="s">
        <v>214</v>
      </c>
      <c r="AD1289" s="19"/>
      <c r="AE1289" s="19">
        <v>93</v>
      </c>
      <c r="AF1289" s="19"/>
      <c r="AG1289" s="19"/>
      <c r="AH1289" s="19"/>
      <c r="AI1289" s="19"/>
      <c r="AJ1289" s="19">
        <v>7.1</v>
      </c>
      <c r="AK1289" s="19"/>
      <c r="AL1289" s="19"/>
      <c r="AM1289" s="19"/>
      <c r="AN1289" s="19"/>
      <c r="AO1289" s="19"/>
      <c r="AP1289" s="94">
        <v>0.44</v>
      </c>
      <c r="AQ1289" s="19">
        <v>27</v>
      </c>
      <c r="AR1289" s="19"/>
      <c r="AS1289" s="19"/>
      <c r="AT1289" s="65" t="str">
        <f t="shared" si="347"/>
        <v>Y</v>
      </c>
      <c r="AU1289" s="65" t="str">
        <f t="shared" si="368"/>
        <v>Y</v>
      </c>
      <c r="AV1289" s="65" t="str">
        <f t="shared" si="369"/>
        <v>Y</v>
      </c>
      <c r="AW1289" s="99"/>
      <c r="AX1289" s="99"/>
      <c r="AY1289" s="19"/>
      <c r="AZ1289" s="96" t="str">
        <f t="shared" si="370"/>
        <v>EC10</v>
      </c>
      <c r="BA1289" s="96">
        <f>IF(AZ1289="n","n",VLOOKUP(AZ1289,'Conversion factors'!$C$4:$D$24,2,FALSE))</f>
        <v>1</v>
      </c>
      <c r="BB1289" s="96">
        <f t="shared" si="371"/>
        <v>1.8</v>
      </c>
      <c r="BC1289" s="97"/>
      <c r="BD1289" s="96" t="str">
        <f t="shared" si="348"/>
        <v>Chronic</v>
      </c>
      <c r="BE1289" s="96" t="str">
        <f t="shared" si="372"/>
        <v>y</v>
      </c>
      <c r="BF1289" s="98" t="str">
        <f t="shared" si="367"/>
        <v>EC10</v>
      </c>
      <c r="BG1289" s="96" t="str">
        <f>IF(BF1289="","",IF(ISNUMBER(VLOOKUP(BF1289,'Conversion factors'!$B$35:$C$52,2,FALSE)),"y","n"))</f>
        <v>y</v>
      </c>
      <c r="BH1289" s="99"/>
      <c r="BI1289" s="103"/>
      <c r="BJ1289" s="103"/>
    </row>
    <row r="1290" spans="1:62" ht="15.95" customHeight="1" x14ac:dyDescent="0.2">
      <c r="B1290" s="19"/>
      <c r="C1290" s="19"/>
      <c r="D1290" s="19"/>
      <c r="E1290" s="19" t="s">
        <v>1390</v>
      </c>
      <c r="F1290" s="93">
        <v>2021</v>
      </c>
      <c r="G1290" s="19" t="s">
        <v>1652</v>
      </c>
      <c r="H1290" s="19" t="s">
        <v>1658</v>
      </c>
      <c r="I1290" s="19" t="s">
        <v>1311</v>
      </c>
      <c r="J1290" s="19" t="s">
        <v>567</v>
      </c>
      <c r="K1290" s="19" t="s">
        <v>42</v>
      </c>
      <c r="L1290" s="19" t="s">
        <v>43</v>
      </c>
      <c r="M1290" s="19" t="s">
        <v>1303</v>
      </c>
      <c r="N1290" s="19" t="s">
        <v>109</v>
      </c>
      <c r="O1290" s="19" t="s">
        <v>1649</v>
      </c>
      <c r="P1290" s="19" t="s">
        <v>1650</v>
      </c>
      <c r="Q1290" s="19"/>
      <c r="R1290" s="19" t="s">
        <v>81</v>
      </c>
      <c r="S1290" s="19" t="s">
        <v>1651</v>
      </c>
      <c r="T1290" s="19" t="s">
        <v>49</v>
      </c>
      <c r="U1290" s="19" t="s">
        <v>49</v>
      </c>
      <c r="V1290" s="19">
        <v>3</v>
      </c>
      <c r="W1290" s="19" t="s">
        <v>45</v>
      </c>
      <c r="X1290" s="19" t="s">
        <v>46</v>
      </c>
      <c r="Y1290" s="29"/>
      <c r="Z1290" s="19"/>
      <c r="AA1290" s="19"/>
      <c r="AB1290" s="19">
        <v>0.79</v>
      </c>
      <c r="AC1290" s="19" t="s">
        <v>214</v>
      </c>
      <c r="AD1290" s="19"/>
      <c r="AE1290" s="19">
        <v>94</v>
      </c>
      <c r="AF1290" s="19"/>
      <c r="AG1290" s="19"/>
      <c r="AH1290" s="19"/>
      <c r="AI1290" s="19"/>
      <c r="AJ1290" s="19">
        <v>7.7</v>
      </c>
      <c r="AK1290" s="19"/>
      <c r="AL1290" s="19"/>
      <c r="AM1290" s="19"/>
      <c r="AN1290" s="19"/>
      <c r="AO1290" s="19"/>
      <c r="AP1290" s="94">
        <v>0.6</v>
      </c>
      <c r="AQ1290" s="19">
        <v>27</v>
      </c>
      <c r="AR1290" s="19"/>
      <c r="AS1290" s="19"/>
      <c r="AT1290" s="65" t="str">
        <f t="shared" si="347"/>
        <v>Y</v>
      </c>
      <c r="AU1290" s="65" t="str">
        <f t="shared" si="368"/>
        <v>Y</v>
      </c>
      <c r="AV1290" s="65" t="str">
        <f t="shared" si="369"/>
        <v>Y</v>
      </c>
      <c r="AW1290" s="99"/>
      <c r="AX1290" s="99"/>
      <c r="AY1290" s="19"/>
      <c r="AZ1290" s="96" t="str">
        <f t="shared" si="370"/>
        <v>EC10</v>
      </c>
      <c r="BA1290" s="96">
        <f>IF(AZ1290="n","n",VLOOKUP(AZ1290,'Conversion factors'!$C$4:$D$24,2,FALSE))</f>
        <v>1</v>
      </c>
      <c r="BB1290" s="96">
        <f t="shared" si="371"/>
        <v>0.79</v>
      </c>
      <c r="BC1290" s="97"/>
      <c r="BD1290" s="96" t="str">
        <f t="shared" si="348"/>
        <v>Chronic</v>
      </c>
      <c r="BE1290" s="96" t="str">
        <f t="shared" si="372"/>
        <v>y</v>
      </c>
      <c r="BF1290" s="98" t="str">
        <f t="shared" si="367"/>
        <v>EC10</v>
      </c>
      <c r="BG1290" s="96" t="str">
        <f>IF(BF1290="","",IF(ISNUMBER(VLOOKUP(BF1290,'Conversion factors'!$B$35:$C$52,2,FALSE)),"y","n"))</f>
        <v>y</v>
      </c>
      <c r="BH1290" s="99"/>
      <c r="BI1290" s="103"/>
      <c r="BJ1290" s="103"/>
    </row>
    <row r="1291" spans="1:62" s="103" customFormat="1" ht="15.95" customHeight="1" x14ac:dyDescent="0.2">
      <c r="A1291" s="18"/>
      <c r="B1291" s="107"/>
      <c r="C1291" s="36"/>
      <c r="D1291" s="36"/>
      <c r="E1291" s="19" t="s">
        <v>1390</v>
      </c>
      <c r="F1291" s="93">
        <v>2021</v>
      </c>
      <c r="G1291" s="19" t="s">
        <v>1652</v>
      </c>
      <c r="H1291" s="19" t="s">
        <v>1658</v>
      </c>
      <c r="I1291" s="19" t="s">
        <v>1311</v>
      </c>
      <c r="J1291" s="19" t="s">
        <v>567</v>
      </c>
      <c r="K1291" s="19" t="s">
        <v>42</v>
      </c>
      <c r="L1291" s="19" t="s">
        <v>43</v>
      </c>
      <c r="M1291" s="19" t="s">
        <v>1303</v>
      </c>
      <c r="N1291" s="19" t="s">
        <v>109</v>
      </c>
      <c r="O1291" s="19" t="s">
        <v>1649</v>
      </c>
      <c r="P1291" s="19" t="s">
        <v>1650</v>
      </c>
      <c r="Q1291" s="19"/>
      <c r="R1291" s="19" t="s">
        <v>81</v>
      </c>
      <c r="S1291" s="19" t="s">
        <v>1651</v>
      </c>
      <c r="T1291" s="19" t="s">
        <v>49</v>
      </c>
      <c r="U1291" s="19" t="s">
        <v>49</v>
      </c>
      <c r="V1291" s="19">
        <v>3</v>
      </c>
      <c r="W1291" s="19" t="s">
        <v>45</v>
      </c>
      <c r="X1291" s="19" t="s">
        <v>46</v>
      </c>
      <c r="Y1291" s="29"/>
      <c r="Z1291" s="93"/>
      <c r="AA1291" s="93"/>
      <c r="AB1291" s="93">
        <v>4.0999999999999996</v>
      </c>
      <c r="AC1291" s="19" t="s">
        <v>214</v>
      </c>
      <c r="AD1291" s="93"/>
      <c r="AE1291" s="19">
        <v>94</v>
      </c>
      <c r="AF1291" s="19"/>
      <c r="AG1291" s="19"/>
      <c r="AH1291" s="19"/>
      <c r="AI1291" s="19"/>
      <c r="AJ1291" s="19">
        <v>8</v>
      </c>
      <c r="AK1291" s="19"/>
      <c r="AL1291" s="19"/>
      <c r="AM1291" s="19"/>
      <c r="AN1291" s="19"/>
      <c r="AO1291" s="19"/>
      <c r="AP1291" s="94">
        <v>0.6</v>
      </c>
      <c r="AQ1291" s="19">
        <v>27</v>
      </c>
      <c r="AR1291" s="108"/>
      <c r="AS1291" s="19"/>
      <c r="AT1291" s="65" t="str">
        <f t="shared" si="347"/>
        <v>Y</v>
      </c>
      <c r="AU1291" s="65" t="str">
        <f t="shared" si="368"/>
        <v>Y</v>
      </c>
      <c r="AV1291" s="65" t="str">
        <f t="shared" si="369"/>
        <v>Y</v>
      </c>
      <c r="AW1291" s="99"/>
      <c r="AX1291" s="99"/>
      <c r="AY1291" s="19"/>
      <c r="AZ1291" s="96" t="str">
        <f t="shared" si="370"/>
        <v>EC10</v>
      </c>
      <c r="BA1291" s="96">
        <f>IF(AZ1291="n","n",VLOOKUP(AZ1291,'Conversion factors'!$C$4:$D$24,2,FALSE))</f>
        <v>1</v>
      </c>
      <c r="BB1291" s="96">
        <f t="shared" si="371"/>
        <v>4.0999999999999996</v>
      </c>
      <c r="BC1291" s="97"/>
      <c r="BD1291" s="96" t="str">
        <f t="shared" si="348"/>
        <v>Chronic</v>
      </c>
      <c r="BE1291" s="96" t="str">
        <f t="shared" si="372"/>
        <v>y</v>
      </c>
      <c r="BF1291" s="98" t="str">
        <f t="shared" si="367"/>
        <v>EC10</v>
      </c>
      <c r="BG1291" s="96" t="str">
        <f>IF(BF1291="","",IF(ISNUMBER(VLOOKUP(BF1291,'Conversion factors'!$B$35:$C$52,2,FALSE)),"y","n"))</f>
        <v>y</v>
      </c>
      <c r="BH1291" s="99"/>
    </row>
    <row r="1292" spans="1:62" s="103" customFormat="1" ht="15.95" customHeight="1" x14ac:dyDescent="0.2">
      <c r="A1292" s="18"/>
      <c r="B1292" s="19"/>
      <c r="C1292" s="19"/>
      <c r="D1292" s="19"/>
      <c r="E1292" s="19" t="s">
        <v>1390</v>
      </c>
      <c r="F1292" s="93">
        <v>2021</v>
      </c>
      <c r="G1292" s="19" t="s">
        <v>1652</v>
      </c>
      <c r="H1292" s="19" t="s">
        <v>1658</v>
      </c>
      <c r="I1292" s="19" t="s">
        <v>1311</v>
      </c>
      <c r="J1292" s="19" t="s">
        <v>567</v>
      </c>
      <c r="K1292" s="19" t="s">
        <v>42</v>
      </c>
      <c r="L1292" s="19" t="s">
        <v>43</v>
      </c>
      <c r="M1292" s="19" t="s">
        <v>1303</v>
      </c>
      <c r="N1292" s="19" t="s">
        <v>109</v>
      </c>
      <c r="O1292" s="19" t="s">
        <v>1649</v>
      </c>
      <c r="P1292" s="19" t="s">
        <v>1650</v>
      </c>
      <c r="Q1292" s="19"/>
      <c r="R1292" s="19" t="s">
        <v>81</v>
      </c>
      <c r="S1292" s="19" t="s">
        <v>1651</v>
      </c>
      <c r="T1292" s="19" t="s">
        <v>49</v>
      </c>
      <c r="U1292" s="19" t="s">
        <v>49</v>
      </c>
      <c r="V1292" s="19">
        <v>3</v>
      </c>
      <c r="W1292" s="19" t="s">
        <v>45</v>
      </c>
      <c r="X1292" s="19" t="s">
        <v>46</v>
      </c>
      <c r="Y1292" s="29"/>
      <c r="Z1292" s="19"/>
      <c r="AA1292" s="19"/>
      <c r="AB1292" s="19">
        <v>3.2</v>
      </c>
      <c r="AC1292" s="19" t="s">
        <v>214</v>
      </c>
      <c r="AD1292" s="19"/>
      <c r="AE1292" s="19">
        <v>93</v>
      </c>
      <c r="AF1292" s="19"/>
      <c r="AG1292" s="19"/>
      <c r="AH1292" s="19"/>
      <c r="AI1292" s="19"/>
      <c r="AJ1292" s="19">
        <v>8.3000000000000007</v>
      </c>
      <c r="AK1292" s="19"/>
      <c r="AL1292" s="19"/>
      <c r="AM1292" s="19"/>
      <c r="AN1292" s="19"/>
      <c r="AO1292" s="19"/>
      <c r="AP1292" s="94">
        <v>0.69</v>
      </c>
      <c r="AQ1292" s="19">
        <v>27</v>
      </c>
      <c r="AR1292" s="19"/>
      <c r="AS1292" s="19"/>
      <c r="AT1292" s="65" t="str">
        <f t="shared" si="347"/>
        <v>Y</v>
      </c>
      <c r="AU1292" s="65" t="str">
        <f t="shared" si="368"/>
        <v>Y</v>
      </c>
      <c r="AV1292" s="65" t="str">
        <f t="shared" si="369"/>
        <v>Y</v>
      </c>
      <c r="AW1292" s="99"/>
      <c r="AX1292" s="99"/>
      <c r="AY1292" s="19"/>
      <c r="AZ1292" s="96" t="str">
        <f t="shared" si="370"/>
        <v>EC10</v>
      </c>
      <c r="BA1292" s="96">
        <f>IF(AZ1292="n","n",VLOOKUP(AZ1292,'Conversion factors'!$C$4:$D$24,2,FALSE))</f>
        <v>1</v>
      </c>
      <c r="BB1292" s="96">
        <f t="shared" si="371"/>
        <v>3.2</v>
      </c>
      <c r="BC1292" s="97"/>
      <c r="BD1292" s="96" t="str">
        <f t="shared" si="348"/>
        <v>Chronic</v>
      </c>
      <c r="BE1292" s="96" t="str">
        <f t="shared" si="372"/>
        <v>y</v>
      </c>
      <c r="BF1292" s="98" t="str">
        <f t="shared" si="367"/>
        <v>EC10</v>
      </c>
      <c r="BG1292" s="96" t="str">
        <f>IF(BF1292="","",IF(ISNUMBER(VLOOKUP(BF1292,'Conversion factors'!$B$35:$C$52,2,FALSE)),"y","n"))</f>
        <v>y</v>
      </c>
      <c r="BH1292" s="99"/>
    </row>
    <row r="1293" spans="1:62" s="103" customFormat="1" ht="15.95" customHeight="1" x14ac:dyDescent="0.2">
      <c r="A1293" s="18"/>
      <c r="B1293" s="19"/>
      <c r="C1293" s="19"/>
      <c r="D1293" s="19"/>
      <c r="E1293" s="19" t="s">
        <v>1390</v>
      </c>
      <c r="F1293" s="93">
        <v>2021</v>
      </c>
      <c r="G1293" s="19" t="s">
        <v>1652</v>
      </c>
      <c r="H1293" s="19" t="s">
        <v>1658</v>
      </c>
      <c r="I1293" s="19" t="s">
        <v>1311</v>
      </c>
      <c r="J1293" s="19" t="s">
        <v>567</v>
      </c>
      <c r="K1293" s="19" t="s">
        <v>42</v>
      </c>
      <c r="L1293" s="19" t="s">
        <v>43</v>
      </c>
      <c r="M1293" s="19" t="s">
        <v>1303</v>
      </c>
      <c r="N1293" s="19" t="s">
        <v>109</v>
      </c>
      <c r="O1293" s="19" t="s">
        <v>1649</v>
      </c>
      <c r="P1293" s="19" t="s">
        <v>1650</v>
      </c>
      <c r="Q1293" s="19"/>
      <c r="R1293" s="19" t="s">
        <v>81</v>
      </c>
      <c r="S1293" s="19" t="s">
        <v>1651</v>
      </c>
      <c r="T1293" s="19" t="s">
        <v>49</v>
      </c>
      <c r="U1293" s="19" t="s">
        <v>49</v>
      </c>
      <c r="V1293" s="19">
        <v>3</v>
      </c>
      <c r="W1293" s="19" t="s">
        <v>45</v>
      </c>
      <c r="X1293" s="19" t="s">
        <v>46</v>
      </c>
      <c r="Y1293" s="29"/>
      <c r="Z1293" s="19"/>
      <c r="AA1293" s="19"/>
      <c r="AB1293" s="19">
        <v>2.7</v>
      </c>
      <c r="AC1293" s="19" t="s">
        <v>214</v>
      </c>
      <c r="AD1293" s="19"/>
      <c r="AE1293" s="19">
        <v>93</v>
      </c>
      <c r="AF1293" s="19"/>
      <c r="AG1293" s="19"/>
      <c r="AH1293" s="19"/>
      <c r="AI1293" s="19"/>
      <c r="AJ1293" s="19" t="s">
        <v>1653</v>
      </c>
      <c r="AK1293" s="19"/>
      <c r="AL1293" s="19"/>
      <c r="AM1293" s="19"/>
      <c r="AN1293" s="19"/>
      <c r="AO1293" s="19"/>
      <c r="AP1293" s="94">
        <v>0.54</v>
      </c>
      <c r="AQ1293" s="19">
        <v>27</v>
      </c>
      <c r="AR1293" s="19"/>
      <c r="AS1293" s="19"/>
      <c r="AT1293" s="65" t="str">
        <f t="shared" si="347"/>
        <v>Y</v>
      </c>
      <c r="AU1293" s="65" t="str">
        <f t="shared" si="368"/>
        <v>N</v>
      </c>
      <c r="AV1293" s="65" t="str">
        <f t="shared" si="369"/>
        <v>N</v>
      </c>
      <c r="AW1293" s="99"/>
      <c r="AX1293" s="99"/>
      <c r="AY1293" s="19"/>
      <c r="AZ1293" s="96" t="str">
        <f t="shared" si="370"/>
        <v>n</v>
      </c>
      <c r="BA1293" s="96" t="str">
        <f>IF(AZ1293="n","n",VLOOKUP(AZ1293,'Conversion factors'!$C$4:$D$24,2,FALSE))</f>
        <v>n</v>
      </c>
      <c r="BB1293" s="96" t="str">
        <f t="shared" si="371"/>
        <v>n</v>
      </c>
      <c r="BC1293" s="97"/>
      <c r="BD1293" s="96" t="str">
        <f t="shared" si="348"/>
        <v>n</v>
      </c>
      <c r="BE1293" s="96" t="str">
        <f t="shared" si="372"/>
        <v>n</v>
      </c>
      <c r="BF1293" s="98" t="str">
        <f t="shared" si="367"/>
        <v/>
      </c>
      <c r="BG1293" s="96" t="str">
        <f>IF(BF1293="","",IF(ISNUMBER(VLOOKUP(BF1293,'Conversion factors'!$B$35:$C$52,2,FALSE)),"y","n"))</f>
        <v/>
      </c>
      <c r="BH1293" s="99"/>
    </row>
    <row r="1294" spans="1:62" s="103" customFormat="1" ht="15.95" customHeight="1" x14ac:dyDescent="0.2">
      <c r="A1294" s="20"/>
      <c r="B1294" s="19"/>
      <c r="C1294" s="19"/>
      <c r="D1294" s="19"/>
      <c r="E1294" s="19" t="s">
        <v>1390</v>
      </c>
      <c r="F1294" s="93">
        <v>2022</v>
      </c>
      <c r="G1294" s="19" t="s">
        <v>1652</v>
      </c>
      <c r="H1294" s="19" t="s">
        <v>1658</v>
      </c>
      <c r="I1294" s="19" t="s">
        <v>1311</v>
      </c>
      <c r="J1294" s="19" t="s">
        <v>567</v>
      </c>
      <c r="K1294" s="19" t="s">
        <v>42</v>
      </c>
      <c r="L1294" s="19" t="s">
        <v>43</v>
      </c>
      <c r="M1294" s="19" t="s">
        <v>1303</v>
      </c>
      <c r="N1294" s="19" t="s">
        <v>109</v>
      </c>
      <c r="O1294" s="19" t="s">
        <v>1649</v>
      </c>
      <c r="P1294" s="19" t="s">
        <v>1650</v>
      </c>
      <c r="Q1294" s="19"/>
      <c r="R1294" s="19" t="s">
        <v>81</v>
      </c>
      <c r="S1294" s="19" t="s">
        <v>1651</v>
      </c>
      <c r="T1294" s="19" t="s">
        <v>49</v>
      </c>
      <c r="U1294" s="19" t="s">
        <v>49</v>
      </c>
      <c r="V1294" s="19">
        <v>3</v>
      </c>
      <c r="W1294" s="19" t="s">
        <v>45</v>
      </c>
      <c r="X1294" s="19" t="s">
        <v>46</v>
      </c>
      <c r="Y1294" s="29"/>
      <c r="Z1294" s="19"/>
      <c r="AA1294" s="19"/>
      <c r="AB1294" s="19">
        <v>1.5</v>
      </c>
      <c r="AC1294" s="19" t="s">
        <v>214</v>
      </c>
      <c r="AD1294" s="19"/>
      <c r="AE1294" s="19">
        <v>5</v>
      </c>
      <c r="AF1294" s="19"/>
      <c r="AG1294" s="19"/>
      <c r="AH1294" s="19"/>
      <c r="AI1294" s="19"/>
      <c r="AJ1294" s="19">
        <v>6.7</v>
      </c>
      <c r="AK1294" s="19"/>
      <c r="AL1294" s="19"/>
      <c r="AM1294" s="19"/>
      <c r="AN1294" s="19">
        <v>47</v>
      </c>
      <c r="AO1294" s="19"/>
      <c r="AP1294" s="94" t="s">
        <v>73</v>
      </c>
      <c r="AQ1294" s="19">
        <v>27</v>
      </c>
      <c r="AR1294" s="19"/>
      <c r="AS1294" s="19"/>
      <c r="AT1294" s="65" t="str">
        <f t="shared" si="347"/>
        <v>Y</v>
      </c>
      <c r="AU1294" s="65" t="str">
        <f t="shared" si="368"/>
        <v>Y</v>
      </c>
      <c r="AV1294" s="65" t="str">
        <f t="shared" si="369"/>
        <v>Y</v>
      </c>
      <c r="AW1294" s="99"/>
      <c r="AX1294" s="99"/>
      <c r="AY1294" s="19"/>
      <c r="AZ1294" s="96" t="str">
        <f t="shared" ref="AZ1294:AZ1380" si="373">IF(AV1294="N","n",T1294)</f>
        <v>EC10</v>
      </c>
      <c r="BA1294" s="96">
        <f>IF(AZ1294="n","n",VLOOKUP(AZ1294,'Conversion factors'!$C$4:$D$24,2,FALSE))</f>
        <v>1</v>
      </c>
      <c r="BB1294" s="96">
        <f t="shared" ref="BB1294:BB1380" si="374">IF(BA1294="n","n",AB1294/BA1294)</f>
        <v>1.5</v>
      </c>
      <c r="BC1294" s="97"/>
      <c r="BD1294" s="96" t="str">
        <f t="shared" si="348"/>
        <v>Chronic</v>
      </c>
      <c r="BE1294" s="96" t="str">
        <f t="shared" ref="BE1294:BE1380" si="375">IF(BD1294="chronic","y","n")</f>
        <v>y</v>
      </c>
      <c r="BF1294" s="98" t="str">
        <f t="shared" si="367"/>
        <v>EC10</v>
      </c>
      <c r="BG1294" s="96" t="str">
        <f>IF(BF1294="","",IF(ISNUMBER(VLOOKUP(BF1294,'Conversion factors'!$B$35:$C$52,2,FALSE)),"y","n"))</f>
        <v>y</v>
      </c>
      <c r="BH1294" s="99"/>
    </row>
    <row r="1295" spans="1:62" s="103" customFormat="1" ht="15.95" customHeight="1" x14ac:dyDescent="0.2">
      <c r="A1295" s="20"/>
      <c r="B1295" s="19"/>
      <c r="C1295" s="19"/>
      <c r="D1295" s="19"/>
      <c r="E1295" s="19" t="s">
        <v>1390</v>
      </c>
      <c r="F1295" s="93">
        <v>2022</v>
      </c>
      <c r="G1295" s="19" t="s">
        <v>1652</v>
      </c>
      <c r="H1295" s="19" t="s">
        <v>1658</v>
      </c>
      <c r="I1295" s="19" t="s">
        <v>1311</v>
      </c>
      <c r="J1295" s="19" t="s">
        <v>567</v>
      </c>
      <c r="K1295" s="19" t="s">
        <v>42</v>
      </c>
      <c r="L1295" s="19" t="s">
        <v>43</v>
      </c>
      <c r="M1295" s="19" t="s">
        <v>1303</v>
      </c>
      <c r="N1295" s="19" t="s">
        <v>109</v>
      </c>
      <c r="O1295" s="19" t="s">
        <v>1649</v>
      </c>
      <c r="P1295" s="19" t="s">
        <v>1650</v>
      </c>
      <c r="Q1295" s="19"/>
      <c r="R1295" s="19" t="s">
        <v>81</v>
      </c>
      <c r="S1295" s="19" t="s">
        <v>1651</v>
      </c>
      <c r="T1295" s="19" t="s">
        <v>49</v>
      </c>
      <c r="U1295" s="19" t="s">
        <v>49</v>
      </c>
      <c r="V1295" s="19">
        <v>3</v>
      </c>
      <c r="W1295" s="19" t="s">
        <v>45</v>
      </c>
      <c r="X1295" s="19" t="s">
        <v>46</v>
      </c>
      <c r="Y1295" s="29"/>
      <c r="Z1295" s="19"/>
      <c r="AA1295" s="19"/>
      <c r="AB1295" s="19">
        <v>1.8</v>
      </c>
      <c r="AC1295" s="19" t="s">
        <v>214</v>
      </c>
      <c r="AD1295" s="19"/>
      <c r="AE1295" s="19">
        <v>5</v>
      </c>
      <c r="AF1295" s="19"/>
      <c r="AG1295" s="19"/>
      <c r="AH1295" s="19"/>
      <c r="AI1295" s="19"/>
      <c r="AJ1295" s="19">
        <v>7.6</v>
      </c>
      <c r="AK1295" s="19"/>
      <c r="AL1295" s="19"/>
      <c r="AM1295" s="19"/>
      <c r="AN1295" s="19">
        <v>47</v>
      </c>
      <c r="AO1295" s="19"/>
      <c r="AP1295" s="94" t="s">
        <v>73</v>
      </c>
      <c r="AQ1295" s="19">
        <v>27</v>
      </c>
      <c r="AR1295" s="19"/>
      <c r="AS1295" s="19"/>
      <c r="AT1295" s="65" t="str">
        <f t="shared" si="347"/>
        <v>Y</v>
      </c>
      <c r="AU1295" s="65" t="str">
        <f t="shared" si="368"/>
        <v>Y</v>
      </c>
      <c r="AV1295" s="65" t="str">
        <f t="shared" si="369"/>
        <v>Y</v>
      </c>
      <c r="AW1295" s="99"/>
      <c r="AX1295" s="99"/>
      <c r="AY1295" s="19"/>
      <c r="AZ1295" s="96" t="str">
        <f t="shared" si="373"/>
        <v>EC10</v>
      </c>
      <c r="BA1295" s="96">
        <f>IF(AZ1295="n","n",VLOOKUP(AZ1295,'Conversion factors'!$C$4:$D$24,2,FALSE))</f>
        <v>1</v>
      </c>
      <c r="BB1295" s="96">
        <f t="shared" si="374"/>
        <v>1.8</v>
      </c>
      <c r="BC1295" s="97"/>
      <c r="BD1295" s="96" t="str">
        <f t="shared" si="348"/>
        <v>Chronic</v>
      </c>
      <c r="BE1295" s="96" t="str">
        <f t="shared" si="375"/>
        <v>y</v>
      </c>
      <c r="BF1295" s="98" t="str">
        <f t="shared" si="367"/>
        <v>EC10</v>
      </c>
      <c r="BG1295" s="96" t="str">
        <f>IF(BF1295="","",IF(ISNUMBER(VLOOKUP(BF1295,'Conversion factors'!$B$35:$C$52,2,FALSE)),"y","n"))</f>
        <v>y</v>
      </c>
      <c r="BH1295" s="99"/>
    </row>
    <row r="1296" spans="1:62" s="103" customFormat="1" ht="15.95" customHeight="1" x14ac:dyDescent="0.2">
      <c r="A1296" s="20"/>
      <c r="B1296" s="19"/>
      <c r="C1296" s="19"/>
      <c r="D1296" s="19"/>
      <c r="E1296" s="19" t="s">
        <v>1390</v>
      </c>
      <c r="F1296" s="93">
        <v>2022</v>
      </c>
      <c r="G1296" s="19" t="s">
        <v>1652</v>
      </c>
      <c r="H1296" s="19" t="s">
        <v>1658</v>
      </c>
      <c r="I1296" s="19" t="s">
        <v>1311</v>
      </c>
      <c r="J1296" s="19" t="s">
        <v>567</v>
      </c>
      <c r="K1296" s="19" t="s">
        <v>42</v>
      </c>
      <c r="L1296" s="19" t="s">
        <v>43</v>
      </c>
      <c r="M1296" s="19" t="s">
        <v>1303</v>
      </c>
      <c r="N1296" s="19" t="s">
        <v>109</v>
      </c>
      <c r="O1296" s="19" t="s">
        <v>1649</v>
      </c>
      <c r="P1296" s="19" t="s">
        <v>1650</v>
      </c>
      <c r="Q1296" s="19"/>
      <c r="R1296" s="19" t="s">
        <v>81</v>
      </c>
      <c r="S1296" s="19" t="s">
        <v>1651</v>
      </c>
      <c r="T1296" s="19" t="s">
        <v>49</v>
      </c>
      <c r="U1296" s="19" t="s">
        <v>49</v>
      </c>
      <c r="V1296" s="19">
        <v>3</v>
      </c>
      <c r="W1296" s="19" t="s">
        <v>45</v>
      </c>
      <c r="X1296" s="19" t="s">
        <v>46</v>
      </c>
      <c r="Y1296" s="29"/>
      <c r="Z1296" s="19"/>
      <c r="AA1296" s="19"/>
      <c r="AB1296" s="19">
        <v>0.85</v>
      </c>
      <c r="AC1296" s="19" t="s">
        <v>214</v>
      </c>
      <c r="AD1296" s="19"/>
      <c r="AE1296" s="19">
        <v>5</v>
      </c>
      <c r="AF1296" s="19"/>
      <c r="AG1296" s="19"/>
      <c r="AH1296" s="19"/>
      <c r="AI1296" s="19"/>
      <c r="AJ1296" s="19">
        <v>8.3000000000000007</v>
      </c>
      <c r="AK1296" s="19"/>
      <c r="AL1296" s="19"/>
      <c r="AM1296" s="19"/>
      <c r="AN1296" s="19">
        <v>47</v>
      </c>
      <c r="AO1296" s="19"/>
      <c r="AP1296" s="94" t="s">
        <v>73</v>
      </c>
      <c r="AQ1296" s="19">
        <v>27</v>
      </c>
      <c r="AR1296" s="19"/>
      <c r="AS1296" s="19"/>
      <c r="AT1296" s="65" t="str">
        <f t="shared" ref="AT1296:AT1359" si="376">IF(F1296&lt;1980,"N",IF(AC1296="M","Y",IF(AC1296="SM","Y","N")))</f>
        <v>Y</v>
      </c>
      <c r="AU1296" s="65" t="str">
        <f t="shared" si="368"/>
        <v>Y</v>
      </c>
      <c r="AV1296" s="65" t="str">
        <f t="shared" si="369"/>
        <v>Y</v>
      </c>
      <c r="AW1296" s="99"/>
      <c r="AX1296" s="99"/>
      <c r="AY1296" s="19"/>
      <c r="AZ1296" s="96" t="str">
        <f t="shared" si="373"/>
        <v>EC10</v>
      </c>
      <c r="BA1296" s="96">
        <f>IF(AZ1296="n","n",VLOOKUP(AZ1296,'Conversion factors'!$C$4:$D$24,2,FALSE))</f>
        <v>1</v>
      </c>
      <c r="BB1296" s="96">
        <f t="shared" si="374"/>
        <v>0.85</v>
      </c>
      <c r="BC1296" s="97"/>
      <c r="BD1296" s="96" t="str">
        <f t="shared" ref="BD1296:BD1359" si="377">IF(AV1296="N","n",X1296)</f>
        <v>Chronic</v>
      </c>
      <c r="BE1296" s="96" t="str">
        <f t="shared" si="375"/>
        <v>y</v>
      </c>
      <c r="BF1296" s="98" t="str">
        <f t="shared" si="367"/>
        <v>EC10</v>
      </c>
      <c r="BG1296" s="96" t="str">
        <f>IF(BF1296="","",IF(ISNUMBER(VLOOKUP(BF1296,'Conversion factors'!$B$35:$C$52,2,FALSE)),"y","n"))</f>
        <v>y</v>
      </c>
      <c r="BH1296" s="99"/>
    </row>
    <row r="1297" spans="1:62" s="103" customFormat="1" ht="15.95" customHeight="1" x14ac:dyDescent="0.2">
      <c r="A1297" s="18"/>
      <c r="B1297" s="107"/>
      <c r="C1297" s="36"/>
      <c r="D1297" s="36"/>
      <c r="E1297" s="19" t="s">
        <v>1390</v>
      </c>
      <c r="F1297" s="93">
        <v>2022</v>
      </c>
      <c r="G1297" s="19" t="s">
        <v>1652</v>
      </c>
      <c r="H1297" s="19" t="s">
        <v>1658</v>
      </c>
      <c r="I1297" s="19" t="s">
        <v>1311</v>
      </c>
      <c r="J1297" s="19" t="s">
        <v>567</v>
      </c>
      <c r="K1297" s="19" t="s">
        <v>42</v>
      </c>
      <c r="L1297" s="19" t="s">
        <v>43</v>
      </c>
      <c r="M1297" s="19" t="s">
        <v>1303</v>
      </c>
      <c r="N1297" s="19" t="s">
        <v>109</v>
      </c>
      <c r="O1297" s="19" t="s">
        <v>1649</v>
      </c>
      <c r="P1297" s="19" t="s">
        <v>1650</v>
      </c>
      <c r="Q1297" s="19"/>
      <c r="R1297" s="19" t="s">
        <v>81</v>
      </c>
      <c r="S1297" s="19" t="s">
        <v>1651</v>
      </c>
      <c r="T1297" s="19" t="s">
        <v>49</v>
      </c>
      <c r="U1297" s="19" t="s">
        <v>49</v>
      </c>
      <c r="V1297" s="19">
        <v>3</v>
      </c>
      <c r="W1297" s="19" t="s">
        <v>45</v>
      </c>
      <c r="X1297" s="19" t="s">
        <v>46</v>
      </c>
      <c r="Y1297" s="29"/>
      <c r="Z1297" s="93"/>
      <c r="AA1297" s="93"/>
      <c r="AB1297" s="93">
        <v>3.3</v>
      </c>
      <c r="AC1297" s="19" t="s">
        <v>214</v>
      </c>
      <c r="AD1297" s="93"/>
      <c r="AE1297" s="19">
        <v>31</v>
      </c>
      <c r="AF1297" s="19"/>
      <c r="AG1297" s="19"/>
      <c r="AH1297" s="19"/>
      <c r="AI1297" s="19"/>
      <c r="AJ1297" s="19">
        <v>6.7</v>
      </c>
      <c r="AK1297" s="19"/>
      <c r="AL1297" s="19"/>
      <c r="AM1297" s="19"/>
      <c r="AN1297" s="19">
        <v>33</v>
      </c>
      <c r="AO1297" s="19"/>
      <c r="AP1297" s="94" t="s">
        <v>73</v>
      </c>
      <c r="AQ1297" s="19">
        <v>27</v>
      </c>
      <c r="AR1297" s="19"/>
      <c r="AS1297" s="19"/>
      <c r="AT1297" s="65" t="str">
        <f t="shared" si="376"/>
        <v>Y</v>
      </c>
      <c r="AU1297" s="65" t="str">
        <f t="shared" si="368"/>
        <v>Y</v>
      </c>
      <c r="AV1297" s="65" t="str">
        <f t="shared" si="369"/>
        <v>Y</v>
      </c>
      <c r="AW1297" s="99"/>
      <c r="AX1297" s="99"/>
      <c r="AY1297" s="19"/>
      <c r="AZ1297" s="96" t="str">
        <f t="shared" si="373"/>
        <v>EC10</v>
      </c>
      <c r="BA1297" s="96">
        <f>IF(AZ1297="n","n",VLOOKUP(AZ1297,'Conversion factors'!$C$4:$D$24,2,FALSE))</f>
        <v>1</v>
      </c>
      <c r="BB1297" s="96">
        <f t="shared" si="374"/>
        <v>3.3</v>
      </c>
      <c r="BC1297" s="97"/>
      <c r="BD1297" s="96" t="str">
        <f t="shared" si="377"/>
        <v>Chronic</v>
      </c>
      <c r="BE1297" s="96" t="str">
        <f t="shared" si="375"/>
        <v>y</v>
      </c>
      <c r="BF1297" s="98" t="str">
        <f t="shared" si="367"/>
        <v>EC10</v>
      </c>
      <c r="BG1297" s="96" t="str">
        <f>IF(BF1297="","",IF(ISNUMBER(VLOOKUP(BF1297,'Conversion factors'!$B$35:$C$52,2,FALSE)),"y","n"))</f>
        <v>y</v>
      </c>
      <c r="BH1297" s="99"/>
    </row>
    <row r="1298" spans="1:62" s="103" customFormat="1" ht="15.95" customHeight="1" x14ac:dyDescent="0.2">
      <c r="A1298" s="18"/>
      <c r="B1298" s="19"/>
      <c r="C1298" s="19"/>
      <c r="D1298" s="19"/>
      <c r="E1298" s="19" t="s">
        <v>1390</v>
      </c>
      <c r="F1298" s="93">
        <v>2022</v>
      </c>
      <c r="G1298" s="19" t="s">
        <v>1652</v>
      </c>
      <c r="H1298" s="19" t="s">
        <v>1658</v>
      </c>
      <c r="I1298" s="19" t="s">
        <v>1311</v>
      </c>
      <c r="J1298" s="19" t="s">
        <v>567</v>
      </c>
      <c r="K1298" s="19" t="s">
        <v>42</v>
      </c>
      <c r="L1298" s="19" t="s">
        <v>43</v>
      </c>
      <c r="M1298" s="19" t="s">
        <v>1303</v>
      </c>
      <c r="N1298" s="19" t="s">
        <v>109</v>
      </c>
      <c r="O1298" s="19" t="s">
        <v>1649</v>
      </c>
      <c r="P1298" s="19" t="s">
        <v>1650</v>
      </c>
      <c r="Q1298" s="19"/>
      <c r="R1298" s="19" t="s">
        <v>81</v>
      </c>
      <c r="S1298" s="19" t="s">
        <v>1651</v>
      </c>
      <c r="T1298" s="19" t="s">
        <v>49</v>
      </c>
      <c r="U1298" s="19" t="s">
        <v>49</v>
      </c>
      <c r="V1298" s="19">
        <v>3</v>
      </c>
      <c r="W1298" s="19" t="s">
        <v>45</v>
      </c>
      <c r="X1298" s="19" t="s">
        <v>46</v>
      </c>
      <c r="Y1298" s="29"/>
      <c r="Z1298" s="19"/>
      <c r="AA1298" s="19"/>
      <c r="AB1298" s="19">
        <v>2.1</v>
      </c>
      <c r="AC1298" s="19" t="s">
        <v>214</v>
      </c>
      <c r="AD1298" s="19"/>
      <c r="AE1298" s="19">
        <v>31</v>
      </c>
      <c r="AF1298" s="19"/>
      <c r="AG1298" s="19"/>
      <c r="AH1298" s="19"/>
      <c r="AI1298" s="19"/>
      <c r="AJ1298" s="19">
        <v>7.6</v>
      </c>
      <c r="AK1298" s="19"/>
      <c r="AL1298" s="19"/>
      <c r="AM1298" s="19"/>
      <c r="AN1298" s="19">
        <v>33</v>
      </c>
      <c r="AO1298" s="19"/>
      <c r="AP1298" s="94" t="s">
        <v>73</v>
      </c>
      <c r="AQ1298" s="19">
        <v>27</v>
      </c>
      <c r="AR1298" s="19"/>
      <c r="AS1298" s="19"/>
      <c r="AT1298" s="65" t="str">
        <f t="shared" si="376"/>
        <v>Y</v>
      </c>
      <c r="AU1298" s="65" t="str">
        <f t="shared" si="368"/>
        <v>Y</v>
      </c>
      <c r="AV1298" s="65" t="str">
        <f t="shared" si="369"/>
        <v>Y</v>
      </c>
      <c r="AW1298" s="99"/>
      <c r="AX1298" s="99"/>
      <c r="AY1298" s="19"/>
      <c r="AZ1298" s="96" t="str">
        <f t="shared" si="373"/>
        <v>EC10</v>
      </c>
      <c r="BA1298" s="96">
        <f>IF(AZ1298="n","n",VLOOKUP(AZ1298,'Conversion factors'!$C$4:$D$24,2,FALSE))</f>
        <v>1</v>
      </c>
      <c r="BB1298" s="96">
        <f t="shared" si="374"/>
        <v>2.1</v>
      </c>
      <c r="BC1298" s="97"/>
      <c r="BD1298" s="96" t="str">
        <f t="shared" si="377"/>
        <v>Chronic</v>
      </c>
      <c r="BE1298" s="96" t="str">
        <f t="shared" si="375"/>
        <v>y</v>
      </c>
      <c r="BF1298" s="98" t="str">
        <f t="shared" si="367"/>
        <v>EC10</v>
      </c>
      <c r="BG1298" s="96" t="str">
        <f>IF(BF1298="","",IF(ISNUMBER(VLOOKUP(BF1298,'Conversion factors'!$B$35:$C$52,2,FALSE)),"y","n"))</f>
        <v>y</v>
      </c>
      <c r="BH1298" s="99"/>
    </row>
    <row r="1299" spans="1:62" s="103" customFormat="1" ht="15.95" customHeight="1" x14ac:dyDescent="0.2">
      <c r="A1299" s="18"/>
      <c r="B1299" s="19"/>
      <c r="C1299" s="19"/>
      <c r="D1299" s="19"/>
      <c r="E1299" s="19" t="s">
        <v>1390</v>
      </c>
      <c r="F1299" s="93">
        <v>2022</v>
      </c>
      <c r="G1299" s="19" t="s">
        <v>1652</v>
      </c>
      <c r="H1299" s="19" t="s">
        <v>1658</v>
      </c>
      <c r="I1299" s="19" t="s">
        <v>1311</v>
      </c>
      <c r="J1299" s="19" t="s">
        <v>567</v>
      </c>
      <c r="K1299" s="19" t="s">
        <v>42</v>
      </c>
      <c r="L1299" s="19" t="s">
        <v>43</v>
      </c>
      <c r="M1299" s="19" t="s">
        <v>1303</v>
      </c>
      <c r="N1299" s="19" t="s">
        <v>109</v>
      </c>
      <c r="O1299" s="19" t="s">
        <v>1649</v>
      </c>
      <c r="P1299" s="19" t="s">
        <v>1650</v>
      </c>
      <c r="Q1299" s="19"/>
      <c r="R1299" s="19" t="s">
        <v>81</v>
      </c>
      <c r="S1299" s="19" t="s">
        <v>1651</v>
      </c>
      <c r="T1299" s="19" t="s">
        <v>49</v>
      </c>
      <c r="U1299" s="19" t="s">
        <v>49</v>
      </c>
      <c r="V1299" s="19">
        <v>3</v>
      </c>
      <c r="W1299" s="19" t="s">
        <v>45</v>
      </c>
      <c r="X1299" s="19" t="s">
        <v>46</v>
      </c>
      <c r="Y1299" s="29"/>
      <c r="Z1299" s="19"/>
      <c r="AA1299" s="19"/>
      <c r="AB1299" s="19">
        <v>1.3</v>
      </c>
      <c r="AC1299" s="19" t="s">
        <v>214</v>
      </c>
      <c r="AD1299" s="19"/>
      <c r="AE1299" s="19">
        <v>31</v>
      </c>
      <c r="AF1299" s="19"/>
      <c r="AG1299" s="19"/>
      <c r="AH1299" s="19"/>
      <c r="AI1299" s="19"/>
      <c r="AJ1299" s="19">
        <v>8.3000000000000007</v>
      </c>
      <c r="AK1299" s="19"/>
      <c r="AL1299" s="19"/>
      <c r="AM1299" s="19"/>
      <c r="AN1299" s="19">
        <v>33</v>
      </c>
      <c r="AO1299" s="19"/>
      <c r="AP1299" s="94" t="s">
        <v>73</v>
      </c>
      <c r="AQ1299" s="19">
        <v>27</v>
      </c>
      <c r="AR1299" s="19"/>
      <c r="AS1299" s="19"/>
      <c r="AT1299" s="65" t="str">
        <f t="shared" si="376"/>
        <v>Y</v>
      </c>
      <c r="AU1299" s="65" t="str">
        <f t="shared" si="368"/>
        <v>Y</v>
      </c>
      <c r="AV1299" s="65" t="str">
        <f t="shared" si="369"/>
        <v>Y</v>
      </c>
      <c r="AW1299" s="99"/>
      <c r="AX1299" s="99"/>
      <c r="AY1299" s="19"/>
      <c r="AZ1299" s="96" t="str">
        <f t="shared" si="373"/>
        <v>EC10</v>
      </c>
      <c r="BA1299" s="96">
        <f>IF(AZ1299="n","n",VLOOKUP(AZ1299,'Conversion factors'!$C$4:$D$24,2,FALSE))</f>
        <v>1</v>
      </c>
      <c r="BB1299" s="96">
        <f t="shared" si="374"/>
        <v>1.3</v>
      </c>
      <c r="BC1299" s="97"/>
      <c r="BD1299" s="96" t="str">
        <f t="shared" si="377"/>
        <v>Chronic</v>
      </c>
      <c r="BE1299" s="96" t="str">
        <f t="shared" si="375"/>
        <v>y</v>
      </c>
      <c r="BF1299" s="98" t="str">
        <f t="shared" si="367"/>
        <v>EC10</v>
      </c>
      <c r="BG1299" s="96" t="str">
        <f>IF(BF1299="","",IF(ISNUMBER(VLOOKUP(BF1299,'Conversion factors'!$B$35:$C$52,2,FALSE)),"y","n"))</f>
        <v>y</v>
      </c>
      <c r="BH1299" s="99"/>
    </row>
    <row r="1300" spans="1:62" s="103" customFormat="1" ht="15.95" customHeight="1" x14ac:dyDescent="0.2">
      <c r="A1300" s="18"/>
      <c r="B1300" s="19"/>
      <c r="C1300" s="19"/>
      <c r="D1300" s="19"/>
      <c r="E1300" s="19" t="s">
        <v>1390</v>
      </c>
      <c r="F1300" s="93">
        <v>2022</v>
      </c>
      <c r="G1300" s="19" t="s">
        <v>1652</v>
      </c>
      <c r="H1300" s="19" t="s">
        <v>1658</v>
      </c>
      <c r="I1300" s="19" t="s">
        <v>1311</v>
      </c>
      <c r="J1300" s="19" t="s">
        <v>567</v>
      </c>
      <c r="K1300" s="19" t="s">
        <v>42</v>
      </c>
      <c r="L1300" s="19" t="s">
        <v>43</v>
      </c>
      <c r="M1300" s="19" t="s">
        <v>1303</v>
      </c>
      <c r="N1300" s="19" t="s">
        <v>109</v>
      </c>
      <c r="O1300" s="19" t="s">
        <v>1649</v>
      </c>
      <c r="P1300" s="19" t="s">
        <v>1650</v>
      </c>
      <c r="Q1300" s="19"/>
      <c r="R1300" s="19" t="s">
        <v>81</v>
      </c>
      <c r="S1300" s="19" t="s">
        <v>1651</v>
      </c>
      <c r="T1300" s="19" t="s">
        <v>49</v>
      </c>
      <c r="U1300" s="19" t="s">
        <v>49</v>
      </c>
      <c r="V1300" s="19">
        <v>3</v>
      </c>
      <c r="W1300" s="19" t="s">
        <v>45</v>
      </c>
      <c r="X1300" s="19" t="s">
        <v>46</v>
      </c>
      <c r="Y1300" s="29"/>
      <c r="Z1300" s="19"/>
      <c r="AA1300" s="19"/>
      <c r="AB1300" s="19">
        <v>5.3</v>
      </c>
      <c r="AC1300" s="19" t="s">
        <v>214</v>
      </c>
      <c r="AD1300" s="19"/>
      <c r="AE1300" s="19">
        <v>402</v>
      </c>
      <c r="AF1300" s="19"/>
      <c r="AG1300" s="19"/>
      <c r="AH1300" s="19"/>
      <c r="AI1300" s="19"/>
      <c r="AJ1300" s="19">
        <v>6.7</v>
      </c>
      <c r="AK1300" s="19"/>
      <c r="AL1300" s="19"/>
      <c r="AM1300" s="19"/>
      <c r="AN1300" s="19">
        <v>36</v>
      </c>
      <c r="AO1300" s="19"/>
      <c r="AP1300" s="94" t="s">
        <v>73</v>
      </c>
      <c r="AQ1300" s="19">
        <v>27</v>
      </c>
      <c r="AR1300" s="19"/>
      <c r="AS1300" s="19"/>
      <c r="AT1300" s="65" t="str">
        <f t="shared" si="376"/>
        <v>Y</v>
      </c>
      <c r="AU1300" s="65" t="str">
        <f t="shared" si="368"/>
        <v>Y</v>
      </c>
      <c r="AV1300" s="65" t="str">
        <f t="shared" si="369"/>
        <v>Y</v>
      </c>
      <c r="AW1300" s="99"/>
      <c r="AX1300" s="99"/>
      <c r="AY1300" s="19"/>
      <c r="AZ1300" s="96" t="str">
        <f t="shared" si="373"/>
        <v>EC10</v>
      </c>
      <c r="BA1300" s="96">
        <f>IF(AZ1300="n","n",VLOOKUP(AZ1300,'Conversion factors'!$C$4:$D$24,2,FALSE))</f>
        <v>1</v>
      </c>
      <c r="BB1300" s="96">
        <f t="shared" si="374"/>
        <v>5.3</v>
      </c>
      <c r="BC1300" s="97"/>
      <c r="BD1300" s="96" t="str">
        <f t="shared" si="377"/>
        <v>Chronic</v>
      </c>
      <c r="BE1300" s="96" t="str">
        <f t="shared" si="375"/>
        <v>y</v>
      </c>
      <c r="BF1300" s="98" t="str">
        <f t="shared" si="367"/>
        <v>EC10</v>
      </c>
      <c r="BG1300" s="96" t="str">
        <f>IF(BF1300="","",IF(ISNUMBER(VLOOKUP(BF1300,'Conversion factors'!$B$35:$C$52,2,FALSE)),"y","n"))</f>
        <v>y</v>
      </c>
      <c r="BH1300" s="99"/>
    </row>
    <row r="1301" spans="1:62" ht="15.95" customHeight="1" x14ac:dyDescent="0.2">
      <c r="A1301" s="18"/>
      <c r="B1301" s="19"/>
      <c r="C1301" s="19"/>
      <c r="D1301" s="19"/>
      <c r="E1301" s="19" t="s">
        <v>1390</v>
      </c>
      <c r="F1301" s="93">
        <v>2022</v>
      </c>
      <c r="G1301" s="19" t="s">
        <v>1652</v>
      </c>
      <c r="H1301" s="19" t="s">
        <v>1658</v>
      </c>
      <c r="I1301" s="19" t="s">
        <v>1311</v>
      </c>
      <c r="J1301" s="19" t="s">
        <v>567</v>
      </c>
      <c r="K1301" s="19" t="s">
        <v>42</v>
      </c>
      <c r="L1301" s="19" t="s">
        <v>43</v>
      </c>
      <c r="M1301" s="19" t="s">
        <v>1303</v>
      </c>
      <c r="N1301" s="19" t="s">
        <v>109</v>
      </c>
      <c r="O1301" s="19" t="s">
        <v>1649</v>
      </c>
      <c r="P1301" s="19" t="s">
        <v>1650</v>
      </c>
      <c r="Q1301" s="19"/>
      <c r="R1301" s="19" t="s">
        <v>81</v>
      </c>
      <c r="S1301" s="19" t="s">
        <v>1651</v>
      </c>
      <c r="T1301" s="19" t="s">
        <v>49</v>
      </c>
      <c r="U1301" s="19" t="s">
        <v>49</v>
      </c>
      <c r="V1301" s="19">
        <v>3</v>
      </c>
      <c r="W1301" s="19" t="s">
        <v>45</v>
      </c>
      <c r="X1301" s="19" t="s">
        <v>46</v>
      </c>
      <c r="Y1301" s="29"/>
      <c r="Z1301" s="19"/>
      <c r="AA1301" s="19"/>
      <c r="AB1301" s="19">
        <v>4.4000000000000004</v>
      </c>
      <c r="AC1301" s="19" t="s">
        <v>214</v>
      </c>
      <c r="AD1301" s="19"/>
      <c r="AE1301" s="19">
        <v>402</v>
      </c>
      <c r="AF1301" s="19"/>
      <c r="AG1301" s="19"/>
      <c r="AH1301" s="19"/>
      <c r="AI1301" s="19"/>
      <c r="AJ1301" s="19">
        <v>7.6</v>
      </c>
      <c r="AK1301" s="19"/>
      <c r="AL1301" s="19"/>
      <c r="AM1301" s="19"/>
      <c r="AN1301" s="19">
        <v>36</v>
      </c>
      <c r="AO1301" s="19"/>
      <c r="AP1301" s="94" t="s">
        <v>73</v>
      </c>
      <c r="AQ1301" s="19">
        <v>27</v>
      </c>
      <c r="AR1301" s="19"/>
      <c r="AS1301" s="19"/>
      <c r="AT1301" s="65" t="str">
        <f t="shared" si="376"/>
        <v>Y</v>
      </c>
      <c r="AU1301" s="65" t="str">
        <f t="shared" si="368"/>
        <v>Y</v>
      </c>
      <c r="AV1301" s="65" t="str">
        <f t="shared" si="369"/>
        <v>Y</v>
      </c>
      <c r="AW1301" s="99"/>
      <c r="AX1301" s="99"/>
      <c r="AY1301" s="19"/>
      <c r="AZ1301" s="96" t="str">
        <f t="shared" si="373"/>
        <v>EC10</v>
      </c>
      <c r="BA1301" s="96">
        <f>IF(AZ1301="n","n",VLOOKUP(AZ1301,'Conversion factors'!$C$4:$D$24,2,FALSE))</f>
        <v>1</v>
      </c>
      <c r="BB1301" s="96">
        <f t="shared" si="374"/>
        <v>4.4000000000000004</v>
      </c>
      <c r="BC1301" s="97"/>
      <c r="BD1301" s="96" t="str">
        <f t="shared" si="377"/>
        <v>Chronic</v>
      </c>
      <c r="BE1301" s="96" t="str">
        <f t="shared" si="375"/>
        <v>y</v>
      </c>
      <c r="BF1301" s="98" t="str">
        <f t="shared" si="367"/>
        <v>EC10</v>
      </c>
      <c r="BG1301" s="96" t="str">
        <f>IF(BF1301="","",IF(ISNUMBER(VLOOKUP(BF1301,'Conversion factors'!$B$35:$C$52,2,FALSE)),"y","n"))</f>
        <v>y</v>
      </c>
      <c r="BH1301" s="99"/>
      <c r="BI1301" s="103"/>
      <c r="BJ1301" s="103"/>
    </row>
    <row r="1302" spans="1:62" ht="15.95" customHeight="1" x14ac:dyDescent="0.2">
      <c r="A1302" s="18"/>
      <c r="B1302" s="19"/>
      <c r="C1302" s="19"/>
      <c r="D1302" s="19"/>
      <c r="E1302" s="19" t="s">
        <v>1390</v>
      </c>
      <c r="F1302" s="93">
        <v>2022</v>
      </c>
      <c r="G1302" s="19" t="s">
        <v>1652</v>
      </c>
      <c r="H1302" s="19" t="s">
        <v>1658</v>
      </c>
      <c r="I1302" s="19" t="s">
        <v>1311</v>
      </c>
      <c r="J1302" s="19" t="s">
        <v>567</v>
      </c>
      <c r="K1302" s="19" t="s">
        <v>42</v>
      </c>
      <c r="L1302" s="19" t="s">
        <v>43</v>
      </c>
      <c r="M1302" s="19" t="s">
        <v>1303</v>
      </c>
      <c r="N1302" s="19" t="s">
        <v>109</v>
      </c>
      <c r="O1302" s="19" t="s">
        <v>1649</v>
      </c>
      <c r="P1302" s="19" t="s">
        <v>1650</v>
      </c>
      <c r="Q1302" s="19"/>
      <c r="R1302" s="19" t="s">
        <v>81</v>
      </c>
      <c r="S1302" s="19" t="s">
        <v>1651</v>
      </c>
      <c r="T1302" s="19" t="s">
        <v>49</v>
      </c>
      <c r="U1302" s="19" t="s">
        <v>49</v>
      </c>
      <c r="V1302" s="19">
        <v>3</v>
      </c>
      <c r="W1302" s="19" t="s">
        <v>45</v>
      </c>
      <c r="X1302" s="19" t="s">
        <v>46</v>
      </c>
      <c r="Y1302" s="29"/>
      <c r="Z1302" s="19"/>
      <c r="AA1302" s="19"/>
      <c r="AB1302" s="19">
        <v>3.9</v>
      </c>
      <c r="AC1302" s="19" t="s">
        <v>214</v>
      </c>
      <c r="AD1302" s="19"/>
      <c r="AE1302" s="19">
        <v>402</v>
      </c>
      <c r="AF1302" s="19"/>
      <c r="AG1302" s="19"/>
      <c r="AH1302" s="19"/>
      <c r="AI1302" s="19"/>
      <c r="AJ1302" s="19">
        <v>8.3000000000000007</v>
      </c>
      <c r="AK1302" s="19"/>
      <c r="AL1302" s="19"/>
      <c r="AM1302" s="19"/>
      <c r="AN1302" s="19">
        <v>36</v>
      </c>
      <c r="AO1302" s="19"/>
      <c r="AP1302" s="94" t="s">
        <v>73</v>
      </c>
      <c r="AQ1302" s="19">
        <v>27</v>
      </c>
      <c r="AR1302" s="19"/>
      <c r="AS1302" s="19"/>
      <c r="AT1302" s="65" t="str">
        <f t="shared" si="376"/>
        <v>Y</v>
      </c>
      <c r="AU1302" s="65" t="str">
        <f t="shared" si="368"/>
        <v>Y</v>
      </c>
      <c r="AV1302" s="65" t="str">
        <f t="shared" si="369"/>
        <v>Y</v>
      </c>
      <c r="AW1302" s="99"/>
      <c r="AX1302" s="99"/>
      <c r="AY1302" s="19"/>
      <c r="AZ1302" s="96" t="str">
        <f t="shared" si="373"/>
        <v>EC10</v>
      </c>
      <c r="BA1302" s="96">
        <f>IF(AZ1302="n","n",VLOOKUP(AZ1302,'Conversion factors'!$C$4:$D$24,2,FALSE))</f>
        <v>1</v>
      </c>
      <c r="BB1302" s="96">
        <f t="shared" si="374"/>
        <v>3.9</v>
      </c>
      <c r="BC1302" s="97"/>
      <c r="BD1302" s="96" t="str">
        <f t="shared" si="377"/>
        <v>Chronic</v>
      </c>
      <c r="BE1302" s="96" t="str">
        <f t="shared" si="375"/>
        <v>y</v>
      </c>
      <c r="BF1302" s="98" t="str">
        <f t="shared" si="367"/>
        <v>EC10</v>
      </c>
      <c r="BG1302" s="96" t="str">
        <f>IF(BF1302="","",IF(ISNUMBER(VLOOKUP(BF1302,'Conversion factors'!$B$35:$C$52,2,FALSE)),"y","n"))</f>
        <v>y</v>
      </c>
      <c r="BH1302" s="99"/>
      <c r="BI1302" s="103"/>
      <c r="BJ1302" s="103"/>
    </row>
    <row r="1303" spans="1:62" ht="15.95" customHeight="1" x14ac:dyDescent="0.2">
      <c r="A1303" s="18"/>
      <c r="B1303" s="19"/>
      <c r="C1303" s="19"/>
      <c r="D1303" s="19"/>
      <c r="E1303" s="19"/>
      <c r="F1303" s="93">
        <v>2022</v>
      </c>
      <c r="G1303" s="19" t="s">
        <v>1654</v>
      </c>
      <c r="H1303" s="19" t="s">
        <v>1658</v>
      </c>
      <c r="I1303" s="19" t="s">
        <v>1311</v>
      </c>
      <c r="J1303" s="19" t="s">
        <v>567</v>
      </c>
      <c r="K1303" s="19" t="s">
        <v>42</v>
      </c>
      <c r="L1303" s="19" t="s">
        <v>43</v>
      </c>
      <c r="M1303" s="19" t="s">
        <v>1303</v>
      </c>
      <c r="N1303" s="19" t="s">
        <v>109</v>
      </c>
      <c r="O1303" s="19" t="s">
        <v>1649</v>
      </c>
      <c r="P1303" s="19" t="s">
        <v>1650</v>
      </c>
      <c r="Q1303" s="19"/>
      <c r="R1303" s="19" t="s">
        <v>81</v>
      </c>
      <c r="S1303" s="19" t="s">
        <v>1651</v>
      </c>
      <c r="T1303" s="19" t="s">
        <v>49</v>
      </c>
      <c r="U1303" s="19" t="s">
        <v>49</v>
      </c>
      <c r="V1303" s="19">
        <v>3</v>
      </c>
      <c r="W1303" s="19" t="s">
        <v>45</v>
      </c>
      <c r="X1303" s="19" t="s">
        <v>46</v>
      </c>
      <c r="Y1303" s="29"/>
      <c r="Z1303" s="19"/>
      <c r="AA1303" s="19"/>
      <c r="AB1303" s="19">
        <v>1.6</v>
      </c>
      <c r="AC1303" s="19" t="s">
        <v>214</v>
      </c>
      <c r="AD1303" s="19"/>
      <c r="AE1303" s="19">
        <v>90</v>
      </c>
      <c r="AF1303" s="19"/>
      <c r="AG1303" s="19"/>
      <c r="AH1303" s="19"/>
      <c r="AI1303" s="19"/>
      <c r="AJ1303" s="19">
        <v>7.7</v>
      </c>
      <c r="AK1303" s="19"/>
      <c r="AL1303" s="19"/>
      <c r="AM1303" s="19"/>
      <c r="AN1303" s="19"/>
      <c r="AO1303" s="19"/>
      <c r="AP1303" s="94" t="s">
        <v>73</v>
      </c>
      <c r="AQ1303" s="19">
        <v>27</v>
      </c>
      <c r="AR1303" s="19"/>
      <c r="AS1303" s="19"/>
      <c r="AT1303" s="65" t="str">
        <f t="shared" si="376"/>
        <v>Y</v>
      </c>
      <c r="AU1303" s="65" t="str">
        <f t="shared" ref="AU1303" si="378">IF(AT1303="N","N",IF(AJ1303&lt;6,"N",IF(AJ1303&gt;8.5,"N","Y")))</f>
        <v>Y</v>
      </c>
      <c r="AV1303" s="65" t="str">
        <f t="shared" si="369"/>
        <v>Y</v>
      </c>
      <c r="AW1303" s="99"/>
      <c r="AX1303" s="99"/>
      <c r="AY1303" s="19"/>
      <c r="AZ1303" s="96" t="str">
        <f t="shared" ref="AZ1303" si="379">IF(AV1303="N","n",T1303)</f>
        <v>EC10</v>
      </c>
      <c r="BA1303" s="96">
        <f>IF(AZ1303="n","n",VLOOKUP(AZ1303,'Conversion factors'!$C$4:$D$24,2,FALSE))</f>
        <v>1</v>
      </c>
      <c r="BB1303" s="96">
        <f t="shared" ref="BB1303" si="380">IF(BA1303="n","n",AB1303/BA1303)</f>
        <v>1.6</v>
      </c>
      <c r="BC1303" s="97"/>
      <c r="BD1303" s="96" t="str">
        <f t="shared" si="377"/>
        <v>Chronic</v>
      </c>
      <c r="BE1303" s="96" t="str">
        <f t="shared" ref="BE1303" si="381">IF(BD1303="chronic","y","n")</f>
        <v>y</v>
      </c>
      <c r="BF1303" s="98" t="str">
        <f t="shared" si="367"/>
        <v>EC10</v>
      </c>
      <c r="BG1303" s="96" t="str">
        <f>IF(BF1303="","",IF(ISNUMBER(VLOOKUP(BF1303,'Conversion factors'!$B$35:$C$52,2,FALSE)),"y","n"))</f>
        <v>y</v>
      </c>
      <c r="BH1303" s="99"/>
      <c r="BI1303" s="103"/>
      <c r="BJ1303" s="103"/>
    </row>
    <row r="1304" spans="1:62" ht="15.95" customHeight="1" x14ac:dyDescent="0.2">
      <c r="A1304" s="18"/>
      <c r="B1304" s="19"/>
      <c r="C1304" s="19"/>
      <c r="D1304" s="19"/>
      <c r="E1304" s="19"/>
      <c r="F1304" s="93">
        <v>2022</v>
      </c>
      <c r="G1304" s="19" t="s">
        <v>1654</v>
      </c>
      <c r="H1304" s="19" t="s">
        <v>1658</v>
      </c>
      <c r="I1304" s="19" t="s">
        <v>1659</v>
      </c>
      <c r="J1304" s="19" t="s">
        <v>567</v>
      </c>
      <c r="K1304" s="19" t="s">
        <v>42</v>
      </c>
      <c r="L1304" s="19" t="s">
        <v>43</v>
      </c>
      <c r="M1304" s="19" t="s">
        <v>1303</v>
      </c>
      <c r="N1304" s="19" t="s">
        <v>109</v>
      </c>
      <c r="O1304" s="19" t="s">
        <v>1649</v>
      </c>
      <c r="P1304" s="19" t="s">
        <v>1650</v>
      </c>
      <c r="Q1304" s="19"/>
      <c r="R1304" s="19" t="s">
        <v>81</v>
      </c>
      <c r="S1304" s="19" t="s">
        <v>1651</v>
      </c>
      <c r="T1304" s="19" t="s">
        <v>49</v>
      </c>
      <c r="U1304" s="19" t="s">
        <v>49</v>
      </c>
      <c r="V1304" s="19">
        <v>3</v>
      </c>
      <c r="W1304" s="19" t="s">
        <v>45</v>
      </c>
      <c r="X1304" s="19" t="s">
        <v>46</v>
      </c>
      <c r="Y1304" s="29"/>
      <c r="Z1304" s="19"/>
      <c r="AA1304" s="19"/>
      <c r="AB1304" s="19">
        <v>2</v>
      </c>
      <c r="AC1304" s="19" t="s">
        <v>214</v>
      </c>
      <c r="AD1304" s="19"/>
      <c r="AE1304" s="19">
        <v>90</v>
      </c>
      <c r="AF1304" s="19"/>
      <c r="AG1304" s="19"/>
      <c r="AH1304" s="19"/>
      <c r="AI1304" s="19"/>
      <c r="AJ1304" s="19">
        <v>7.6</v>
      </c>
      <c r="AK1304" s="19"/>
      <c r="AL1304" s="19"/>
      <c r="AM1304" s="19"/>
      <c r="AN1304" s="19"/>
      <c r="AO1304" s="19"/>
      <c r="AP1304" s="94">
        <v>2.5</v>
      </c>
      <c r="AQ1304" s="19">
        <v>27</v>
      </c>
      <c r="AR1304" s="19"/>
      <c r="AS1304" s="19"/>
      <c r="AT1304" s="65" t="str">
        <f t="shared" si="376"/>
        <v>Y</v>
      </c>
      <c r="AU1304" s="65" t="str">
        <f t="shared" ref="AU1304" si="382">IF(AT1304="N","N",IF(AJ1304&lt;6,"N",IF(AJ1304&gt;8.5,"N","Y")))</f>
        <v>Y</v>
      </c>
      <c r="AV1304" s="65" t="str">
        <f t="shared" si="369"/>
        <v>Y</v>
      </c>
      <c r="AW1304" s="99"/>
      <c r="AX1304" s="99"/>
      <c r="AY1304" s="19"/>
      <c r="AZ1304" s="96" t="str">
        <f t="shared" ref="AZ1304" si="383">IF(AV1304="N","n",T1304)</f>
        <v>EC10</v>
      </c>
      <c r="BA1304" s="96">
        <f>IF(AZ1304="n","n",VLOOKUP(AZ1304,'Conversion factors'!$C$4:$D$24,2,FALSE))</f>
        <v>1</v>
      </c>
      <c r="BB1304" s="96">
        <f t="shared" ref="BB1304" si="384">IF(BA1304="n","n",AB1304/BA1304)</f>
        <v>2</v>
      </c>
      <c r="BC1304" s="97"/>
      <c r="BD1304" s="96" t="str">
        <f t="shared" si="377"/>
        <v>Chronic</v>
      </c>
      <c r="BE1304" s="96" t="str">
        <f t="shared" ref="BE1304" si="385">IF(BD1304="chronic","y","n")</f>
        <v>y</v>
      </c>
      <c r="BF1304" s="98" t="str">
        <f t="shared" si="367"/>
        <v>EC10</v>
      </c>
      <c r="BG1304" s="96" t="str">
        <f>IF(BF1304="","",IF(ISNUMBER(VLOOKUP(BF1304,'Conversion factors'!$B$35:$C$52,2,FALSE)),"y","n"))</f>
        <v>y</v>
      </c>
      <c r="BH1304" s="99"/>
      <c r="BI1304" s="103"/>
      <c r="BJ1304" s="103"/>
    </row>
    <row r="1305" spans="1:62" ht="15.95" customHeight="1" x14ac:dyDescent="0.2">
      <c r="A1305" s="18"/>
      <c r="B1305" s="19"/>
      <c r="C1305" s="19"/>
      <c r="D1305" s="19"/>
      <c r="E1305" s="19"/>
      <c r="F1305" s="93">
        <v>2022</v>
      </c>
      <c r="G1305" s="19" t="s">
        <v>1654</v>
      </c>
      <c r="H1305" s="19" t="s">
        <v>1658</v>
      </c>
      <c r="I1305" s="19" t="s">
        <v>1659</v>
      </c>
      <c r="J1305" s="19" t="s">
        <v>567</v>
      </c>
      <c r="K1305" s="19" t="s">
        <v>42</v>
      </c>
      <c r="L1305" s="19" t="s">
        <v>43</v>
      </c>
      <c r="M1305" s="19" t="s">
        <v>1303</v>
      </c>
      <c r="N1305" s="19" t="s">
        <v>109</v>
      </c>
      <c r="O1305" s="19" t="s">
        <v>1649</v>
      </c>
      <c r="P1305" s="19" t="s">
        <v>1650</v>
      </c>
      <c r="Q1305" s="19"/>
      <c r="R1305" s="19" t="s">
        <v>81</v>
      </c>
      <c r="S1305" s="19" t="s">
        <v>1651</v>
      </c>
      <c r="T1305" s="19" t="s">
        <v>49</v>
      </c>
      <c r="U1305" s="19" t="s">
        <v>49</v>
      </c>
      <c r="V1305" s="19">
        <v>3</v>
      </c>
      <c r="W1305" s="19" t="s">
        <v>45</v>
      </c>
      <c r="X1305" s="19" t="s">
        <v>46</v>
      </c>
      <c r="Y1305" s="29"/>
      <c r="Z1305" s="19"/>
      <c r="AA1305" s="19"/>
      <c r="AB1305" s="19">
        <v>3.5</v>
      </c>
      <c r="AC1305" s="19" t="s">
        <v>214</v>
      </c>
      <c r="AD1305" s="19"/>
      <c r="AE1305" s="19">
        <v>90</v>
      </c>
      <c r="AF1305" s="19"/>
      <c r="AG1305" s="19"/>
      <c r="AH1305" s="19"/>
      <c r="AI1305" s="19"/>
      <c r="AJ1305" s="19">
        <v>7.6</v>
      </c>
      <c r="AK1305" s="19"/>
      <c r="AL1305" s="19"/>
      <c r="AM1305" s="19"/>
      <c r="AN1305" s="19"/>
      <c r="AO1305" s="19"/>
      <c r="AP1305" s="94">
        <v>5.4</v>
      </c>
      <c r="AQ1305" s="19">
        <v>27</v>
      </c>
      <c r="AR1305" s="19"/>
      <c r="AS1305" s="19"/>
      <c r="AT1305" s="65" t="str">
        <f t="shared" si="376"/>
        <v>Y</v>
      </c>
      <c r="AU1305" s="65" t="str">
        <f t="shared" ref="AU1305" si="386">IF(AT1305="N","N",IF(AJ1305&lt;6,"N",IF(AJ1305&gt;8.5,"N","Y")))</f>
        <v>Y</v>
      </c>
      <c r="AV1305" s="65" t="str">
        <f t="shared" si="369"/>
        <v>Y</v>
      </c>
      <c r="AW1305" s="99"/>
      <c r="AX1305" s="99"/>
      <c r="AY1305" s="19"/>
      <c r="AZ1305" s="96" t="str">
        <f t="shared" ref="AZ1305" si="387">IF(AV1305="N","n",T1305)</f>
        <v>EC10</v>
      </c>
      <c r="BA1305" s="96">
        <f>IF(AZ1305="n","n",VLOOKUP(AZ1305,'Conversion factors'!$C$4:$D$24,2,FALSE))</f>
        <v>1</v>
      </c>
      <c r="BB1305" s="96">
        <f t="shared" ref="BB1305" si="388">IF(BA1305="n","n",AB1305/BA1305)</f>
        <v>3.5</v>
      </c>
      <c r="BC1305" s="97"/>
      <c r="BD1305" s="96" t="str">
        <f t="shared" si="377"/>
        <v>Chronic</v>
      </c>
      <c r="BE1305" s="96" t="str">
        <f t="shared" ref="BE1305" si="389">IF(BD1305="chronic","y","n")</f>
        <v>y</v>
      </c>
      <c r="BF1305" s="98" t="str">
        <f t="shared" si="367"/>
        <v>EC10</v>
      </c>
      <c r="BG1305" s="96" t="str">
        <f>IF(BF1305="","",IF(ISNUMBER(VLOOKUP(BF1305,'Conversion factors'!$B$35:$C$52,2,FALSE)),"y","n"))</f>
        <v>y</v>
      </c>
      <c r="BH1305" s="99"/>
      <c r="BI1305" s="103"/>
      <c r="BJ1305" s="103"/>
    </row>
    <row r="1306" spans="1:62" ht="15.95" customHeight="1" x14ac:dyDescent="0.2">
      <c r="A1306" s="18"/>
      <c r="B1306" s="19"/>
      <c r="C1306" s="19"/>
      <c r="D1306" s="19"/>
      <c r="E1306" s="19"/>
      <c r="F1306" s="93">
        <v>2022</v>
      </c>
      <c r="G1306" s="19" t="s">
        <v>1654</v>
      </c>
      <c r="H1306" s="19" t="s">
        <v>1658</v>
      </c>
      <c r="I1306" s="19" t="s">
        <v>1659</v>
      </c>
      <c r="J1306" s="19" t="s">
        <v>567</v>
      </c>
      <c r="K1306" s="19" t="s">
        <v>42</v>
      </c>
      <c r="L1306" s="19" t="s">
        <v>43</v>
      </c>
      <c r="M1306" s="19" t="s">
        <v>1303</v>
      </c>
      <c r="N1306" s="19" t="s">
        <v>109</v>
      </c>
      <c r="O1306" s="19" t="s">
        <v>1649</v>
      </c>
      <c r="P1306" s="19" t="s">
        <v>1650</v>
      </c>
      <c r="Q1306" s="19"/>
      <c r="R1306" s="19" t="s">
        <v>81</v>
      </c>
      <c r="S1306" s="19" t="s">
        <v>1651</v>
      </c>
      <c r="T1306" s="19" t="s">
        <v>49</v>
      </c>
      <c r="U1306" s="19" t="s">
        <v>49</v>
      </c>
      <c r="V1306" s="19">
        <v>3</v>
      </c>
      <c r="W1306" s="19" t="s">
        <v>45</v>
      </c>
      <c r="X1306" s="19" t="s">
        <v>46</v>
      </c>
      <c r="Y1306" s="29"/>
      <c r="Z1306" s="19"/>
      <c r="AA1306" s="19"/>
      <c r="AB1306" s="19">
        <v>4.5</v>
      </c>
      <c r="AC1306" s="19" t="s">
        <v>214</v>
      </c>
      <c r="AD1306" s="19"/>
      <c r="AE1306" s="19">
        <v>90</v>
      </c>
      <c r="AF1306" s="19"/>
      <c r="AG1306" s="19"/>
      <c r="AH1306" s="19"/>
      <c r="AI1306" s="19"/>
      <c r="AJ1306" s="19">
        <v>7.6</v>
      </c>
      <c r="AK1306" s="19"/>
      <c r="AL1306" s="19"/>
      <c r="AM1306" s="19"/>
      <c r="AN1306" s="19"/>
      <c r="AO1306" s="19"/>
      <c r="AP1306" s="94">
        <v>10.1</v>
      </c>
      <c r="AQ1306" s="19">
        <v>27</v>
      </c>
      <c r="AR1306" s="19"/>
      <c r="AS1306" s="19"/>
      <c r="AT1306" s="65" t="str">
        <f t="shared" si="376"/>
        <v>Y</v>
      </c>
      <c r="AU1306" s="65" t="str">
        <f t="shared" ref="AU1306" si="390">IF(AT1306="N","N",IF(AJ1306&lt;6,"N",IF(AJ1306&gt;8.5,"N","Y")))</f>
        <v>Y</v>
      </c>
      <c r="AV1306" s="65" t="str">
        <f t="shared" si="369"/>
        <v>Y</v>
      </c>
      <c r="AW1306" s="99"/>
      <c r="AX1306" s="99"/>
      <c r="AY1306" s="19"/>
      <c r="AZ1306" s="96" t="str">
        <f t="shared" ref="AZ1306" si="391">IF(AV1306="N","n",T1306)</f>
        <v>EC10</v>
      </c>
      <c r="BA1306" s="96">
        <f>IF(AZ1306="n","n",VLOOKUP(AZ1306,'Conversion factors'!$C$4:$D$24,2,FALSE))</f>
        <v>1</v>
      </c>
      <c r="BB1306" s="96">
        <f t="shared" ref="BB1306" si="392">IF(BA1306="n","n",AB1306/BA1306)</f>
        <v>4.5</v>
      </c>
      <c r="BC1306" s="97"/>
      <c r="BD1306" s="96" t="str">
        <f t="shared" si="377"/>
        <v>Chronic</v>
      </c>
      <c r="BE1306" s="96" t="str">
        <f t="shared" ref="BE1306" si="393">IF(BD1306="chronic","y","n")</f>
        <v>y</v>
      </c>
      <c r="BF1306" s="98" t="str">
        <f t="shared" si="367"/>
        <v>EC10</v>
      </c>
      <c r="BG1306" s="96" t="str">
        <f>IF(BF1306="","",IF(ISNUMBER(VLOOKUP(BF1306,'Conversion factors'!$B$35:$C$52,2,FALSE)),"y","n"))</f>
        <v>y</v>
      </c>
      <c r="BH1306" s="99"/>
      <c r="BI1306" s="103"/>
      <c r="BJ1306" s="103"/>
    </row>
    <row r="1307" spans="1:62" ht="15.95" customHeight="1" x14ac:dyDescent="0.2">
      <c r="A1307" s="18"/>
      <c r="B1307" s="19"/>
      <c r="C1307" s="19"/>
      <c r="D1307" s="19"/>
      <c r="E1307" s="19"/>
      <c r="F1307" s="93">
        <v>2022</v>
      </c>
      <c r="G1307" s="19" t="s">
        <v>1654</v>
      </c>
      <c r="H1307" s="19" t="s">
        <v>1658</v>
      </c>
      <c r="I1307" s="19" t="s">
        <v>1659</v>
      </c>
      <c r="J1307" s="19" t="s">
        <v>567</v>
      </c>
      <c r="K1307" s="19" t="s">
        <v>42</v>
      </c>
      <c r="L1307" s="19" t="s">
        <v>43</v>
      </c>
      <c r="M1307" s="19" t="s">
        <v>1303</v>
      </c>
      <c r="N1307" s="19" t="s">
        <v>109</v>
      </c>
      <c r="O1307" s="19" t="s">
        <v>1649</v>
      </c>
      <c r="P1307" s="19" t="s">
        <v>1650</v>
      </c>
      <c r="Q1307" s="19"/>
      <c r="R1307" s="19" t="s">
        <v>81</v>
      </c>
      <c r="S1307" s="19" t="s">
        <v>1651</v>
      </c>
      <c r="T1307" s="19" t="s">
        <v>49</v>
      </c>
      <c r="U1307" s="19" t="s">
        <v>49</v>
      </c>
      <c r="V1307" s="19">
        <v>3</v>
      </c>
      <c r="W1307" s="19" t="s">
        <v>45</v>
      </c>
      <c r="X1307" s="19" t="s">
        <v>46</v>
      </c>
      <c r="Y1307" s="29"/>
      <c r="Z1307" s="19"/>
      <c r="AA1307" s="19"/>
      <c r="AB1307" s="19">
        <v>6.1</v>
      </c>
      <c r="AC1307" s="19" t="s">
        <v>214</v>
      </c>
      <c r="AD1307" s="19"/>
      <c r="AE1307" s="19">
        <v>90</v>
      </c>
      <c r="AF1307" s="19"/>
      <c r="AG1307" s="19"/>
      <c r="AH1307" s="19"/>
      <c r="AI1307" s="19"/>
      <c r="AJ1307" s="19">
        <v>7.6</v>
      </c>
      <c r="AK1307" s="19"/>
      <c r="AL1307" s="19"/>
      <c r="AM1307" s="19"/>
      <c r="AN1307" s="19"/>
      <c r="AO1307" s="19"/>
      <c r="AP1307" s="94">
        <v>15.1</v>
      </c>
      <c r="AQ1307" s="19">
        <v>27</v>
      </c>
      <c r="AR1307" s="19"/>
      <c r="AS1307" s="19"/>
      <c r="AT1307" s="65" t="str">
        <f t="shared" si="376"/>
        <v>Y</v>
      </c>
      <c r="AU1307" s="65" t="str">
        <f t="shared" ref="AU1307:AU1314" si="394">IF(AT1307="N","N",IF(AJ1307&lt;6,"N",IF(AJ1307&gt;8.5,"N","Y")))</f>
        <v>Y</v>
      </c>
      <c r="AV1307" s="65" t="str">
        <f t="shared" si="369"/>
        <v>Y</v>
      </c>
      <c r="AW1307" s="99"/>
      <c r="AX1307" s="99"/>
      <c r="AY1307" s="19"/>
      <c r="AZ1307" s="96" t="str">
        <f t="shared" ref="AZ1307:AZ1314" si="395">IF(AV1307="N","n",T1307)</f>
        <v>EC10</v>
      </c>
      <c r="BA1307" s="96">
        <f>IF(AZ1307="n","n",VLOOKUP(AZ1307,'Conversion factors'!$C$4:$D$24,2,FALSE))</f>
        <v>1</v>
      </c>
      <c r="BB1307" s="96">
        <f t="shared" ref="BB1307:BB1314" si="396">IF(BA1307="n","n",AB1307/BA1307)</f>
        <v>6.1</v>
      </c>
      <c r="BC1307" s="97"/>
      <c r="BD1307" s="96" t="str">
        <f t="shared" si="377"/>
        <v>Chronic</v>
      </c>
      <c r="BE1307" s="96" t="str">
        <f t="shared" ref="BE1307:BE1314" si="397">IF(BD1307="chronic","y","n")</f>
        <v>y</v>
      </c>
      <c r="BF1307" s="98" t="str">
        <f t="shared" si="367"/>
        <v>EC10</v>
      </c>
      <c r="BG1307" s="96" t="str">
        <f>IF(BF1307="","",IF(ISNUMBER(VLOOKUP(BF1307,'Conversion factors'!$B$35:$C$52,2,FALSE)),"y","n"))</f>
        <v>y</v>
      </c>
      <c r="BH1307" s="99"/>
      <c r="BI1307" s="103"/>
      <c r="BJ1307" s="103"/>
    </row>
    <row r="1308" spans="1:62" ht="15.95" customHeight="1" x14ac:dyDescent="0.2">
      <c r="A1308" s="18"/>
      <c r="B1308" s="19"/>
      <c r="C1308" s="19"/>
      <c r="D1308" s="19"/>
      <c r="E1308" s="19"/>
      <c r="F1308" s="93">
        <v>2022</v>
      </c>
      <c r="G1308" s="19" t="s">
        <v>1654</v>
      </c>
      <c r="H1308" s="19" t="s">
        <v>1658</v>
      </c>
      <c r="I1308" s="19" t="s">
        <v>1659</v>
      </c>
      <c r="J1308" s="19" t="s">
        <v>567</v>
      </c>
      <c r="K1308" s="19" t="s">
        <v>42</v>
      </c>
      <c r="L1308" s="19" t="s">
        <v>43</v>
      </c>
      <c r="M1308" s="19" t="s">
        <v>1303</v>
      </c>
      <c r="N1308" s="19" t="s">
        <v>109</v>
      </c>
      <c r="O1308" s="19" t="s">
        <v>1649</v>
      </c>
      <c r="P1308" s="19" t="s">
        <v>1650</v>
      </c>
      <c r="Q1308" s="19"/>
      <c r="R1308" s="19" t="s">
        <v>81</v>
      </c>
      <c r="S1308" s="19" t="s">
        <v>1651</v>
      </c>
      <c r="T1308" s="19" t="s">
        <v>49</v>
      </c>
      <c r="U1308" s="19" t="s">
        <v>49</v>
      </c>
      <c r="V1308" s="19">
        <v>3</v>
      </c>
      <c r="W1308" s="19" t="s">
        <v>45</v>
      </c>
      <c r="X1308" s="19" t="s">
        <v>46</v>
      </c>
      <c r="Y1308" s="29"/>
      <c r="Z1308" s="19"/>
      <c r="AA1308" s="19"/>
      <c r="AB1308" s="19">
        <v>2.7</v>
      </c>
      <c r="AC1308" s="19" t="s">
        <v>214</v>
      </c>
      <c r="AD1308" s="19"/>
      <c r="AE1308" s="19">
        <v>90</v>
      </c>
      <c r="AF1308" s="19"/>
      <c r="AG1308" s="19"/>
      <c r="AH1308" s="19"/>
      <c r="AI1308" s="19"/>
      <c r="AJ1308" s="19">
        <v>6.7</v>
      </c>
      <c r="AK1308" s="19"/>
      <c r="AL1308" s="19"/>
      <c r="AM1308" s="19"/>
      <c r="AN1308" s="19"/>
      <c r="AO1308" s="19"/>
      <c r="AP1308" s="94">
        <v>5.5</v>
      </c>
      <c r="AQ1308" s="19">
        <v>27</v>
      </c>
      <c r="AR1308" s="19"/>
      <c r="AS1308" s="19"/>
      <c r="AT1308" s="65" t="str">
        <f t="shared" si="376"/>
        <v>Y</v>
      </c>
      <c r="AU1308" s="65" t="str">
        <f t="shared" si="394"/>
        <v>Y</v>
      </c>
      <c r="AV1308" s="65" t="str">
        <f t="shared" ref="AV1308:AV1320" si="398">AU1308</f>
        <v>Y</v>
      </c>
      <c r="AW1308" s="99"/>
      <c r="AX1308" s="99"/>
      <c r="AY1308" s="19"/>
      <c r="AZ1308" s="96" t="str">
        <f t="shared" si="395"/>
        <v>EC10</v>
      </c>
      <c r="BA1308" s="96">
        <f>IF(AZ1308="n","n",VLOOKUP(AZ1308,'Conversion factors'!$C$4:$D$24,2,FALSE))</f>
        <v>1</v>
      </c>
      <c r="BB1308" s="96">
        <f t="shared" si="396"/>
        <v>2.7</v>
      </c>
      <c r="BC1308" s="97"/>
      <c r="BD1308" s="96" t="str">
        <f t="shared" si="377"/>
        <v>Chronic</v>
      </c>
      <c r="BE1308" s="96" t="str">
        <f t="shared" si="397"/>
        <v>y</v>
      </c>
      <c r="BF1308" s="98" t="str">
        <f t="shared" si="367"/>
        <v>EC10</v>
      </c>
      <c r="BG1308" s="96" t="str">
        <f>IF(BF1308="","",IF(ISNUMBER(VLOOKUP(BF1308,'Conversion factors'!$B$35:$C$52,2,FALSE)),"y","n"))</f>
        <v>y</v>
      </c>
      <c r="BH1308" s="99"/>
      <c r="BI1308" s="103"/>
      <c r="BJ1308" s="103"/>
    </row>
    <row r="1309" spans="1:62" ht="15.95" customHeight="1" x14ac:dyDescent="0.2">
      <c r="A1309" s="18"/>
      <c r="B1309" s="19"/>
      <c r="C1309" s="19"/>
      <c r="D1309" s="19"/>
      <c r="E1309" s="19"/>
      <c r="F1309" s="93">
        <v>2022</v>
      </c>
      <c r="G1309" s="19" t="s">
        <v>1654</v>
      </c>
      <c r="H1309" s="19" t="s">
        <v>1658</v>
      </c>
      <c r="I1309" s="19" t="s">
        <v>1659</v>
      </c>
      <c r="J1309" s="19" t="s">
        <v>567</v>
      </c>
      <c r="K1309" s="19" t="s">
        <v>42</v>
      </c>
      <c r="L1309" s="19" t="s">
        <v>43</v>
      </c>
      <c r="M1309" s="19" t="s">
        <v>1303</v>
      </c>
      <c r="N1309" s="19" t="s">
        <v>109</v>
      </c>
      <c r="O1309" s="19" t="s">
        <v>1649</v>
      </c>
      <c r="P1309" s="19" t="s">
        <v>1650</v>
      </c>
      <c r="Q1309" s="19"/>
      <c r="R1309" s="19" t="s">
        <v>81</v>
      </c>
      <c r="S1309" s="19" t="s">
        <v>1651</v>
      </c>
      <c r="T1309" s="19" t="s">
        <v>49</v>
      </c>
      <c r="U1309" s="19" t="s">
        <v>49</v>
      </c>
      <c r="V1309" s="19">
        <v>3</v>
      </c>
      <c r="W1309" s="19" t="s">
        <v>45</v>
      </c>
      <c r="X1309" s="19" t="s">
        <v>46</v>
      </c>
      <c r="Y1309" s="29"/>
      <c r="Z1309" s="19"/>
      <c r="AA1309" s="19"/>
      <c r="AB1309" s="19">
        <v>2.8</v>
      </c>
      <c r="AC1309" s="19" t="s">
        <v>214</v>
      </c>
      <c r="AD1309" s="19"/>
      <c r="AE1309" s="19">
        <v>90</v>
      </c>
      <c r="AF1309" s="19"/>
      <c r="AG1309" s="19"/>
      <c r="AH1309" s="19"/>
      <c r="AI1309" s="19"/>
      <c r="AJ1309" s="19">
        <v>8.3000000000000007</v>
      </c>
      <c r="AK1309" s="19"/>
      <c r="AL1309" s="19"/>
      <c r="AM1309" s="19"/>
      <c r="AN1309" s="19"/>
      <c r="AO1309" s="19"/>
      <c r="AP1309" s="94">
        <v>5.5</v>
      </c>
      <c r="AQ1309" s="19">
        <v>27</v>
      </c>
      <c r="AR1309" s="19"/>
      <c r="AS1309" s="19"/>
      <c r="AT1309" s="65" t="str">
        <f t="shared" si="376"/>
        <v>Y</v>
      </c>
      <c r="AU1309" s="65" t="str">
        <f t="shared" si="394"/>
        <v>Y</v>
      </c>
      <c r="AV1309" s="65" t="str">
        <f t="shared" si="398"/>
        <v>Y</v>
      </c>
      <c r="AW1309" s="99"/>
      <c r="AX1309" s="99"/>
      <c r="AY1309" s="19"/>
      <c r="AZ1309" s="96" t="str">
        <f t="shared" si="395"/>
        <v>EC10</v>
      </c>
      <c r="BA1309" s="96">
        <f>IF(AZ1309="n","n",VLOOKUP(AZ1309,'Conversion factors'!$C$4:$D$24,2,FALSE))</f>
        <v>1</v>
      </c>
      <c r="BB1309" s="96">
        <f t="shared" si="396"/>
        <v>2.8</v>
      </c>
      <c r="BC1309" s="97"/>
      <c r="BD1309" s="96" t="str">
        <f t="shared" si="377"/>
        <v>Chronic</v>
      </c>
      <c r="BE1309" s="96" t="str">
        <f t="shared" si="397"/>
        <v>y</v>
      </c>
      <c r="BF1309" s="98" t="str">
        <f t="shared" si="367"/>
        <v>EC10</v>
      </c>
      <c r="BG1309" s="96" t="str">
        <f>IF(BF1309="","",IF(ISNUMBER(VLOOKUP(BF1309,'Conversion factors'!$B$35:$C$52,2,FALSE)),"y","n"))</f>
        <v>y</v>
      </c>
      <c r="BH1309" s="99"/>
      <c r="BI1309" s="103"/>
      <c r="BJ1309" s="103"/>
    </row>
    <row r="1310" spans="1:62" ht="15.95" customHeight="1" x14ac:dyDescent="0.2">
      <c r="A1310" s="18"/>
      <c r="B1310" s="19"/>
      <c r="C1310" s="19"/>
      <c r="D1310" s="19"/>
      <c r="E1310" s="19"/>
      <c r="F1310" s="93">
        <v>2022</v>
      </c>
      <c r="G1310" s="19" t="s">
        <v>1654</v>
      </c>
      <c r="H1310" s="19" t="s">
        <v>1658</v>
      </c>
      <c r="I1310" s="19" t="s">
        <v>1660</v>
      </c>
      <c r="J1310" s="19" t="s">
        <v>567</v>
      </c>
      <c r="K1310" s="19" t="s">
        <v>42</v>
      </c>
      <c r="L1310" s="19" t="s">
        <v>43</v>
      </c>
      <c r="M1310" s="19" t="s">
        <v>1303</v>
      </c>
      <c r="N1310" s="19" t="s">
        <v>109</v>
      </c>
      <c r="O1310" s="19" t="s">
        <v>1649</v>
      </c>
      <c r="P1310" s="19" t="s">
        <v>1650</v>
      </c>
      <c r="Q1310" s="19"/>
      <c r="R1310" s="19" t="s">
        <v>81</v>
      </c>
      <c r="S1310" s="19" t="s">
        <v>1651</v>
      </c>
      <c r="T1310" s="19" t="s">
        <v>49</v>
      </c>
      <c r="U1310" s="19" t="s">
        <v>49</v>
      </c>
      <c r="V1310" s="19">
        <v>3</v>
      </c>
      <c r="W1310" s="19" t="s">
        <v>45</v>
      </c>
      <c r="X1310" s="19" t="s">
        <v>46</v>
      </c>
      <c r="Y1310" s="29"/>
      <c r="Z1310" s="19"/>
      <c r="AA1310" s="19"/>
      <c r="AB1310" s="19">
        <v>1.8</v>
      </c>
      <c r="AC1310" s="19" t="s">
        <v>214</v>
      </c>
      <c r="AD1310" s="19"/>
      <c r="AE1310" s="19">
        <v>90</v>
      </c>
      <c r="AF1310" s="19"/>
      <c r="AG1310" s="19"/>
      <c r="AH1310" s="19"/>
      <c r="AI1310" s="19"/>
      <c r="AJ1310" s="19">
        <v>7.6</v>
      </c>
      <c r="AK1310" s="19"/>
      <c r="AL1310" s="19"/>
      <c r="AM1310" s="19"/>
      <c r="AN1310" s="19"/>
      <c r="AO1310" s="19"/>
      <c r="AP1310" s="94">
        <v>2</v>
      </c>
      <c r="AQ1310" s="19">
        <v>27</v>
      </c>
      <c r="AR1310" s="19"/>
      <c r="AS1310" s="19"/>
      <c r="AT1310" s="65" t="str">
        <f t="shared" si="376"/>
        <v>Y</v>
      </c>
      <c r="AU1310" s="65" t="str">
        <f t="shared" ref="AU1310:AU1312" si="399">IF(AT1310="N","N",IF(AJ1310&lt;6,"N",IF(AJ1310&gt;8.5,"N","Y")))</f>
        <v>Y</v>
      </c>
      <c r="AV1310" s="65" t="str">
        <f t="shared" ref="AV1310:AV1312" si="400">AU1310</f>
        <v>Y</v>
      </c>
      <c r="AW1310" s="99"/>
      <c r="AX1310" s="99"/>
      <c r="AY1310" s="19"/>
      <c r="AZ1310" s="96" t="str">
        <f t="shared" ref="AZ1310:AZ1312" si="401">IF(AV1310="N","n",T1310)</f>
        <v>EC10</v>
      </c>
      <c r="BA1310" s="96">
        <f>IF(AZ1310="n","n",VLOOKUP(AZ1310,'Conversion factors'!$C$4:$D$24,2,FALSE))</f>
        <v>1</v>
      </c>
      <c r="BB1310" s="96">
        <f t="shared" ref="BB1310:BB1312" si="402">IF(BA1310="n","n",AB1310/BA1310)</f>
        <v>1.8</v>
      </c>
      <c r="BC1310" s="97"/>
      <c r="BD1310" s="96" t="str">
        <f t="shared" si="377"/>
        <v>Chronic</v>
      </c>
      <c r="BE1310" s="96" t="str">
        <f t="shared" ref="BE1310:BE1312" si="403">IF(BD1310="chronic","y","n")</f>
        <v>y</v>
      </c>
      <c r="BF1310" s="98" t="str">
        <f t="shared" si="367"/>
        <v>EC10</v>
      </c>
      <c r="BG1310" s="96" t="str">
        <f>IF(BF1310="","",IF(ISNUMBER(VLOOKUP(BF1310,'Conversion factors'!$B$35:$C$52,2,FALSE)),"y","n"))</f>
        <v>y</v>
      </c>
      <c r="BH1310" s="99"/>
      <c r="BI1310" s="103"/>
      <c r="BJ1310" s="103"/>
    </row>
    <row r="1311" spans="1:62" ht="15.95" customHeight="1" x14ac:dyDescent="0.2">
      <c r="A1311" s="18"/>
      <c r="B1311" s="19"/>
      <c r="C1311" s="19"/>
      <c r="D1311" s="19"/>
      <c r="E1311" s="19"/>
      <c r="F1311" s="93">
        <v>2022</v>
      </c>
      <c r="G1311" s="19" t="s">
        <v>1654</v>
      </c>
      <c r="H1311" s="19" t="s">
        <v>1658</v>
      </c>
      <c r="I1311" s="19" t="s">
        <v>1660</v>
      </c>
      <c r="J1311" s="19" t="s">
        <v>567</v>
      </c>
      <c r="K1311" s="19" t="s">
        <v>42</v>
      </c>
      <c r="L1311" s="19" t="s">
        <v>43</v>
      </c>
      <c r="M1311" s="19" t="s">
        <v>1303</v>
      </c>
      <c r="N1311" s="19" t="s">
        <v>109</v>
      </c>
      <c r="O1311" s="19" t="s">
        <v>1649</v>
      </c>
      <c r="P1311" s="19" t="s">
        <v>1650</v>
      </c>
      <c r="Q1311" s="19"/>
      <c r="R1311" s="19" t="s">
        <v>81</v>
      </c>
      <c r="S1311" s="19" t="s">
        <v>1651</v>
      </c>
      <c r="T1311" s="19" t="s">
        <v>49</v>
      </c>
      <c r="U1311" s="19" t="s">
        <v>49</v>
      </c>
      <c r="V1311" s="19">
        <v>3</v>
      </c>
      <c r="W1311" s="19" t="s">
        <v>45</v>
      </c>
      <c r="X1311" s="19" t="s">
        <v>46</v>
      </c>
      <c r="Y1311" s="29"/>
      <c r="Z1311" s="19"/>
      <c r="AA1311" s="19"/>
      <c r="AB1311" s="19">
        <v>2.2999999999999998</v>
      </c>
      <c r="AC1311" s="19" t="s">
        <v>214</v>
      </c>
      <c r="AD1311" s="19"/>
      <c r="AE1311" s="19">
        <v>90</v>
      </c>
      <c r="AF1311" s="19"/>
      <c r="AG1311" s="19"/>
      <c r="AH1311" s="19"/>
      <c r="AI1311" s="19"/>
      <c r="AJ1311" s="19">
        <v>7.6</v>
      </c>
      <c r="AK1311" s="19"/>
      <c r="AL1311" s="19"/>
      <c r="AM1311" s="19"/>
      <c r="AN1311" s="19"/>
      <c r="AO1311" s="19"/>
      <c r="AP1311" s="94">
        <v>4.5999999999999996</v>
      </c>
      <c r="AQ1311" s="19">
        <v>27</v>
      </c>
      <c r="AR1311" s="19"/>
      <c r="AS1311" s="19"/>
      <c r="AT1311" s="65" t="str">
        <f t="shared" si="376"/>
        <v>Y</v>
      </c>
      <c r="AU1311" s="65" t="str">
        <f t="shared" si="399"/>
        <v>Y</v>
      </c>
      <c r="AV1311" s="65" t="str">
        <f t="shared" si="400"/>
        <v>Y</v>
      </c>
      <c r="AW1311" s="99"/>
      <c r="AX1311" s="99"/>
      <c r="AY1311" s="19"/>
      <c r="AZ1311" s="96" t="str">
        <f t="shared" si="401"/>
        <v>EC10</v>
      </c>
      <c r="BA1311" s="96">
        <f>IF(AZ1311="n","n",VLOOKUP(AZ1311,'Conversion factors'!$C$4:$D$24,2,FALSE))</f>
        <v>1</v>
      </c>
      <c r="BB1311" s="96">
        <f t="shared" si="402"/>
        <v>2.2999999999999998</v>
      </c>
      <c r="BC1311" s="97"/>
      <c r="BD1311" s="96" t="str">
        <f t="shared" si="377"/>
        <v>Chronic</v>
      </c>
      <c r="BE1311" s="96" t="str">
        <f t="shared" si="403"/>
        <v>y</v>
      </c>
      <c r="BF1311" s="98" t="str">
        <f t="shared" si="367"/>
        <v>EC10</v>
      </c>
      <c r="BG1311" s="96" t="str">
        <f>IF(BF1311="","",IF(ISNUMBER(VLOOKUP(BF1311,'Conversion factors'!$B$35:$C$52,2,FALSE)),"y","n"))</f>
        <v>y</v>
      </c>
      <c r="BH1311" s="99"/>
      <c r="BI1311" s="103"/>
      <c r="BJ1311" s="103"/>
    </row>
    <row r="1312" spans="1:62" ht="15.95" customHeight="1" x14ac:dyDescent="0.2">
      <c r="A1312" s="18"/>
      <c r="B1312" s="19"/>
      <c r="C1312" s="19"/>
      <c r="D1312" s="19"/>
      <c r="E1312" s="19"/>
      <c r="F1312" s="93">
        <v>2022</v>
      </c>
      <c r="G1312" s="19" t="s">
        <v>1654</v>
      </c>
      <c r="H1312" s="19" t="s">
        <v>1658</v>
      </c>
      <c r="I1312" s="19" t="s">
        <v>1660</v>
      </c>
      <c r="J1312" s="19" t="s">
        <v>567</v>
      </c>
      <c r="K1312" s="19" t="s">
        <v>42</v>
      </c>
      <c r="L1312" s="19" t="s">
        <v>43</v>
      </c>
      <c r="M1312" s="19" t="s">
        <v>1303</v>
      </c>
      <c r="N1312" s="19" t="s">
        <v>109</v>
      </c>
      <c r="O1312" s="19" t="s">
        <v>1649</v>
      </c>
      <c r="P1312" s="19" t="s">
        <v>1650</v>
      </c>
      <c r="Q1312" s="19"/>
      <c r="R1312" s="19" t="s">
        <v>81</v>
      </c>
      <c r="S1312" s="19" t="s">
        <v>1651</v>
      </c>
      <c r="T1312" s="19" t="s">
        <v>49</v>
      </c>
      <c r="U1312" s="19" t="s">
        <v>49</v>
      </c>
      <c r="V1312" s="19">
        <v>3</v>
      </c>
      <c r="W1312" s="19" t="s">
        <v>45</v>
      </c>
      <c r="X1312" s="19" t="s">
        <v>46</v>
      </c>
      <c r="Y1312" s="29"/>
      <c r="Z1312" s="19"/>
      <c r="AA1312" s="19"/>
      <c r="AB1312" s="19">
        <v>2.9</v>
      </c>
      <c r="AC1312" s="19" t="s">
        <v>214</v>
      </c>
      <c r="AD1312" s="19"/>
      <c r="AE1312" s="19">
        <v>90</v>
      </c>
      <c r="AF1312" s="19"/>
      <c r="AG1312" s="19"/>
      <c r="AH1312" s="19"/>
      <c r="AI1312" s="19"/>
      <c r="AJ1312" s="19">
        <v>7.6</v>
      </c>
      <c r="AK1312" s="19"/>
      <c r="AL1312" s="19"/>
      <c r="AM1312" s="19"/>
      <c r="AN1312" s="19"/>
      <c r="AO1312" s="19"/>
      <c r="AP1312" s="94">
        <v>8.8000000000000007</v>
      </c>
      <c r="AQ1312" s="19">
        <v>27</v>
      </c>
      <c r="AR1312" s="19"/>
      <c r="AS1312" s="19"/>
      <c r="AT1312" s="65" t="str">
        <f t="shared" si="376"/>
        <v>Y</v>
      </c>
      <c r="AU1312" s="65" t="str">
        <f t="shared" si="399"/>
        <v>Y</v>
      </c>
      <c r="AV1312" s="65" t="str">
        <f t="shared" si="400"/>
        <v>Y</v>
      </c>
      <c r="AW1312" s="99"/>
      <c r="AX1312" s="99"/>
      <c r="AY1312" s="19"/>
      <c r="AZ1312" s="96" t="str">
        <f t="shared" si="401"/>
        <v>EC10</v>
      </c>
      <c r="BA1312" s="96">
        <f>IF(AZ1312="n","n",VLOOKUP(AZ1312,'Conversion factors'!$C$4:$D$24,2,FALSE))</f>
        <v>1</v>
      </c>
      <c r="BB1312" s="96">
        <f t="shared" si="402"/>
        <v>2.9</v>
      </c>
      <c r="BC1312" s="97"/>
      <c r="BD1312" s="96" t="str">
        <f t="shared" si="377"/>
        <v>Chronic</v>
      </c>
      <c r="BE1312" s="96" t="str">
        <f t="shared" si="403"/>
        <v>y</v>
      </c>
      <c r="BF1312" s="98" t="str">
        <f t="shared" si="367"/>
        <v>EC10</v>
      </c>
      <c r="BG1312" s="96" t="str">
        <f>IF(BF1312="","",IF(ISNUMBER(VLOOKUP(BF1312,'Conversion factors'!$B$35:$C$52,2,FALSE)),"y","n"))</f>
        <v>y</v>
      </c>
      <c r="BH1312" s="99"/>
      <c r="BI1312" s="103"/>
      <c r="BJ1312" s="103"/>
    </row>
    <row r="1313" spans="1:62" ht="15.95" customHeight="1" x14ac:dyDescent="0.2">
      <c r="A1313" s="18"/>
      <c r="B1313" s="19"/>
      <c r="C1313" s="19"/>
      <c r="D1313" s="19"/>
      <c r="E1313" s="19"/>
      <c r="F1313" s="93">
        <v>2022</v>
      </c>
      <c r="G1313" s="19" t="s">
        <v>1654</v>
      </c>
      <c r="H1313" s="19" t="s">
        <v>1658</v>
      </c>
      <c r="I1313" s="19" t="s">
        <v>1660</v>
      </c>
      <c r="J1313" s="19" t="s">
        <v>567</v>
      </c>
      <c r="K1313" s="19" t="s">
        <v>42</v>
      </c>
      <c r="L1313" s="19" t="s">
        <v>43</v>
      </c>
      <c r="M1313" s="19" t="s">
        <v>1303</v>
      </c>
      <c r="N1313" s="19" t="s">
        <v>109</v>
      </c>
      <c r="O1313" s="19" t="s">
        <v>1649</v>
      </c>
      <c r="P1313" s="19" t="s">
        <v>1650</v>
      </c>
      <c r="Q1313" s="19"/>
      <c r="R1313" s="19" t="s">
        <v>81</v>
      </c>
      <c r="S1313" s="19" t="s">
        <v>1651</v>
      </c>
      <c r="T1313" s="19" t="s">
        <v>49</v>
      </c>
      <c r="U1313" s="19" t="s">
        <v>49</v>
      </c>
      <c r="V1313" s="19">
        <v>3</v>
      </c>
      <c r="W1313" s="19" t="s">
        <v>45</v>
      </c>
      <c r="X1313" s="19" t="s">
        <v>46</v>
      </c>
      <c r="Y1313" s="29"/>
      <c r="Z1313" s="19"/>
      <c r="AA1313" s="19"/>
      <c r="AB1313" s="19">
        <v>3.4</v>
      </c>
      <c r="AC1313" s="19" t="s">
        <v>214</v>
      </c>
      <c r="AD1313" s="19"/>
      <c r="AE1313" s="19">
        <v>90</v>
      </c>
      <c r="AF1313" s="19"/>
      <c r="AG1313" s="19"/>
      <c r="AH1313" s="19"/>
      <c r="AI1313" s="19"/>
      <c r="AJ1313" s="19">
        <v>7.6</v>
      </c>
      <c r="AK1313" s="19"/>
      <c r="AL1313" s="19"/>
      <c r="AM1313" s="19"/>
      <c r="AN1313" s="19"/>
      <c r="AO1313" s="19"/>
      <c r="AP1313" s="94">
        <v>13</v>
      </c>
      <c r="AQ1313" s="19">
        <v>27</v>
      </c>
      <c r="AR1313" s="19"/>
      <c r="AS1313" s="19"/>
      <c r="AT1313" s="65" t="str">
        <f t="shared" si="376"/>
        <v>Y</v>
      </c>
      <c r="AU1313" s="65" t="str">
        <f t="shared" si="394"/>
        <v>Y</v>
      </c>
      <c r="AV1313" s="65" t="str">
        <f t="shared" si="398"/>
        <v>Y</v>
      </c>
      <c r="AW1313" s="99"/>
      <c r="AX1313" s="99"/>
      <c r="AY1313" s="19"/>
      <c r="AZ1313" s="96" t="str">
        <f t="shared" si="395"/>
        <v>EC10</v>
      </c>
      <c r="BA1313" s="96">
        <f>IF(AZ1313="n","n",VLOOKUP(AZ1313,'Conversion factors'!$C$4:$D$24,2,FALSE))</f>
        <v>1</v>
      </c>
      <c r="BB1313" s="96">
        <f t="shared" si="396"/>
        <v>3.4</v>
      </c>
      <c r="BC1313" s="97"/>
      <c r="BD1313" s="96" t="str">
        <f t="shared" si="377"/>
        <v>Chronic</v>
      </c>
      <c r="BE1313" s="96" t="str">
        <f t="shared" si="397"/>
        <v>y</v>
      </c>
      <c r="BF1313" s="98" t="str">
        <f t="shared" si="367"/>
        <v>EC10</v>
      </c>
      <c r="BG1313" s="96" t="str">
        <f>IF(BF1313="","",IF(ISNUMBER(VLOOKUP(BF1313,'Conversion factors'!$B$35:$C$52,2,FALSE)),"y","n"))</f>
        <v>y</v>
      </c>
      <c r="BH1313" s="99"/>
      <c r="BI1313" s="103"/>
      <c r="BJ1313" s="103"/>
    </row>
    <row r="1314" spans="1:62" ht="15.95" customHeight="1" x14ac:dyDescent="0.2">
      <c r="A1314" s="18"/>
      <c r="B1314" s="19"/>
      <c r="C1314" s="19"/>
      <c r="D1314" s="19"/>
      <c r="E1314" s="19"/>
      <c r="F1314" s="93">
        <v>2022</v>
      </c>
      <c r="G1314" s="19" t="s">
        <v>1654</v>
      </c>
      <c r="H1314" s="19" t="s">
        <v>1658</v>
      </c>
      <c r="I1314" s="19" t="s">
        <v>1660</v>
      </c>
      <c r="J1314" s="19" t="s">
        <v>567</v>
      </c>
      <c r="K1314" s="19" t="s">
        <v>42</v>
      </c>
      <c r="L1314" s="19" t="s">
        <v>43</v>
      </c>
      <c r="M1314" s="19" t="s">
        <v>1303</v>
      </c>
      <c r="N1314" s="19" t="s">
        <v>109</v>
      </c>
      <c r="O1314" s="19" t="s">
        <v>1649</v>
      </c>
      <c r="P1314" s="19" t="s">
        <v>1650</v>
      </c>
      <c r="Q1314" s="19"/>
      <c r="R1314" s="19" t="s">
        <v>81</v>
      </c>
      <c r="S1314" s="19" t="s">
        <v>1651</v>
      </c>
      <c r="T1314" s="19" t="s">
        <v>49</v>
      </c>
      <c r="U1314" s="19" t="s">
        <v>49</v>
      </c>
      <c r="V1314" s="19">
        <v>3</v>
      </c>
      <c r="W1314" s="19" t="s">
        <v>45</v>
      </c>
      <c r="X1314" s="19" t="s">
        <v>46</v>
      </c>
      <c r="Y1314" s="29"/>
      <c r="Z1314" s="19"/>
      <c r="AA1314" s="19"/>
      <c r="AB1314" s="19">
        <v>2.2000000000000002</v>
      </c>
      <c r="AC1314" s="19" t="s">
        <v>214</v>
      </c>
      <c r="AD1314" s="19"/>
      <c r="AE1314" s="19">
        <v>90</v>
      </c>
      <c r="AF1314" s="19"/>
      <c r="AG1314" s="19"/>
      <c r="AH1314" s="19"/>
      <c r="AI1314" s="19"/>
      <c r="AJ1314" s="19">
        <v>6.7</v>
      </c>
      <c r="AK1314" s="19"/>
      <c r="AL1314" s="19"/>
      <c r="AM1314" s="19"/>
      <c r="AN1314" s="19"/>
      <c r="AO1314" s="19"/>
      <c r="AP1314" s="94">
        <v>4.9000000000000004</v>
      </c>
      <c r="AQ1314" s="19">
        <v>27</v>
      </c>
      <c r="AR1314" s="19"/>
      <c r="AS1314" s="19"/>
      <c r="AT1314" s="65" t="str">
        <f t="shared" si="376"/>
        <v>Y</v>
      </c>
      <c r="AU1314" s="65" t="str">
        <f t="shared" si="394"/>
        <v>Y</v>
      </c>
      <c r="AV1314" s="65" t="str">
        <f t="shared" ref="AV1314" si="404">AU1314</f>
        <v>Y</v>
      </c>
      <c r="AW1314" s="99"/>
      <c r="AX1314" s="99"/>
      <c r="AY1314" s="19"/>
      <c r="AZ1314" s="96" t="str">
        <f t="shared" si="395"/>
        <v>EC10</v>
      </c>
      <c r="BA1314" s="96">
        <f>IF(AZ1314="n","n",VLOOKUP(AZ1314,'Conversion factors'!$C$4:$D$24,2,FALSE))</f>
        <v>1</v>
      </c>
      <c r="BB1314" s="96">
        <f t="shared" si="396"/>
        <v>2.2000000000000002</v>
      </c>
      <c r="BC1314" s="97"/>
      <c r="BD1314" s="96" t="str">
        <f t="shared" si="377"/>
        <v>Chronic</v>
      </c>
      <c r="BE1314" s="96" t="str">
        <f t="shared" si="397"/>
        <v>y</v>
      </c>
      <c r="BF1314" s="98" t="str">
        <f t="shared" si="367"/>
        <v>EC10</v>
      </c>
      <c r="BG1314" s="96" t="str">
        <f>IF(BF1314="","",IF(ISNUMBER(VLOOKUP(BF1314,'Conversion factors'!$B$35:$C$52,2,FALSE)),"y","n"))</f>
        <v>y</v>
      </c>
      <c r="BH1314" s="99"/>
      <c r="BI1314" s="103"/>
      <c r="BJ1314" s="103"/>
    </row>
    <row r="1315" spans="1:62" ht="15.95" customHeight="1" x14ac:dyDescent="0.2">
      <c r="A1315" s="18"/>
      <c r="B1315" s="19"/>
      <c r="C1315" s="19"/>
      <c r="D1315" s="19"/>
      <c r="E1315" s="19"/>
      <c r="F1315" s="93">
        <v>2022</v>
      </c>
      <c r="G1315" s="19" t="s">
        <v>1654</v>
      </c>
      <c r="H1315" s="19" t="s">
        <v>1658</v>
      </c>
      <c r="I1315" s="19" t="s">
        <v>1660</v>
      </c>
      <c r="J1315" s="19" t="s">
        <v>567</v>
      </c>
      <c r="K1315" s="19" t="s">
        <v>42</v>
      </c>
      <c r="L1315" s="19" t="s">
        <v>43</v>
      </c>
      <c r="M1315" s="19" t="s">
        <v>1303</v>
      </c>
      <c r="N1315" s="19" t="s">
        <v>109</v>
      </c>
      <c r="O1315" s="19" t="s">
        <v>1649</v>
      </c>
      <c r="P1315" s="19" t="s">
        <v>1650</v>
      </c>
      <c r="Q1315" s="19"/>
      <c r="R1315" s="19" t="s">
        <v>81</v>
      </c>
      <c r="S1315" s="19" t="s">
        <v>1651</v>
      </c>
      <c r="T1315" s="19" t="s">
        <v>49</v>
      </c>
      <c r="U1315" s="19" t="s">
        <v>49</v>
      </c>
      <c r="V1315" s="19">
        <v>3</v>
      </c>
      <c r="W1315" s="19" t="s">
        <v>45</v>
      </c>
      <c r="X1315" s="19" t="s">
        <v>46</v>
      </c>
      <c r="Y1315" s="29"/>
      <c r="Z1315" s="19"/>
      <c r="AA1315" s="19"/>
      <c r="AB1315" s="19">
        <v>2</v>
      </c>
      <c r="AC1315" s="19" t="s">
        <v>214</v>
      </c>
      <c r="AD1315" s="19"/>
      <c r="AE1315" s="19">
        <v>90</v>
      </c>
      <c r="AF1315" s="19"/>
      <c r="AG1315" s="19"/>
      <c r="AH1315" s="19"/>
      <c r="AI1315" s="19"/>
      <c r="AJ1315" s="19">
        <v>8.3000000000000007</v>
      </c>
      <c r="AK1315" s="19"/>
      <c r="AL1315" s="19"/>
      <c r="AM1315" s="19"/>
      <c r="AN1315" s="19"/>
      <c r="AO1315" s="19"/>
      <c r="AP1315" s="94">
        <v>4.9000000000000004</v>
      </c>
      <c r="AQ1315" s="19">
        <v>27</v>
      </c>
      <c r="AR1315" s="19"/>
      <c r="AS1315" s="19"/>
      <c r="AT1315" s="65" t="str">
        <f t="shared" si="376"/>
        <v>Y</v>
      </c>
      <c r="AU1315" s="65" t="str">
        <f t="shared" ref="AU1315:AU1327" si="405">IF(AT1315="N","N",IF(AJ1315&lt;6,"N",IF(AJ1315&gt;8.5,"N","Y")))</f>
        <v>Y</v>
      </c>
      <c r="AV1315" s="65" t="str">
        <f t="shared" si="398"/>
        <v>Y</v>
      </c>
      <c r="AW1315" s="99"/>
      <c r="AX1315" s="99"/>
      <c r="AY1315" s="19"/>
      <c r="AZ1315" s="96" t="str">
        <f t="shared" ref="AZ1315:AZ1327" si="406">IF(AV1315="N","n",T1315)</f>
        <v>EC10</v>
      </c>
      <c r="BA1315" s="96">
        <f>IF(AZ1315="n","n",VLOOKUP(AZ1315,'Conversion factors'!$C$4:$D$24,2,FALSE))</f>
        <v>1</v>
      </c>
      <c r="BB1315" s="96">
        <f t="shared" ref="BB1315:BB1327" si="407">IF(BA1315="n","n",AB1315/BA1315)</f>
        <v>2</v>
      </c>
      <c r="BC1315" s="97"/>
      <c r="BD1315" s="96" t="str">
        <f t="shared" si="377"/>
        <v>Chronic</v>
      </c>
      <c r="BE1315" s="96" t="str">
        <f t="shared" ref="BE1315:BE1327" si="408">IF(BD1315="chronic","y","n")</f>
        <v>y</v>
      </c>
      <c r="BF1315" s="98" t="str">
        <f t="shared" si="367"/>
        <v>EC10</v>
      </c>
      <c r="BG1315" s="96" t="str">
        <f>IF(BF1315="","",IF(ISNUMBER(VLOOKUP(BF1315,'Conversion factors'!$B$35:$C$52,2,FALSE)),"y","n"))</f>
        <v>y</v>
      </c>
      <c r="BH1315" s="99"/>
      <c r="BI1315" s="103"/>
      <c r="BJ1315" s="103"/>
    </row>
    <row r="1316" spans="1:62" ht="15.95" customHeight="1" x14ac:dyDescent="0.2">
      <c r="A1316" s="18"/>
      <c r="B1316" s="19"/>
      <c r="C1316" s="19"/>
      <c r="D1316" s="19"/>
      <c r="E1316" s="19"/>
      <c r="F1316" s="93">
        <v>2022</v>
      </c>
      <c r="G1316" s="19" t="s">
        <v>1654</v>
      </c>
      <c r="H1316" s="19" t="s">
        <v>1658</v>
      </c>
      <c r="I1316" s="19" t="s">
        <v>1311</v>
      </c>
      <c r="J1316" s="19" t="s">
        <v>567</v>
      </c>
      <c r="K1316" s="19" t="s">
        <v>42</v>
      </c>
      <c r="L1316" s="19" t="s">
        <v>43</v>
      </c>
      <c r="M1316" s="19" t="s">
        <v>1303</v>
      </c>
      <c r="N1316" s="19" t="s">
        <v>109</v>
      </c>
      <c r="O1316" s="19" t="s">
        <v>1649</v>
      </c>
      <c r="P1316" s="19" t="s">
        <v>1650</v>
      </c>
      <c r="Q1316" s="19"/>
      <c r="R1316" s="19" t="s">
        <v>81</v>
      </c>
      <c r="S1316" s="19" t="s">
        <v>1651</v>
      </c>
      <c r="T1316" s="19" t="s">
        <v>44</v>
      </c>
      <c r="U1316" s="19" t="s">
        <v>44</v>
      </c>
      <c r="V1316" s="19">
        <v>3</v>
      </c>
      <c r="W1316" s="19" t="s">
        <v>45</v>
      </c>
      <c r="X1316" s="19" t="s">
        <v>46</v>
      </c>
      <c r="Y1316" s="29"/>
      <c r="Z1316" s="19"/>
      <c r="AA1316" s="19"/>
      <c r="AB1316" s="19">
        <v>112</v>
      </c>
      <c r="AC1316" s="19" t="s">
        <v>214</v>
      </c>
      <c r="AD1316" s="19"/>
      <c r="AE1316" s="19">
        <v>90</v>
      </c>
      <c r="AF1316" s="19"/>
      <c r="AG1316" s="19"/>
      <c r="AH1316" s="19"/>
      <c r="AI1316" s="19"/>
      <c r="AJ1316" s="19">
        <v>7.7</v>
      </c>
      <c r="AK1316" s="19"/>
      <c r="AL1316" s="19"/>
      <c r="AM1316" s="19"/>
      <c r="AN1316" s="19"/>
      <c r="AO1316" s="19"/>
      <c r="AP1316" s="94" t="s">
        <v>73</v>
      </c>
      <c r="AQ1316" s="19">
        <v>27</v>
      </c>
      <c r="AR1316" s="19"/>
      <c r="AS1316" s="19"/>
      <c r="AT1316" s="65" t="str">
        <f t="shared" si="376"/>
        <v>Y</v>
      </c>
      <c r="AU1316" s="65" t="str">
        <f t="shared" si="405"/>
        <v>Y</v>
      </c>
      <c r="AV1316" s="65" t="str">
        <f t="shared" si="398"/>
        <v>Y</v>
      </c>
      <c r="AW1316" s="99"/>
      <c r="AX1316" s="99"/>
      <c r="AY1316" s="19"/>
      <c r="AZ1316" s="96" t="str">
        <f t="shared" si="406"/>
        <v>EC50</v>
      </c>
      <c r="BA1316" s="96">
        <f>IF(AZ1316="n","n",VLOOKUP(AZ1316,'Conversion factors'!$C$4:$D$24,2,FALSE))</f>
        <v>5</v>
      </c>
      <c r="BB1316" s="96">
        <f t="shared" si="407"/>
        <v>22.4</v>
      </c>
      <c r="BC1316" s="97"/>
      <c r="BD1316" s="96" t="str">
        <f t="shared" si="377"/>
        <v>Chronic</v>
      </c>
      <c r="BE1316" s="96" t="str">
        <f t="shared" si="408"/>
        <v>y</v>
      </c>
      <c r="BF1316" s="98" t="str">
        <f t="shared" si="367"/>
        <v>EC50</v>
      </c>
      <c r="BG1316" s="96" t="str">
        <f>IF(BF1316="","",IF(ISNUMBER(VLOOKUP(BF1316,'Conversion factors'!$B$35:$C$52,2,FALSE)),"y","n"))</f>
        <v>n</v>
      </c>
      <c r="BH1316" s="99"/>
      <c r="BI1316" s="103"/>
      <c r="BJ1316" s="103"/>
    </row>
    <row r="1317" spans="1:62" ht="15.95" customHeight="1" x14ac:dyDescent="0.2">
      <c r="A1317" s="18"/>
      <c r="B1317" s="19"/>
      <c r="C1317" s="19"/>
      <c r="D1317" s="19"/>
      <c r="E1317" s="19"/>
      <c r="F1317" s="93">
        <v>2022</v>
      </c>
      <c r="G1317" s="19" t="s">
        <v>1654</v>
      </c>
      <c r="H1317" s="19" t="s">
        <v>1658</v>
      </c>
      <c r="I1317" s="19" t="s">
        <v>1659</v>
      </c>
      <c r="J1317" s="19" t="s">
        <v>567</v>
      </c>
      <c r="K1317" s="19" t="s">
        <v>42</v>
      </c>
      <c r="L1317" s="19" t="s">
        <v>43</v>
      </c>
      <c r="M1317" s="19" t="s">
        <v>1303</v>
      </c>
      <c r="N1317" s="19" t="s">
        <v>109</v>
      </c>
      <c r="O1317" s="19" t="s">
        <v>1649</v>
      </c>
      <c r="P1317" s="19" t="s">
        <v>1650</v>
      </c>
      <c r="Q1317" s="19"/>
      <c r="R1317" s="19" t="s">
        <v>81</v>
      </c>
      <c r="S1317" s="19" t="s">
        <v>1651</v>
      </c>
      <c r="T1317" s="19" t="s">
        <v>44</v>
      </c>
      <c r="U1317" s="19" t="s">
        <v>44</v>
      </c>
      <c r="V1317" s="19">
        <v>3</v>
      </c>
      <c r="W1317" s="19" t="s">
        <v>45</v>
      </c>
      <c r="X1317" s="19" t="s">
        <v>46</v>
      </c>
      <c r="Y1317" s="29"/>
      <c r="Z1317" s="19"/>
      <c r="AA1317" s="19"/>
      <c r="AB1317" s="19">
        <v>71</v>
      </c>
      <c r="AC1317" s="19" t="s">
        <v>214</v>
      </c>
      <c r="AD1317" s="19"/>
      <c r="AE1317" s="19">
        <v>90</v>
      </c>
      <c r="AF1317" s="19"/>
      <c r="AG1317" s="19"/>
      <c r="AH1317" s="19"/>
      <c r="AI1317" s="19"/>
      <c r="AJ1317" s="19">
        <v>7.6</v>
      </c>
      <c r="AK1317" s="19"/>
      <c r="AL1317" s="19"/>
      <c r="AM1317" s="19"/>
      <c r="AN1317" s="19"/>
      <c r="AO1317" s="19"/>
      <c r="AP1317" s="94">
        <v>2.5</v>
      </c>
      <c r="AQ1317" s="19">
        <v>27</v>
      </c>
      <c r="AR1317" s="19"/>
      <c r="AS1317" s="19"/>
      <c r="AT1317" s="65" t="str">
        <f t="shared" si="376"/>
        <v>Y</v>
      </c>
      <c r="AU1317" s="65" t="str">
        <f t="shared" si="405"/>
        <v>Y</v>
      </c>
      <c r="AV1317" s="65" t="str">
        <f t="shared" si="398"/>
        <v>Y</v>
      </c>
      <c r="AW1317" s="99"/>
      <c r="AX1317" s="99"/>
      <c r="AY1317" s="19"/>
      <c r="AZ1317" s="96" t="str">
        <f t="shared" si="406"/>
        <v>EC50</v>
      </c>
      <c r="BA1317" s="96">
        <f>IF(AZ1317="n","n",VLOOKUP(AZ1317,'Conversion factors'!$C$4:$D$24,2,FALSE))</f>
        <v>5</v>
      </c>
      <c r="BB1317" s="96">
        <f t="shared" si="407"/>
        <v>14.2</v>
      </c>
      <c r="BC1317" s="97"/>
      <c r="BD1317" s="96" t="str">
        <f t="shared" si="377"/>
        <v>Chronic</v>
      </c>
      <c r="BE1317" s="96" t="str">
        <f t="shared" si="408"/>
        <v>y</v>
      </c>
      <c r="BF1317" s="98" t="str">
        <f t="shared" ref="BF1317:BF1348" si="409">IF(BE1317="n","",AZ1317)</f>
        <v>EC50</v>
      </c>
      <c r="BG1317" s="96" t="str">
        <f>IF(BF1317="","",IF(ISNUMBER(VLOOKUP(BF1317,'Conversion factors'!$B$35:$C$52,2,FALSE)),"y","n"))</f>
        <v>n</v>
      </c>
      <c r="BH1317" s="99"/>
      <c r="BI1317" s="103"/>
      <c r="BJ1317" s="103"/>
    </row>
    <row r="1318" spans="1:62" ht="15.95" customHeight="1" x14ac:dyDescent="0.2">
      <c r="A1318" s="18"/>
      <c r="B1318" s="19"/>
      <c r="C1318" s="19"/>
      <c r="D1318" s="19"/>
      <c r="E1318" s="19"/>
      <c r="F1318" s="93">
        <v>2022</v>
      </c>
      <c r="G1318" s="19" t="s">
        <v>1654</v>
      </c>
      <c r="H1318" s="19" t="s">
        <v>1658</v>
      </c>
      <c r="I1318" s="19" t="s">
        <v>1659</v>
      </c>
      <c r="J1318" s="19" t="s">
        <v>567</v>
      </c>
      <c r="K1318" s="19" t="s">
        <v>42</v>
      </c>
      <c r="L1318" s="19" t="s">
        <v>43</v>
      </c>
      <c r="M1318" s="19" t="s">
        <v>1303</v>
      </c>
      <c r="N1318" s="19" t="s">
        <v>109</v>
      </c>
      <c r="O1318" s="19" t="s">
        <v>1649</v>
      </c>
      <c r="P1318" s="19" t="s">
        <v>1650</v>
      </c>
      <c r="Q1318" s="19"/>
      <c r="R1318" s="19" t="s">
        <v>81</v>
      </c>
      <c r="S1318" s="19" t="s">
        <v>1651</v>
      </c>
      <c r="T1318" s="19" t="s">
        <v>44</v>
      </c>
      <c r="U1318" s="19" t="s">
        <v>44</v>
      </c>
      <c r="V1318" s="19">
        <v>3</v>
      </c>
      <c r="W1318" s="19" t="s">
        <v>45</v>
      </c>
      <c r="X1318" s="19" t="s">
        <v>46</v>
      </c>
      <c r="Y1318" s="29"/>
      <c r="Z1318" s="19"/>
      <c r="AA1318" s="19"/>
      <c r="AB1318" s="19">
        <v>86</v>
      </c>
      <c r="AC1318" s="19" t="s">
        <v>214</v>
      </c>
      <c r="AD1318" s="19"/>
      <c r="AE1318" s="19">
        <v>90</v>
      </c>
      <c r="AF1318" s="19"/>
      <c r="AG1318" s="19"/>
      <c r="AH1318" s="19"/>
      <c r="AI1318" s="19"/>
      <c r="AJ1318" s="19">
        <v>7.6</v>
      </c>
      <c r="AK1318" s="19"/>
      <c r="AL1318" s="19"/>
      <c r="AM1318" s="19"/>
      <c r="AN1318" s="19"/>
      <c r="AO1318" s="19"/>
      <c r="AP1318" s="94">
        <v>5.4</v>
      </c>
      <c r="AQ1318" s="19">
        <v>27</v>
      </c>
      <c r="AR1318" s="19"/>
      <c r="AS1318" s="19"/>
      <c r="AT1318" s="65" t="str">
        <f t="shared" si="376"/>
        <v>Y</v>
      </c>
      <c r="AU1318" s="65" t="str">
        <f t="shared" si="405"/>
        <v>Y</v>
      </c>
      <c r="AV1318" s="65" t="str">
        <f t="shared" si="398"/>
        <v>Y</v>
      </c>
      <c r="AW1318" s="99"/>
      <c r="AX1318" s="99"/>
      <c r="AY1318" s="19"/>
      <c r="AZ1318" s="96" t="str">
        <f t="shared" si="406"/>
        <v>EC50</v>
      </c>
      <c r="BA1318" s="96">
        <f>IF(AZ1318="n","n",VLOOKUP(AZ1318,'Conversion factors'!$C$4:$D$24,2,FALSE))</f>
        <v>5</v>
      </c>
      <c r="BB1318" s="96">
        <f t="shared" si="407"/>
        <v>17.2</v>
      </c>
      <c r="BC1318" s="97"/>
      <c r="BD1318" s="96" t="str">
        <f t="shared" si="377"/>
        <v>Chronic</v>
      </c>
      <c r="BE1318" s="96" t="str">
        <f t="shared" si="408"/>
        <v>y</v>
      </c>
      <c r="BF1318" s="98" t="str">
        <f t="shared" si="409"/>
        <v>EC50</v>
      </c>
      <c r="BG1318" s="96" t="str">
        <f>IF(BF1318="","",IF(ISNUMBER(VLOOKUP(BF1318,'Conversion factors'!$B$35:$C$52,2,FALSE)),"y","n"))</f>
        <v>n</v>
      </c>
      <c r="BH1318" s="99"/>
      <c r="BI1318" s="103"/>
      <c r="BJ1318" s="103"/>
    </row>
    <row r="1319" spans="1:62" ht="15.95" customHeight="1" x14ac:dyDescent="0.2">
      <c r="A1319" s="18"/>
      <c r="B1319" s="19"/>
      <c r="C1319" s="19"/>
      <c r="D1319" s="19"/>
      <c r="E1319" s="19"/>
      <c r="F1319" s="93">
        <v>2022</v>
      </c>
      <c r="G1319" s="19" t="s">
        <v>1654</v>
      </c>
      <c r="H1319" s="19" t="s">
        <v>1658</v>
      </c>
      <c r="I1319" s="19" t="s">
        <v>1659</v>
      </c>
      <c r="J1319" s="19" t="s">
        <v>567</v>
      </c>
      <c r="K1319" s="19" t="s">
        <v>42</v>
      </c>
      <c r="L1319" s="19" t="s">
        <v>43</v>
      </c>
      <c r="M1319" s="19" t="s">
        <v>1303</v>
      </c>
      <c r="N1319" s="19" t="s">
        <v>109</v>
      </c>
      <c r="O1319" s="19" t="s">
        <v>1649</v>
      </c>
      <c r="P1319" s="19" t="s">
        <v>1650</v>
      </c>
      <c r="Q1319" s="19"/>
      <c r="R1319" s="19" t="s">
        <v>81</v>
      </c>
      <c r="S1319" s="19" t="s">
        <v>1651</v>
      </c>
      <c r="T1319" s="19" t="s">
        <v>44</v>
      </c>
      <c r="U1319" s="19" t="s">
        <v>44</v>
      </c>
      <c r="V1319" s="19">
        <v>3</v>
      </c>
      <c r="W1319" s="19" t="s">
        <v>45</v>
      </c>
      <c r="X1319" s="19" t="s">
        <v>46</v>
      </c>
      <c r="Y1319" s="29"/>
      <c r="Z1319" s="19"/>
      <c r="AA1319" s="19"/>
      <c r="AB1319" s="19">
        <v>107</v>
      </c>
      <c r="AC1319" s="19" t="s">
        <v>214</v>
      </c>
      <c r="AD1319" s="19"/>
      <c r="AE1319" s="19">
        <v>90</v>
      </c>
      <c r="AF1319" s="19"/>
      <c r="AG1319" s="19"/>
      <c r="AH1319" s="19"/>
      <c r="AI1319" s="19"/>
      <c r="AJ1319" s="19">
        <v>7.6</v>
      </c>
      <c r="AK1319" s="19"/>
      <c r="AL1319" s="19"/>
      <c r="AM1319" s="19"/>
      <c r="AN1319" s="19"/>
      <c r="AO1319" s="19"/>
      <c r="AP1319" s="94">
        <v>10.1</v>
      </c>
      <c r="AQ1319" s="19">
        <v>27</v>
      </c>
      <c r="AR1319" s="19"/>
      <c r="AS1319" s="19"/>
      <c r="AT1319" s="65" t="str">
        <f t="shared" si="376"/>
        <v>Y</v>
      </c>
      <c r="AU1319" s="65" t="str">
        <f t="shared" si="405"/>
        <v>Y</v>
      </c>
      <c r="AV1319" s="65" t="str">
        <f t="shared" si="398"/>
        <v>Y</v>
      </c>
      <c r="AW1319" s="99"/>
      <c r="AX1319" s="99"/>
      <c r="AY1319" s="19"/>
      <c r="AZ1319" s="96" t="str">
        <f t="shared" si="406"/>
        <v>EC50</v>
      </c>
      <c r="BA1319" s="96">
        <f>IF(AZ1319="n","n",VLOOKUP(AZ1319,'Conversion factors'!$C$4:$D$24,2,FALSE))</f>
        <v>5</v>
      </c>
      <c r="BB1319" s="96">
        <f t="shared" si="407"/>
        <v>21.4</v>
      </c>
      <c r="BC1319" s="97"/>
      <c r="BD1319" s="96" t="str">
        <f t="shared" si="377"/>
        <v>Chronic</v>
      </c>
      <c r="BE1319" s="96" t="str">
        <f t="shared" si="408"/>
        <v>y</v>
      </c>
      <c r="BF1319" s="98" t="str">
        <f t="shared" si="409"/>
        <v>EC50</v>
      </c>
      <c r="BG1319" s="96" t="str">
        <f>IF(BF1319="","",IF(ISNUMBER(VLOOKUP(BF1319,'Conversion factors'!$B$35:$C$52,2,FALSE)),"y","n"))</f>
        <v>n</v>
      </c>
      <c r="BH1319" s="99"/>
      <c r="BI1319" s="103"/>
      <c r="BJ1319" s="103"/>
    </row>
    <row r="1320" spans="1:62" ht="15.95" customHeight="1" x14ac:dyDescent="0.2">
      <c r="A1320" s="18"/>
      <c r="B1320" s="19"/>
      <c r="C1320" s="19"/>
      <c r="D1320" s="19"/>
      <c r="E1320" s="19"/>
      <c r="F1320" s="93">
        <v>2022</v>
      </c>
      <c r="G1320" s="19" t="s">
        <v>1654</v>
      </c>
      <c r="H1320" s="19" t="s">
        <v>1658</v>
      </c>
      <c r="I1320" s="19" t="s">
        <v>1659</v>
      </c>
      <c r="J1320" s="19" t="s">
        <v>567</v>
      </c>
      <c r="K1320" s="19" t="s">
        <v>42</v>
      </c>
      <c r="L1320" s="19" t="s">
        <v>43</v>
      </c>
      <c r="M1320" s="19" t="s">
        <v>1303</v>
      </c>
      <c r="N1320" s="19" t="s">
        <v>109</v>
      </c>
      <c r="O1320" s="19" t="s">
        <v>1649</v>
      </c>
      <c r="P1320" s="19" t="s">
        <v>1650</v>
      </c>
      <c r="Q1320" s="19"/>
      <c r="R1320" s="19" t="s">
        <v>81</v>
      </c>
      <c r="S1320" s="19" t="s">
        <v>1651</v>
      </c>
      <c r="T1320" s="19" t="s">
        <v>44</v>
      </c>
      <c r="U1320" s="19" t="s">
        <v>44</v>
      </c>
      <c r="V1320" s="19">
        <v>3</v>
      </c>
      <c r="W1320" s="19" t="s">
        <v>45</v>
      </c>
      <c r="X1320" s="19" t="s">
        <v>46</v>
      </c>
      <c r="Y1320" s="29"/>
      <c r="Z1320" s="19"/>
      <c r="AA1320" s="19"/>
      <c r="AB1320" s="19">
        <v>126</v>
      </c>
      <c r="AC1320" s="19" t="s">
        <v>214</v>
      </c>
      <c r="AD1320" s="19"/>
      <c r="AE1320" s="19">
        <v>90</v>
      </c>
      <c r="AF1320" s="19"/>
      <c r="AG1320" s="19"/>
      <c r="AH1320" s="19"/>
      <c r="AI1320" s="19"/>
      <c r="AJ1320" s="19">
        <v>7.6</v>
      </c>
      <c r="AK1320" s="19"/>
      <c r="AL1320" s="19"/>
      <c r="AM1320" s="19"/>
      <c r="AN1320" s="19"/>
      <c r="AO1320" s="19"/>
      <c r="AP1320" s="94">
        <v>15.1</v>
      </c>
      <c r="AQ1320" s="19">
        <v>27</v>
      </c>
      <c r="AR1320" s="19"/>
      <c r="AS1320" s="19"/>
      <c r="AT1320" s="65" t="str">
        <f t="shared" si="376"/>
        <v>Y</v>
      </c>
      <c r="AU1320" s="65" t="str">
        <f t="shared" si="405"/>
        <v>Y</v>
      </c>
      <c r="AV1320" s="65" t="str">
        <f t="shared" si="398"/>
        <v>Y</v>
      </c>
      <c r="AW1320" s="99"/>
      <c r="AX1320" s="99"/>
      <c r="AY1320" s="19"/>
      <c r="AZ1320" s="96" t="str">
        <f t="shared" si="406"/>
        <v>EC50</v>
      </c>
      <c r="BA1320" s="96">
        <f>IF(AZ1320="n","n",VLOOKUP(AZ1320,'Conversion factors'!$C$4:$D$24,2,FALSE))</f>
        <v>5</v>
      </c>
      <c r="BB1320" s="96">
        <f t="shared" si="407"/>
        <v>25.2</v>
      </c>
      <c r="BC1320" s="97"/>
      <c r="BD1320" s="96" t="str">
        <f t="shared" si="377"/>
        <v>Chronic</v>
      </c>
      <c r="BE1320" s="96" t="str">
        <f t="shared" si="408"/>
        <v>y</v>
      </c>
      <c r="BF1320" s="98" t="str">
        <f t="shared" si="409"/>
        <v>EC50</v>
      </c>
      <c r="BG1320" s="96" t="str">
        <f>IF(BF1320="","",IF(ISNUMBER(VLOOKUP(BF1320,'Conversion factors'!$B$35:$C$52,2,FALSE)),"y","n"))</f>
        <v>n</v>
      </c>
      <c r="BH1320" s="99"/>
      <c r="BI1320" s="103"/>
      <c r="BJ1320" s="103"/>
    </row>
    <row r="1321" spans="1:62" ht="15.95" customHeight="1" x14ac:dyDescent="0.2">
      <c r="A1321" s="18"/>
      <c r="B1321" s="19"/>
      <c r="C1321" s="19"/>
      <c r="D1321" s="19"/>
      <c r="E1321" s="19"/>
      <c r="F1321" s="93">
        <v>2022</v>
      </c>
      <c r="G1321" s="19" t="s">
        <v>1654</v>
      </c>
      <c r="H1321" s="19" t="s">
        <v>1658</v>
      </c>
      <c r="I1321" s="19" t="s">
        <v>1659</v>
      </c>
      <c r="J1321" s="19" t="s">
        <v>567</v>
      </c>
      <c r="K1321" s="19" t="s">
        <v>42</v>
      </c>
      <c r="L1321" s="19" t="s">
        <v>43</v>
      </c>
      <c r="M1321" s="19" t="s">
        <v>1303</v>
      </c>
      <c r="N1321" s="19" t="s">
        <v>109</v>
      </c>
      <c r="O1321" s="19" t="s">
        <v>1649</v>
      </c>
      <c r="P1321" s="19" t="s">
        <v>1650</v>
      </c>
      <c r="Q1321" s="19"/>
      <c r="R1321" s="19" t="s">
        <v>81</v>
      </c>
      <c r="S1321" s="19" t="s">
        <v>1651</v>
      </c>
      <c r="T1321" s="19" t="s">
        <v>44</v>
      </c>
      <c r="U1321" s="19" t="s">
        <v>44</v>
      </c>
      <c r="V1321" s="19">
        <v>3</v>
      </c>
      <c r="W1321" s="19" t="s">
        <v>45</v>
      </c>
      <c r="X1321" s="19" t="s">
        <v>46</v>
      </c>
      <c r="Y1321" s="29"/>
      <c r="Z1321" s="19"/>
      <c r="AA1321" s="19"/>
      <c r="AB1321" s="19">
        <v>34</v>
      </c>
      <c r="AC1321" s="19" t="s">
        <v>214</v>
      </c>
      <c r="AD1321" s="19"/>
      <c r="AE1321" s="19">
        <v>90</v>
      </c>
      <c r="AF1321" s="19"/>
      <c r="AG1321" s="19"/>
      <c r="AH1321" s="19"/>
      <c r="AI1321" s="19"/>
      <c r="AJ1321" s="19">
        <v>6.7</v>
      </c>
      <c r="AK1321" s="19"/>
      <c r="AL1321" s="19"/>
      <c r="AM1321" s="19"/>
      <c r="AN1321" s="19"/>
      <c r="AO1321" s="19"/>
      <c r="AP1321" s="94">
        <v>5.5</v>
      </c>
      <c r="AQ1321" s="19">
        <v>27</v>
      </c>
      <c r="AR1321" s="19"/>
      <c r="AS1321" s="19"/>
      <c r="AT1321" s="65" t="str">
        <f t="shared" si="376"/>
        <v>Y</v>
      </c>
      <c r="AU1321" s="65" t="str">
        <f t="shared" si="405"/>
        <v>Y</v>
      </c>
      <c r="AV1321" s="65" t="str">
        <f t="shared" ref="AV1321:AV1333" si="410">AU1321</f>
        <v>Y</v>
      </c>
      <c r="AW1321" s="99"/>
      <c r="AX1321" s="99"/>
      <c r="AY1321" s="19"/>
      <c r="AZ1321" s="96" t="str">
        <f t="shared" si="406"/>
        <v>EC50</v>
      </c>
      <c r="BA1321" s="96">
        <f>IF(AZ1321="n","n",VLOOKUP(AZ1321,'Conversion factors'!$C$4:$D$24,2,FALSE))</f>
        <v>5</v>
      </c>
      <c r="BB1321" s="96">
        <f t="shared" si="407"/>
        <v>6.8</v>
      </c>
      <c r="BC1321" s="97"/>
      <c r="BD1321" s="96" t="str">
        <f t="shared" si="377"/>
        <v>Chronic</v>
      </c>
      <c r="BE1321" s="96" t="str">
        <f t="shared" si="408"/>
        <v>y</v>
      </c>
      <c r="BF1321" s="98" t="str">
        <f t="shared" si="409"/>
        <v>EC50</v>
      </c>
      <c r="BG1321" s="96" t="str">
        <f>IF(BF1321="","",IF(ISNUMBER(VLOOKUP(BF1321,'Conversion factors'!$B$35:$C$52,2,FALSE)),"y","n"))</f>
        <v>n</v>
      </c>
      <c r="BH1321" s="99"/>
      <c r="BI1321" s="103"/>
      <c r="BJ1321" s="103"/>
    </row>
    <row r="1322" spans="1:62" ht="15.95" customHeight="1" x14ac:dyDescent="0.2">
      <c r="A1322" s="18"/>
      <c r="B1322" s="19"/>
      <c r="C1322" s="19"/>
      <c r="D1322" s="19"/>
      <c r="E1322" s="19"/>
      <c r="F1322" s="93">
        <v>2022</v>
      </c>
      <c r="G1322" s="19" t="s">
        <v>1654</v>
      </c>
      <c r="H1322" s="19" t="s">
        <v>1658</v>
      </c>
      <c r="I1322" s="19" t="s">
        <v>1659</v>
      </c>
      <c r="J1322" s="19" t="s">
        <v>567</v>
      </c>
      <c r="K1322" s="19" t="s">
        <v>42</v>
      </c>
      <c r="L1322" s="19" t="s">
        <v>43</v>
      </c>
      <c r="M1322" s="19" t="s">
        <v>1303</v>
      </c>
      <c r="N1322" s="19" t="s">
        <v>109</v>
      </c>
      <c r="O1322" s="19" t="s">
        <v>1649</v>
      </c>
      <c r="P1322" s="19" t="s">
        <v>1650</v>
      </c>
      <c r="Q1322" s="19"/>
      <c r="R1322" s="19" t="s">
        <v>81</v>
      </c>
      <c r="S1322" s="19" t="s">
        <v>1651</v>
      </c>
      <c r="T1322" s="19" t="s">
        <v>44</v>
      </c>
      <c r="U1322" s="19" t="s">
        <v>44</v>
      </c>
      <c r="V1322" s="19">
        <v>3</v>
      </c>
      <c r="W1322" s="19" t="s">
        <v>45</v>
      </c>
      <c r="X1322" s="19" t="s">
        <v>46</v>
      </c>
      <c r="Y1322" s="29"/>
      <c r="Z1322" s="19"/>
      <c r="AA1322" s="19"/>
      <c r="AB1322" s="19">
        <v>37</v>
      </c>
      <c r="AC1322" s="19" t="s">
        <v>214</v>
      </c>
      <c r="AD1322" s="19"/>
      <c r="AE1322" s="19">
        <v>90</v>
      </c>
      <c r="AF1322" s="19"/>
      <c r="AG1322" s="19"/>
      <c r="AH1322" s="19"/>
      <c r="AI1322" s="19"/>
      <c r="AJ1322" s="19">
        <v>8.3000000000000007</v>
      </c>
      <c r="AK1322" s="19"/>
      <c r="AL1322" s="19"/>
      <c r="AM1322" s="19"/>
      <c r="AN1322" s="19"/>
      <c r="AO1322" s="19"/>
      <c r="AP1322" s="94">
        <v>5.5</v>
      </c>
      <c r="AQ1322" s="19">
        <v>27</v>
      </c>
      <c r="AR1322" s="19"/>
      <c r="AS1322" s="19"/>
      <c r="AT1322" s="65" t="str">
        <f t="shared" si="376"/>
        <v>Y</v>
      </c>
      <c r="AU1322" s="65" t="str">
        <f t="shared" si="405"/>
        <v>Y</v>
      </c>
      <c r="AV1322" s="65" t="str">
        <f t="shared" si="410"/>
        <v>Y</v>
      </c>
      <c r="AW1322" s="99"/>
      <c r="AX1322" s="99"/>
      <c r="AY1322" s="19"/>
      <c r="AZ1322" s="96" t="str">
        <f t="shared" si="406"/>
        <v>EC50</v>
      </c>
      <c r="BA1322" s="96">
        <f>IF(AZ1322="n","n",VLOOKUP(AZ1322,'Conversion factors'!$C$4:$D$24,2,FALSE))</f>
        <v>5</v>
      </c>
      <c r="BB1322" s="96">
        <f t="shared" si="407"/>
        <v>7.4</v>
      </c>
      <c r="BC1322" s="97"/>
      <c r="BD1322" s="96" t="str">
        <f t="shared" si="377"/>
        <v>Chronic</v>
      </c>
      <c r="BE1322" s="96" t="str">
        <f t="shared" si="408"/>
        <v>y</v>
      </c>
      <c r="BF1322" s="98" t="str">
        <f t="shared" si="409"/>
        <v>EC50</v>
      </c>
      <c r="BG1322" s="96" t="str">
        <f>IF(BF1322="","",IF(ISNUMBER(VLOOKUP(BF1322,'Conversion factors'!$B$35:$C$52,2,FALSE)),"y","n"))</f>
        <v>n</v>
      </c>
      <c r="BH1322" s="99"/>
      <c r="BI1322" s="103"/>
      <c r="BJ1322" s="103"/>
    </row>
    <row r="1323" spans="1:62" ht="15.95" customHeight="1" x14ac:dyDescent="0.2">
      <c r="A1323" s="18"/>
      <c r="B1323" s="19"/>
      <c r="C1323" s="19"/>
      <c r="D1323" s="19"/>
      <c r="E1323" s="19"/>
      <c r="F1323" s="93">
        <v>2022</v>
      </c>
      <c r="G1323" s="19" t="s">
        <v>1654</v>
      </c>
      <c r="H1323" s="19" t="s">
        <v>1658</v>
      </c>
      <c r="I1323" s="19" t="s">
        <v>1660</v>
      </c>
      <c r="J1323" s="19" t="s">
        <v>567</v>
      </c>
      <c r="K1323" s="19" t="s">
        <v>42</v>
      </c>
      <c r="L1323" s="19" t="s">
        <v>43</v>
      </c>
      <c r="M1323" s="19" t="s">
        <v>1303</v>
      </c>
      <c r="N1323" s="19" t="s">
        <v>109</v>
      </c>
      <c r="O1323" s="19" t="s">
        <v>1649</v>
      </c>
      <c r="P1323" s="19" t="s">
        <v>1650</v>
      </c>
      <c r="Q1323" s="19"/>
      <c r="R1323" s="19" t="s">
        <v>81</v>
      </c>
      <c r="S1323" s="19" t="s">
        <v>1651</v>
      </c>
      <c r="T1323" s="19" t="s">
        <v>44</v>
      </c>
      <c r="U1323" s="19" t="s">
        <v>44</v>
      </c>
      <c r="V1323" s="19">
        <v>3</v>
      </c>
      <c r="W1323" s="19" t="s">
        <v>45</v>
      </c>
      <c r="X1323" s="19" t="s">
        <v>46</v>
      </c>
      <c r="Y1323" s="29"/>
      <c r="Z1323" s="19"/>
      <c r="AA1323" s="19"/>
      <c r="AB1323" s="19">
        <v>17</v>
      </c>
      <c r="AC1323" s="19" t="s">
        <v>214</v>
      </c>
      <c r="AD1323" s="19"/>
      <c r="AE1323" s="19">
        <v>90</v>
      </c>
      <c r="AF1323" s="19"/>
      <c r="AG1323" s="19"/>
      <c r="AH1323" s="19"/>
      <c r="AI1323" s="19"/>
      <c r="AJ1323" s="19">
        <v>7.6</v>
      </c>
      <c r="AK1323" s="19"/>
      <c r="AL1323" s="19"/>
      <c r="AM1323" s="19"/>
      <c r="AN1323" s="19"/>
      <c r="AO1323" s="19"/>
      <c r="AP1323" s="94">
        <v>2</v>
      </c>
      <c r="AQ1323" s="19">
        <v>27</v>
      </c>
      <c r="AR1323" s="19"/>
      <c r="AS1323" s="19"/>
      <c r="AT1323" s="65" t="str">
        <f t="shared" si="376"/>
        <v>Y</v>
      </c>
      <c r="AU1323" s="65" t="str">
        <f t="shared" si="405"/>
        <v>Y</v>
      </c>
      <c r="AV1323" s="65" t="str">
        <f t="shared" si="410"/>
        <v>Y</v>
      </c>
      <c r="AW1323" s="99"/>
      <c r="AX1323" s="99"/>
      <c r="AY1323" s="19"/>
      <c r="AZ1323" s="96" t="str">
        <f t="shared" si="406"/>
        <v>EC50</v>
      </c>
      <c r="BA1323" s="96">
        <f>IF(AZ1323="n","n",VLOOKUP(AZ1323,'Conversion factors'!$C$4:$D$24,2,FALSE))</f>
        <v>5</v>
      </c>
      <c r="BB1323" s="96">
        <f t="shared" si="407"/>
        <v>3.4</v>
      </c>
      <c r="BC1323" s="97"/>
      <c r="BD1323" s="96" t="str">
        <f t="shared" si="377"/>
        <v>Chronic</v>
      </c>
      <c r="BE1323" s="96" t="str">
        <f t="shared" si="408"/>
        <v>y</v>
      </c>
      <c r="BF1323" s="98" t="str">
        <f t="shared" si="409"/>
        <v>EC50</v>
      </c>
      <c r="BG1323" s="96" t="str">
        <f>IF(BF1323="","",IF(ISNUMBER(VLOOKUP(BF1323,'Conversion factors'!$B$35:$C$52,2,FALSE)),"y","n"))</f>
        <v>n</v>
      </c>
      <c r="BH1323" s="99"/>
      <c r="BI1323" s="103"/>
      <c r="BJ1323" s="103"/>
    </row>
    <row r="1324" spans="1:62" ht="15.95" customHeight="1" x14ac:dyDescent="0.2">
      <c r="A1324" s="18"/>
      <c r="B1324" s="19"/>
      <c r="C1324" s="19"/>
      <c r="D1324" s="19"/>
      <c r="E1324" s="19"/>
      <c r="F1324" s="93">
        <v>2022</v>
      </c>
      <c r="G1324" s="19" t="s">
        <v>1654</v>
      </c>
      <c r="H1324" s="19" t="s">
        <v>1658</v>
      </c>
      <c r="I1324" s="19" t="s">
        <v>1660</v>
      </c>
      <c r="J1324" s="19" t="s">
        <v>567</v>
      </c>
      <c r="K1324" s="19" t="s">
        <v>42</v>
      </c>
      <c r="L1324" s="19" t="s">
        <v>43</v>
      </c>
      <c r="M1324" s="19" t="s">
        <v>1303</v>
      </c>
      <c r="N1324" s="19" t="s">
        <v>109</v>
      </c>
      <c r="O1324" s="19" t="s">
        <v>1649</v>
      </c>
      <c r="P1324" s="19" t="s">
        <v>1650</v>
      </c>
      <c r="Q1324" s="19"/>
      <c r="R1324" s="19" t="s">
        <v>81</v>
      </c>
      <c r="S1324" s="19" t="s">
        <v>1651</v>
      </c>
      <c r="T1324" s="19" t="s">
        <v>44</v>
      </c>
      <c r="U1324" s="19" t="s">
        <v>44</v>
      </c>
      <c r="V1324" s="19">
        <v>3</v>
      </c>
      <c r="W1324" s="19" t="s">
        <v>45</v>
      </c>
      <c r="X1324" s="19" t="s">
        <v>46</v>
      </c>
      <c r="Y1324" s="29"/>
      <c r="Z1324" s="19"/>
      <c r="AA1324" s="19"/>
      <c r="AB1324" s="19">
        <v>18</v>
      </c>
      <c r="AC1324" s="19" t="s">
        <v>214</v>
      </c>
      <c r="AD1324" s="19"/>
      <c r="AE1324" s="19">
        <v>90</v>
      </c>
      <c r="AF1324" s="19"/>
      <c r="AG1324" s="19"/>
      <c r="AH1324" s="19"/>
      <c r="AI1324" s="19"/>
      <c r="AJ1324" s="19">
        <v>7.6</v>
      </c>
      <c r="AK1324" s="19"/>
      <c r="AL1324" s="19"/>
      <c r="AM1324" s="19"/>
      <c r="AN1324" s="19"/>
      <c r="AO1324" s="19"/>
      <c r="AP1324" s="94">
        <v>4.5999999999999996</v>
      </c>
      <c r="AQ1324" s="19">
        <v>27</v>
      </c>
      <c r="AR1324" s="19"/>
      <c r="AS1324" s="19"/>
      <c r="AT1324" s="65" t="str">
        <f t="shared" si="376"/>
        <v>Y</v>
      </c>
      <c r="AU1324" s="65" t="str">
        <f t="shared" si="405"/>
        <v>Y</v>
      </c>
      <c r="AV1324" s="65" t="str">
        <f t="shared" si="410"/>
        <v>Y</v>
      </c>
      <c r="AW1324" s="99"/>
      <c r="AX1324" s="99"/>
      <c r="AY1324" s="19"/>
      <c r="AZ1324" s="96" t="str">
        <f t="shared" si="406"/>
        <v>EC50</v>
      </c>
      <c r="BA1324" s="96">
        <f>IF(AZ1324="n","n",VLOOKUP(AZ1324,'Conversion factors'!$C$4:$D$24,2,FALSE))</f>
        <v>5</v>
      </c>
      <c r="BB1324" s="96">
        <f t="shared" si="407"/>
        <v>3.6</v>
      </c>
      <c r="BC1324" s="97"/>
      <c r="BD1324" s="96" t="str">
        <f t="shared" si="377"/>
        <v>Chronic</v>
      </c>
      <c r="BE1324" s="96" t="str">
        <f t="shared" si="408"/>
        <v>y</v>
      </c>
      <c r="BF1324" s="98" t="str">
        <f t="shared" si="409"/>
        <v>EC50</v>
      </c>
      <c r="BG1324" s="96" t="str">
        <f>IF(BF1324="","",IF(ISNUMBER(VLOOKUP(BF1324,'Conversion factors'!$B$35:$C$52,2,FALSE)),"y","n"))</f>
        <v>n</v>
      </c>
      <c r="BH1324" s="99"/>
      <c r="BI1324" s="103"/>
      <c r="BJ1324" s="103"/>
    </row>
    <row r="1325" spans="1:62" ht="15.95" customHeight="1" x14ac:dyDescent="0.2">
      <c r="A1325" s="18"/>
      <c r="B1325" s="19"/>
      <c r="C1325" s="19"/>
      <c r="D1325" s="19"/>
      <c r="E1325" s="19"/>
      <c r="F1325" s="93">
        <v>2022</v>
      </c>
      <c r="G1325" s="19" t="s">
        <v>1654</v>
      </c>
      <c r="H1325" s="19" t="s">
        <v>1658</v>
      </c>
      <c r="I1325" s="19" t="s">
        <v>1660</v>
      </c>
      <c r="J1325" s="19" t="s">
        <v>567</v>
      </c>
      <c r="K1325" s="19" t="s">
        <v>42</v>
      </c>
      <c r="L1325" s="19" t="s">
        <v>43</v>
      </c>
      <c r="M1325" s="19" t="s">
        <v>1303</v>
      </c>
      <c r="N1325" s="19" t="s">
        <v>109</v>
      </c>
      <c r="O1325" s="19" t="s">
        <v>1649</v>
      </c>
      <c r="P1325" s="19" t="s">
        <v>1650</v>
      </c>
      <c r="Q1325" s="19"/>
      <c r="R1325" s="19" t="s">
        <v>81</v>
      </c>
      <c r="S1325" s="19" t="s">
        <v>1651</v>
      </c>
      <c r="T1325" s="19" t="s">
        <v>44</v>
      </c>
      <c r="U1325" s="19" t="s">
        <v>44</v>
      </c>
      <c r="V1325" s="19">
        <v>3</v>
      </c>
      <c r="W1325" s="19" t="s">
        <v>45</v>
      </c>
      <c r="X1325" s="19" t="s">
        <v>46</v>
      </c>
      <c r="Y1325" s="29"/>
      <c r="Z1325" s="19"/>
      <c r="AA1325" s="19"/>
      <c r="AB1325" s="19">
        <v>20</v>
      </c>
      <c r="AC1325" s="19" t="s">
        <v>214</v>
      </c>
      <c r="AD1325" s="19"/>
      <c r="AE1325" s="19">
        <v>90</v>
      </c>
      <c r="AF1325" s="19"/>
      <c r="AG1325" s="19"/>
      <c r="AH1325" s="19"/>
      <c r="AI1325" s="19"/>
      <c r="AJ1325" s="19">
        <v>7.6</v>
      </c>
      <c r="AK1325" s="19"/>
      <c r="AL1325" s="19"/>
      <c r="AM1325" s="19"/>
      <c r="AN1325" s="19"/>
      <c r="AO1325" s="19"/>
      <c r="AP1325" s="94">
        <v>8.8000000000000007</v>
      </c>
      <c r="AQ1325" s="19">
        <v>27</v>
      </c>
      <c r="AR1325" s="19"/>
      <c r="AS1325" s="19"/>
      <c r="AT1325" s="65" t="str">
        <f t="shared" si="376"/>
        <v>Y</v>
      </c>
      <c r="AU1325" s="65" t="str">
        <f t="shared" si="405"/>
        <v>Y</v>
      </c>
      <c r="AV1325" s="65" t="str">
        <f t="shared" si="410"/>
        <v>Y</v>
      </c>
      <c r="AW1325" s="99"/>
      <c r="AX1325" s="99"/>
      <c r="AY1325" s="19"/>
      <c r="AZ1325" s="96" t="str">
        <f t="shared" si="406"/>
        <v>EC50</v>
      </c>
      <c r="BA1325" s="96">
        <f>IF(AZ1325="n","n",VLOOKUP(AZ1325,'Conversion factors'!$C$4:$D$24,2,FALSE))</f>
        <v>5</v>
      </c>
      <c r="BB1325" s="96">
        <f t="shared" si="407"/>
        <v>4</v>
      </c>
      <c r="BC1325" s="97"/>
      <c r="BD1325" s="96" t="str">
        <f t="shared" si="377"/>
        <v>Chronic</v>
      </c>
      <c r="BE1325" s="96" t="str">
        <f t="shared" si="408"/>
        <v>y</v>
      </c>
      <c r="BF1325" s="98" t="str">
        <f t="shared" si="409"/>
        <v>EC50</v>
      </c>
      <c r="BG1325" s="96" t="str">
        <f>IF(BF1325="","",IF(ISNUMBER(VLOOKUP(BF1325,'Conversion factors'!$B$35:$C$52,2,FALSE)),"y","n"))</f>
        <v>n</v>
      </c>
      <c r="BH1325" s="99"/>
      <c r="BI1325" s="103"/>
      <c r="BJ1325" s="103"/>
    </row>
    <row r="1326" spans="1:62" ht="15.95" customHeight="1" x14ac:dyDescent="0.2">
      <c r="A1326" s="18"/>
      <c r="B1326" s="19"/>
      <c r="C1326" s="19"/>
      <c r="D1326" s="19"/>
      <c r="E1326" s="19"/>
      <c r="F1326" s="93">
        <v>2022</v>
      </c>
      <c r="G1326" s="19" t="s">
        <v>1654</v>
      </c>
      <c r="H1326" s="19" t="s">
        <v>1658</v>
      </c>
      <c r="I1326" s="19" t="s">
        <v>1660</v>
      </c>
      <c r="J1326" s="19" t="s">
        <v>567</v>
      </c>
      <c r="K1326" s="19" t="s">
        <v>42</v>
      </c>
      <c r="L1326" s="19" t="s">
        <v>43</v>
      </c>
      <c r="M1326" s="19" t="s">
        <v>1303</v>
      </c>
      <c r="N1326" s="19" t="s">
        <v>109</v>
      </c>
      <c r="O1326" s="19" t="s">
        <v>1649</v>
      </c>
      <c r="P1326" s="19" t="s">
        <v>1650</v>
      </c>
      <c r="Q1326" s="19"/>
      <c r="R1326" s="19" t="s">
        <v>81</v>
      </c>
      <c r="S1326" s="19" t="s">
        <v>1651</v>
      </c>
      <c r="T1326" s="19" t="s">
        <v>44</v>
      </c>
      <c r="U1326" s="19" t="s">
        <v>44</v>
      </c>
      <c r="V1326" s="19">
        <v>3</v>
      </c>
      <c r="W1326" s="19" t="s">
        <v>45</v>
      </c>
      <c r="X1326" s="19" t="s">
        <v>46</v>
      </c>
      <c r="Y1326" s="29"/>
      <c r="Z1326" s="19"/>
      <c r="AA1326" s="19"/>
      <c r="AB1326" s="19">
        <v>25</v>
      </c>
      <c r="AC1326" s="19" t="s">
        <v>214</v>
      </c>
      <c r="AD1326" s="19"/>
      <c r="AE1326" s="19">
        <v>90</v>
      </c>
      <c r="AF1326" s="19"/>
      <c r="AG1326" s="19"/>
      <c r="AH1326" s="19"/>
      <c r="AI1326" s="19"/>
      <c r="AJ1326" s="19">
        <v>7.6</v>
      </c>
      <c r="AK1326" s="19"/>
      <c r="AL1326" s="19"/>
      <c r="AM1326" s="19"/>
      <c r="AN1326" s="19"/>
      <c r="AO1326" s="19"/>
      <c r="AP1326" s="94">
        <v>13</v>
      </c>
      <c r="AQ1326" s="19">
        <v>27</v>
      </c>
      <c r="AR1326" s="19"/>
      <c r="AS1326" s="19"/>
      <c r="AT1326" s="65" t="str">
        <f t="shared" si="376"/>
        <v>Y</v>
      </c>
      <c r="AU1326" s="65" t="str">
        <f t="shared" si="405"/>
        <v>Y</v>
      </c>
      <c r="AV1326" s="65" t="str">
        <f t="shared" si="410"/>
        <v>Y</v>
      </c>
      <c r="AW1326" s="99"/>
      <c r="AX1326" s="99"/>
      <c r="AY1326" s="19"/>
      <c r="AZ1326" s="96" t="str">
        <f t="shared" si="406"/>
        <v>EC50</v>
      </c>
      <c r="BA1326" s="96">
        <f>IF(AZ1326="n","n",VLOOKUP(AZ1326,'Conversion factors'!$C$4:$D$24,2,FALSE))</f>
        <v>5</v>
      </c>
      <c r="BB1326" s="96">
        <f t="shared" si="407"/>
        <v>5</v>
      </c>
      <c r="BC1326" s="97"/>
      <c r="BD1326" s="96" t="str">
        <f t="shared" si="377"/>
        <v>Chronic</v>
      </c>
      <c r="BE1326" s="96" t="str">
        <f t="shared" si="408"/>
        <v>y</v>
      </c>
      <c r="BF1326" s="98" t="str">
        <f t="shared" si="409"/>
        <v>EC50</v>
      </c>
      <c r="BG1326" s="96" t="str">
        <f>IF(BF1326="","",IF(ISNUMBER(VLOOKUP(BF1326,'Conversion factors'!$B$35:$C$52,2,FALSE)),"y","n"))</f>
        <v>n</v>
      </c>
      <c r="BH1326" s="99"/>
      <c r="BI1326" s="103"/>
      <c r="BJ1326" s="103"/>
    </row>
    <row r="1327" spans="1:62" ht="15.95" customHeight="1" x14ac:dyDescent="0.2">
      <c r="A1327" s="18"/>
      <c r="B1327" s="19"/>
      <c r="C1327" s="19"/>
      <c r="D1327" s="19"/>
      <c r="E1327" s="19"/>
      <c r="F1327" s="93">
        <v>2022</v>
      </c>
      <c r="G1327" s="19" t="s">
        <v>1654</v>
      </c>
      <c r="H1327" s="19" t="s">
        <v>1658</v>
      </c>
      <c r="I1327" s="19" t="s">
        <v>1660</v>
      </c>
      <c r="J1327" s="19" t="s">
        <v>567</v>
      </c>
      <c r="K1327" s="19" t="s">
        <v>42</v>
      </c>
      <c r="L1327" s="19" t="s">
        <v>43</v>
      </c>
      <c r="M1327" s="19" t="s">
        <v>1303</v>
      </c>
      <c r="N1327" s="19" t="s">
        <v>109</v>
      </c>
      <c r="O1327" s="19" t="s">
        <v>1649</v>
      </c>
      <c r="P1327" s="19" t="s">
        <v>1650</v>
      </c>
      <c r="Q1327" s="19"/>
      <c r="R1327" s="19" t="s">
        <v>81</v>
      </c>
      <c r="S1327" s="19" t="s">
        <v>1651</v>
      </c>
      <c r="T1327" s="19" t="s">
        <v>44</v>
      </c>
      <c r="U1327" s="19" t="s">
        <v>44</v>
      </c>
      <c r="V1327" s="19">
        <v>3</v>
      </c>
      <c r="W1327" s="19" t="s">
        <v>45</v>
      </c>
      <c r="X1327" s="19" t="s">
        <v>46</v>
      </c>
      <c r="Y1327" s="29"/>
      <c r="Z1327" s="19"/>
      <c r="AA1327" s="19"/>
      <c r="AB1327" s="19">
        <v>19</v>
      </c>
      <c r="AC1327" s="19" t="s">
        <v>214</v>
      </c>
      <c r="AD1327" s="19"/>
      <c r="AE1327" s="19">
        <v>90</v>
      </c>
      <c r="AF1327" s="19"/>
      <c r="AG1327" s="19"/>
      <c r="AH1327" s="19"/>
      <c r="AI1327" s="19"/>
      <c r="AJ1327" s="19">
        <v>6.7</v>
      </c>
      <c r="AK1327" s="19"/>
      <c r="AL1327" s="19"/>
      <c r="AM1327" s="19"/>
      <c r="AN1327" s="19"/>
      <c r="AO1327" s="19"/>
      <c r="AP1327" s="94">
        <v>4.9000000000000004</v>
      </c>
      <c r="AQ1327" s="19">
        <v>27</v>
      </c>
      <c r="AR1327" s="19"/>
      <c r="AS1327" s="19"/>
      <c r="AT1327" s="65" t="str">
        <f t="shared" si="376"/>
        <v>Y</v>
      </c>
      <c r="AU1327" s="65" t="str">
        <f t="shared" si="405"/>
        <v>Y</v>
      </c>
      <c r="AV1327" s="65" t="str">
        <f t="shared" si="410"/>
        <v>Y</v>
      </c>
      <c r="AW1327" s="99"/>
      <c r="AX1327" s="99"/>
      <c r="AY1327" s="19"/>
      <c r="AZ1327" s="96" t="str">
        <f t="shared" si="406"/>
        <v>EC50</v>
      </c>
      <c r="BA1327" s="96">
        <f>IF(AZ1327="n","n",VLOOKUP(AZ1327,'Conversion factors'!$C$4:$D$24,2,FALSE))</f>
        <v>5</v>
      </c>
      <c r="BB1327" s="96">
        <f t="shared" si="407"/>
        <v>3.8</v>
      </c>
      <c r="BC1327" s="97"/>
      <c r="BD1327" s="96" t="str">
        <f t="shared" si="377"/>
        <v>Chronic</v>
      </c>
      <c r="BE1327" s="96" t="str">
        <f t="shared" si="408"/>
        <v>y</v>
      </c>
      <c r="BF1327" s="98" t="str">
        <f t="shared" si="409"/>
        <v>EC50</v>
      </c>
      <c r="BG1327" s="96" t="str">
        <f>IF(BF1327="","",IF(ISNUMBER(VLOOKUP(BF1327,'Conversion factors'!$B$35:$C$52,2,FALSE)),"y","n"))</f>
        <v>n</v>
      </c>
      <c r="BH1327" s="99"/>
      <c r="BI1327" s="103"/>
      <c r="BJ1327" s="103"/>
    </row>
    <row r="1328" spans="1:62" ht="15.95" customHeight="1" x14ac:dyDescent="0.2">
      <c r="A1328" s="18"/>
      <c r="B1328" s="19"/>
      <c r="C1328" s="19"/>
      <c r="D1328" s="19"/>
      <c r="E1328" s="19"/>
      <c r="F1328" s="93">
        <v>2022</v>
      </c>
      <c r="G1328" s="19" t="s">
        <v>1654</v>
      </c>
      <c r="H1328" s="19" t="s">
        <v>1658</v>
      </c>
      <c r="I1328" s="19" t="s">
        <v>1660</v>
      </c>
      <c r="J1328" s="19" t="s">
        <v>567</v>
      </c>
      <c r="K1328" s="19" t="s">
        <v>42</v>
      </c>
      <c r="L1328" s="19" t="s">
        <v>43</v>
      </c>
      <c r="M1328" s="19" t="s">
        <v>1303</v>
      </c>
      <c r="N1328" s="19" t="s">
        <v>109</v>
      </c>
      <c r="O1328" s="19" t="s">
        <v>1649</v>
      </c>
      <c r="P1328" s="19" t="s">
        <v>1650</v>
      </c>
      <c r="Q1328" s="19"/>
      <c r="R1328" s="19" t="s">
        <v>81</v>
      </c>
      <c r="S1328" s="19" t="s">
        <v>1651</v>
      </c>
      <c r="T1328" s="19" t="s">
        <v>44</v>
      </c>
      <c r="U1328" s="19" t="s">
        <v>44</v>
      </c>
      <c r="V1328" s="19">
        <v>3</v>
      </c>
      <c r="W1328" s="19" t="s">
        <v>45</v>
      </c>
      <c r="X1328" s="19" t="s">
        <v>46</v>
      </c>
      <c r="Y1328" s="29"/>
      <c r="Z1328" s="19"/>
      <c r="AA1328" s="19"/>
      <c r="AB1328" s="19">
        <v>19</v>
      </c>
      <c r="AC1328" s="19" t="s">
        <v>214</v>
      </c>
      <c r="AD1328" s="19"/>
      <c r="AE1328" s="19">
        <v>90</v>
      </c>
      <c r="AF1328" s="19"/>
      <c r="AG1328" s="19"/>
      <c r="AH1328" s="19"/>
      <c r="AI1328" s="19"/>
      <c r="AJ1328" s="19">
        <v>8.3000000000000007</v>
      </c>
      <c r="AK1328" s="19"/>
      <c r="AL1328" s="19"/>
      <c r="AM1328" s="19"/>
      <c r="AN1328" s="19"/>
      <c r="AO1328" s="19"/>
      <c r="AP1328" s="94">
        <v>4.9000000000000004</v>
      </c>
      <c r="AQ1328" s="19">
        <v>27</v>
      </c>
      <c r="AR1328" s="19"/>
      <c r="AS1328" s="19"/>
      <c r="AT1328" s="65" t="str">
        <f t="shared" si="376"/>
        <v>Y</v>
      </c>
      <c r="AU1328" s="65" t="str">
        <f t="shared" ref="AU1328:AU1340" si="411">IF(AT1328="N","N",IF(AJ1328&lt;6,"N",IF(AJ1328&gt;8.5,"N","Y")))</f>
        <v>Y</v>
      </c>
      <c r="AV1328" s="65" t="str">
        <f t="shared" si="410"/>
        <v>Y</v>
      </c>
      <c r="AW1328" s="99"/>
      <c r="AX1328" s="99"/>
      <c r="AY1328" s="19"/>
      <c r="AZ1328" s="96" t="str">
        <f t="shared" ref="AZ1328:AZ1340" si="412">IF(AV1328="N","n",T1328)</f>
        <v>EC50</v>
      </c>
      <c r="BA1328" s="96">
        <f>IF(AZ1328="n","n",VLOOKUP(AZ1328,'Conversion factors'!$C$4:$D$24,2,FALSE))</f>
        <v>5</v>
      </c>
      <c r="BB1328" s="96">
        <f t="shared" ref="BB1328:BB1340" si="413">IF(BA1328="n","n",AB1328/BA1328)</f>
        <v>3.8</v>
      </c>
      <c r="BC1328" s="97"/>
      <c r="BD1328" s="96" t="str">
        <f t="shared" si="377"/>
        <v>Chronic</v>
      </c>
      <c r="BE1328" s="96" t="str">
        <f t="shared" ref="BE1328:BE1340" si="414">IF(BD1328="chronic","y","n")</f>
        <v>y</v>
      </c>
      <c r="BF1328" s="98" t="str">
        <f t="shared" si="409"/>
        <v>EC50</v>
      </c>
      <c r="BG1328" s="96" t="str">
        <f>IF(BF1328="","",IF(ISNUMBER(VLOOKUP(BF1328,'Conversion factors'!$B$35:$C$52,2,FALSE)),"y","n"))</f>
        <v>n</v>
      </c>
      <c r="BH1328" s="99"/>
      <c r="BI1328" s="103"/>
      <c r="BJ1328" s="103"/>
    </row>
    <row r="1329" spans="1:62" ht="15.95" customHeight="1" x14ac:dyDescent="0.2">
      <c r="A1329" s="18"/>
      <c r="B1329" s="19"/>
      <c r="C1329" s="19"/>
      <c r="D1329" s="19"/>
      <c r="E1329" s="19"/>
      <c r="F1329" s="93">
        <v>2022</v>
      </c>
      <c r="G1329" s="19" t="s">
        <v>1654</v>
      </c>
      <c r="H1329" s="19" t="s">
        <v>1658</v>
      </c>
      <c r="I1329" s="19" t="s">
        <v>1311</v>
      </c>
      <c r="J1329" s="19" t="s">
        <v>567</v>
      </c>
      <c r="K1329" s="19" t="s">
        <v>42</v>
      </c>
      <c r="L1329" s="19" t="s">
        <v>43</v>
      </c>
      <c r="M1329" s="19" t="s">
        <v>1303</v>
      </c>
      <c r="N1329" s="19" t="s">
        <v>109</v>
      </c>
      <c r="O1329" s="19" t="s">
        <v>1649</v>
      </c>
      <c r="P1329" s="19" t="s">
        <v>1650</v>
      </c>
      <c r="Q1329" s="19"/>
      <c r="R1329" s="19" t="s">
        <v>81</v>
      </c>
      <c r="S1329" s="19" t="s">
        <v>1651</v>
      </c>
      <c r="T1329" s="19" t="s">
        <v>44</v>
      </c>
      <c r="U1329" s="19" t="s">
        <v>44</v>
      </c>
      <c r="V1329" s="19">
        <v>3</v>
      </c>
      <c r="W1329" s="19" t="s">
        <v>45</v>
      </c>
      <c r="X1329" s="19" t="s">
        <v>46</v>
      </c>
      <c r="Y1329" s="29"/>
      <c r="Z1329" s="19"/>
      <c r="AA1329" s="19"/>
      <c r="AB1329" s="19">
        <v>7.59</v>
      </c>
      <c r="AC1329" s="19" t="s">
        <v>214</v>
      </c>
      <c r="AD1329" s="19"/>
      <c r="AE1329" s="19">
        <v>90</v>
      </c>
      <c r="AF1329" s="19"/>
      <c r="AG1329" s="19"/>
      <c r="AH1329" s="19"/>
      <c r="AI1329" s="19"/>
      <c r="AJ1329" s="19">
        <v>7.7</v>
      </c>
      <c r="AK1329" s="19"/>
      <c r="AL1329" s="19"/>
      <c r="AM1329" s="19"/>
      <c r="AN1329" s="19"/>
      <c r="AO1329" s="19"/>
      <c r="AP1329" s="94" t="s">
        <v>73</v>
      </c>
      <c r="AQ1329" s="19">
        <v>27</v>
      </c>
      <c r="AR1329" s="19"/>
      <c r="AS1329" s="19"/>
      <c r="AT1329" s="65" t="str">
        <f t="shared" si="376"/>
        <v>Y</v>
      </c>
      <c r="AU1329" s="65" t="str">
        <f t="shared" si="411"/>
        <v>Y</v>
      </c>
      <c r="AV1329" s="65" t="str">
        <f t="shared" si="410"/>
        <v>Y</v>
      </c>
      <c r="AW1329" s="99"/>
      <c r="AX1329" s="99"/>
      <c r="AY1329" s="19"/>
      <c r="AZ1329" s="96" t="str">
        <f t="shared" si="412"/>
        <v>EC50</v>
      </c>
      <c r="BA1329" s="96">
        <f>IF(AZ1329="n","n",VLOOKUP(AZ1329,'Conversion factors'!$C$4:$D$24,2,FALSE))</f>
        <v>5</v>
      </c>
      <c r="BB1329" s="96">
        <f t="shared" si="413"/>
        <v>1.518</v>
      </c>
      <c r="BC1329" s="97"/>
      <c r="BD1329" s="96" t="str">
        <f t="shared" si="377"/>
        <v>Chronic</v>
      </c>
      <c r="BE1329" s="96" t="str">
        <f t="shared" si="414"/>
        <v>y</v>
      </c>
      <c r="BF1329" s="98" t="str">
        <f t="shared" si="409"/>
        <v>EC50</v>
      </c>
      <c r="BG1329" s="96" t="str">
        <f>IF(BF1329="","",IF(ISNUMBER(VLOOKUP(BF1329,'Conversion factors'!$B$35:$C$52,2,FALSE)),"y","n"))</f>
        <v>n</v>
      </c>
      <c r="BH1329" s="99"/>
      <c r="BI1329" s="103"/>
      <c r="BJ1329" s="103"/>
    </row>
    <row r="1330" spans="1:62" ht="15.95" customHeight="1" x14ac:dyDescent="0.2">
      <c r="A1330" s="18"/>
      <c r="B1330" s="19"/>
      <c r="C1330" s="19"/>
      <c r="D1330" s="19"/>
      <c r="E1330" s="19"/>
      <c r="F1330" s="93">
        <v>2022</v>
      </c>
      <c r="G1330" s="19" t="s">
        <v>1654</v>
      </c>
      <c r="H1330" s="19" t="s">
        <v>1658</v>
      </c>
      <c r="I1330" s="19" t="s">
        <v>1659</v>
      </c>
      <c r="J1330" s="19" t="s">
        <v>567</v>
      </c>
      <c r="K1330" s="19" t="s">
        <v>42</v>
      </c>
      <c r="L1330" s="19" t="s">
        <v>43</v>
      </c>
      <c r="M1330" s="19" t="s">
        <v>1303</v>
      </c>
      <c r="N1330" s="19" t="s">
        <v>109</v>
      </c>
      <c r="O1330" s="19" t="s">
        <v>1649</v>
      </c>
      <c r="P1330" s="19" t="s">
        <v>1650</v>
      </c>
      <c r="Q1330" s="19"/>
      <c r="R1330" s="19" t="s">
        <v>81</v>
      </c>
      <c r="S1330" s="19" t="s">
        <v>1651</v>
      </c>
      <c r="T1330" s="19" t="s">
        <v>44</v>
      </c>
      <c r="U1330" s="19" t="s">
        <v>44</v>
      </c>
      <c r="V1330" s="19">
        <v>3</v>
      </c>
      <c r="W1330" s="19" t="s">
        <v>45</v>
      </c>
      <c r="X1330" s="19" t="s">
        <v>46</v>
      </c>
      <c r="Y1330" s="29"/>
      <c r="Z1330" s="19"/>
      <c r="AA1330" s="19"/>
      <c r="AB1330" s="19">
        <v>7.54</v>
      </c>
      <c r="AC1330" s="19" t="s">
        <v>214</v>
      </c>
      <c r="AD1330" s="19"/>
      <c r="AE1330" s="19">
        <v>90</v>
      </c>
      <c r="AF1330" s="19"/>
      <c r="AG1330" s="19"/>
      <c r="AH1330" s="19"/>
      <c r="AI1330" s="19"/>
      <c r="AJ1330" s="19">
        <v>7.6</v>
      </c>
      <c r="AK1330" s="19"/>
      <c r="AL1330" s="19"/>
      <c r="AM1330" s="19"/>
      <c r="AN1330" s="19"/>
      <c r="AO1330" s="19"/>
      <c r="AP1330" s="94">
        <v>2.5</v>
      </c>
      <c r="AQ1330" s="19">
        <v>27</v>
      </c>
      <c r="AR1330" s="19"/>
      <c r="AS1330" s="19"/>
      <c r="AT1330" s="65" t="str">
        <f t="shared" si="376"/>
        <v>Y</v>
      </c>
      <c r="AU1330" s="65" t="str">
        <f t="shared" si="411"/>
        <v>Y</v>
      </c>
      <c r="AV1330" s="65" t="str">
        <f t="shared" si="410"/>
        <v>Y</v>
      </c>
      <c r="AW1330" s="99"/>
      <c r="AX1330" s="99"/>
      <c r="AY1330" s="19"/>
      <c r="AZ1330" s="96" t="str">
        <f t="shared" si="412"/>
        <v>EC50</v>
      </c>
      <c r="BA1330" s="96">
        <f>IF(AZ1330="n","n",VLOOKUP(AZ1330,'Conversion factors'!$C$4:$D$24,2,FALSE))</f>
        <v>5</v>
      </c>
      <c r="BB1330" s="96">
        <f t="shared" si="413"/>
        <v>1.508</v>
      </c>
      <c r="BC1330" s="97"/>
      <c r="BD1330" s="96" t="str">
        <f t="shared" si="377"/>
        <v>Chronic</v>
      </c>
      <c r="BE1330" s="96" t="str">
        <f t="shared" si="414"/>
        <v>y</v>
      </c>
      <c r="BF1330" s="98" t="str">
        <f t="shared" si="409"/>
        <v>EC50</v>
      </c>
      <c r="BG1330" s="96" t="str">
        <f>IF(BF1330="","",IF(ISNUMBER(VLOOKUP(BF1330,'Conversion factors'!$B$35:$C$52,2,FALSE)),"y","n"))</f>
        <v>n</v>
      </c>
      <c r="BH1330" s="99"/>
      <c r="BI1330" s="103"/>
      <c r="BJ1330" s="103"/>
    </row>
    <row r="1331" spans="1:62" ht="15.95" customHeight="1" x14ac:dyDescent="0.2">
      <c r="A1331" s="18"/>
      <c r="B1331" s="19"/>
      <c r="C1331" s="19"/>
      <c r="D1331" s="19"/>
      <c r="E1331" s="19"/>
      <c r="F1331" s="93">
        <v>2022</v>
      </c>
      <c r="G1331" s="19" t="s">
        <v>1654</v>
      </c>
      <c r="H1331" s="19" t="s">
        <v>1658</v>
      </c>
      <c r="I1331" s="19" t="s">
        <v>1659</v>
      </c>
      <c r="J1331" s="19" t="s">
        <v>567</v>
      </c>
      <c r="K1331" s="19" t="s">
        <v>42</v>
      </c>
      <c r="L1331" s="19" t="s">
        <v>43</v>
      </c>
      <c r="M1331" s="19" t="s">
        <v>1303</v>
      </c>
      <c r="N1331" s="19" t="s">
        <v>109</v>
      </c>
      <c r="O1331" s="19" t="s">
        <v>1649</v>
      </c>
      <c r="P1331" s="19" t="s">
        <v>1650</v>
      </c>
      <c r="Q1331" s="19"/>
      <c r="R1331" s="19" t="s">
        <v>81</v>
      </c>
      <c r="S1331" s="19" t="s">
        <v>1651</v>
      </c>
      <c r="T1331" s="19" t="s">
        <v>44</v>
      </c>
      <c r="U1331" s="19" t="s">
        <v>44</v>
      </c>
      <c r="V1331" s="19">
        <v>3</v>
      </c>
      <c r="W1331" s="19" t="s">
        <v>45</v>
      </c>
      <c r="X1331" s="19" t="s">
        <v>46</v>
      </c>
      <c r="Y1331" s="29"/>
      <c r="Z1331" s="19"/>
      <c r="AA1331" s="19"/>
      <c r="AB1331" s="19">
        <v>11.5</v>
      </c>
      <c r="AC1331" s="19" t="s">
        <v>214</v>
      </c>
      <c r="AD1331" s="19"/>
      <c r="AE1331" s="19">
        <v>90</v>
      </c>
      <c r="AF1331" s="19"/>
      <c r="AG1331" s="19"/>
      <c r="AH1331" s="19"/>
      <c r="AI1331" s="19"/>
      <c r="AJ1331" s="19">
        <v>7.6</v>
      </c>
      <c r="AK1331" s="19"/>
      <c r="AL1331" s="19"/>
      <c r="AM1331" s="19"/>
      <c r="AN1331" s="19"/>
      <c r="AO1331" s="19"/>
      <c r="AP1331" s="94">
        <v>5.4</v>
      </c>
      <c r="AQ1331" s="19">
        <v>27</v>
      </c>
      <c r="AR1331" s="19"/>
      <c r="AS1331" s="19"/>
      <c r="AT1331" s="65" t="str">
        <f t="shared" si="376"/>
        <v>Y</v>
      </c>
      <c r="AU1331" s="65" t="str">
        <f t="shared" si="411"/>
        <v>Y</v>
      </c>
      <c r="AV1331" s="65" t="str">
        <f t="shared" si="410"/>
        <v>Y</v>
      </c>
      <c r="AW1331" s="99"/>
      <c r="AX1331" s="99"/>
      <c r="AY1331" s="19"/>
      <c r="AZ1331" s="96" t="str">
        <f t="shared" si="412"/>
        <v>EC50</v>
      </c>
      <c r="BA1331" s="96">
        <f>IF(AZ1331="n","n",VLOOKUP(AZ1331,'Conversion factors'!$C$4:$D$24,2,FALSE))</f>
        <v>5</v>
      </c>
      <c r="BB1331" s="96">
        <f t="shared" si="413"/>
        <v>2.2999999999999998</v>
      </c>
      <c r="BC1331" s="97"/>
      <c r="BD1331" s="96" t="str">
        <f t="shared" si="377"/>
        <v>Chronic</v>
      </c>
      <c r="BE1331" s="96" t="str">
        <f t="shared" si="414"/>
        <v>y</v>
      </c>
      <c r="BF1331" s="98" t="str">
        <f t="shared" si="409"/>
        <v>EC50</v>
      </c>
      <c r="BG1331" s="96" t="str">
        <f>IF(BF1331="","",IF(ISNUMBER(VLOOKUP(BF1331,'Conversion factors'!$B$35:$C$52,2,FALSE)),"y","n"))</f>
        <v>n</v>
      </c>
      <c r="BH1331" s="99"/>
      <c r="BI1331" s="103"/>
      <c r="BJ1331" s="103"/>
    </row>
    <row r="1332" spans="1:62" ht="15.95" customHeight="1" x14ac:dyDescent="0.2">
      <c r="A1332" s="18"/>
      <c r="B1332" s="19"/>
      <c r="C1332" s="19"/>
      <c r="D1332" s="19"/>
      <c r="E1332" s="19"/>
      <c r="F1332" s="93">
        <v>2022</v>
      </c>
      <c r="G1332" s="19" t="s">
        <v>1654</v>
      </c>
      <c r="H1332" s="19" t="s">
        <v>1658</v>
      </c>
      <c r="I1332" s="19" t="s">
        <v>1659</v>
      </c>
      <c r="J1332" s="19" t="s">
        <v>567</v>
      </c>
      <c r="K1332" s="19" t="s">
        <v>42</v>
      </c>
      <c r="L1332" s="19" t="s">
        <v>43</v>
      </c>
      <c r="M1332" s="19" t="s">
        <v>1303</v>
      </c>
      <c r="N1332" s="19" t="s">
        <v>109</v>
      </c>
      <c r="O1332" s="19" t="s">
        <v>1649</v>
      </c>
      <c r="P1332" s="19" t="s">
        <v>1650</v>
      </c>
      <c r="Q1332" s="19"/>
      <c r="R1332" s="19" t="s">
        <v>81</v>
      </c>
      <c r="S1332" s="19" t="s">
        <v>1651</v>
      </c>
      <c r="T1332" s="19" t="s">
        <v>44</v>
      </c>
      <c r="U1332" s="19" t="s">
        <v>44</v>
      </c>
      <c r="V1332" s="19">
        <v>3</v>
      </c>
      <c r="W1332" s="19" t="s">
        <v>45</v>
      </c>
      <c r="X1332" s="19" t="s">
        <v>46</v>
      </c>
      <c r="Y1332" s="29"/>
      <c r="Z1332" s="19"/>
      <c r="AA1332" s="19"/>
      <c r="AB1332" s="19">
        <v>14.5</v>
      </c>
      <c r="AC1332" s="19" t="s">
        <v>214</v>
      </c>
      <c r="AD1332" s="19"/>
      <c r="AE1332" s="19">
        <v>90</v>
      </c>
      <c r="AF1332" s="19"/>
      <c r="AG1332" s="19"/>
      <c r="AH1332" s="19"/>
      <c r="AI1332" s="19"/>
      <c r="AJ1332" s="19">
        <v>7.6</v>
      </c>
      <c r="AK1332" s="19"/>
      <c r="AL1332" s="19"/>
      <c r="AM1332" s="19"/>
      <c r="AN1332" s="19"/>
      <c r="AO1332" s="19"/>
      <c r="AP1332" s="94">
        <v>10.1</v>
      </c>
      <c r="AQ1332" s="19">
        <v>27</v>
      </c>
      <c r="AR1332" s="19"/>
      <c r="AS1332" s="19"/>
      <c r="AT1332" s="65" t="str">
        <f t="shared" si="376"/>
        <v>Y</v>
      </c>
      <c r="AU1332" s="65" t="str">
        <f t="shared" si="411"/>
        <v>Y</v>
      </c>
      <c r="AV1332" s="65" t="str">
        <f t="shared" si="410"/>
        <v>Y</v>
      </c>
      <c r="AW1332" s="99"/>
      <c r="AX1332" s="99"/>
      <c r="AY1332" s="19"/>
      <c r="AZ1332" s="96" t="str">
        <f t="shared" si="412"/>
        <v>EC50</v>
      </c>
      <c r="BA1332" s="96">
        <f>IF(AZ1332="n","n",VLOOKUP(AZ1332,'Conversion factors'!$C$4:$D$24,2,FALSE))</f>
        <v>5</v>
      </c>
      <c r="BB1332" s="96">
        <f t="shared" si="413"/>
        <v>2.9</v>
      </c>
      <c r="BC1332" s="97"/>
      <c r="BD1332" s="96" t="str">
        <f t="shared" si="377"/>
        <v>Chronic</v>
      </c>
      <c r="BE1332" s="96" t="str">
        <f t="shared" si="414"/>
        <v>y</v>
      </c>
      <c r="BF1332" s="98" t="str">
        <f t="shared" si="409"/>
        <v>EC50</v>
      </c>
      <c r="BG1332" s="96" t="str">
        <f>IF(BF1332="","",IF(ISNUMBER(VLOOKUP(BF1332,'Conversion factors'!$B$35:$C$52,2,FALSE)),"y","n"))</f>
        <v>n</v>
      </c>
      <c r="BH1332" s="99"/>
      <c r="BI1332" s="103"/>
      <c r="BJ1332" s="103"/>
    </row>
    <row r="1333" spans="1:62" ht="15.95" customHeight="1" x14ac:dyDescent="0.2">
      <c r="A1333" s="18"/>
      <c r="B1333" s="19"/>
      <c r="C1333" s="19"/>
      <c r="D1333" s="19"/>
      <c r="E1333" s="19"/>
      <c r="F1333" s="93">
        <v>2022</v>
      </c>
      <c r="G1333" s="19" t="s">
        <v>1654</v>
      </c>
      <c r="H1333" s="19" t="s">
        <v>1658</v>
      </c>
      <c r="I1333" s="19" t="s">
        <v>1659</v>
      </c>
      <c r="J1333" s="19" t="s">
        <v>567</v>
      </c>
      <c r="K1333" s="19" t="s">
        <v>42</v>
      </c>
      <c r="L1333" s="19" t="s">
        <v>43</v>
      </c>
      <c r="M1333" s="19" t="s">
        <v>1303</v>
      </c>
      <c r="N1333" s="19" t="s">
        <v>109</v>
      </c>
      <c r="O1333" s="19" t="s">
        <v>1649</v>
      </c>
      <c r="P1333" s="19" t="s">
        <v>1650</v>
      </c>
      <c r="Q1333" s="19"/>
      <c r="R1333" s="19" t="s">
        <v>81</v>
      </c>
      <c r="S1333" s="19" t="s">
        <v>1651</v>
      </c>
      <c r="T1333" s="19" t="s">
        <v>44</v>
      </c>
      <c r="U1333" s="19" t="s">
        <v>44</v>
      </c>
      <c r="V1333" s="19">
        <v>3</v>
      </c>
      <c r="W1333" s="19" t="s">
        <v>45</v>
      </c>
      <c r="X1333" s="19" t="s">
        <v>46</v>
      </c>
      <c r="Y1333" s="29"/>
      <c r="Z1333" s="19"/>
      <c r="AA1333" s="19"/>
      <c r="AB1333" s="19">
        <v>18.7</v>
      </c>
      <c r="AC1333" s="19" t="s">
        <v>214</v>
      </c>
      <c r="AD1333" s="19"/>
      <c r="AE1333" s="19">
        <v>90</v>
      </c>
      <c r="AF1333" s="19"/>
      <c r="AG1333" s="19"/>
      <c r="AH1333" s="19"/>
      <c r="AI1333" s="19"/>
      <c r="AJ1333" s="19">
        <v>7.6</v>
      </c>
      <c r="AK1333" s="19"/>
      <c r="AL1333" s="19"/>
      <c r="AM1333" s="19"/>
      <c r="AN1333" s="19"/>
      <c r="AO1333" s="19"/>
      <c r="AP1333" s="94">
        <v>15.1</v>
      </c>
      <c r="AQ1333" s="19">
        <v>27</v>
      </c>
      <c r="AR1333" s="19"/>
      <c r="AS1333" s="19"/>
      <c r="AT1333" s="65" t="str">
        <f t="shared" si="376"/>
        <v>Y</v>
      </c>
      <c r="AU1333" s="65" t="str">
        <f t="shared" si="411"/>
        <v>Y</v>
      </c>
      <c r="AV1333" s="65" t="str">
        <f t="shared" si="410"/>
        <v>Y</v>
      </c>
      <c r="AW1333" s="99"/>
      <c r="AX1333" s="99"/>
      <c r="AY1333" s="19"/>
      <c r="AZ1333" s="96" t="str">
        <f t="shared" si="412"/>
        <v>EC50</v>
      </c>
      <c r="BA1333" s="96">
        <f>IF(AZ1333="n","n",VLOOKUP(AZ1333,'Conversion factors'!$C$4:$D$24,2,FALSE))</f>
        <v>5</v>
      </c>
      <c r="BB1333" s="96">
        <f t="shared" si="413"/>
        <v>3.7399999999999998</v>
      </c>
      <c r="BC1333" s="97"/>
      <c r="BD1333" s="96" t="str">
        <f t="shared" si="377"/>
        <v>Chronic</v>
      </c>
      <c r="BE1333" s="96" t="str">
        <f t="shared" si="414"/>
        <v>y</v>
      </c>
      <c r="BF1333" s="98" t="str">
        <f t="shared" si="409"/>
        <v>EC50</v>
      </c>
      <c r="BG1333" s="96" t="str">
        <f>IF(BF1333="","",IF(ISNUMBER(VLOOKUP(BF1333,'Conversion factors'!$B$35:$C$52,2,FALSE)),"y","n"))</f>
        <v>n</v>
      </c>
      <c r="BH1333" s="99"/>
      <c r="BI1333" s="103"/>
      <c r="BJ1333" s="103"/>
    </row>
    <row r="1334" spans="1:62" ht="15.95" customHeight="1" x14ac:dyDescent="0.2">
      <c r="A1334" s="18"/>
      <c r="B1334" s="19"/>
      <c r="C1334" s="19"/>
      <c r="D1334" s="19"/>
      <c r="E1334" s="19"/>
      <c r="F1334" s="93">
        <v>2022</v>
      </c>
      <c r="G1334" s="19" t="s">
        <v>1654</v>
      </c>
      <c r="H1334" s="19" t="s">
        <v>1658</v>
      </c>
      <c r="I1334" s="19" t="s">
        <v>1659</v>
      </c>
      <c r="J1334" s="19" t="s">
        <v>567</v>
      </c>
      <c r="K1334" s="19" t="s">
        <v>42</v>
      </c>
      <c r="L1334" s="19" t="s">
        <v>43</v>
      </c>
      <c r="M1334" s="19" t="s">
        <v>1303</v>
      </c>
      <c r="N1334" s="19" t="s">
        <v>109</v>
      </c>
      <c r="O1334" s="19" t="s">
        <v>1649</v>
      </c>
      <c r="P1334" s="19" t="s">
        <v>1650</v>
      </c>
      <c r="Q1334" s="19"/>
      <c r="R1334" s="19" t="s">
        <v>81</v>
      </c>
      <c r="S1334" s="19" t="s">
        <v>1651</v>
      </c>
      <c r="T1334" s="19" t="s">
        <v>44</v>
      </c>
      <c r="U1334" s="19" t="s">
        <v>44</v>
      </c>
      <c r="V1334" s="19">
        <v>3</v>
      </c>
      <c r="W1334" s="19" t="s">
        <v>45</v>
      </c>
      <c r="X1334" s="19" t="s">
        <v>46</v>
      </c>
      <c r="Y1334" s="29"/>
      <c r="Z1334" s="19"/>
      <c r="AA1334" s="19"/>
      <c r="AB1334" s="19">
        <v>3.26</v>
      </c>
      <c r="AC1334" s="19" t="s">
        <v>214</v>
      </c>
      <c r="AD1334" s="19"/>
      <c r="AE1334" s="19">
        <v>90</v>
      </c>
      <c r="AF1334" s="19"/>
      <c r="AG1334" s="19"/>
      <c r="AH1334" s="19"/>
      <c r="AI1334" s="19"/>
      <c r="AJ1334" s="19">
        <v>6.7</v>
      </c>
      <c r="AK1334" s="19"/>
      <c r="AL1334" s="19"/>
      <c r="AM1334" s="19"/>
      <c r="AN1334" s="19"/>
      <c r="AO1334" s="19"/>
      <c r="AP1334" s="94">
        <v>5.5</v>
      </c>
      <c r="AQ1334" s="19">
        <v>27</v>
      </c>
      <c r="AR1334" s="19"/>
      <c r="AS1334" s="19"/>
      <c r="AT1334" s="65" t="str">
        <f t="shared" si="376"/>
        <v>Y</v>
      </c>
      <c r="AU1334" s="65" t="str">
        <f t="shared" si="411"/>
        <v>Y</v>
      </c>
      <c r="AV1334" s="65" t="str">
        <f t="shared" ref="AV1334:AV1343" si="415">AU1334</f>
        <v>Y</v>
      </c>
      <c r="AW1334" s="99"/>
      <c r="AX1334" s="99"/>
      <c r="AY1334" s="19"/>
      <c r="AZ1334" s="96" t="str">
        <f t="shared" si="412"/>
        <v>EC50</v>
      </c>
      <c r="BA1334" s="96">
        <f>IF(AZ1334="n","n",VLOOKUP(AZ1334,'Conversion factors'!$C$4:$D$24,2,FALSE))</f>
        <v>5</v>
      </c>
      <c r="BB1334" s="96">
        <f t="shared" si="413"/>
        <v>0.65199999999999991</v>
      </c>
      <c r="BC1334" s="97"/>
      <c r="BD1334" s="96" t="str">
        <f t="shared" si="377"/>
        <v>Chronic</v>
      </c>
      <c r="BE1334" s="96" t="str">
        <f t="shared" si="414"/>
        <v>y</v>
      </c>
      <c r="BF1334" s="98" t="str">
        <f t="shared" si="409"/>
        <v>EC50</v>
      </c>
      <c r="BG1334" s="96" t="str">
        <f>IF(BF1334="","",IF(ISNUMBER(VLOOKUP(BF1334,'Conversion factors'!$B$35:$C$52,2,FALSE)),"y","n"))</f>
        <v>n</v>
      </c>
      <c r="BH1334" s="99"/>
      <c r="BI1334" s="103"/>
      <c r="BJ1334" s="103"/>
    </row>
    <row r="1335" spans="1:62" ht="15.95" customHeight="1" x14ac:dyDescent="0.2">
      <c r="A1335" s="18"/>
      <c r="B1335" s="19"/>
      <c r="C1335" s="19"/>
      <c r="D1335" s="19"/>
      <c r="E1335" s="19"/>
      <c r="F1335" s="93">
        <v>2022</v>
      </c>
      <c r="G1335" s="19" t="s">
        <v>1654</v>
      </c>
      <c r="H1335" s="19" t="s">
        <v>1658</v>
      </c>
      <c r="I1335" s="19" t="s">
        <v>1659</v>
      </c>
      <c r="J1335" s="19" t="s">
        <v>567</v>
      </c>
      <c r="K1335" s="19" t="s">
        <v>42</v>
      </c>
      <c r="L1335" s="19" t="s">
        <v>43</v>
      </c>
      <c r="M1335" s="19" t="s">
        <v>1303</v>
      </c>
      <c r="N1335" s="19" t="s">
        <v>109</v>
      </c>
      <c r="O1335" s="19" t="s">
        <v>1649</v>
      </c>
      <c r="P1335" s="19" t="s">
        <v>1650</v>
      </c>
      <c r="Q1335" s="19"/>
      <c r="R1335" s="19" t="s">
        <v>81</v>
      </c>
      <c r="S1335" s="19" t="s">
        <v>1651</v>
      </c>
      <c r="T1335" s="19" t="s">
        <v>44</v>
      </c>
      <c r="U1335" s="19" t="s">
        <v>44</v>
      </c>
      <c r="V1335" s="19">
        <v>3</v>
      </c>
      <c r="W1335" s="19" t="s">
        <v>45</v>
      </c>
      <c r="X1335" s="19" t="s">
        <v>46</v>
      </c>
      <c r="Y1335" s="29"/>
      <c r="Z1335" s="19"/>
      <c r="AA1335" s="19"/>
      <c r="AB1335" s="19">
        <v>3.87</v>
      </c>
      <c r="AC1335" s="19" t="s">
        <v>214</v>
      </c>
      <c r="AD1335" s="19"/>
      <c r="AE1335" s="19">
        <v>90</v>
      </c>
      <c r="AF1335" s="19"/>
      <c r="AG1335" s="19"/>
      <c r="AH1335" s="19"/>
      <c r="AI1335" s="19"/>
      <c r="AJ1335" s="19">
        <v>8.3000000000000007</v>
      </c>
      <c r="AK1335" s="19"/>
      <c r="AL1335" s="19"/>
      <c r="AM1335" s="19"/>
      <c r="AN1335" s="19"/>
      <c r="AO1335" s="19"/>
      <c r="AP1335" s="94">
        <v>5.5</v>
      </c>
      <c r="AQ1335" s="19">
        <v>27</v>
      </c>
      <c r="AR1335" s="19"/>
      <c r="AS1335" s="19"/>
      <c r="AT1335" s="65" t="str">
        <f t="shared" si="376"/>
        <v>Y</v>
      </c>
      <c r="AU1335" s="65" t="str">
        <f t="shared" si="411"/>
        <v>Y</v>
      </c>
      <c r="AV1335" s="65" t="str">
        <f t="shared" si="415"/>
        <v>Y</v>
      </c>
      <c r="AW1335" s="99"/>
      <c r="AX1335" s="99"/>
      <c r="AY1335" s="19"/>
      <c r="AZ1335" s="96" t="str">
        <f t="shared" si="412"/>
        <v>EC50</v>
      </c>
      <c r="BA1335" s="96">
        <f>IF(AZ1335="n","n",VLOOKUP(AZ1335,'Conversion factors'!$C$4:$D$24,2,FALSE))</f>
        <v>5</v>
      </c>
      <c r="BB1335" s="96">
        <f t="shared" si="413"/>
        <v>0.77400000000000002</v>
      </c>
      <c r="BC1335" s="97"/>
      <c r="BD1335" s="96" t="str">
        <f t="shared" si="377"/>
        <v>Chronic</v>
      </c>
      <c r="BE1335" s="96" t="str">
        <f t="shared" si="414"/>
        <v>y</v>
      </c>
      <c r="BF1335" s="98" t="str">
        <f t="shared" si="409"/>
        <v>EC50</v>
      </c>
      <c r="BG1335" s="96" t="str">
        <f>IF(BF1335="","",IF(ISNUMBER(VLOOKUP(BF1335,'Conversion factors'!$B$35:$C$52,2,FALSE)),"y","n"))</f>
        <v>n</v>
      </c>
      <c r="BH1335" s="99"/>
      <c r="BI1335" s="103"/>
      <c r="BJ1335" s="103"/>
    </row>
    <row r="1336" spans="1:62" ht="15.95" customHeight="1" x14ac:dyDescent="0.2">
      <c r="A1336" s="18"/>
      <c r="B1336" s="19"/>
      <c r="C1336" s="19"/>
      <c r="D1336" s="19"/>
      <c r="E1336" s="19"/>
      <c r="F1336" s="93">
        <v>2022</v>
      </c>
      <c r="G1336" s="19" t="s">
        <v>1654</v>
      </c>
      <c r="H1336" s="19" t="s">
        <v>1658</v>
      </c>
      <c r="I1336" s="19" t="s">
        <v>1660</v>
      </c>
      <c r="J1336" s="19" t="s">
        <v>567</v>
      </c>
      <c r="K1336" s="19" t="s">
        <v>42</v>
      </c>
      <c r="L1336" s="19" t="s">
        <v>43</v>
      </c>
      <c r="M1336" s="19" t="s">
        <v>1303</v>
      </c>
      <c r="N1336" s="19" t="s">
        <v>109</v>
      </c>
      <c r="O1336" s="19" t="s">
        <v>1649</v>
      </c>
      <c r="P1336" s="19" t="s">
        <v>1650</v>
      </c>
      <c r="Q1336" s="19"/>
      <c r="R1336" s="19" t="s">
        <v>81</v>
      </c>
      <c r="S1336" s="19" t="s">
        <v>1651</v>
      </c>
      <c r="T1336" s="19" t="s">
        <v>44</v>
      </c>
      <c r="U1336" s="19" t="s">
        <v>44</v>
      </c>
      <c r="V1336" s="19">
        <v>3</v>
      </c>
      <c r="W1336" s="19" t="s">
        <v>45</v>
      </c>
      <c r="X1336" s="19" t="s">
        <v>46</v>
      </c>
      <c r="Y1336" s="29"/>
      <c r="Z1336" s="19"/>
      <c r="AA1336" s="19"/>
      <c r="AB1336" s="19">
        <v>4.74</v>
      </c>
      <c r="AC1336" s="19" t="s">
        <v>214</v>
      </c>
      <c r="AD1336" s="19"/>
      <c r="AE1336" s="19">
        <v>90</v>
      </c>
      <c r="AF1336" s="19"/>
      <c r="AG1336" s="19"/>
      <c r="AH1336" s="19"/>
      <c r="AI1336" s="19"/>
      <c r="AJ1336" s="19">
        <v>7.6</v>
      </c>
      <c r="AK1336" s="19"/>
      <c r="AL1336" s="19"/>
      <c r="AM1336" s="19"/>
      <c r="AN1336" s="19"/>
      <c r="AO1336" s="19"/>
      <c r="AP1336" s="94">
        <v>2</v>
      </c>
      <c r="AQ1336" s="19">
        <v>27</v>
      </c>
      <c r="AR1336" s="19"/>
      <c r="AS1336" s="19"/>
      <c r="AT1336" s="65" t="str">
        <f t="shared" si="376"/>
        <v>Y</v>
      </c>
      <c r="AU1336" s="65" t="str">
        <f t="shared" si="411"/>
        <v>Y</v>
      </c>
      <c r="AV1336" s="65" t="str">
        <f t="shared" si="415"/>
        <v>Y</v>
      </c>
      <c r="AW1336" s="99"/>
      <c r="AX1336" s="99"/>
      <c r="AY1336" s="19"/>
      <c r="AZ1336" s="96" t="str">
        <f t="shared" si="412"/>
        <v>EC50</v>
      </c>
      <c r="BA1336" s="96">
        <f>IF(AZ1336="n","n",VLOOKUP(AZ1336,'Conversion factors'!$C$4:$D$24,2,FALSE))</f>
        <v>5</v>
      </c>
      <c r="BB1336" s="96">
        <f t="shared" si="413"/>
        <v>0.94800000000000006</v>
      </c>
      <c r="BC1336" s="97"/>
      <c r="BD1336" s="96" t="str">
        <f t="shared" si="377"/>
        <v>Chronic</v>
      </c>
      <c r="BE1336" s="96" t="str">
        <f t="shared" si="414"/>
        <v>y</v>
      </c>
      <c r="BF1336" s="98" t="str">
        <f t="shared" si="409"/>
        <v>EC50</v>
      </c>
      <c r="BG1336" s="96" t="str">
        <f>IF(BF1336="","",IF(ISNUMBER(VLOOKUP(BF1336,'Conversion factors'!$B$35:$C$52,2,FALSE)),"y","n"))</f>
        <v>n</v>
      </c>
      <c r="BH1336" s="99"/>
      <c r="BI1336" s="103"/>
      <c r="BJ1336" s="103"/>
    </row>
    <row r="1337" spans="1:62" ht="15.95" customHeight="1" x14ac:dyDescent="0.2">
      <c r="A1337" s="18"/>
      <c r="B1337" s="19"/>
      <c r="C1337" s="19"/>
      <c r="D1337" s="19"/>
      <c r="E1337" s="19"/>
      <c r="F1337" s="93">
        <v>2022</v>
      </c>
      <c r="G1337" s="19" t="s">
        <v>1654</v>
      </c>
      <c r="H1337" s="19" t="s">
        <v>1658</v>
      </c>
      <c r="I1337" s="19" t="s">
        <v>1660</v>
      </c>
      <c r="J1337" s="19" t="s">
        <v>567</v>
      </c>
      <c r="K1337" s="19" t="s">
        <v>42</v>
      </c>
      <c r="L1337" s="19" t="s">
        <v>43</v>
      </c>
      <c r="M1337" s="19" t="s">
        <v>1303</v>
      </c>
      <c r="N1337" s="19" t="s">
        <v>109</v>
      </c>
      <c r="O1337" s="19" t="s">
        <v>1649</v>
      </c>
      <c r="P1337" s="19" t="s">
        <v>1650</v>
      </c>
      <c r="Q1337" s="19"/>
      <c r="R1337" s="19" t="s">
        <v>81</v>
      </c>
      <c r="S1337" s="19" t="s">
        <v>1651</v>
      </c>
      <c r="T1337" s="19" t="s">
        <v>44</v>
      </c>
      <c r="U1337" s="19" t="s">
        <v>44</v>
      </c>
      <c r="V1337" s="19">
        <v>3</v>
      </c>
      <c r="W1337" s="19" t="s">
        <v>45</v>
      </c>
      <c r="X1337" s="19" t="s">
        <v>46</v>
      </c>
      <c r="Y1337" s="29"/>
      <c r="Z1337" s="19"/>
      <c r="AA1337" s="19"/>
      <c r="AB1337" s="19">
        <v>5.62</v>
      </c>
      <c r="AC1337" s="19" t="s">
        <v>214</v>
      </c>
      <c r="AD1337" s="19"/>
      <c r="AE1337" s="19">
        <v>90</v>
      </c>
      <c r="AF1337" s="19"/>
      <c r="AG1337" s="19"/>
      <c r="AH1337" s="19"/>
      <c r="AI1337" s="19"/>
      <c r="AJ1337" s="19">
        <v>7.6</v>
      </c>
      <c r="AK1337" s="19"/>
      <c r="AL1337" s="19"/>
      <c r="AM1337" s="19"/>
      <c r="AN1337" s="19"/>
      <c r="AO1337" s="19"/>
      <c r="AP1337" s="94">
        <v>4.5999999999999996</v>
      </c>
      <c r="AQ1337" s="19">
        <v>27</v>
      </c>
      <c r="AR1337" s="19"/>
      <c r="AS1337" s="19"/>
      <c r="AT1337" s="65" t="str">
        <f t="shared" si="376"/>
        <v>Y</v>
      </c>
      <c r="AU1337" s="65" t="str">
        <f t="shared" si="411"/>
        <v>Y</v>
      </c>
      <c r="AV1337" s="65" t="str">
        <f t="shared" si="415"/>
        <v>Y</v>
      </c>
      <c r="AW1337" s="99"/>
      <c r="AX1337" s="99"/>
      <c r="AY1337" s="19"/>
      <c r="AZ1337" s="96" t="str">
        <f t="shared" si="412"/>
        <v>EC50</v>
      </c>
      <c r="BA1337" s="96">
        <f>IF(AZ1337="n","n",VLOOKUP(AZ1337,'Conversion factors'!$C$4:$D$24,2,FALSE))</f>
        <v>5</v>
      </c>
      <c r="BB1337" s="96">
        <f t="shared" si="413"/>
        <v>1.1240000000000001</v>
      </c>
      <c r="BC1337" s="97"/>
      <c r="BD1337" s="96" t="str">
        <f t="shared" si="377"/>
        <v>Chronic</v>
      </c>
      <c r="BE1337" s="96" t="str">
        <f t="shared" si="414"/>
        <v>y</v>
      </c>
      <c r="BF1337" s="98" t="str">
        <f t="shared" si="409"/>
        <v>EC50</v>
      </c>
      <c r="BG1337" s="96" t="str">
        <f>IF(BF1337="","",IF(ISNUMBER(VLOOKUP(BF1337,'Conversion factors'!$B$35:$C$52,2,FALSE)),"y","n"))</f>
        <v>n</v>
      </c>
      <c r="BH1337" s="99"/>
      <c r="BI1337" s="103"/>
      <c r="BJ1337" s="103"/>
    </row>
    <row r="1338" spans="1:62" ht="15.95" customHeight="1" x14ac:dyDescent="0.2">
      <c r="A1338" s="18"/>
      <c r="B1338" s="19"/>
      <c r="C1338" s="19"/>
      <c r="D1338" s="19"/>
      <c r="E1338" s="19"/>
      <c r="F1338" s="93">
        <v>2022</v>
      </c>
      <c r="G1338" s="19" t="s">
        <v>1654</v>
      </c>
      <c r="H1338" s="19" t="s">
        <v>1658</v>
      </c>
      <c r="I1338" s="19" t="s">
        <v>1660</v>
      </c>
      <c r="J1338" s="19" t="s">
        <v>567</v>
      </c>
      <c r="K1338" s="19" t="s">
        <v>42</v>
      </c>
      <c r="L1338" s="19" t="s">
        <v>43</v>
      </c>
      <c r="M1338" s="19" t="s">
        <v>1303</v>
      </c>
      <c r="N1338" s="19" t="s">
        <v>109</v>
      </c>
      <c r="O1338" s="19" t="s">
        <v>1649</v>
      </c>
      <c r="P1338" s="19" t="s">
        <v>1650</v>
      </c>
      <c r="Q1338" s="19"/>
      <c r="R1338" s="19" t="s">
        <v>81</v>
      </c>
      <c r="S1338" s="19" t="s">
        <v>1651</v>
      </c>
      <c r="T1338" s="19" t="s">
        <v>44</v>
      </c>
      <c r="U1338" s="19" t="s">
        <v>44</v>
      </c>
      <c r="V1338" s="19">
        <v>3</v>
      </c>
      <c r="W1338" s="19" t="s">
        <v>45</v>
      </c>
      <c r="X1338" s="19" t="s">
        <v>46</v>
      </c>
      <c r="Y1338" s="29"/>
      <c r="Z1338" s="19"/>
      <c r="AA1338" s="19"/>
      <c r="AB1338" s="19">
        <v>6.1</v>
      </c>
      <c r="AC1338" s="19" t="s">
        <v>214</v>
      </c>
      <c r="AD1338" s="19"/>
      <c r="AE1338" s="19">
        <v>90</v>
      </c>
      <c r="AF1338" s="19"/>
      <c r="AG1338" s="19"/>
      <c r="AH1338" s="19"/>
      <c r="AI1338" s="19"/>
      <c r="AJ1338" s="19">
        <v>7.6</v>
      </c>
      <c r="AK1338" s="19"/>
      <c r="AL1338" s="19"/>
      <c r="AM1338" s="19"/>
      <c r="AN1338" s="19"/>
      <c r="AO1338" s="19"/>
      <c r="AP1338" s="94">
        <v>8.8000000000000007</v>
      </c>
      <c r="AQ1338" s="19">
        <v>27</v>
      </c>
      <c r="AR1338" s="19"/>
      <c r="AS1338" s="19"/>
      <c r="AT1338" s="65" t="str">
        <f t="shared" si="376"/>
        <v>Y</v>
      </c>
      <c r="AU1338" s="65" t="str">
        <f t="shared" si="411"/>
        <v>Y</v>
      </c>
      <c r="AV1338" s="65" t="str">
        <f t="shared" si="415"/>
        <v>Y</v>
      </c>
      <c r="AW1338" s="99"/>
      <c r="AX1338" s="99"/>
      <c r="AY1338" s="19"/>
      <c r="AZ1338" s="96" t="str">
        <f t="shared" si="412"/>
        <v>EC50</v>
      </c>
      <c r="BA1338" s="96">
        <f>IF(AZ1338="n","n",VLOOKUP(AZ1338,'Conversion factors'!$C$4:$D$24,2,FALSE))</f>
        <v>5</v>
      </c>
      <c r="BB1338" s="96">
        <f t="shared" si="413"/>
        <v>1.22</v>
      </c>
      <c r="BC1338" s="97"/>
      <c r="BD1338" s="96" t="str">
        <f t="shared" si="377"/>
        <v>Chronic</v>
      </c>
      <c r="BE1338" s="96" t="str">
        <f t="shared" si="414"/>
        <v>y</v>
      </c>
      <c r="BF1338" s="98" t="str">
        <f t="shared" si="409"/>
        <v>EC50</v>
      </c>
      <c r="BG1338" s="96" t="str">
        <f>IF(BF1338="","",IF(ISNUMBER(VLOOKUP(BF1338,'Conversion factors'!$B$35:$C$52,2,FALSE)),"y","n"))</f>
        <v>n</v>
      </c>
      <c r="BH1338" s="99"/>
      <c r="BI1338" s="103"/>
      <c r="BJ1338" s="103"/>
    </row>
    <row r="1339" spans="1:62" ht="15.95" customHeight="1" x14ac:dyDescent="0.2">
      <c r="A1339" s="18"/>
      <c r="B1339" s="19"/>
      <c r="C1339" s="19"/>
      <c r="D1339" s="19"/>
      <c r="E1339" s="19"/>
      <c r="F1339" s="93">
        <v>2022</v>
      </c>
      <c r="G1339" s="19" t="s">
        <v>1654</v>
      </c>
      <c r="H1339" s="19" t="s">
        <v>1658</v>
      </c>
      <c r="I1339" s="19" t="s">
        <v>1660</v>
      </c>
      <c r="J1339" s="19" t="s">
        <v>567</v>
      </c>
      <c r="K1339" s="19" t="s">
        <v>42</v>
      </c>
      <c r="L1339" s="19" t="s">
        <v>43</v>
      </c>
      <c r="M1339" s="19" t="s">
        <v>1303</v>
      </c>
      <c r="N1339" s="19" t="s">
        <v>109</v>
      </c>
      <c r="O1339" s="19" t="s">
        <v>1649</v>
      </c>
      <c r="P1339" s="19" t="s">
        <v>1650</v>
      </c>
      <c r="Q1339" s="19"/>
      <c r="R1339" s="19" t="s">
        <v>81</v>
      </c>
      <c r="S1339" s="19" t="s">
        <v>1651</v>
      </c>
      <c r="T1339" s="19" t="s">
        <v>44</v>
      </c>
      <c r="U1339" s="19" t="s">
        <v>44</v>
      </c>
      <c r="V1339" s="19">
        <v>3</v>
      </c>
      <c r="W1339" s="19" t="s">
        <v>45</v>
      </c>
      <c r="X1339" s="19" t="s">
        <v>46</v>
      </c>
      <c r="Y1339" s="29"/>
      <c r="Z1339" s="19"/>
      <c r="AA1339" s="19"/>
      <c r="AB1339" s="19">
        <v>7.75</v>
      </c>
      <c r="AC1339" s="19" t="s">
        <v>214</v>
      </c>
      <c r="AD1339" s="19"/>
      <c r="AE1339" s="19">
        <v>90</v>
      </c>
      <c r="AF1339" s="19"/>
      <c r="AG1339" s="19"/>
      <c r="AH1339" s="19"/>
      <c r="AI1339" s="19"/>
      <c r="AJ1339" s="19">
        <v>7.6</v>
      </c>
      <c r="AK1339" s="19"/>
      <c r="AL1339" s="19"/>
      <c r="AM1339" s="19"/>
      <c r="AN1339" s="19"/>
      <c r="AO1339" s="19"/>
      <c r="AP1339" s="94">
        <v>13</v>
      </c>
      <c r="AQ1339" s="19">
        <v>27</v>
      </c>
      <c r="AR1339" s="19"/>
      <c r="AS1339" s="19"/>
      <c r="AT1339" s="65" t="str">
        <f t="shared" si="376"/>
        <v>Y</v>
      </c>
      <c r="AU1339" s="65" t="str">
        <f t="shared" si="411"/>
        <v>Y</v>
      </c>
      <c r="AV1339" s="65" t="str">
        <f t="shared" si="415"/>
        <v>Y</v>
      </c>
      <c r="AW1339" s="99"/>
      <c r="AX1339" s="99"/>
      <c r="AY1339" s="19"/>
      <c r="AZ1339" s="96" t="str">
        <f t="shared" si="412"/>
        <v>EC50</v>
      </c>
      <c r="BA1339" s="96">
        <f>IF(AZ1339="n","n",VLOOKUP(AZ1339,'Conversion factors'!$C$4:$D$24,2,FALSE))</f>
        <v>5</v>
      </c>
      <c r="BB1339" s="96">
        <f t="shared" si="413"/>
        <v>1.55</v>
      </c>
      <c r="BC1339" s="97"/>
      <c r="BD1339" s="96" t="str">
        <f t="shared" si="377"/>
        <v>Chronic</v>
      </c>
      <c r="BE1339" s="96" t="str">
        <f t="shared" si="414"/>
        <v>y</v>
      </c>
      <c r="BF1339" s="98" t="str">
        <f t="shared" si="409"/>
        <v>EC50</v>
      </c>
      <c r="BG1339" s="96" t="str">
        <f>IF(BF1339="","",IF(ISNUMBER(VLOOKUP(BF1339,'Conversion factors'!$B$35:$C$52,2,FALSE)),"y","n"))</f>
        <v>n</v>
      </c>
      <c r="BH1339" s="99"/>
      <c r="BI1339" s="103"/>
      <c r="BJ1339" s="103"/>
    </row>
    <row r="1340" spans="1:62" ht="15.95" customHeight="1" x14ac:dyDescent="0.2">
      <c r="A1340" s="18"/>
      <c r="B1340" s="19"/>
      <c r="C1340" s="19"/>
      <c r="D1340" s="19"/>
      <c r="E1340" s="19"/>
      <c r="F1340" s="93">
        <v>2022</v>
      </c>
      <c r="G1340" s="19" t="s">
        <v>1654</v>
      </c>
      <c r="H1340" s="19" t="s">
        <v>1658</v>
      </c>
      <c r="I1340" s="19" t="s">
        <v>1660</v>
      </c>
      <c r="J1340" s="19" t="s">
        <v>567</v>
      </c>
      <c r="K1340" s="19" t="s">
        <v>42</v>
      </c>
      <c r="L1340" s="19" t="s">
        <v>43</v>
      </c>
      <c r="M1340" s="19" t="s">
        <v>1303</v>
      </c>
      <c r="N1340" s="19" t="s">
        <v>109</v>
      </c>
      <c r="O1340" s="19" t="s">
        <v>1649</v>
      </c>
      <c r="P1340" s="19" t="s">
        <v>1650</v>
      </c>
      <c r="Q1340" s="19"/>
      <c r="R1340" s="19" t="s">
        <v>81</v>
      </c>
      <c r="S1340" s="19" t="s">
        <v>1651</v>
      </c>
      <c r="T1340" s="19" t="s">
        <v>44</v>
      </c>
      <c r="U1340" s="19" t="s">
        <v>44</v>
      </c>
      <c r="V1340" s="19">
        <v>3</v>
      </c>
      <c r="W1340" s="19" t="s">
        <v>45</v>
      </c>
      <c r="X1340" s="19" t="s">
        <v>46</v>
      </c>
      <c r="Y1340" s="29"/>
      <c r="Z1340" s="19"/>
      <c r="AA1340" s="19"/>
      <c r="AB1340" s="19">
        <v>3.71</v>
      </c>
      <c r="AC1340" s="19" t="s">
        <v>214</v>
      </c>
      <c r="AD1340" s="19"/>
      <c r="AE1340" s="19">
        <v>90</v>
      </c>
      <c r="AF1340" s="19"/>
      <c r="AG1340" s="19"/>
      <c r="AH1340" s="19"/>
      <c r="AI1340" s="19"/>
      <c r="AJ1340" s="19">
        <v>6.7</v>
      </c>
      <c r="AK1340" s="19"/>
      <c r="AL1340" s="19"/>
      <c r="AM1340" s="19"/>
      <c r="AN1340" s="19"/>
      <c r="AO1340" s="19"/>
      <c r="AP1340" s="94">
        <v>4.9000000000000004</v>
      </c>
      <c r="AQ1340" s="19">
        <v>27</v>
      </c>
      <c r="AR1340" s="19"/>
      <c r="AS1340" s="19"/>
      <c r="AT1340" s="65" t="str">
        <f t="shared" si="376"/>
        <v>Y</v>
      </c>
      <c r="AU1340" s="65" t="str">
        <f t="shared" si="411"/>
        <v>Y</v>
      </c>
      <c r="AV1340" s="65" t="str">
        <f t="shared" si="415"/>
        <v>Y</v>
      </c>
      <c r="AW1340" s="99"/>
      <c r="AX1340" s="99"/>
      <c r="AY1340" s="19"/>
      <c r="AZ1340" s="96" t="str">
        <f t="shared" si="412"/>
        <v>EC50</v>
      </c>
      <c r="BA1340" s="96">
        <f>IF(AZ1340="n","n",VLOOKUP(AZ1340,'Conversion factors'!$C$4:$D$24,2,FALSE))</f>
        <v>5</v>
      </c>
      <c r="BB1340" s="96">
        <f t="shared" si="413"/>
        <v>0.74199999999999999</v>
      </c>
      <c r="BC1340" s="97"/>
      <c r="BD1340" s="96" t="str">
        <f t="shared" si="377"/>
        <v>Chronic</v>
      </c>
      <c r="BE1340" s="96" t="str">
        <f t="shared" si="414"/>
        <v>y</v>
      </c>
      <c r="BF1340" s="98" t="str">
        <f t="shared" si="409"/>
        <v>EC50</v>
      </c>
      <c r="BG1340" s="96" t="str">
        <f>IF(BF1340="","",IF(ISNUMBER(VLOOKUP(BF1340,'Conversion factors'!$B$35:$C$52,2,FALSE)),"y","n"))</f>
        <v>n</v>
      </c>
      <c r="BH1340" s="99"/>
      <c r="BI1340" s="103"/>
      <c r="BJ1340" s="103"/>
    </row>
    <row r="1341" spans="1:62" ht="15.95" customHeight="1" x14ac:dyDescent="0.2">
      <c r="A1341" s="18"/>
      <c r="B1341" s="19"/>
      <c r="C1341" s="19"/>
      <c r="D1341" s="19"/>
      <c r="E1341" s="19"/>
      <c r="F1341" s="93">
        <v>2022</v>
      </c>
      <c r="G1341" s="19" t="s">
        <v>1654</v>
      </c>
      <c r="H1341" s="19" t="s">
        <v>1658</v>
      </c>
      <c r="I1341" s="19" t="s">
        <v>1660</v>
      </c>
      <c r="J1341" s="19" t="s">
        <v>567</v>
      </c>
      <c r="K1341" s="19" t="s">
        <v>42</v>
      </c>
      <c r="L1341" s="19" t="s">
        <v>43</v>
      </c>
      <c r="M1341" s="19" t="s">
        <v>1303</v>
      </c>
      <c r="N1341" s="19" t="s">
        <v>109</v>
      </c>
      <c r="O1341" s="19" t="s">
        <v>1649</v>
      </c>
      <c r="P1341" s="19" t="s">
        <v>1650</v>
      </c>
      <c r="Q1341" s="19"/>
      <c r="R1341" s="19" t="s">
        <v>81</v>
      </c>
      <c r="S1341" s="19" t="s">
        <v>1651</v>
      </c>
      <c r="T1341" s="19" t="s">
        <v>44</v>
      </c>
      <c r="U1341" s="19" t="s">
        <v>44</v>
      </c>
      <c r="V1341" s="19">
        <v>3</v>
      </c>
      <c r="W1341" s="19" t="s">
        <v>45</v>
      </c>
      <c r="X1341" s="19" t="s">
        <v>46</v>
      </c>
      <c r="Y1341" s="29"/>
      <c r="Z1341" s="19"/>
      <c r="AA1341" s="19"/>
      <c r="AB1341" s="19">
        <v>4.53</v>
      </c>
      <c r="AC1341" s="19" t="s">
        <v>214</v>
      </c>
      <c r="AD1341" s="19"/>
      <c r="AE1341" s="19">
        <v>90</v>
      </c>
      <c r="AF1341" s="19"/>
      <c r="AG1341" s="19"/>
      <c r="AH1341" s="19"/>
      <c r="AI1341" s="19"/>
      <c r="AJ1341" s="19">
        <v>8.3000000000000007</v>
      </c>
      <c r="AK1341" s="19"/>
      <c r="AL1341" s="19"/>
      <c r="AM1341" s="19"/>
      <c r="AN1341" s="19"/>
      <c r="AO1341" s="19"/>
      <c r="AP1341" s="94">
        <v>4.9000000000000004</v>
      </c>
      <c r="AQ1341" s="19">
        <v>27</v>
      </c>
      <c r="AR1341" s="19"/>
      <c r="AS1341" s="19"/>
      <c r="AT1341" s="65" t="str">
        <f t="shared" si="376"/>
        <v>Y</v>
      </c>
      <c r="AU1341" s="65" t="str">
        <f t="shared" ref="AU1341:AU1343" si="416">IF(AT1341="N","N",IF(AJ1341&lt;6,"N",IF(AJ1341&gt;8.5,"N","Y")))</f>
        <v>Y</v>
      </c>
      <c r="AV1341" s="65" t="str">
        <f t="shared" si="415"/>
        <v>Y</v>
      </c>
      <c r="AW1341" s="99"/>
      <c r="AX1341" s="99"/>
      <c r="AY1341" s="19"/>
      <c r="AZ1341" s="96" t="str">
        <f t="shared" ref="AZ1341:AZ1343" si="417">IF(AV1341="N","n",T1341)</f>
        <v>EC50</v>
      </c>
      <c r="BA1341" s="96">
        <f>IF(AZ1341="n","n",VLOOKUP(AZ1341,'Conversion factors'!$C$4:$D$24,2,FALSE))</f>
        <v>5</v>
      </c>
      <c r="BB1341" s="96">
        <f t="shared" ref="BB1341:BB1343" si="418">IF(BA1341="n","n",AB1341/BA1341)</f>
        <v>0.90600000000000003</v>
      </c>
      <c r="BC1341" s="97"/>
      <c r="BD1341" s="96" t="str">
        <f t="shared" si="377"/>
        <v>Chronic</v>
      </c>
      <c r="BE1341" s="96" t="str">
        <f t="shared" ref="BE1341:BE1343" si="419">IF(BD1341="chronic","y","n")</f>
        <v>y</v>
      </c>
      <c r="BF1341" s="98" t="str">
        <f t="shared" si="409"/>
        <v>EC50</v>
      </c>
      <c r="BG1341" s="96" t="str">
        <f>IF(BF1341="","",IF(ISNUMBER(VLOOKUP(BF1341,'Conversion factors'!$B$35:$C$52,2,FALSE)),"y","n"))</f>
        <v>n</v>
      </c>
      <c r="BH1341" s="99"/>
      <c r="BI1341" s="103"/>
      <c r="BJ1341" s="103"/>
    </row>
    <row r="1342" spans="1:62" ht="15.95" customHeight="1" x14ac:dyDescent="0.2">
      <c r="A1342" s="18"/>
      <c r="B1342" s="19"/>
      <c r="C1342" s="19"/>
      <c r="D1342" s="19"/>
      <c r="E1342" s="19"/>
      <c r="F1342" s="93">
        <v>2022</v>
      </c>
      <c r="G1342" s="19" t="s">
        <v>1654</v>
      </c>
      <c r="H1342" s="19" t="s">
        <v>1658</v>
      </c>
      <c r="I1342" s="19" t="s">
        <v>1661</v>
      </c>
      <c r="J1342" s="19" t="s">
        <v>567</v>
      </c>
      <c r="K1342" s="19" t="s">
        <v>42</v>
      </c>
      <c r="L1342" s="19" t="s">
        <v>43</v>
      </c>
      <c r="M1342" s="19" t="s">
        <v>1303</v>
      </c>
      <c r="N1342" s="19" t="s">
        <v>109</v>
      </c>
      <c r="O1342" s="19" t="s">
        <v>1649</v>
      </c>
      <c r="P1342" s="19" t="s">
        <v>1650</v>
      </c>
      <c r="Q1342" s="19"/>
      <c r="R1342" s="19" t="s">
        <v>81</v>
      </c>
      <c r="S1342" s="19" t="s">
        <v>1651</v>
      </c>
      <c r="T1342" s="19" t="s">
        <v>49</v>
      </c>
      <c r="U1342" s="19" t="s">
        <v>49</v>
      </c>
      <c r="V1342" s="19">
        <v>3</v>
      </c>
      <c r="W1342" s="19" t="s">
        <v>45</v>
      </c>
      <c r="X1342" s="19" t="s">
        <v>46</v>
      </c>
      <c r="Y1342" s="29"/>
      <c r="Z1342" s="19"/>
      <c r="AA1342" s="19"/>
      <c r="AB1342" s="19">
        <v>145</v>
      </c>
      <c r="AC1342" s="19" t="s">
        <v>214</v>
      </c>
      <c r="AD1342" s="19"/>
      <c r="AE1342" s="19">
        <v>355</v>
      </c>
      <c r="AF1342" s="19"/>
      <c r="AG1342" s="19"/>
      <c r="AH1342" s="19"/>
      <c r="AI1342" s="19"/>
      <c r="AJ1342" s="19">
        <v>8.0500000000000007</v>
      </c>
      <c r="AK1342" s="19"/>
      <c r="AL1342" s="19"/>
      <c r="AM1342" s="19"/>
      <c r="AN1342" s="19"/>
      <c r="AO1342" s="19"/>
      <c r="AP1342" s="94">
        <v>4.2</v>
      </c>
      <c r="AQ1342" s="19">
        <v>27</v>
      </c>
      <c r="AR1342" s="19"/>
      <c r="AS1342" s="19"/>
      <c r="AT1342" s="65" t="str">
        <f t="shared" si="376"/>
        <v>Y</v>
      </c>
      <c r="AU1342" s="65" t="str">
        <f t="shared" si="416"/>
        <v>Y</v>
      </c>
      <c r="AV1342" s="65" t="str">
        <f t="shared" si="415"/>
        <v>Y</v>
      </c>
      <c r="AW1342" s="99"/>
      <c r="AX1342" s="99"/>
      <c r="AY1342" s="19"/>
      <c r="AZ1342" s="96" t="str">
        <f t="shared" si="417"/>
        <v>EC10</v>
      </c>
      <c r="BA1342" s="96">
        <f>IF(AZ1342="n","n",VLOOKUP(AZ1342,'Conversion factors'!$C$4:$D$24,2,FALSE))</f>
        <v>1</v>
      </c>
      <c r="BB1342" s="96">
        <f t="shared" si="418"/>
        <v>145</v>
      </c>
      <c r="BC1342" s="97"/>
      <c r="BD1342" s="96" t="str">
        <f t="shared" si="377"/>
        <v>Chronic</v>
      </c>
      <c r="BE1342" s="96" t="str">
        <f t="shared" si="419"/>
        <v>y</v>
      </c>
      <c r="BF1342" s="98" t="str">
        <f t="shared" si="409"/>
        <v>EC10</v>
      </c>
      <c r="BG1342" s="96" t="str">
        <f>IF(BF1342="","",IF(ISNUMBER(VLOOKUP(BF1342,'Conversion factors'!$B$35:$C$52,2,FALSE)),"y","n"))</f>
        <v>y</v>
      </c>
      <c r="BH1342" s="99"/>
      <c r="BI1342" s="103"/>
      <c r="BJ1342" s="103"/>
    </row>
    <row r="1343" spans="1:62" ht="15.95" customHeight="1" x14ac:dyDescent="0.2">
      <c r="A1343" s="18"/>
      <c r="B1343" s="19"/>
      <c r="C1343" s="19"/>
      <c r="D1343" s="19"/>
      <c r="E1343" s="19"/>
      <c r="F1343" s="93">
        <v>2022</v>
      </c>
      <c r="G1343" s="19" t="s">
        <v>1654</v>
      </c>
      <c r="H1343" s="19" t="s">
        <v>1658</v>
      </c>
      <c r="I1343" s="19" t="s">
        <v>1667</v>
      </c>
      <c r="J1343" s="19" t="s">
        <v>567</v>
      </c>
      <c r="K1343" s="19" t="s">
        <v>42</v>
      </c>
      <c r="L1343" s="19" t="s">
        <v>43</v>
      </c>
      <c r="M1343" s="19" t="s">
        <v>1303</v>
      </c>
      <c r="N1343" s="19" t="s">
        <v>109</v>
      </c>
      <c r="O1343" s="19" t="s">
        <v>1649</v>
      </c>
      <c r="P1343" s="19" t="s">
        <v>1650</v>
      </c>
      <c r="Q1343" s="19"/>
      <c r="R1343" s="19" t="s">
        <v>81</v>
      </c>
      <c r="S1343" s="19" t="s">
        <v>1651</v>
      </c>
      <c r="T1343" s="19" t="s">
        <v>49</v>
      </c>
      <c r="U1343" s="19" t="s">
        <v>49</v>
      </c>
      <c r="V1343" s="19">
        <v>3</v>
      </c>
      <c r="W1343" s="19" t="s">
        <v>45</v>
      </c>
      <c r="X1343" s="19" t="s">
        <v>46</v>
      </c>
      <c r="Y1343" s="29"/>
      <c r="Z1343" s="19"/>
      <c r="AA1343" s="19"/>
      <c r="AB1343" s="19">
        <v>42</v>
      </c>
      <c r="AC1343" s="19" t="s">
        <v>214</v>
      </c>
      <c r="AD1343" s="19"/>
      <c r="AE1343" s="19">
        <v>355</v>
      </c>
      <c r="AF1343" s="19"/>
      <c r="AG1343" s="19"/>
      <c r="AH1343" s="19"/>
      <c r="AI1343" s="19"/>
      <c r="AJ1343" s="19">
        <v>8.1999999999999993</v>
      </c>
      <c r="AK1343" s="19"/>
      <c r="AL1343" s="19"/>
      <c r="AM1343" s="19"/>
      <c r="AN1343" s="19"/>
      <c r="AO1343" s="19"/>
      <c r="AP1343" s="94">
        <v>4.2</v>
      </c>
      <c r="AQ1343" s="19">
        <v>27</v>
      </c>
      <c r="AR1343" s="19"/>
      <c r="AS1343" s="19"/>
      <c r="AT1343" s="65" t="str">
        <f t="shared" si="376"/>
        <v>Y</v>
      </c>
      <c r="AU1343" s="65" t="str">
        <f t="shared" si="416"/>
        <v>Y</v>
      </c>
      <c r="AV1343" s="65" t="str">
        <f t="shared" si="415"/>
        <v>Y</v>
      </c>
      <c r="AW1343" s="99"/>
      <c r="AX1343" s="99"/>
      <c r="AY1343" s="19"/>
      <c r="AZ1343" s="96" t="str">
        <f t="shared" si="417"/>
        <v>EC10</v>
      </c>
      <c r="BA1343" s="96">
        <f>IF(AZ1343="n","n",VLOOKUP(AZ1343,'Conversion factors'!$C$4:$D$24,2,FALSE))</f>
        <v>1</v>
      </c>
      <c r="BB1343" s="96">
        <f t="shared" si="418"/>
        <v>42</v>
      </c>
      <c r="BC1343" s="97"/>
      <c r="BD1343" s="96" t="str">
        <f t="shared" si="377"/>
        <v>Chronic</v>
      </c>
      <c r="BE1343" s="96" t="str">
        <f t="shared" si="419"/>
        <v>y</v>
      </c>
      <c r="BF1343" s="98" t="str">
        <f t="shared" si="409"/>
        <v>EC10</v>
      </c>
      <c r="BG1343" s="96" t="str">
        <f>IF(BF1343="","",IF(ISNUMBER(VLOOKUP(BF1343,'Conversion factors'!$B$35:$C$52,2,FALSE)),"y","n"))</f>
        <v>y</v>
      </c>
      <c r="BH1343" s="99"/>
      <c r="BI1343" s="103"/>
      <c r="BJ1343" s="103"/>
    </row>
    <row r="1344" spans="1:62" ht="15.95" customHeight="1" x14ac:dyDescent="0.2">
      <c r="A1344" s="18"/>
      <c r="B1344" s="19"/>
      <c r="C1344" s="19"/>
      <c r="D1344" s="19"/>
      <c r="E1344" s="19"/>
      <c r="F1344" s="93">
        <v>2022</v>
      </c>
      <c r="G1344" s="19" t="s">
        <v>1654</v>
      </c>
      <c r="H1344" s="19" t="s">
        <v>1658</v>
      </c>
      <c r="I1344" s="19" t="s">
        <v>1662</v>
      </c>
      <c r="J1344" s="19" t="s">
        <v>567</v>
      </c>
      <c r="K1344" s="19" t="s">
        <v>42</v>
      </c>
      <c r="L1344" s="19" t="s">
        <v>43</v>
      </c>
      <c r="M1344" s="19" t="s">
        <v>1303</v>
      </c>
      <c r="N1344" s="19" t="s">
        <v>109</v>
      </c>
      <c r="O1344" s="19" t="s">
        <v>1649</v>
      </c>
      <c r="P1344" s="19" t="s">
        <v>1650</v>
      </c>
      <c r="Q1344" s="19"/>
      <c r="R1344" s="19" t="s">
        <v>81</v>
      </c>
      <c r="S1344" s="19" t="s">
        <v>1651</v>
      </c>
      <c r="T1344" s="19" t="s">
        <v>49</v>
      </c>
      <c r="U1344" s="19" t="s">
        <v>49</v>
      </c>
      <c r="V1344" s="19">
        <v>3</v>
      </c>
      <c r="W1344" s="19" t="s">
        <v>45</v>
      </c>
      <c r="X1344" s="19" t="s">
        <v>46</v>
      </c>
      <c r="Y1344" s="29"/>
      <c r="Z1344" s="19"/>
      <c r="AA1344" s="19"/>
      <c r="AB1344" s="19">
        <v>35</v>
      </c>
      <c r="AC1344" s="19" t="s">
        <v>214</v>
      </c>
      <c r="AD1344" s="19"/>
      <c r="AE1344" s="19">
        <v>89</v>
      </c>
      <c r="AF1344" s="19"/>
      <c r="AG1344" s="19"/>
      <c r="AH1344" s="19"/>
      <c r="AI1344" s="19"/>
      <c r="AJ1344" s="19">
        <v>7.42</v>
      </c>
      <c r="AK1344" s="19"/>
      <c r="AL1344" s="19"/>
      <c r="AM1344" s="19"/>
      <c r="AN1344" s="19"/>
      <c r="AO1344" s="19"/>
      <c r="AP1344" s="94">
        <v>20</v>
      </c>
      <c r="AQ1344" s="19">
        <v>27</v>
      </c>
      <c r="AR1344" s="19"/>
      <c r="AS1344" s="19"/>
      <c r="AT1344" s="65" t="str">
        <f t="shared" si="376"/>
        <v>Y</v>
      </c>
      <c r="AU1344" s="65" t="str">
        <f t="shared" ref="AU1344:AU1346" si="420">IF(AT1344="N","N",IF(AJ1344&lt;6,"N",IF(AJ1344&gt;8.5,"N","Y")))</f>
        <v>Y</v>
      </c>
      <c r="AV1344" s="65" t="str">
        <f t="shared" ref="AV1344:AV1346" si="421">AU1344</f>
        <v>Y</v>
      </c>
      <c r="AW1344" s="99"/>
      <c r="AX1344" s="99"/>
      <c r="AY1344" s="19"/>
      <c r="AZ1344" s="96" t="str">
        <f t="shared" ref="AZ1344:AZ1346" si="422">IF(AV1344="N","n",T1344)</f>
        <v>EC10</v>
      </c>
      <c r="BA1344" s="96">
        <f>IF(AZ1344="n","n",VLOOKUP(AZ1344,'Conversion factors'!$C$4:$D$24,2,FALSE))</f>
        <v>1</v>
      </c>
      <c r="BB1344" s="96">
        <f t="shared" ref="BB1344:BB1346" si="423">IF(BA1344="n","n",AB1344/BA1344)</f>
        <v>35</v>
      </c>
      <c r="BC1344" s="97"/>
      <c r="BD1344" s="96" t="str">
        <f t="shared" si="377"/>
        <v>Chronic</v>
      </c>
      <c r="BE1344" s="96" t="str">
        <f t="shared" ref="BE1344:BE1346" si="424">IF(BD1344="chronic","y","n")</f>
        <v>y</v>
      </c>
      <c r="BF1344" s="98" t="str">
        <f t="shared" si="409"/>
        <v>EC10</v>
      </c>
      <c r="BG1344" s="96" t="str">
        <f>IF(BF1344="","",IF(ISNUMBER(VLOOKUP(BF1344,'Conversion factors'!$B$35:$C$52,2,FALSE)),"y","n"))</f>
        <v>y</v>
      </c>
      <c r="BH1344" s="99"/>
      <c r="BI1344" s="103"/>
      <c r="BJ1344" s="103"/>
    </row>
    <row r="1345" spans="1:62" ht="15.95" customHeight="1" x14ac:dyDescent="0.2">
      <c r="A1345" s="18"/>
      <c r="B1345" s="19"/>
      <c r="C1345" s="19"/>
      <c r="D1345" s="19"/>
      <c r="E1345" s="19"/>
      <c r="F1345" s="93">
        <v>2022</v>
      </c>
      <c r="G1345" s="19" t="s">
        <v>1654</v>
      </c>
      <c r="H1345" s="19" t="s">
        <v>1658</v>
      </c>
      <c r="I1345" s="19" t="s">
        <v>1668</v>
      </c>
      <c r="J1345" s="19" t="s">
        <v>567</v>
      </c>
      <c r="K1345" s="19" t="s">
        <v>42</v>
      </c>
      <c r="L1345" s="19" t="s">
        <v>43</v>
      </c>
      <c r="M1345" s="19" t="s">
        <v>1303</v>
      </c>
      <c r="N1345" s="19" t="s">
        <v>109</v>
      </c>
      <c r="O1345" s="19" t="s">
        <v>1649</v>
      </c>
      <c r="P1345" s="19" t="s">
        <v>1650</v>
      </c>
      <c r="Q1345" s="19"/>
      <c r="R1345" s="19" t="s">
        <v>81</v>
      </c>
      <c r="S1345" s="19" t="s">
        <v>1651</v>
      </c>
      <c r="T1345" s="19" t="s">
        <v>49</v>
      </c>
      <c r="U1345" s="19" t="s">
        <v>49</v>
      </c>
      <c r="V1345" s="19">
        <v>3</v>
      </c>
      <c r="W1345" s="19" t="s">
        <v>45</v>
      </c>
      <c r="X1345" s="19" t="s">
        <v>46</v>
      </c>
      <c r="Y1345" s="29"/>
      <c r="Z1345" s="19"/>
      <c r="AA1345" s="19"/>
      <c r="AB1345" s="19">
        <v>51</v>
      </c>
      <c r="AC1345" s="19" t="s">
        <v>214</v>
      </c>
      <c r="AD1345" s="19"/>
      <c r="AE1345" s="19">
        <v>89</v>
      </c>
      <c r="AF1345" s="19"/>
      <c r="AG1345" s="19"/>
      <c r="AH1345" s="19"/>
      <c r="AI1345" s="19"/>
      <c r="AJ1345" s="19">
        <v>8</v>
      </c>
      <c r="AK1345" s="19"/>
      <c r="AL1345" s="19"/>
      <c r="AM1345" s="19"/>
      <c r="AN1345" s="19"/>
      <c r="AO1345" s="19"/>
      <c r="AP1345" s="94">
        <v>20</v>
      </c>
      <c r="AQ1345" s="19">
        <v>27</v>
      </c>
      <c r="AR1345" s="19"/>
      <c r="AS1345" s="19"/>
      <c r="AT1345" s="65" t="str">
        <f t="shared" si="376"/>
        <v>Y</v>
      </c>
      <c r="AU1345" s="65" t="str">
        <f t="shared" si="420"/>
        <v>Y</v>
      </c>
      <c r="AV1345" s="65" t="str">
        <f t="shared" si="421"/>
        <v>Y</v>
      </c>
      <c r="AW1345" s="99"/>
      <c r="AX1345" s="99"/>
      <c r="AY1345" s="19"/>
      <c r="AZ1345" s="96" t="str">
        <f t="shared" si="422"/>
        <v>EC10</v>
      </c>
      <c r="BA1345" s="96">
        <f>IF(AZ1345="n","n",VLOOKUP(AZ1345,'Conversion factors'!$C$4:$D$24,2,FALSE))</f>
        <v>1</v>
      </c>
      <c r="BB1345" s="96">
        <f t="shared" si="423"/>
        <v>51</v>
      </c>
      <c r="BC1345" s="97"/>
      <c r="BD1345" s="96" t="str">
        <f t="shared" si="377"/>
        <v>Chronic</v>
      </c>
      <c r="BE1345" s="96" t="str">
        <f t="shared" si="424"/>
        <v>y</v>
      </c>
      <c r="BF1345" s="98" t="str">
        <f t="shared" si="409"/>
        <v>EC10</v>
      </c>
      <c r="BG1345" s="96" t="str">
        <f>IF(BF1345="","",IF(ISNUMBER(VLOOKUP(BF1345,'Conversion factors'!$B$35:$C$52,2,FALSE)),"y","n"))</f>
        <v>y</v>
      </c>
      <c r="BH1345" s="99"/>
      <c r="BI1345" s="103"/>
      <c r="BJ1345" s="103"/>
    </row>
    <row r="1346" spans="1:62" ht="15.95" customHeight="1" x14ac:dyDescent="0.2">
      <c r="A1346" s="18"/>
      <c r="B1346" s="19"/>
      <c r="C1346" s="19"/>
      <c r="D1346" s="19"/>
      <c r="E1346" s="19"/>
      <c r="F1346" s="93">
        <v>2022</v>
      </c>
      <c r="G1346" s="19" t="s">
        <v>1654</v>
      </c>
      <c r="H1346" s="19" t="s">
        <v>1658</v>
      </c>
      <c r="I1346" s="19" t="s">
        <v>1663</v>
      </c>
      <c r="J1346" s="19" t="s">
        <v>567</v>
      </c>
      <c r="K1346" s="19" t="s">
        <v>42</v>
      </c>
      <c r="L1346" s="19" t="s">
        <v>43</v>
      </c>
      <c r="M1346" s="19" t="s">
        <v>1303</v>
      </c>
      <c r="N1346" s="19" t="s">
        <v>109</v>
      </c>
      <c r="O1346" s="19" t="s">
        <v>1649</v>
      </c>
      <c r="P1346" s="19" t="s">
        <v>1650</v>
      </c>
      <c r="Q1346" s="19"/>
      <c r="R1346" s="19" t="s">
        <v>81</v>
      </c>
      <c r="S1346" s="19" t="s">
        <v>1651</v>
      </c>
      <c r="T1346" s="19" t="s">
        <v>49</v>
      </c>
      <c r="U1346" s="19" t="s">
        <v>49</v>
      </c>
      <c r="V1346" s="19">
        <v>3</v>
      </c>
      <c r="W1346" s="19" t="s">
        <v>45</v>
      </c>
      <c r="X1346" s="19" t="s">
        <v>46</v>
      </c>
      <c r="Y1346" s="29"/>
      <c r="Z1346" s="19"/>
      <c r="AA1346" s="19"/>
      <c r="AB1346" s="19">
        <v>27</v>
      </c>
      <c r="AC1346" s="19" t="s">
        <v>214</v>
      </c>
      <c r="AD1346" s="19"/>
      <c r="AE1346" s="19">
        <v>3</v>
      </c>
      <c r="AF1346" s="19"/>
      <c r="AG1346" s="19"/>
      <c r="AH1346" s="19"/>
      <c r="AI1346" s="19"/>
      <c r="AJ1346" s="19">
        <v>6.38</v>
      </c>
      <c r="AK1346" s="19"/>
      <c r="AL1346" s="19"/>
      <c r="AM1346" s="19"/>
      <c r="AN1346" s="19"/>
      <c r="AO1346" s="19"/>
      <c r="AP1346" s="94">
        <v>6</v>
      </c>
      <c r="AQ1346" s="19">
        <v>27</v>
      </c>
      <c r="AR1346" s="19"/>
      <c r="AS1346" s="19"/>
      <c r="AT1346" s="65" t="str">
        <f t="shared" si="376"/>
        <v>Y</v>
      </c>
      <c r="AU1346" s="65" t="str">
        <f t="shared" si="420"/>
        <v>Y</v>
      </c>
      <c r="AV1346" s="65" t="str">
        <f t="shared" si="421"/>
        <v>Y</v>
      </c>
      <c r="AW1346" s="99"/>
      <c r="AX1346" s="99"/>
      <c r="AY1346" s="19"/>
      <c r="AZ1346" s="96" t="str">
        <f t="shared" si="422"/>
        <v>EC10</v>
      </c>
      <c r="BA1346" s="96">
        <f>IF(AZ1346="n","n",VLOOKUP(AZ1346,'Conversion factors'!$C$4:$D$24,2,FALSE))</f>
        <v>1</v>
      </c>
      <c r="BB1346" s="96">
        <f t="shared" si="423"/>
        <v>27</v>
      </c>
      <c r="BC1346" s="97"/>
      <c r="BD1346" s="96" t="str">
        <f t="shared" si="377"/>
        <v>Chronic</v>
      </c>
      <c r="BE1346" s="96" t="str">
        <f t="shared" si="424"/>
        <v>y</v>
      </c>
      <c r="BF1346" s="98" t="str">
        <f t="shared" si="409"/>
        <v>EC10</v>
      </c>
      <c r="BG1346" s="96" t="str">
        <f>IF(BF1346="","",IF(ISNUMBER(VLOOKUP(BF1346,'Conversion factors'!$B$35:$C$52,2,FALSE)),"y","n"))</f>
        <v>y</v>
      </c>
      <c r="BH1346" s="99"/>
      <c r="BI1346" s="103"/>
      <c r="BJ1346" s="103"/>
    </row>
    <row r="1347" spans="1:62" ht="15.95" customHeight="1" x14ac:dyDescent="0.2">
      <c r="A1347" s="18"/>
      <c r="B1347" s="19"/>
      <c r="C1347" s="19"/>
      <c r="D1347" s="19"/>
      <c r="E1347" s="19"/>
      <c r="F1347" s="93">
        <v>2022</v>
      </c>
      <c r="G1347" s="19" t="s">
        <v>1654</v>
      </c>
      <c r="H1347" s="19" t="s">
        <v>1658</v>
      </c>
      <c r="I1347" s="19" t="s">
        <v>1669</v>
      </c>
      <c r="J1347" s="19" t="s">
        <v>567</v>
      </c>
      <c r="K1347" s="19" t="s">
        <v>42</v>
      </c>
      <c r="L1347" s="19" t="s">
        <v>43</v>
      </c>
      <c r="M1347" s="19" t="s">
        <v>1303</v>
      </c>
      <c r="N1347" s="19" t="s">
        <v>109</v>
      </c>
      <c r="O1347" s="19" t="s">
        <v>1649</v>
      </c>
      <c r="P1347" s="19" t="s">
        <v>1650</v>
      </c>
      <c r="Q1347" s="19"/>
      <c r="R1347" s="19" t="s">
        <v>81</v>
      </c>
      <c r="S1347" s="19" t="s">
        <v>1651</v>
      </c>
      <c r="T1347" s="19" t="s">
        <v>49</v>
      </c>
      <c r="U1347" s="19" t="s">
        <v>49</v>
      </c>
      <c r="V1347" s="19">
        <v>3</v>
      </c>
      <c r="W1347" s="19" t="s">
        <v>45</v>
      </c>
      <c r="X1347" s="19" t="s">
        <v>46</v>
      </c>
      <c r="Y1347" s="29"/>
      <c r="Z1347" s="19"/>
      <c r="AA1347" s="19"/>
      <c r="AB1347" s="19">
        <v>14</v>
      </c>
      <c r="AC1347" s="19" t="s">
        <v>214</v>
      </c>
      <c r="AD1347" s="19"/>
      <c r="AE1347" s="19">
        <v>3</v>
      </c>
      <c r="AF1347" s="19"/>
      <c r="AG1347" s="19"/>
      <c r="AH1347" s="19"/>
      <c r="AI1347" s="19"/>
      <c r="AJ1347" s="19">
        <v>6.7</v>
      </c>
      <c r="AK1347" s="19"/>
      <c r="AL1347" s="19"/>
      <c r="AM1347" s="19"/>
      <c r="AN1347" s="19"/>
      <c r="AO1347" s="19"/>
      <c r="AP1347" s="94">
        <v>6</v>
      </c>
      <c r="AQ1347" s="19">
        <v>27</v>
      </c>
      <c r="AR1347" s="19"/>
      <c r="AS1347" s="19"/>
      <c r="AT1347" s="65" t="str">
        <f t="shared" si="376"/>
        <v>Y</v>
      </c>
      <c r="AU1347" s="65" t="str">
        <f t="shared" ref="AU1347:AU1352" si="425">IF(AT1347="N","N",IF(AJ1347&lt;6,"N",IF(AJ1347&gt;8.5,"N","Y")))</f>
        <v>Y</v>
      </c>
      <c r="AV1347" s="65" t="str">
        <f t="shared" ref="AV1347:AV1352" si="426">AU1347</f>
        <v>Y</v>
      </c>
      <c r="AW1347" s="99"/>
      <c r="AX1347" s="99"/>
      <c r="AY1347" s="19"/>
      <c r="AZ1347" s="96" t="str">
        <f t="shared" ref="AZ1347:AZ1352" si="427">IF(AV1347="N","n",T1347)</f>
        <v>EC10</v>
      </c>
      <c r="BA1347" s="96">
        <f>IF(AZ1347="n","n",VLOOKUP(AZ1347,'Conversion factors'!$C$4:$D$24,2,FALSE))</f>
        <v>1</v>
      </c>
      <c r="BB1347" s="96">
        <f t="shared" ref="BB1347:BB1352" si="428">IF(BA1347="n","n",AB1347/BA1347)</f>
        <v>14</v>
      </c>
      <c r="BC1347" s="97"/>
      <c r="BD1347" s="96" t="str">
        <f t="shared" si="377"/>
        <v>Chronic</v>
      </c>
      <c r="BE1347" s="96" t="str">
        <f t="shared" ref="BE1347:BE1352" si="429">IF(BD1347="chronic","y","n")</f>
        <v>y</v>
      </c>
      <c r="BF1347" s="98" t="str">
        <f t="shared" si="409"/>
        <v>EC10</v>
      </c>
      <c r="BG1347" s="96" t="str">
        <f>IF(BF1347="","",IF(ISNUMBER(VLOOKUP(BF1347,'Conversion factors'!$B$35:$C$52,2,FALSE)),"y","n"))</f>
        <v>y</v>
      </c>
      <c r="BH1347" s="99"/>
      <c r="BI1347" s="103"/>
      <c r="BJ1347" s="103"/>
    </row>
    <row r="1348" spans="1:62" ht="15.95" customHeight="1" x14ac:dyDescent="0.2">
      <c r="A1348" s="18"/>
      <c r="B1348" s="19"/>
      <c r="C1348" s="19"/>
      <c r="D1348" s="19"/>
      <c r="E1348" s="19"/>
      <c r="F1348" s="93">
        <v>2022</v>
      </c>
      <c r="G1348" s="19" t="s">
        <v>1654</v>
      </c>
      <c r="H1348" s="19" t="s">
        <v>1658</v>
      </c>
      <c r="I1348" s="19" t="s">
        <v>1664</v>
      </c>
      <c r="J1348" s="19" t="s">
        <v>567</v>
      </c>
      <c r="K1348" s="19" t="s">
        <v>42</v>
      </c>
      <c r="L1348" s="19" t="s">
        <v>43</v>
      </c>
      <c r="M1348" s="19" t="s">
        <v>1303</v>
      </c>
      <c r="N1348" s="19" t="s">
        <v>109</v>
      </c>
      <c r="O1348" s="19" t="s">
        <v>1649</v>
      </c>
      <c r="P1348" s="19" t="s">
        <v>1650</v>
      </c>
      <c r="Q1348" s="19"/>
      <c r="R1348" s="19" t="s">
        <v>81</v>
      </c>
      <c r="S1348" s="19" t="s">
        <v>1651</v>
      </c>
      <c r="T1348" s="19" t="s">
        <v>49</v>
      </c>
      <c r="U1348" s="19" t="s">
        <v>49</v>
      </c>
      <c r="V1348" s="19">
        <v>3</v>
      </c>
      <c r="W1348" s="19" t="s">
        <v>45</v>
      </c>
      <c r="X1348" s="19" t="s">
        <v>46</v>
      </c>
      <c r="Y1348" s="29"/>
      <c r="Z1348" s="19"/>
      <c r="AA1348" s="19"/>
      <c r="AB1348" s="19">
        <v>6.6</v>
      </c>
      <c r="AC1348" s="19" t="s">
        <v>214</v>
      </c>
      <c r="AD1348" s="19"/>
      <c r="AE1348" s="19">
        <v>11</v>
      </c>
      <c r="AF1348" s="19"/>
      <c r="AG1348" s="19"/>
      <c r="AH1348" s="19"/>
      <c r="AI1348" s="19"/>
      <c r="AJ1348" s="19">
        <v>7.47</v>
      </c>
      <c r="AK1348" s="19"/>
      <c r="AL1348" s="19"/>
      <c r="AM1348" s="19"/>
      <c r="AN1348" s="19"/>
      <c r="AO1348" s="19"/>
      <c r="AP1348" s="94" t="s">
        <v>73</v>
      </c>
      <c r="AQ1348" s="19">
        <v>27</v>
      </c>
      <c r="AR1348" s="19"/>
      <c r="AS1348" s="19"/>
      <c r="AT1348" s="65" t="str">
        <f t="shared" si="376"/>
        <v>Y</v>
      </c>
      <c r="AU1348" s="65" t="str">
        <f t="shared" si="425"/>
        <v>Y</v>
      </c>
      <c r="AV1348" s="65" t="str">
        <f t="shared" si="426"/>
        <v>Y</v>
      </c>
      <c r="AW1348" s="99"/>
      <c r="AX1348" s="99"/>
      <c r="AY1348" s="19"/>
      <c r="AZ1348" s="96" t="str">
        <f t="shared" si="427"/>
        <v>EC10</v>
      </c>
      <c r="BA1348" s="96">
        <f>IF(AZ1348="n","n",VLOOKUP(AZ1348,'Conversion factors'!$C$4:$D$24,2,FALSE))</f>
        <v>1</v>
      </c>
      <c r="BB1348" s="96">
        <f t="shared" si="428"/>
        <v>6.6</v>
      </c>
      <c r="BC1348" s="97"/>
      <c r="BD1348" s="96" t="str">
        <f t="shared" si="377"/>
        <v>Chronic</v>
      </c>
      <c r="BE1348" s="96" t="str">
        <f t="shared" si="429"/>
        <v>y</v>
      </c>
      <c r="BF1348" s="98" t="str">
        <f t="shared" si="409"/>
        <v>EC10</v>
      </c>
      <c r="BG1348" s="96" t="str">
        <f>IF(BF1348="","",IF(ISNUMBER(VLOOKUP(BF1348,'Conversion factors'!$B$35:$C$52,2,FALSE)),"y","n"))</f>
        <v>y</v>
      </c>
      <c r="BH1348" s="99"/>
      <c r="BI1348" s="103"/>
      <c r="BJ1348" s="103"/>
    </row>
    <row r="1349" spans="1:62" ht="15.95" customHeight="1" x14ac:dyDescent="0.2">
      <c r="A1349" s="18"/>
      <c r="B1349" s="19"/>
      <c r="C1349" s="19"/>
      <c r="D1349" s="19"/>
      <c r="E1349" s="19"/>
      <c r="F1349" s="93">
        <v>2022</v>
      </c>
      <c r="G1349" s="19" t="s">
        <v>1654</v>
      </c>
      <c r="H1349" s="19" t="s">
        <v>1658</v>
      </c>
      <c r="I1349" s="19" t="s">
        <v>1670</v>
      </c>
      <c r="J1349" s="19" t="s">
        <v>567</v>
      </c>
      <c r="K1349" s="19" t="s">
        <v>42</v>
      </c>
      <c r="L1349" s="19" t="s">
        <v>43</v>
      </c>
      <c r="M1349" s="19" t="s">
        <v>1303</v>
      </c>
      <c r="N1349" s="19" t="s">
        <v>109</v>
      </c>
      <c r="O1349" s="19" t="s">
        <v>1649</v>
      </c>
      <c r="P1349" s="19" t="s">
        <v>1650</v>
      </c>
      <c r="Q1349" s="19"/>
      <c r="R1349" s="19" t="s">
        <v>81</v>
      </c>
      <c r="S1349" s="19" t="s">
        <v>1651</v>
      </c>
      <c r="T1349" s="19" t="s">
        <v>49</v>
      </c>
      <c r="U1349" s="19" t="s">
        <v>49</v>
      </c>
      <c r="V1349" s="19">
        <v>3</v>
      </c>
      <c r="W1349" s="19" t="s">
        <v>45</v>
      </c>
      <c r="X1349" s="19" t="s">
        <v>46</v>
      </c>
      <c r="Y1349" s="29"/>
      <c r="Z1349" s="19"/>
      <c r="AA1349" s="19"/>
      <c r="AB1349" s="19">
        <v>7.4</v>
      </c>
      <c r="AC1349" s="19" t="s">
        <v>214</v>
      </c>
      <c r="AD1349" s="19"/>
      <c r="AE1349" s="19">
        <v>11</v>
      </c>
      <c r="AF1349" s="19"/>
      <c r="AG1349" s="19"/>
      <c r="AH1349" s="19"/>
      <c r="AI1349" s="19"/>
      <c r="AJ1349" s="19">
        <v>7.7</v>
      </c>
      <c r="AK1349" s="19"/>
      <c r="AL1349" s="19"/>
      <c r="AM1349" s="19"/>
      <c r="AN1349" s="19"/>
      <c r="AO1349" s="19"/>
      <c r="AP1349" s="94" t="s">
        <v>73</v>
      </c>
      <c r="AQ1349" s="19">
        <v>27</v>
      </c>
      <c r="AR1349" s="19"/>
      <c r="AS1349" s="19"/>
      <c r="AT1349" s="65" t="str">
        <f t="shared" si="376"/>
        <v>Y</v>
      </c>
      <c r="AU1349" s="65" t="str">
        <f t="shared" si="425"/>
        <v>Y</v>
      </c>
      <c r="AV1349" s="65" t="str">
        <f t="shared" si="426"/>
        <v>Y</v>
      </c>
      <c r="AW1349" s="99"/>
      <c r="AX1349" s="99"/>
      <c r="AY1349" s="19"/>
      <c r="AZ1349" s="96" t="str">
        <f t="shared" si="427"/>
        <v>EC10</v>
      </c>
      <c r="BA1349" s="96">
        <f>IF(AZ1349="n","n",VLOOKUP(AZ1349,'Conversion factors'!$C$4:$D$24,2,FALSE))</f>
        <v>1</v>
      </c>
      <c r="BB1349" s="96">
        <f t="shared" si="428"/>
        <v>7.4</v>
      </c>
      <c r="BC1349" s="97"/>
      <c r="BD1349" s="96" t="str">
        <f t="shared" si="377"/>
        <v>Chronic</v>
      </c>
      <c r="BE1349" s="96" t="str">
        <f t="shared" si="429"/>
        <v>y</v>
      </c>
      <c r="BF1349" s="98" t="str">
        <f t="shared" ref="BF1349:BF1380" si="430">IF(BE1349="n","",AZ1349)</f>
        <v>EC10</v>
      </c>
      <c r="BG1349" s="96" t="str">
        <f>IF(BF1349="","",IF(ISNUMBER(VLOOKUP(BF1349,'Conversion factors'!$B$35:$C$52,2,FALSE)),"y","n"))</f>
        <v>y</v>
      </c>
      <c r="BH1349" s="99"/>
      <c r="BI1349" s="103"/>
      <c r="BJ1349" s="103"/>
    </row>
    <row r="1350" spans="1:62" ht="15.95" customHeight="1" x14ac:dyDescent="0.2">
      <c r="A1350" s="18"/>
      <c r="B1350" s="19"/>
      <c r="C1350" s="19"/>
      <c r="D1350" s="19"/>
      <c r="E1350" s="19"/>
      <c r="F1350" s="93">
        <v>2022</v>
      </c>
      <c r="G1350" s="19" t="s">
        <v>1654</v>
      </c>
      <c r="H1350" s="19" t="s">
        <v>1658</v>
      </c>
      <c r="I1350" s="19" t="s">
        <v>1672</v>
      </c>
      <c r="J1350" s="19" t="s">
        <v>567</v>
      </c>
      <c r="K1350" s="19" t="s">
        <v>42</v>
      </c>
      <c r="L1350" s="19" t="s">
        <v>43</v>
      </c>
      <c r="M1350" s="19" t="s">
        <v>1303</v>
      </c>
      <c r="N1350" s="19" t="s">
        <v>109</v>
      </c>
      <c r="O1350" s="19" t="s">
        <v>1649</v>
      </c>
      <c r="P1350" s="19" t="s">
        <v>1650</v>
      </c>
      <c r="Q1350" s="19"/>
      <c r="R1350" s="19" t="s">
        <v>81</v>
      </c>
      <c r="S1350" s="19" t="s">
        <v>1651</v>
      </c>
      <c r="T1350" s="19" t="s">
        <v>49</v>
      </c>
      <c r="U1350" s="19" t="s">
        <v>49</v>
      </c>
      <c r="V1350" s="19">
        <v>3</v>
      </c>
      <c r="W1350" s="19" t="s">
        <v>45</v>
      </c>
      <c r="X1350" s="19" t="s">
        <v>46</v>
      </c>
      <c r="Y1350" s="29"/>
      <c r="Z1350" s="19"/>
      <c r="AA1350" s="19"/>
      <c r="AB1350" s="19">
        <v>6.3</v>
      </c>
      <c r="AC1350" s="19" t="s">
        <v>214</v>
      </c>
      <c r="AD1350" s="19"/>
      <c r="AE1350" s="19">
        <v>11</v>
      </c>
      <c r="AF1350" s="19"/>
      <c r="AG1350" s="19"/>
      <c r="AH1350" s="19"/>
      <c r="AI1350" s="19"/>
      <c r="AJ1350" s="19">
        <v>8.01</v>
      </c>
      <c r="AK1350" s="19"/>
      <c r="AL1350" s="19"/>
      <c r="AM1350" s="19"/>
      <c r="AN1350" s="19"/>
      <c r="AO1350" s="19"/>
      <c r="AP1350" s="94" t="s">
        <v>73</v>
      </c>
      <c r="AQ1350" s="19">
        <v>27</v>
      </c>
      <c r="AR1350" s="19"/>
      <c r="AS1350" s="19"/>
      <c r="AT1350" s="65" t="str">
        <f t="shared" si="376"/>
        <v>Y</v>
      </c>
      <c r="AU1350" s="65" t="str">
        <f t="shared" ref="AU1350" si="431">IF(AT1350="N","N",IF(AJ1350&lt;6,"N",IF(AJ1350&gt;8.5,"N","Y")))</f>
        <v>Y</v>
      </c>
      <c r="AV1350" s="65" t="str">
        <f t="shared" ref="AV1350" si="432">AU1350</f>
        <v>Y</v>
      </c>
      <c r="AW1350" s="99"/>
      <c r="AX1350" s="99"/>
      <c r="AY1350" s="19"/>
      <c r="AZ1350" s="96" t="str">
        <f t="shared" ref="AZ1350" si="433">IF(AV1350="N","n",T1350)</f>
        <v>EC10</v>
      </c>
      <c r="BA1350" s="96">
        <f>IF(AZ1350="n","n",VLOOKUP(AZ1350,'Conversion factors'!$C$4:$D$24,2,FALSE))</f>
        <v>1</v>
      </c>
      <c r="BB1350" s="96">
        <f t="shared" ref="BB1350" si="434">IF(BA1350="n","n",AB1350/BA1350)</f>
        <v>6.3</v>
      </c>
      <c r="BC1350" s="97"/>
      <c r="BD1350" s="96" t="str">
        <f t="shared" si="377"/>
        <v>Chronic</v>
      </c>
      <c r="BE1350" s="96" t="str">
        <f t="shared" ref="BE1350" si="435">IF(BD1350="chronic","y","n")</f>
        <v>y</v>
      </c>
      <c r="BF1350" s="98" t="str">
        <f t="shared" si="430"/>
        <v>EC10</v>
      </c>
      <c r="BG1350" s="96" t="str">
        <f>IF(BF1350="","",IF(ISNUMBER(VLOOKUP(BF1350,'Conversion factors'!$B$35:$C$52,2,FALSE)),"y","n"))</f>
        <v>y</v>
      </c>
      <c r="BH1350" s="99"/>
      <c r="BI1350" s="103"/>
      <c r="BJ1350" s="103"/>
    </row>
    <row r="1351" spans="1:62" ht="15.95" customHeight="1" x14ac:dyDescent="0.2">
      <c r="A1351" s="18"/>
      <c r="B1351" s="19"/>
      <c r="C1351" s="19"/>
      <c r="D1351" s="19"/>
      <c r="E1351" s="19"/>
      <c r="F1351" s="93">
        <v>2022</v>
      </c>
      <c r="G1351" s="19" t="s">
        <v>1654</v>
      </c>
      <c r="H1351" s="19" t="s">
        <v>1658</v>
      </c>
      <c r="I1351" s="19" t="s">
        <v>1666</v>
      </c>
      <c r="J1351" s="19" t="s">
        <v>567</v>
      </c>
      <c r="K1351" s="19" t="s">
        <v>42</v>
      </c>
      <c r="L1351" s="19" t="s">
        <v>43</v>
      </c>
      <c r="M1351" s="19" t="s">
        <v>1303</v>
      </c>
      <c r="N1351" s="19" t="s">
        <v>109</v>
      </c>
      <c r="O1351" s="19" t="s">
        <v>1649</v>
      </c>
      <c r="P1351" s="19" t="s">
        <v>1650</v>
      </c>
      <c r="Q1351" s="19"/>
      <c r="R1351" s="19" t="s">
        <v>81</v>
      </c>
      <c r="S1351" s="19" t="s">
        <v>1651</v>
      </c>
      <c r="T1351" s="19" t="s">
        <v>49</v>
      </c>
      <c r="U1351" s="19" t="s">
        <v>49</v>
      </c>
      <c r="V1351" s="19">
        <v>3</v>
      </c>
      <c r="W1351" s="19" t="s">
        <v>45</v>
      </c>
      <c r="X1351" s="19" t="s">
        <v>46</v>
      </c>
      <c r="Y1351" s="29"/>
      <c r="Z1351" s="19"/>
      <c r="AA1351" s="19"/>
      <c r="AB1351" s="19">
        <v>109</v>
      </c>
      <c r="AC1351" s="19" t="s">
        <v>214</v>
      </c>
      <c r="AD1351" s="19"/>
      <c r="AE1351" s="19">
        <v>13</v>
      </c>
      <c r="AF1351" s="19"/>
      <c r="AG1351" s="19"/>
      <c r="AH1351" s="19"/>
      <c r="AI1351" s="19"/>
      <c r="AJ1351" s="19">
        <v>6.1</v>
      </c>
      <c r="AK1351" s="19"/>
      <c r="AL1351" s="19"/>
      <c r="AM1351" s="19"/>
      <c r="AN1351" s="19"/>
      <c r="AO1351" s="19"/>
      <c r="AP1351" s="94">
        <v>25</v>
      </c>
      <c r="AQ1351" s="19">
        <v>27</v>
      </c>
      <c r="AR1351" s="19"/>
      <c r="AS1351" s="19"/>
      <c r="AT1351" s="65" t="str">
        <f t="shared" si="376"/>
        <v>Y</v>
      </c>
      <c r="AU1351" s="65" t="str">
        <f t="shared" si="425"/>
        <v>Y</v>
      </c>
      <c r="AV1351" s="65" t="str">
        <f t="shared" si="426"/>
        <v>Y</v>
      </c>
      <c r="AW1351" s="99"/>
      <c r="AX1351" s="99"/>
      <c r="AY1351" s="19"/>
      <c r="AZ1351" s="96" t="str">
        <f t="shared" si="427"/>
        <v>EC10</v>
      </c>
      <c r="BA1351" s="96">
        <f>IF(AZ1351="n","n",VLOOKUP(AZ1351,'Conversion factors'!$C$4:$D$24,2,FALSE))</f>
        <v>1</v>
      </c>
      <c r="BB1351" s="96">
        <f t="shared" si="428"/>
        <v>109</v>
      </c>
      <c r="BC1351" s="97"/>
      <c r="BD1351" s="96" t="str">
        <f t="shared" si="377"/>
        <v>Chronic</v>
      </c>
      <c r="BE1351" s="96" t="str">
        <f t="shared" si="429"/>
        <v>y</v>
      </c>
      <c r="BF1351" s="98" t="str">
        <f t="shared" si="430"/>
        <v>EC10</v>
      </c>
      <c r="BG1351" s="96" t="str">
        <f>IF(BF1351="","",IF(ISNUMBER(VLOOKUP(BF1351,'Conversion factors'!$B$35:$C$52,2,FALSE)),"y","n"))</f>
        <v>y</v>
      </c>
      <c r="BH1351" s="99"/>
      <c r="BI1351" s="103"/>
      <c r="BJ1351" s="103"/>
    </row>
    <row r="1352" spans="1:62" ht="15.95" customHeight="1" x14ac:dyDescent="0.2">
      <c r="A1352" s="18"/>
      <c r="B1352" s="19"/>
      <c r="C1352" s="19"/>
      <c r="D1352" s="19"/>
      <c r="E1352" s="19"/>
      <c r="F1352" s="93">
        <v>2022</v>
      </c>
      <c r="G1352" s="19" t="s">
        <v>1654</v>
      </c>
      <c r="H1352" s="19" t="s">
        <v>1658</v>
      </c>
      <c r="I1352" s="19" t="s">
        <v>1665</v>
      </c>
      <c r="J1352" s="19" t="s">
        <v>567</v>
      </c>
      <c r="K1352" s="19" t="s">
        <v>42</v>
      </c>
      <c r="L1352" s="19" t="s">
        <v>43</v>
      </c>
      <c r="M1352" s="19" t="s">
        <v>1303</v>
      </c>
      <c r="N1352" s="19" t="s">
        <v>109</v>
      </c>
      <c r="O1352" s="19" t="s">
        <v>1649</v>
      </c>
      <c r="P1352" s="19" t="s">
        <v>1650</v>
      </c>
      <c r="Q1352" s="19"/>
      <c r="R1352" s="19" t="s">
        <v>81</v>
      </c>
      <c r="S1352" s="19" t="s">
        <v>1651</v>
      </c>
      <c r="T1352" s="19" t="s">
        <v>49</v>
      </c>
      <c r="U1352" s="19" t="s">
        <v>49</v>
      </c>
      <c r="V1352" s="19">
        <v>3</v>
      </c>
      <c r="W1352" s="19" t="s">
        <v>45</v>
      </c>
      <c r="X1352" s="19" t="s">
        <v>46</v>
      </c>
      <c r="Y1352" s="29"/>
      <c r="Z1352" s="19"/>
      <c r="AA1352" s="19"/>
      <c r="AB1352" s="19">
        <v>193</v>
      </c>
      <c r="AC1352" s="19" t="s">
        <v>214</v>
      </c>
      <c r="AD1352" s="19"/>
      <c r="AE1352" s="19">
        <v>18</v>
      </c>
      <c r="AF1352" s="19"/>
      <c r="AG1352" s="19"/>
      <c r="AH1352" s="19"/>
      <c r="AI1352" s="19"/>
      <c r="AJ1352" s="19">
        <v>7.11</v>
      </c>
      <c r="AK1352" s="19"/>
      <c r="AL1352" s="19"/>
      <c r="AM1352" s="19"/>
      <c r="AN1352" s="19"/>
      <c r="AO1352" s="19"/>
      <c r="AP1352" s="94">
        <v>5.3</v>
      </c>
      <c r="AQ1352" s="19">
        <v>27</v>
      </c>
      <c r="AR1352" s="19"/>
      <c r="AS1352" s="19"/>
      <c r="AT1352" s="65" t="str">
        <f t="shared" si="376"/>
        <v>Y</v>
      </c>
      <c r="AU1352" s="65" t="str">
        <f t="shared" si="425"/>
        <v>Y</v>
      </c>
      <c r="AV1352" s="65" t="str">
        <f t="shared" si="426"/>
        <v>Y</v>
      </c>
      <c r="AW1352" s="99"/>
      <c r="AX1352" s="99"/>
      <c r="AY1352" s="19"/>
      <c r="AZ1352" s="96" t="str">
        <f t="shared" si="427"/>
        <v>EC10</v>
      </c>
      <c r="BA1352" s="96">
        <f>IF(AZ1352="n","n",VLOOKUP(AZ1352,'Conversion factors'!$C$4:$D$24,2,FALSE))</f>
        <v>1</v>
      </c>
      <c r="BB1352" s="96">
        <f t="shared" si="428"/>
        <v>193</v>
      </c>
      <c r="BC1352" s="97"/>
      <c r="BD1352" s="96" t="str">
        <f t="shared" si="377"/>
        <v>Chronic</v>
      </c>
      <c r="BE1352" s="96" t="str">
        <f t="shared" si="429"/>
        <v>y</v>
      </c>
      <c r="BF1352" s="98" t="str">
        <f t="shared" si="430"/>
        <v>EC10</v>
      </c>
      <c r="BG1352" s="96" t="str">
        <f>IF(BF1352="","",IF(ISNUMBER(VLOOKUP(BF1352,'Conversion factors'!$B$35:$C$52,2,FALSE)),"y","n"))</f>
        <v>y</v>
      </c>
      <c r="BH1352" s="99"/>
      <c r="BI1352" s="103"/>
      <c r="BJ1352" s="103"/>
    </row>
    <row r="1353" spans="1:62" ht="15.95" customHeight="1" x14ac:dyDescent="0.2">
      <c r="A1353" s="18"/>
      <c r="B1353" s="19"/>
      <c r="C1353" s="19"/>
      <c r="D1353" s="19"/>
      <c r="E1353" s="19"/>
      <c r="F1353" s="93">
        <v>2022</v>
      </c>
      <c r="G1353" s="19" t="s">
        <v>1654</v>
      </c>
      <c r="H1353" s="19" t="s">
        <v>1658</v>
      </c>
      <c r="I1353" s="19" t="s">
        <v>1671</v>
      </c>
      <c r="J1353" s="19" t="s">
        <v>567</v>
      </c>
      <c r="K1353" s="19" t="s">
        <v>42</v>
      </c>
      <c r="L1353" s="19" t="s">
        <v>43</v>
      </c>
      <c r="M1353" s="19" t="s">
        <v>1303</v>
      </c>
      <c r="N1353" s="19" t="s">
        <v>109</v>
      </c>
      <c r="O1353" s="19" t="s">
        <v>1649</v>
      </c>
      <c r="P1353" s="19" t="s">
        <v>1650</v>
      </c>
      <c r="Q1353" s="19"/>
      <c r="R1353" s="19" t="s">
        <v>81</v>
      </c>
      <c r="S1353" s="19" t="s">
        <v>1651</v>
      </c>
      <c r="T1353" s="19" t="s">
        <v>49</v>
      </c>
      <c r="U1353" s="19" t="s">
        <v>49</v>
      </c>
      <c r="V1353" s="19">
        <v>3</v>
      </c>
      <c r="W1353" s="19" t="s">
        <v>45</v>
      </c>
      <c r="X1353" s="19" t="s">
        <v>46</v>
      </c>
      <c r="Y1353" s="29"/>
      <c r="Z1353" s="19"/>
      <c r="AA1353" s="19"/>
      <c r="AB1353" s="19">
        <v>92</v>
      </c>
      <c r="AC1353" s="19" t="s">
        <v>214</v>
      </c>
      <c r="AD1353" s="19"/>
      <c r="AE1353" s="19">
        <v>18</v>
      </c>
      <c r="AF1353" s="19"/>
      <c r="AG1353" s="19"/>
      <c r="AH1353" s="19"/>
      <c r="AI1353" s="19"/>
      <c r="AJ1353" s="19">
        <v>7.4</v>
      </c>
      <c r="AK1353" s="19"/>
      <c r="AL1353" s="19"/>
      <c r="AM1353" s="19"/>
      <c r="AN1353" s="19"/>
      <c r="AO1353" s="19"/>
      <c r="AP1353" s="94">
        <v>5.3</v>
      </c>
      <c r="AQ1353" s="19">
        <v>27</v>
      </c>
      <c r="AR1353" s="19"/>
      <c r="AS1353" s="19"/>
      <c r="AT1353" s="65" t="str">
        <f t="shared" si="376"/>
        <v>Y</v>
      </c>
      <c r="AU1353" s="65" t="str">
        <f t="shared" ref="AU1353:AU1364" si="436">IF(AT1353="N","N",IF(AJ1353&lt;6,"N",IF(AJ1353&gt;8.5,"N","Y")))</f>
        <v>Y</v>
      </c>
      <c r="AV1353" s="65" t="str">
        <f t="shared" ref="AV1353:AV1364" si="437">AU1353</f>
        <v>Y</v>
      </c>
      <c r="AW1353" s="99"/>
      <c r="AX1353" s="99"/>
      <c r="AY1353" s="19"/>
      <c r="AZ1353" s="96" t="str">
        <f t="shared" ref="AZ1353:AZ1364" si="438">IF(AV1353="N","n",T1353)</f>
        <v>EC10</v>
      </c>
      <c r="BA1353" s="96">
        <f>IF(AZ1353="n","n",VLOOKUP(AZ1353,'Conversion factors'!$C$4:$D$24,2,FALSE))</f>
        <v>1</v>
      </c>
      <c r="BB1353" s="96">
        <f t="shared" ref="BB1353:BB1364" si="439">IF(BA1353="n","n",AB1353/BA1353)</f>
        <v>92</v>
      </c>
      <c r="BC1353" s="97"/>
      <c r="BD1353" s="96" t="str">
        <f t="shared" si="377"/>
        <v>Chronic</v>
      </c>
      <c r="BE1353" s="96" t="str">
        <f t="shared" ref="BE1353:BE1364" si="440">IF(BD1353="chronic","y","n")</f>
        <v>y</v>
      </c>
      <c r="BF1353" s="98" t="str">
        <f t="shared" si="430"/>
        <v>EC10</v>
      </c>
      <c r="BG1353" s="96" t="str">
        <f>IF(BF1353="","",IF(ISNUMBER(VLOOKUP(BF1353,'Conversion factors'!$B$35:$C$52,2,FALSE)),"y","n"))</f>
        <v>y</v>
      </c>
      <c r="BH1353" s="99"/>
      <c r="BI1353" s="103"/>
      <c r="BJ1353" s="103"/>
    </row>
    <row r="1354" spans="1:62" ht="15.95" customHeight="1" x14ac:dyDescent="0.2">
      <c r="A1354" s="18"/>
      <c r="B1354" s="19"/>
      <c r="C1354" s="19"/>
      <c r="D1354" s="19"/>
      <c r="E1354" s="19"/>
      <c r="F1354" s="93">
        <v>2022</v>
      </c>
      <c r="G1354" s="19" t="s">
        <v>1654</v>
      </c>
      <c r="H1354" s="19" t="s">
        <v>1658</v>
      </c>
      <c r="I1354" s="19" t="s">
        <v>1661</v>
      </c>
      <c r="J1354" s="19" t="s">
        <v>567</v>
      </c>
      <c r="K1354" s="19" t="s">
        <v>42</v>
      </c>
      <c r="L1354" s="19" t="s">
        <v>43</v>
      </c>
      <c r="M1354" s="19" t="s">
        <v>1303</v>
      </c>
      <c r="N1354" s="19" t="s">
        <v>109</v>
      </c>
      <c r="O1354" s="19" t="s">
        <v>1649</v>
      </c>
      <c r="P1354" s="19" t="s">
        <v>1650</v>
      </c>
      <c r="Q1354" s="19"/>
      <c r="R1354" s="19" t="s">
        <v>81</v>
      </c>
      <c r="S1354" s="19" t="s">
        <v>1651</v>
      </c>
      <c r="T1354" s="19" t="s">
        <v>927</v>
      </c>
      <c r="U1354" s="19" t="s">
        <v>927</v>
      </c>
      <c r="V1354" s="19">
        <v>3</v>
      </c>
      <c r="W1354" s="19" t="s">
        <v>45</v>
      </c>
      <c r="X1354" s="19" t="s">
        <v>46</v>
      </c>
      <c r="Y1354" s="29"/>
      <c r="Z1354" s="19"/>
      <c r="AA1354" s="19"/>
      <c r="AB1354" s="19">
        <v>256</v>
      </c>
      <c r="AC1354" s="19" t="s">
        <v>214</v>
      </c>
      <c r="AD1354" s="19"/>
      <c r="AE1354" s="19">
        <v>355</v>
      </c>
      <c r="AF1354" s="19"/>
      <c r="AG1354" s="19"/>
      <c r="AH1354" s="19"/>
      <c r="AI1354" s="19"/>
      <c r="AJ1354" s="19">
        <v>8.0500000000000007</v>
      </c>
      <c r="AK1354" s="19"/>
      <c r="AL1354" s="19"/>
      <c r="AM1354" s="19"/>
      <c r="AN1354" s="19"/>
      <c r="AO1354" s="19"/>
      <c r="AP1354" s="94">
        <v>4.2</v>
      </c>
      <c r="AQ1354" s="19">
        <v>27</v>
      </c>
      <c r="AR1354" s="19"/>
      <c r="AS1354" s="19"/>
      <c r="AT1354" s="65" t="str">
        <f t="shared" si="376"/>
        <v>Y</v>
      </c>
      <c r="AU1354" s="65" t="str">
        <f t="shared" si="436"/>
        <v>Y</v>
      </c>
      <c r="AV1354" s="65" t="str">
        <f t="shared" si="437"/>
        <v>Y</v>
      </c>
      <c r="AW1354" s="99"/>
      <c r="AX1354" s="99"/>
      <c r="AY1354" s="19"/>
      <c r="AZ1354" s="96" t="str">
        <f t="shared" si="438"/>
        <v>EC20</v>
      </c>
      <c r="BA1354" s="96">
        <f>IF(AZ1354="n","n",VLOOKUP(AZ1354,'Conversion factors'!$C$4:$D$24,2,FALSE))</f>
        <v>1</v>
      </c>
      <c r="BB1354" s="96">
        <f t="shared" si="439"/>
        <v>256</v>
      </c>
      <c r="BC1354" s="97"/>
      <c r="BD1354" s="96" t="str">
        <f t="shared" si="377"/>
        <v>Chronic</v>
      </c>
      <c r="BE1354" s="96" t="str">
        <f t="shared" si="440"/>
        <v>y</v>
      </c>
      <c r="BF1354" s="98" t="str">
        <f t="shared" si="430"/>
        <v>EC20</v>
      </c>
      <c r="BG1354" s="96" t="str">
        <f>IF(BF1354="","",IF(ISNUMBER(VLOOKUP(BF1354,'Conversion factors'!$B$35:$C$52,2,FALSE)),"y","n"))</f>
        <v>y</v>
      </c>
      <c r="BH1354" s="99"/>
      <c r="BI1354" s="103"/>
      <c r="BJ1354" s="103"/>
    </row>
    <row r="1355" spans="1:62" ht="15.95" customHeight="1" x14ac:dyDescent="0.2">
      <c r="A1355" s="18"/>
      <c r="B1355" s="19"/>
      <c r="C1355" s="19"/>
      <c r="D1355" s="19"/>
      <c r="E1355" s="19"/>
      <c r="F1355" s="93">
        <v>2022</v>
      </c>
      <c r="G1355" s="19" t="s">
        <v>1654</v>
      </c>
      <c r="H1355" s="19" t="s">
        <v>1658</v>
      </c>
      <c r="I1355" s="19" t="s">
        <v>1667</v>
      </c>
      <c r="J1355" s="19" t="s">
        <v>567</v>
      </c>
      <c r="K1355" s="19" t="s">
        <v>42</v>
      </c>
      <c r="L1355" s="19" t="s">
        <v>43</v>
      </c>
      <c r="M1355" s="19" t="s">
        <v>1303</v>
      </c>
      <c r="N1355" s="19" t="s">
        <v>109</v>
      </c>
      <c r="O1355" s="19" t="s">
        <v>1649</v>
      </c>
      <c r="P1355" s="19" t="s">
        <v>1650</v>
      </c>
      <c r="Q1355" s="19"/>
      <c r="R1355" s="19" t="s">
        <v>81</v>
      </c>
      <c r="S1355" s="19" t="s">
        <v>1651</v>
      </c>
      <c r="T1355" s="19" t="s">
        <v>927</v>
      </c>
      <c r="U1355" s="19" t="s">
        <v>927</v>
      </c>
      <c r="V1355" s="19">
        <v>3</v>
      </c>
      <c r="W1355" s="19" t="s">
        <v>45</v>
      </c>
      <c r="X1355" s="19" t="s">
        <v>46</v>
      </c>
      <c r="Y1355" s="29"/>
      <c r="Z1355" s="19"/>
      <c r="AA1355" s="19"/>
      <c r="AB1355" s="19">
        <v>89</v>
      </c>
      <c r="AC1355" s="19" t="s">
        <v>214</v>
      </c>
      <c r="AD1355" s="19"/>
      <c r="AE1355" s="19">
        <v>355</v>
      </c>
      <c r="AF1355" s="19"/>
      <c r="AG1355" s="19"/>
      <c r="AH1355" s="19"/>
      <c r="AI1355" s="19"/>
      <c r="AJ1355" s="19">
        <v>8.1999999999999993</v>
      </c>
      <c r="AK1355" s="19"/>
      <c r="AL1355" s="19"/>
      <c r="AM1355" s="19"/>
      <c r="AN1355" s="19"/>
      <c r="AO1355" s="19"/>
      <c r="AP1355" s="94">
        <v>4.2</v>
      </c>
      <c r="AQ1355" s="19">
        <v>27</v>
      </c>
      <c r="AR1355" s="19"/>
      <c r="AS1355" s="19"/>
      <c r="AT1355" s="65" t="str">
        <f t="shared" si="376"/>
        <v>Y</v>
      </c>
      <c r="AU1355" s="65" t="str">
        <f t="shared" si="436"/>
        <v>Y</v>
      </c>
      <c r="AV1355" s="65" t="str">
        <f t="shared" si="437"/>
        <v>Y</v>
      </c>
      <c r="AW1355" s="99"/>
      <c r="AX1355" s="99"/>
      <c r="AY1355" s="19"/>
      <c r="AZ1355" s="96" t="str">
        <f t="shared" si="438"/>
        <v>EC20</v>
      </c>
      <c r="BA1355" s="96">
        <f>IF(AZ1355="n","n",VLOOKUP(AZ1355,'Conversion factors'!$C$4:$D$24,2,FALSE))</f>
        <v>1</v>
      </c>
      <c r="BB1355" s="96">
        <f t="shared" si="439"/>
        <v>89</v>
      </c>
      <c r="BC1355" s="97"/>
      <c r="BD1355" s="96" t="str">
        <f t="shared" si="377"/>
        <v>Chronic</v>
      </c>
      <c r="BE1355" s="96" t="str">
        <f t="shared" si="440"/>
        <v>y</v>
      </c>
      <c r="BF1355" s="98" t="str">
        <f t="shared" si="430"/>
        <v>EC20</v>
      </c>
      <c r="BG1355" s="96" t="str">
        <f>IF(BF1355="","",IF(ISNUMBER(VLOOKUP(BF1355,'Conversion factors'!$B$35:$C$52,2,FALSE)),"y","n"))</f>
        <v>y</v>
      </c>
      <c r="BH1355" s="99"/>
      <c r="BI1355" s="103"/>
      <c r="BJ1355" s="103"/>
    </row>
    <row r="1356" spans="1:62" ht="15.95" customHeight="1" x14ac:dyDescent="0.2">
      <c r="A1356" s="18"/>
      <c r="B1356" s="19"/>
      <c r="C1356" s="19"/>
      <c r="D1356" s="19"/>
      <c r="E1356" s="19"/>
      <c r="F1356" s="93">
        <v>2022</v>
      </c>
      <c r="G1356" s="19" t="s">
        <v>1654</v>
      </c>
      <c r="H1356" s="19" t="s">
        <v>1658</v>
      </c>
      <c r="I1356" s="19" t="s">
        <v>1662</v>
      </c>
      <c r="J1356" s="19" t="s">
        <v>567</v>
      </c>
      <c r="K1356" s="19" t="s">
        <v>42</v>
      </c>
      <c r="L1356" s="19" t="s">
        <v>43</v>
      </c>
      <c r="M1356" s="19" t="s">
        <v>1303</v>
      </c>
      <c r="N1356" s="19" t="s">
        <v>109</v>
      </c>
      <c r="O1356" s="19" t="s">
        <v>1649</v>
      </c>
      <c r="P1356" s="19" t="s">
        <v>1650</v>
      </c>
      <c r="Q1356" s="19"/>
      <c r="R1356" s="19" t="s">
        <v>81</v>
      </c>
      <c r="S1356" s="19" t="s">
        <v>1651</v>
      </c>
      <c r="T1356" s="19" t="s">
        <v>927</v>
      </c>
      <c r="U1356" s="19" t="s">
        <v>927</v>
      </c>
      <c r="V1356" s="19">
        <v>3</v>
      </c>
      <c r="W1356" s="19" t="s">
        <v>45</v>
      </c>
      <c r="X1356" s="19" t="s">
        <v>46</v>
      </c>
      <c r="Y1356" s="29"/>
      <c r="Z1356" s="19"/>
      <c r="AA1356" s="19"/>
      <c r="AB1356" s="19">
        <v>81</v>
      </c>
      <c r="AC1356" s="19" t="s">
        <v>214</v>
      </c>
      <c r="AD1356" s="19"/>
      <c r="AE1356" s="19">
        <v>89</v>
      </c>
      <c r="AF1356" s="19"/>
      <c r="AG1356" s="19"/>
      <c r="AH1356" s="19"/>
      <c r="AI1356" s="19"/>
      <c r="AJ1356" s="19">
        <v>7.42</v>
      </c>
      <c r="AK1356" s="19"/>
      <c r="AL1356" s="19"/>
      <c r="AM1356" s="19"/>
      <c r="AN1356" s="19"/>
      <c r="AO1356" s="19"/>
      <c r="AP1356" s="94">
        <v>20</v>
      </c>
      <c r="AQ1356" s="19">
        <v>27</v>
      </c>
      <c r="AR1356" s="19"/>
      <c r="AS1356" s="19"/>
      <c r="AT1356" s="65" t="str">
        <f t="shared" si="376"/>
        <v>Y</v>
      </c>
      <c r="AU1356" s="65" t="str">
        <f t="shared" si="436"/>
        <v>Y</v>
      </c>
      <c r="AV1356" s="65" t="str">
        <f t="shared" si="437"/>
        <v>Y</v>
      </c>
      <c r="AW1356" s="99"/>
      <c r="AX1356" s="99"/>
      <c r="AY1356" s="19"/>
      <c r="AZ1356" s="96" t="str">
        <f t="shared" si="438"/>
        <v>EC20</v>
      </c>
      <c r="BA1356" s="96">
        <f>IF(AZ1356="n","n",VLOOKUP(AZ1356,'Conversion factors'!$C$4:$D$24,2,FALSE))</f>
        <v>1</v>
      </c>
      <c r="BB1356" s="96">
        <f t="shared" si="439"/>
        <v>81</v>
      </c>
      <c r="BC1356" s="97"/>
      <c r="BD1356" s="96" t="str">
        <f t="shared" si="377"/>
        <v>Chronic</v>
      </c>
      <c r="BE1356" s="96" t="str">
        <f t="shared" si="440"/>
        <v>y</v>
      </c>
      <c r="BF1356" s="98" t="str">
        <f t="shared" si="430"/>
        <v>EC20</v>
      </c>
      <c r="BG1356" s="96" t="str">
        <f>IF(BF1356="","",IF(ISNUMBER(VLOOKUP(BF1356,'Conversion factors'!$B$35:$C$52,2,FALSE)),"y","n"))</f>
        <v>y</v>
      </c>
      <c r="BH1356" s="99"/>
      <c r="BI1356" s="103"/>
      <c r="BJ1356" s="103"/>
    </row>
    <row r="1357" spans="1:62" ht="15.95" customHeight="1" x14ac:dyDescent="0.2">
      <c r="A1357" s="18"/>
      <c r="B1357" s="19"/>
      <c r="C1357" s="19"/>
      <c r="D1357" s="19"/>
      <c r="E1357" s="19"/>
      <c r="F1357" s="93">
        <v>2022</v>
      </c>
      <c r="G1357" s="19" t="s">
        <v>1654</v>
      </c>
      <c r="H1357" s="19" t="s">
        <v>1658</v>
      </c>
      <c r="I1357" s="19" t="s">
        <v>1668</v>
      </c>
      <c r="J1357" s="19" t="s">
        <v>567</v>
      </c>
      <c r="K1357" s="19" t="s">
        <v>42</v>
      </c>
      <c r="L1357" s="19" t="s">
        <v>43</v>
      </c>
      <c r="M1357" s="19" t="s">
        <v>1303</v>
      </c>
      <c r="N1357" s="19" t="s">
        <v>109</v>
      </c>
      <c r="O1357" s="19" t="s">
        <v>1649</v>
      </c>
      <c r="P1357" s="19" t="s">
        <v>1650</v>
      </c>
      <c r="Q1357" s="19"/>
      <c r="R1357" s="19" t="s">
        <v>81</v>
      </c>
      <c r="S1357" s="19" t="s">
        <v>1651</v>
      </c>
      <c r="T1357" s="19" t="s">
        <v>927</v>
      </c>
      <c r="U1357" s="19" t="s">
        <v>927</v>
      </c>
      <c r="V1357" s="19">
        <v>3</v>
      </c>
      <c r="W1357" s="19" t="s">
        <v>45</v>
      </c>
      <c r="X1357" s="19" t="s">
        <v>46</v>
      </c>
      <c r="Y1357" s="29"/>
      <c r="Z1357" s="19"/>
      <c r="AA1357" s="19"/>
      <c r="AB1357" s="19">
        <v>96</v>
      </c>
      <c r="AC1357" s="19" t="s">
        <v>214</v>
      </c>
      <c r="AD1357" s="19"/>
      <c r="AE1357" s="19">
        <v>89</v>
      </c>
      <c r="AF1357" s="19"/>
      <c r="AG1357" s="19"/>
      <c r="AH1357" s="19"/>
      <c r="AI1357" s="19"/>
      <c r="AJ1357" s="19">
        <v>8</v>
      </c>
      <c r="AK1357" s="19"/>
      <c r="AL1357" s="19"/>
      <c r="AM1357" s="19"/>
      <c r="AN1357" s="19"/>
      <c r="AO1357" s="19"/>
      <c r="AP1357" s="94">
        <v>20</v>
      </c>
      <c r="AQ1357" s="19">
        <v>27</v>
      </c>
      <c r="AR1357" s="19"/>
      <c r="AS1357" s="19"/>
      <c r="AT1357" s="65" t="str">
        <f t="shared" si="376"/>
        <v>Y</v>
      </c>
      <c r="AU1357" s="65" t="str">
        <f t="shared" si="436"/>
        <v>Y</v>
      </c>
      <c r="AV1357" s="65" t="str">
        <f t="shared" si="437"/>
        <v>Y</v>
      </c>
      <c r="AW1357" s="99"/>
      <c r="AX1357" s="99"/>
      <c r="AY1357" s="19"/>
      <c r="AZ1357" s="96" t="str">
        <f t="shared" si="438"/>
        <v>EC20</v>
      </c>
      <c r="BA1357" s="96">
        <f>IF(AZ1357="n","n",VLOOKUP(AZ1357,'Conversion factors'!$C$4:$D$24,2,FALSE))</f>
        <v>1</v>
      </c>
      <c r="BB1357" s="96">
        <f t="shared" si="439"/>
        <v>96</v>
      </c>
      <c r="BC1357" s="97"/>
      <c r="BD1357" s="96" t="str">
        <f t="shared" si="377"/>
        <v>Chronic</v>
      </c>
      <c r="BE1357" s="96" t="str">
        <f t="shared" si="440"/>
        <v>y</v>
      </c>
      <c r="BF1357" s="98" t="str">
        <f t="shared" si="430"/>
        <v>EC20</v>
      </c>
      <c r="BG1357" s="96" t="str">
        <f>IF(BF1357="","",IF(ISNUMBER(VLOOKUP(BF1357,'Conversion factors'!$B$35:$C$52,2,FALSE)),"y","n"))</f>
        <v>y</v>
      </c>
      <c r="BH1357" s="99"/>
      <c r="BI1357" s="103"/>
      <c r="BJ1357" s="103"/>
    </row>
    <row r="1358" spans="1:62" ht="15.95" customHeight="1" x14ac:dyDescent="0.2">
      <c r="A1358" s="18"/>
      <c r="B1358" s="19"/>
      <c r="C1358" s="19"/>
      <c r="D1358" s="19"/>
      <c r="E1358" s="19"/>
      <c r="F1358" s="93">
        <v>2022</v>
      </c>
      <c r="G1358" s="19" t="s">
        <v>1654</v>
      </c>
      <c r="H1358" s="19" t="s">
        <v>1658</v>
      </c>
      <c r="I1358" s="19" t="s">
        <v>1663</v>
      </c>
      <c r="J1358" s="19" t="s">
        <v>567</v>
      </c>
      <c r="K1358" s="19" t="s">
        <v>42</v>
      </c>
      <c r="L1358" s="19" t="s">
        <v>43</v>
      </c>
      <c r="M1358" s="19" t="s">
        <v>1303</v>
      </c>
      <c r="N1358" s="19" t="s">
        <v>109</v>
      </c>
      <c r="O1358" s="19" t="s">
        <v>1649</v>
      </c>
      <c r="P1358" s="19" t="s">
        <v>1650</v>
      </c>
      <c r="Q1358" s="19"/>
      <c r="R1358" s="19" t="s">
        <v>81</v>
      </c>
      <c r="S1358" s="19" t="s">
        <v>1651</v>
      </c>
      <c r="T1358" s="19" t="s">
        <v>927</v>
      </c>
      <c r="U1358" s="19" t="s">
        <v>927</v>
      </c>
      <c r="V1358" s="19">
        <v>3</v>
      </c>
      <c r="W1358" s="19" t="s">
        <v>45</v>
      </c>
      <c r="X1358" s="19" t="s">
        <v>46</v>
      </c>
      <c r="Y1358" s="29"/>
      <c r="Z1358" s="19"/>
      <c r="AA1358" s="19"/>
      <c r="AB1358" s="19">
        <v>41</v>
      </c>
      <c r="AC1358" s="19" t="s">
        <v>214</v>
      </c>
      <c r="AD1358" s="19"/>
      <c r="AE1358" s="19">
        <v>3</v>
      </c>
      <c r="AF1358" s="19"/>
      <c r="AG1358" s="19"/>
      <c r="AH1358" s="19"/>
      <c r="AI1358" s="19"/>
      <c r="AJ1358" s="19">
        <v>6.38</v>
      </c>
      <c r="AK1358" s="19"/>
      <c r="AL1358" s="19"/>
      <c r="AM1358" s="19"/>
      <c r="AN1358" s="19"/>
      <c r="AO1358" s="19"/>
      <c r="AP1358" s="94">
        <v>6</v>
      </c>
      <c r="AQ1358" s="19">
        <v>27</v>
      </c>
      <c r="AR1358" s="19"/>
      <c r="AS1358" s="19"/>
      <c r="AT1358" s="65" t="str">
        <f t="shared" si="376"/>
        <v>Y</v>
      </c>
      <c r="AU1358" s="65" t="str">
        <f t="shared" si="436"/>
        <v>Y</v>
      </c>
      <c r="AV1358" s="65" t="str">
        <f t="shared" si="437"/>
        <v>Y</v>
      </c>
      <c r="AW1358" s="99"/>
      <c r="AX1358" s="99"/>
      <c r="AY1358" s="19"/>
      <c r="AZ1358" s="96" t="str">
        <f t="shared" si="438"/>
        <v>EC20</v>
      </c>
      <c r="BA1358" s="96">
        <f>IF(AZ1358="n","n",VLOOKUP(AZ1358,'Conversion factors'!$C$4:$D$24,2,FALSE))</f>
        <v>1</v>
      </c>
      <c r="BB1358" s="96">
        <f t="shared" si="439"/>
        <v>41</v>
      </c>
      <c r="BC1358" s="97"/>
      <c r="BD1358" s="96" t="str">
        <f t="shared" si="377"/>
        <v>Chronic</v>
      </c>
      <c r="BE1358" s="96" t="str">
        <f t="shared" si="440"/>
        <v>y</v>
      </c>
      <c r="BF1358" s="98" t="str">
        <f t="shared" si="430"/>
        <v>EC20</v>
      </c>
      <c r="BG1358" s="96" t="str">
        <f>IF(BF1358="","",IF(ISNUMBER(VLOOKUP(BF1358,'Conversion factors'!$B$35:$C$52,2,FALSE)),"y","n"))</f>
        <v>y</v>
      </c>
      <c r="BH1358" s="99"/>
      <c r="BI1358" s="103"/>
      <c r="BJ1358" s="103"/>
    </row>
    <row r="1359" spans="1:62" ht="15.95" customHeight="1" x14ac:dyDescent="0.2">
      <c r="A1359" s="18"/>
      <c r="B1359" s="19"/>
      <c r="C1359" s="19"/>
      <c r="D1359" s="19"/>
      <c r="E1359" s="19"/>
      <c r="F1359" s="93">
        <v>2022</v>
      </c>
      <c r="G1359" s="19" t="s">
        <v>1654</v>
      </c>
      <c r="H1359" s="19" t="s">
        <v>1658</v>
      </c>
      <c r="I1359" s="19" t="s">
        <v>1669</v>
      </c>
      <c r="J1359" s="19" t="s">
        <v>567</v>
      </c>
      <c r="K1359" s="19" t="s">
        <v>42</v>
      </c>
      <c r="L1359" s="19" t="s">
        <v>43</v>
      </c>
      <c r="M1359" s="19" t="s">
        <v>1303</v>
      </c>
      <c r="N1359" s="19" t="s">
        <v>109</v>
      </c>
      <c r="O1359" s="19" t="s">
        <v>1649</v>
      </c>
      <c r="P1359" s="19" t="s">
        <v>1650</v>
      </c>
      <c r="Q1359" s="19"/>
      <c r="R1359" s="19" t="s">
        <v>81</v>
      </c>
      <c r="S1359" s="19" t="s">
        <v>1651</v>
      </c>
      <c r="T1359" s="19" t="s">
        <v>927</v>
      </c>
      <c r="U1359" s="19" t="s">
        <v>927</v>
      </c>
      <c r="V1359" s="19">
        <v>3</v>
      </c>
      <c r="W1359" s="19" t="s">
        <v>45</v>
      </c>
      <c r="X1359" s="19" t="s">
        <v>46</v>
      </c>
      <c r="Y1359" s="29"/>
      <c r="Z1359" s="19"/>
      <c r="AA1359" s="19"/>
      <c r="AB1359" s="19">
        <v>26</v>
      </c>
      <c r="AC1359" s="19" t="s">
        <v>214</v>
      </c>
      <c r="AD1359" s="19"/>
      <c r="AE1359" s="19">
        <v>3</v>
      </c>
      <c r="AF1359" s="19"/>
      <c r="AG1359" s="19"/>
      <c r="AH1359" s="19"/>
      <c r="AI1359" s="19"/>
      <c r="AJ1359" s="19">
        <v>6.7</v>
      </c>
      <c r="AK1359" s="19"/>
      <c r="AL1359" s="19"/>
      <c r="AM1359" s="19"/>
      <c r="AN1359" s="19"/>
      <c r="AO1359" s="19"/>
      <c r="AP1359" s="94">
        <v>6</v>
      </c>
      <c r="AQ1359" s="19">
        <v>27</v>
      </c>
      <c r="AR1359" s="19"/>
      <c r="AS1359" s="19"/>
      <c r="AT1359" s="65" t="str">
        <f t="shared" si="376"/>
        <v>Y</v>
      </c>
      <c r="AU1359" s="65" t="str">
        <f t="shared" si="436"/>
        <v>Y</v>
      </c>
      <c r="AV1359" s="65" t="str">
        <f t="shared" si="437"/>
        <v>Y</v>
      </c>
      <c r="AW1359" s="99"/>
      <c r="AX1359" s="99"/>
      <c r="AY1359" s="19"/>
      <c r="AZ1359" s="96" t="str">
        <f t="shared" si="438"/>
        <v>EC20</v>
      </c>
      <c r="BA1359" s="96">
        <f>IF(AZ1359="n","n",VLOOKUP(AZ1359,'Conversion factors'!$C$4:$D$24,2,FALSE))</f>
        <v>1</v>
      </c>
      <c r="BB1359" s="96">
        <f t="shared" si="439"/>
        <v>26</v>
      </c>
      <c r="BC1359" s="97"/>
      <c r="BD1359" s="96" t="str">
        <f t="shared" si="377"/>
        <v>Chronic</v>
      </c>
      <c r="BE1359" s="96" t="str">
        <f t="shared" si="440"/>
        <v>y</v>
      </c>
      <c r="BF1359" s="98" t="str">
        <f t="shared" si="430"/>
        <v>EC20</v>
      </c>
      <c r="BG1359" s="96" t="str">
        <f>IF(BF1359="","",IF(ISNUMBER(VLOOKUP(BF1359,'Conversion factors'!$B$35:$C$52,2,FALSE)),"y","n"))</f>
        <v>y</v>
      </c>
      <c r="BH1359" s="99"/>
      <c r="BI1359" s="103"/>
      <c r="BJ1359" s="103"/>
    </row>
    <row r="1360" spans="1:62" ht="15.95" customHeight="1" x14ac:dyDescent="0.2">
      <c r="A1360" s="18"/>
      <c r="B1360" s="19"/>
      <c r="C1360" s="19"/>
      <c r="D1360" s="19"/>
      <c r="E1360" s="19"/>
      <c r="F1360" s="93">
        <v>2022</v>
      </c>
      <c r="G1360" s="19" t="s">
        <v>1654</v>
      </c>
      <c r="H1360" s="19" t="s">
        <v>1658</v>
      </c>
      <c r="I1360" s="19" t="s">
        <v>1664</v>
      </c>
      <c r="J1360" s="19" t="s">
        <v>567</v>
      </c>
      <c r="K1360" s="19" t="s">
        <v>42</v>
      </c>
      <c r="L1360" s="19" t="s">
        <v>43</v>
      </c>
      <c r="M1360" s="19" t="s">
        <v>1303</v>
      </c>
      <c r="N1360" s="19" t="s">
        <v>109</v>
      </c>
      <c r="O1360" s="19" t="s">
        <v>1649</v>
      </c>
      <c r="P1360" s="19" t="s">
        <v>1650</v>
      </c>
      <c r="Q1360" s="19"/>
      <c r="R1360" s="19" t="s">
        <v>81</v>
      </c>
      <c r="S1360" s="19" t="s">
        <v>1651</v>
      </c>
      <c r="T1360" s="19" t="s">
        <v>927</v>
      </c>
      <c r="U1360" s="19" t="s">
        <v>927</v>
      </c>
      <c r="V1360" s="19">
        <v>3</v>
      </c>
      <c r="W1360" s="19" t="s">
        <v>45</v>
      </c>
      <c r="X1360" s="19" t="s">
        <v>46</v>
      </c>
      <c r="Y1360" s="29"/>
      <c r="Z1360" s="19"/>
      <c r="AA1360" s="19"/>
      <c r="AB1360" s="19">
        <v>16</v>
      </c>
      <c r="AC1360" s="19" t="s">
        <v>214</v>
      </c>
      <c r="AD1360" s="19"/>
      <c r="AE1360" s="19">
        <v>11</v>
      </c>
      <c r="AF1360" s="19"/>
      <c r="AG1360" s="19"/>
      <c r="AH1360" s="19"/>
      <c r="AI1360" s="19"/>
      <c r="AJ1360" s="19">
        <v>7.47</v>
      </c>
      <c r="AK1360" s="19"/>
      <c r="AL1360" s="19"/>
      <c r="AM1360" s="19"/>
      <c r="AN1360" s="19"/>
      <c r="AO1360" s="19"/>
      <c r="AP1360" s="94" t="s">
        <v>73</v>
      </c>
      <c r="AQ1360" s="19">
        <v>27</v>
      </c>
      <c r="AR1360" s="19"/>
      <c r="AS1360" s="19"/>
      <c r="AT1360" s="65" t="str">
        <f t="shared" ref="AT1360:AT1423" si="441">IF(F1360&lt;1980,"N",IF(AC1360="M","Y",IF(AC1360="SM","Y","N")))</f>
        <v>Y</v>
      </c>
      <c r="AU1360" s="65" t="str">
        <f t="shared" si="436"/>
        <v>Y</v>
      </c>
      <c r="AV1360" s="65" t="str">
        <f t="shared" si="437"/>
        <v>Y</v>
      </c>
      <c r="AW1360" s="99"/>
      <c r="AX1360" s="99"/>
      <c r="AY1360" s="19"/>
      <c r="AZ1360" s="96" t="str">
        <f t="shared" si="438"/>
        <v>EC20</v>
      </c>
      <c r="BA1360" s="96">
        <f>IF(AZ1360="n","n",VLOOKUP(AZ1360,'Conversion factors'!$C$4:$D$24,2,FALSE))</f>
        <v>1</v>
      </c>
      <c r="BB1360" s="96">
        <f t="shared" si="439"/>
        <v>16</v>
      </c>
      <c r="BC1360" s="97"/>
      <c r="BD1360" s="96" t="str">
        <f t="shared" ref="BD1360:BD1423" si="442">IF(AV1360="N","n",X1360)</f>
        <v>Chronic</v>
      </c>
      <c r="BE1360" s="96" t="str">
        <f t="shared" si="440"/>
        <v>y</v>
      </c>
      <c r="BF1360" s="98" t="str">
        <f t="shared" si="430"/>
        <v>EC20</v>
      </c>
      <c r="BG1360" s="96" t="str">
        <f>IF(BF1360="","",IF(ISNUMBER(VLOOKUP(BF1360,'Conversion factors'!$B$35:$C$52,2,FALSE)),"y","n"))</f>
        <v>y</v>
      </c>
      <c r="BH1360" s="99"/>
      <c r="BI1360" s="103"/>
      <c r="BJ1360" s="103"/>
    </row>
    <row r="1361" spans="1:62" ht="15.95" customHeight="1" x14ac:dyDescent="0.2">
      <c r="A1361" s="18"/>
      <c r="B1361" s="19"/>
      <c r="C1361" s="19"/>
      <c r="D1361" s="19"/>
      <c r="E1361" s="19"/>
      <c r="F1361" s="93">
        <v>2022</v>
      </c>
      <c r="G1361" s="19" t="s">
        <v>1654</v>
      </c>
      <c r="H1361" s="19" t="s">
        <v>1658</v>
      </c>
      <c r="I1361" s="19" t="s">
        <v>1670</v>
      </c>
      <c r="J1361" s="19" t="s">
        <v>567</v>
      </c>
      <c r="K1361" s="19" t="s">
        <v>42</v>
      </c>
      <c r="L1361" s="19" t="s">
        <v>43</v>
      </c>
      <c r="M1361" s="19" t="s">
        <v>1303</v>
      </c>
      <c r="N1361" s="19" t="s">
        <v>109</v>
      </c>
      <c r="O1361" s="19" t="s">
        <v>1649</v>
      </c>
      <c r="P1361" s="19" t="s">
        <v>1650</v>
      </c>
      <c r="Q1361" s="19"/>
      <c r="R1361" s="19" t="s">
        <v>81</v>
      </c>
      <c r="S1361" s="19" t="s">
        <v>1651</v>
      </c>
      <c r="T1361" s="19" t="s">
        <v>927</v>
      </c>
      <c r="U1361" s="19" t="s">
        <v>927</v>
      </c>
      <c r="V1361" s="19">
        <v>3</v>
      </c>
      <c r="W1361" s="19" t="s">
        <v>45</v>
      </c>
      <c r="X1361" s="19" t="s">
        <v>46</v>
      </c>
      <c r="Y1361" s="29"/>
      <c r="Z1361" s="19"/>
      <c r="AA1361" s="19"/>
      <c r="AB1361" s="19">
        <v>14</v>
      </c>
      <c r="AC1361" s="19" t="s">
        <v>214</v>
      </c>
      <c r="AD1361" s="19"/>
      <c r="AE1361" s="19">
        <v>11</v>
      </c>
      <c r="AF1361" s="19"/>
      <c r="AG1361" s="19"/>
      <c r="AH1361" s="19"/>
      <c r="AI1361" s="19"/>
      <c r="AJ1361" s="19">
        <v>7.7</v>
      </c>
      <c r="AK1361" s="19"/>
      <c r="AL1361" s="19"/>
      <c r="AM1361" s="19"/>
      <c r="AN1361" s="19"/>
      <c r="AO1361" s="19"/>
      <c r="AP1361" s="94" t="s">
        <v>73</v>
      </c>
      <c r="AQ1361" s="19">
        <v>27</v>
      </c>
      <c r="AR1361" s="19"/>
      <c r="AS1361" s="19"/>
      <c r="AT1361" s="65" t="str">
        <f t="shared" si="441"/>
        <v>Y</v>
      </c>
      <c r="AU1361" s="65" t="str">
        <f t="shared" si="436"/>
        <v>Y</v>
      </c>
      <c r="AV1361" s="65" t="str">
        <f t="shared" si="437"/>
        <v>Y</v>
      </c>
      <c r="AW1361" s="99"/>
      <c r="AX1361" s="99"/>
      <c r="AY1361" s="19"/>
      <c r="AZ1361" s="96" t="str">
        <f t="shared" si="438"/>
        <v>EC20</v>
      </c>
      <c r="BA1361" s="96">
        <f>IF(AZ1361="n","n",VLOOKUP(AZ1361,'Conversion factors'!$C$4:$D$24,2,FALSE))</f>
        <v>1</v>
      </c>
      <c r="BB1361" s="96">
        <f t="shared" si="439"/>
        <v>14</v>
      </c>
      <c r="BC1361" s="97"/>
      <c r="BD1361" s="96" t="str">
        <f t="shared" si="442"/>
        <v>Chronic</v>
      </c>
      <c r="BE1361" s="96" t="str">
        <f t="shared" si="440"/>
        <v>y</v>
      </c>
      <c r="BF1361" s="98" t="str">
        <f t="shared" si="430"/>
        <v>EC20</v>
      </c>
      <c r="BG1361" s="96" t="str">
        <f>IF(BF1361="","",IF(ISNUMBER(VLOOKUP(BF1361,'Conversion factors'!$B$35:$C$52,2,FALSE)),"y","n"))</f>
        <v>y</v>
      </c>
      <c r="BH1361" s="99"/>
      <c r="BI1361" s="103"/>
      <c r="BJ1361" s="103"/>
    </row>
    <row r="1362" spans="1:62" ht="15.95" customHeight="1" x14ac:dyDescent="0.2">
      <c r="A1362" s="18"/>
      <c r="B1362" s="19"/>
      <c r="C1362" s="19"/>
      <c r="D1362" s="19"/>
      <c r="E1362" s="19"/>
      <c r="F1362" s="93">
        <v>2022</v>
      </c>
      <c r="G1362" s="19" t="s">
        <v>1654</v>
      </c>
      <c r="H1362" s="19" t="s">
        <v>1658</v>
      </c>
      <c r="I1362" s="19" t="s">
        <v>1672</v>
      </c>
      <c r="J1362" s="19" t="s">
        <v>567</v>
      </c>
      <c r="K1362" s="19" t="s">
        <v>42</v>
      </c>
      <c r="L1362" s="19" t="s">
        <v>43</v>
      </c>
      <c r="M1362" s="19" t="s">
        <v>1303</v>
      </c>
      <c r="N1362" s="19" t="s">
        <v>109</v>
      </c>
      <c r="O1362" s="19" t="s">
        <v>1649</v>
      </c>
      <c r="P1362" s="19" t="s">
        <v>1650</v>
      </c>
      <c r="Q1362" s="19"/>
      <c r="R1362" s="19" t="s">
        <v>81</v>
      </c>
      <c r="S1362" s="19" t="s">
        <v>1651</v>
      </c>
      <c r="T1362" s="19" t="s">
        <v>927</v>
      </c>
      <c r="U1362" s="19" t="s">
        <v>927</v>
      </c>
      <c r="V1362" s="19">
        <v>3</v>
      </c>
      <c r="W1362" s="19" t="s">
        <v>45</v>
      </c>
      <c r="X1362" s="19" t="s">
        <v>46</v>
      </c>
      <c r="Y1362" s="29"/>
      <c r="Z1362" s="19"/>
      <c r="AA1362" s="19"/>
      <c r="AB1362" s="19">
        <v>14</v>
      </c>
      <c r="AC1362" s="19" t="s">
        <v>214</v>
      </c>
      <c r="AD1362" s="19"/>
      <c r="AE1362" s="19">
        <v>11</v>
      </c>
      <c r="AF1362" s="19"/>
      <c r="AG1362" s="19"/>
      <c r="AH1362" s="19"/>
      <c r="AI1362" s="19"/>
      <c r="AJ1362" s="19">
        <v>8.01</v>
      </c>
      <c r="AK1362" s="19"/>
      <c r="AL1362" s="19"/>
      <c r="AM1362" s="19"/>
      <c r="AN1362" s="19"/>
      <c r="AO1362" s="19"/>
      <c r="AP1362" s="94" t="s">
        <v>73</v>
      </c>
      <c r="AQ1362" s="19">
        <v>27</v>
      </c>
      <c r="AR1362" s="19"/>
      <c r="AS1362" s="19"/>
      <c r="AT1362" s="65" t="str">
        <f t="shared" si="441"/>
        <v>Y</v>
      </c>
      <c r="AU1362" s="65" t="str">
        <f t="shared" si="436"/>
        <v>Y</v>
      </c>
      <c r="AV1362" s="65" t="str">
        <f t="shared" si="437"/>
        <v>Y</v>
      </c>
      <c r="AW1362" s="99"/>
      <c r="AX1362" s="99"/>
      <c r="AY1362" s="19"/>
      <c r="AZ1362" s="96" t="str">
        <f t="shared" si="438"/>
        <v>EC20</v>
      </c>
      <c r="BA1362" s="96">
        <f>IF(AZ1362="n","n",VLOOKUP(AZ1362,'Conversion factors'!$C$4:$D$24,2,FALSE))</f>
        <v>1</v>
      </c>
      <c r="BB1362" s="96">
        <f t="shared" si="439"/>
        <v>14</v>
      </c>
      <c r="BC1362" s="97"/>
      <c r="BD1362" s="96" t="str">
        <f t="shared" si="442"/>
        <v>Chronic</v>
      </c>
      <c r="BE1362" s="96" t="str">
        <f t="shared" si="440"/>
        <v>y</v>
      </c>
      <c r="BF1362" s="98" t="str">
        <f t="shared" si="430"/>
        <v>EC20</v>
      </c>
      <c r="BG1362" s="96" t="str">
        <f>IF(BF1362="","",IF(ISNUMBER(VLOOKUP(BF1362,'Conversion factors'!$B$35:$C$52,2,FALSE)),"y","n"))</f>
        <v>y</v>
      </c>
      <c r="BH1362" s="99"/>
      <c r="BI1362" s="103"/>
      <c r="BJ1362" s="103"/>
    </row>
    <row r="1363" spans="1:62" ht="15.95" customHeight="1" x14ac:dyDescent="0.2">
      <c r="A1363" s="18"/>
      <c r="B1363" s="19"/>
      <c r="C1363" s="19"/>
      <c r="D1363" s="19"/>
      <c r="E1363" s="19"/>
      <c r="F1363" s="93">
        <v>2022</v>
      </c>
      <c r="G1363" s="19" t="s">
        <v>1654</v>
      </c>
      <c r="H1363" s="19" t="s">
        <v>1658</v>
      </c>
      <c r="I1363" s="19" t="s">
        <v>1666</v>
      </c>
      <c r="J1363" s="19" t="s">
        <v>567</v>
      </c>
      <c r="K1363" s="19" t="s">
        <v>42</v>
      </c>
      <c r="L1363" s="19" t="s">
        <v>43</v>
      </c>
      <c r="M1363" s="19" t="s">
        <v>1303</v>
      </c>
      <c r="N1363" s="19" t="s">
        <v>109</v>
      </c>
      <c r="O1363" s="19" t="s">
        <v>1649</v>
      </c>
      <c r="P1363" s="19" t="s">
        <v>1650</v>
      </c>
      <c r="Q1363" s="19"/>
      <c r="R1363" s="19" t="s">
        <v>81</v>
      </c>
      <c r="S1363" s="19" t="s">
        <v>1651</v>
      </c>
      <c r="T1363" s="19" t="s">
        <v>927</v>
      </c>
      <c r="U1363" s="19" t="s">
        <v>927</v>
      </c>
      <c r="V1363" s="19">
        <v>3</v>
      </c>
      <c r="W1363" s="19" t="s">
        <v>45</v>
      </c>
      <c r="X1363" s="19" t="s">
        <v>46</v>
      </c>
      <c r="Y1363" s="29"/>
      <c r="Z1363" s="19"/>
      <c r="AA1363" s="19"/>
      <c r="AB1363" s="19">
        <v>194</v>
      </c>
      <c r="AC1363" s="19" t="s">
        <v>214</v>
      </c>
      <c r="AD1363" s="19"/>
      <c r="AE1363" s="19">
        <v>13</v>
      </c>
      <c r="AF1363" s="19"/>
      <c r="AG1363" s="19"/>
      <c r="AH1363" s="19"/>
      <c r="AI1363" s="19"/>
      <c r="AJ1363" s="19">
        <v>6.1</v>
      </c>
      <c r="AK1363" s="19"/>
      <c r="AL1363" s="19"/>
      <c r="AM1363" s="19"/>
      <c r="AN1363" s="19"/>
      <c r="AO1363" s="19"/>
      <c r="AP1363" s="94">
        <v>25</v>
      </c>
      <c r="AQ1363" s="19">
        <v>27</v>
      </c>
      <c r="AR1363" s="19"/>
      <c r="AS1363" s="19"/>
      <c r="AT1363" s="65" t="str">
        <f t="shared" si="441"/>
        <v>Y</v>
      </c>
      <c r="AU1363" s="65" t="str">
        <f t="shared" si="436"/>
        <v>Y</v>
      </c>
      <c r="AV1363" s="65" t="str">
        <f t="shared" si="437"/>
        <v>Y</v>
      </c>
      <c r="AW1363" s="99"/>
      <c r="AX1363" s="99"/>
      <c r="AY1363" s="19"/>
      <c r="AZ1363" s="96" t="str">
        <f t="shared" si="438"/>
        <v>EC20</v>
      </c>
      <c r="BA1363" s="96">
        <f>IF(AZ1363="n","n",VLOOKUP(AZ1363,'Conversion factors'!$C$4:$D$24,2,FALSE))</f>
        <v>1</v>
      </c>
      <c r="BB1363" s="96">
        <f t="shared" si="439"/>
        <v>194</v>
      </c>
      <c r="BC1363" s="97"/>
      <c r="BD1363" s="96" t="str">
        <f t="shared" si="442"/>
        <v>Chronic</v>
      </c>
      <c r="BE1363" s="96" t="str">
        <f t="shared" si="440"/>
        <v>y</v>
      </c>
      <c r="BF1363" s="98" t="str">
        <f t="shared" si="430"/>
        <v>EC20</v>
      </c>
      <c r="BG1363" s="96" t="str">
        <f>IF(BF1363="","",IF(ISNUMBER(VLOOKUP(BF1363,'Conversion factors'!$B$35:$C$52,2,FALSE)),"y","n"))</f>
        <v>y</v>
      </c>
      <c r="BH1363" s="99"/>
      <c r="BI1363" s="103"/>
      <c r="BJ1363" s="103"/>
    </row>
    <row r="1364" spans="1:62" ht="15.95" customHeight="1" x14ac:dyDescent="0.2">
      <c r="A1364" s="18"/>
      <c r="B1364" s="19"/>
      <c r="C1364" s="19"/>
      <c r="D1364" s="19"/>
      <c r="E1364" s="19"/>
      <c r="F1364" s="93">
        <v>2022</v>
      </c>
      <c r="G1364" s="19" t="s">
        <v>1654</v>
      </c>
      <c r="H1364" s="19" t="s">
        <v>1658</v>
      </c>
      <c r="I1364" s="19" t="s">
        <v>1665</v>
      </c>
      <c r="J1364" s="19" t="s">
        <v>567</v>
      </c>
      <c r="K1364" s="19" t="s">
        <v>42</v>
      </c>
      <c r="L1364" s="19" t="s">
        <v>43</v>
      </c>
      <c r="M1364" s="19" t="s">
        <v>1303</v>
      </c>
      <c r="N1364" s="19" t="s">
        <v>109</v>
      </c>
      <c r="O1364" s="19" t="s">
        <v>1649</v>
      </c>
      <c r="P1364" s="19" t="s">
        <v>1650</v>
      </c>
      <c r="Q1364" s="19"/>
      <c r="R1364" s="19" t="s">
        <v>81</v>
      </c>
      <c r="S1364" s="19" t="s">
        <v>1651</v>
      </c>
      <c r="T1364" s="19" t="s">
        <v>927</v>
      </c>
      <c r="U1364" s="19" t="s">
        <v>927</v>
      </c>
      <c r="V1364" s="19">
        <v>3</v>
      </c>
      <c r="W1364" s="19" t="s">
        <v>45</v>
      </c>
      <c r="X1364" s="19" t="s">
        <v>46</v>
      </c>
      <c r="Y1364" s="29"/>
      <c r="Z1364" s="19"/>
      <c r="AA1364" s="19"/>
      <c r="AB1364" s="19">
        <v>271</v>
      </c>
      <c r="AC1364" s="19" t="s">
        <v>214</v>
      </c>
      <c r="AD1364" s="19"/>
      <c r="AE1364" s="19">
        <v>18</v>
      </c>
      <c r="AF1364" s="19"/>
      <c r="AG1364" s="19"/>
      <c r="AH1364" s="19"/>
      <c r="AI1364" s="19"/>
      <c r="AJ1364" s="19">
        <v>7.11</v>
      </c>
      <c r="AK1364" s="19"/>
      <c r="AL1364" s="19"/>
      <c r="AM1364" s="19"/>
      <c r="AN1364" s="19"/>
      <c r="AO1364" s="19"/>
      <c r="AP1364" s="94">
        <v>5.3</v>
      </c>
      <c r="AQ1364" s="19">
        <v>27</v>
      </c>
      <c r="AR1364" s="19"/>
      <c r="AS1364" s="19"/>
      <c r="AT1364" s="65" t="str">
        <f t="shared" si="441"/>
        <v>Y</v>
      </c>
      <c r="AU1364" s="65" t="str">
        <f t="shared" si="436"/>
        <v>Y</v>
      </c>
      <c r="AV1364" s="65" t="str">
        <f t="shared" si="437"/>
        <v>Y</v>
      </c>
      <c r="AW1364" s="99"/>
      <c r="AX1364" s="99"/>
      <c r="AY1364" s="19"/>
      <c r="AZ1364" s="96" t="str">
        <f t="shared" si="438"/>
        <v>EC20</v>
      </c>
      <c r="BA1364" s="96">
        <f>IF(AZ1364="n","n",VLOOKUP(AZ1364,'Conversion factors'!$C$4:$D$24,2,FALSE))</f>
        <v>1</v>
      </c>
      <c r="BB1364" s="96">
        <f t="shared" si="439"/>
        <v>271</v>
      </c>
      <c r="BC1364" s="97"/>
      <c r="BD1364" s="96" t="str">
        <f t="shared" si="442"/>
        <v>Chronic</v>
      </c>
      <c r="BE1364" s="96" t="str">
        <f t="shared" si="440"/>
        <v>y</v>
      </c>
      <c r="BF1364" s="98" t="str">
        <f t="shared" si="430"/>
        <v>EC20</v>
      </c>
      <c r="BG1364" s="96" t="str">
        <f>IF(BF1364="","",IF(ISNUMBER(VLOOKUP(BF1364,'Conversion factors'!$B$35:$C$52,2,FALSE)),"y","n"))</f>
        <v>y</v>
      </c>
      <c r="BH1364" s="99"/>
      <c r="BI1364" s="103"/>
      <c r="BJ1364" s="103"/>
    </row>
    <row r="1365" spans="1:62" ht="15.95" customHeight="1" x14ac:dyDescent="0.2">
      <c r="A1365" s="18"/>
      <c r="B1365" s="19"/>
      <c r="C1365" s="19"/>
      <c r="D1365" s="19"/>
      <c r="E1365" s="19"/>
      <c r="F1365" s="93">
        <v>2022</v>
      </c>
      <c r="G1365" s="19" t="s">
        <v>1654</v>
      </c>
      <c r="H1365" s="19" t="s">
        <v>1658</v>
      </c>
      <c r="I1365" s="19" t="s">
        <v>1671</v>
      </c>
      <c r="J1365" s="19" t="s">
        <v>567</v>
      </c>
      <c r="K1365" s="19" t="s">
        <v>42</v>
      </c>
      <c r="L1365" s="19" t="s">
        <v>43</v>
      </c>
      <c r="M1365" s="19" t="s">
        <v>1303</v>
      </c>
      <c r="N1365" s="19" t="s">
        <v>109</v>
      </c>
      <c r="O1365" s="19" t="s">
        <v>1649</v>
      </c>
      <c r="P1365" s="19" t="s">
        <v>1650</v>
      </c>
      <c r="Q1365" s="19"/>
      <c r="R1365" s="19" t="s">
        <v>81</v>
      </c>
      <c r="S1365" s="19" t="s">
        <v>1651</v>
      </c>
      <c r="T1365" s="19" t="s">
        <v>927</v>
      </c>
      <c r="U1365" s="19" t="s">
        <v>927</v>
      </c>
      <c r="V1365" s="19">
        <v>3</v>
      </c>
      <c r="W1365" s="19" t="s">
        <v>45</v>
      </c>
      <c r="X1365" s="19" t="s">
        <v>46</v>
      </c>
      <c r="Y1365" s="29"/>
      <c r="Z1365" s="19"/>
      <c r="AA1365" s="19"/>
      <c r="AB1365" s="19">
        <v>139</v>
      </c>
      <c r="AC1365" s="19" t="s">
        <v>214</v>
      </c>
      <c r="AD1365" s="19"/>
      <c r="AE1365" s="19">
        <v>18</v>
      </c>
      <c r="AF1365" s="19"/>
      <c r="AG1365" s="19"/>
      <c r="AH1365" s="19"/>
      <c r="AI1365" s="19"/>
      <c r="AJ1365" s="19">
        <v>7.4</v>
      </c>
      <c r="AK1365" s="19"/>
      <c r="AL1365" s="19"/>
      <c r="AM1365" s="19"/>
      <c r="AN1365" s="19"/>
      <c r="AO1365" s="19"/>
      <c r="AP1365" s="94">
        <v>5.3</v>
      </c>
      <c r="AQ1365" s="19">
        <v>27</v>
      </c>
      <c r="AR1365" s="19"/>
      <c r="AS1365" s="19"/>
      <c r="AT1365" s="65" t="str">
        <f t="shared" si="441"/>
        <v>Y</v>
      </c>
      <c r="AU1365" s="65" t="str">
        <f t="shared" ref="AU1365:AU1376" si="443">IF(AT1365="N","N",IF(AJ1365&lt;6,"N",IF(AJ1365&gt;8.5,"N","Y")))</f>
        <v>Y</v>
      </c>
      <c r="AV1365" s="65" t="str">
        <f t="shared" ref="AV1365:AV1376" si="444">AU1365</f>
        <v>Y</v>
      </c>
      <c r="AW1365" s="99"/>
      <c r="AX1365" s="99"/>
      <c r="AY1365" s="19"/>
      <c r="AZ1365" s="96" t="str">
        <f t="shared" ref="AZ1365:AZ1376" si="445">IF(AV1365="N","n",T1365)</f>
        <v>EC20</v>
      </c>
      <c r="BA1365" s="96">
        <f>IF(AZ1365="n","n",VLOOKUP(AZ1365,'Conversion factors'!$C$4:$D$24,2,FALSE))</f>
        <v>1</v>
      </c>
      <c r="BB1365" s="96">
        <f t="shared" ref="BB1365:BB1376" si="446">IF(BA1365="n","n",AB1365/BA1365)</f>
        <v>139</v>
      </c>
      <c r="BC1365" s="97"/>
      <c r="BD1365" s="96" t="str">
        <f t="shared" si="442"/>
        <v>Chronic</v>
      </c>
      <c r="BE1365" s="96" t="str">
        <f t="shared" ref="BE1365:BE1376" si="447">IF(BD1365="chronic","y","n")</f>
        <v>y</v>
      </c>
      <c r="BF1365" s="98" t="str">
        <f t="shared" si="430"/>
        <v>EC20</v>
      </c>
      <c r="BG1365" s="96" t="str">
        <f>IF(BF1365="","",IF(ISNUMBER(VLOOKUP(BF1365,'Conversion factors'!$B$35:$C$52,2,FALSE)),"y","n"))</f>
        <v>y</v>
      </c>
      <c r="BH1365" s="99"/>
      <c r="BI1365" s="103"/>
      <c r="BJ1365" s="103"/>
    </row>
    <row r="1366" spans="1:62" ht="15.95" customHeight="1" x14ac:dyDescent="0.2">
      <c r="A1366" s="18"/>
      <c r="B1366" s="19"/>
      <c r="C1366" s="19"/>
      <c r="D1366" s="19"/>
      <c r="E1366" s="19"/>
      <c r="F1366" s="93">
        <v>2022</v>
      </c>
      <c r="G1366" s="19" t="s">
        <v>1654</v>
      </c>
      <c r="H1366" s="19" t="s">
        <v>1658</v>
      </c>
      <c r="I1366" s="19" t="s">
        <v>1661</v>
      </c>
      <c r="J1366" s="19" t="s">
        <v>567</v>
      </c>
      <c r="K1366" s="19" t="s">
        <v>42</v>
      </c>
      <c r="L1366" s="19" t="s">
        <v>43</v>
      </c>
      <c r="M1366" s="19" t="s">
        <v>1303</v>
      </c>
      <c r="N1366" s="19" t="s">
        <v>109</v>
      </c>
      <c r="O1366" s="19" t="s">
        <v>1649</v>
      </c>
      <c r="P1366" s="19" t="s">
        <v>1650</v>
      </c>
      <c r="Q1366" s="19"/>
      <c r="R1366" s="19" t="s">
        <v>81</v>
      </c>
      <c r="S1366" s="19" t="s">
        <v>1651</v>
      </c>
      <c r="T1366" s="19" t="s">
        <v>44</v>
      </c>
      <c r="U1366" s="19" t="s">
        <v>44</v>
      </c>
      <c r="V1366" s="19">
        <v>3</v>
      </c>
      <c r="W1366" s="19" t="s">
        <v>45</v>
      </c>
      <c r="X1366" s="19" t="s">
        <v>46</v>
      </c>
      <c r="Y1366" s="29"/>
      <c r="Z1366" s="19"/>
      <c r="AA1366" s="19"/>
      <c r="AB1366" s="19">
        <v>603</v>
      </c>
      <c r="AC1366" s="19" t="s">
        <v>214</v>
      </c>
      <c r="AD1366" s="19"/>
      <c r="AE1366" s="19">
        <v>355</v>
      </c>
      <c r="AF1366" s="19"/>
      <c r="AG1366" s="19"/>
      <c r="AH1366" s="19"/>
      <c r="AI1366" s="19"/>
      <c r="AJ1366" s="19">
        <v>8.0500000000000007</v>
      </c>
      <c r="AK1366" s="19"/>
      <c r="AL1366" s="19"/>
      <c r="AM1366" s="19"/>
      <c r="AN1366" s="19"/>
      <c r="AO1366" s="19"/>
      <c r="AP1366" s="94">
        <v>4.2</v>
      </c>
      <c r="AQ1366" s="19">
        <v>27</v>
      </c>
      <c r="AR1366" s="19"/>
      <c r="AS1366" s="19"/>
      <c r="AT1366" s="65" t="str">
        <f t="shared" si="441"/>
        <v>Y</v>
      </c>
      <c r="AU1366" s="65" t="str">
        <f t="shared" si="443"/>
        <v>Y</v>
      </c>
      <c r="AV1366" s="65" t="str">
        <f t="shared" si="444"/>
        <v>Y</v>
      </c>
      <c r="AW1366" s="99"/>
      <c r="AX1366" s="99"/>
      <c r="AY1366" s="19"/>
      <c r="AZ1366" s="96" t="str">
        <f t="shared" si="445"/>
        <v>EC50</v>
      </c>
      <c r="BA1366" s="96">
        <f>IF(AZ1366="n","n",VLOOKUP(AZ1366,'Conversion factors'!$C$4:$D$24,2,FALSE))</f>
        <v>5</v>
      </c>
      <c r="BB1366" s="96">
        <f t="shared" si="446"/>
        <v>120.6</v>
      </c>
      <c r="BC1366" s="97"/>
      <c r="BD1366" s="96" t="str">
        <f t="shared" si="442"/>
        <v>Chronic</v>
      </c>
      <c r="BE1366" s="96" t="str">
        <f t="shared" si="447"/>
        <v>y</v>
      </c>
      <c r="BF1366" s="98" t="str">
        <f t="shared" si="430"/>
        <v>EC50</v>
      </c>
      <c r="BG1366" s="96" t="str">
        <f>IF(BF1366="","",IF(ISNUMBER(VLOOKUP(BF1366,'Conversion factors'!$B$35:$C$52,2,FALSE)),"y","n"))</f>
        <v>n</v>
      </c>
      <c r="BH1366" s="99"/>
      <c r="BI1366" s="103"/>
      <c r="BJ1366" s="103"/>
    </row>
    <row r="1367" spans="1:62" ht="15.95" customHeight="1" x14ac:dyDescent="0.2">
      <c r="A1367" s="18"/>
      <c r="B1367" s="19"/>
      <c r="C1367" s="19"/>
      <c r="D1367" s="19"/>
      <c r="E1367" s="19"/>
      <c r="F1367" s="93">
        <v>2022</v>
      </c>
      <c r="G1367" s="19" t="s">
        <v>1654</v>
      </c>
      <c r="H1367" s="19" t="s">
        <v>1658</v>
      </c>
      <c r="I1367" s="19" t="s">
        <v>1667</v>
      </c>
      <c r="J1367" s="19" t="s">
        <v>567</v>
      </c>
      <c r="K1367" s="19" t="s">
        <v>42</v>
      </c>
      <c r="L1367" s="19" t="s">
        <v>43</v>
      </c>
      <c r="M1367" s="19" t="s">
        <v>1303</v>
      </c>
      <c r="N1367" s="19" t="s">
        <v>109</v>
      </c>
      <c r="O1367" s="19" t="s">
        <v>1649</v>
      </c>
      <c r="P1367" s="19" t="s">
        <v>1650</v>
      </c>
      <c r="Q1367" s="19"/>
      <c r="R1367" s="19" t="s">
        <v>81</v>
      </c>
      <c r="S1367" s="19" t="s">
        <v>1651</v>
      </c>
      <c r="T1367" s="19" t="s">
        <v>44</v>
      </c>
      <c r="U1367" s="19" t="s">
        <v>44</v>
      </c>
      <c r="V1367" s="19">
        <v>3</v>
      </c>
      <c r="W1367" s="19" t="s">
        <v>45</v>
      </c>
      <c r="X1367" s="19" t="s">
        <v>46</v>
      </c>
      <c r="Y1367" s="29"/>
      <c r="Z1367" s="19"/>
      <c r="AA1367" s="19"/>
      <c r="AB1367" s="19">
        <v>280</v>
      </c>
      <c r="AC1367" s="19" t="s">
        <v>214</v>
      </c>
      <c r="AD1367" s="19"/>
      <c r="AE1367" s="19">
        <v>355</v>
      </c>
      <c r="AF1367" s="19"/>
      <c r="AG1367" s="19"/>
      <c r="AH1367" s="19"/>
      <c r="AI1367" s="19"/>
      <c r="AJ1367" s="19">
        <v>8.1999999999999993</v>
      </c>
      <c r="AK1367" s="19"/>
      <c r="AL1367" s="19"/>
      <c r="AM1367" s="19"/>
      <c r="AN1367" s="19"/>
      <c r="AO1367" s="19"/>
      <c r="AP1367" s="94">
        <v>4.2</v>
      </c>
      <c r="AQ1367" s="19">
        <v>27</v>
      </c>
      <c r="AR1367" s="19"/>
      <c r="AS1367" s="19"/>
      <c r="AT1367" s="65" t="str">
        <f t="shared" si="441"/>
        <v>Y</v>
      </c>
      <c r="AU1367" s="65" t="str">
        <f t="shared" si="443"/>
        <v>Y</v>
      </c>
      <c r="AV1367" s="65" t="str">
        <f t="shared" si="444"/>
        <v>Y</v>
      </c>
      <c r="AW1367" s="99"/>
      <c r="AX1367" s="99"/>
      <c r="AY1367" s="19"/>
      <c r="AZ1367" s="96" t="str">
        <f t="shared" si="445"/>
        <v>EC50</v>
      </c>
      <c r="BA1367" s="96">
        <f>IF(AZ1367="n","n",VLOOKUP(AZ1367,'Conversion factors'!$C$4:$D$24,2,FALSE))</f>
        <v>5</v>
      </c>
      <c r="BB1367" s="96">
        <f t="shared" si="446"/>
        <v>56</v>
      </c>
      <c r="BC1367" s="97"/>
      <c r="BD1367" s="96" t="str">
        <f t="shared" si="442"/>
        <v>Chronic</v>
      </c>
      <c r="BE1367" s="96" t="str">
        <f t="shared" si="447"/>
        <v>y</v>
      </c>
      <c r="BF1367" s="98" t="str">
        <f t="shared" si="430"/>
        <v>EC50</v>
      </c>
      <c r="BG1367" s="96" t="str">
        <f>IF(BF1367="","",IF(ISNUMBER(VLOOKUP(BF1367,'Conversion factors'!$B$35:$C$52,2,FALSE)),"y","n"))</f>
        <v>n</v>
      </c>
      <c r="BH1367" s="99"/>
      <c r="BI1367" s="103"/>
      <c r="BJ1367" s="103"/>
    </row>
    <row r="1368" spans="1:62" ht="15.95" customHeight="1" x14ac:dyDescent="0.2">
      <c r="A1368" s="18"/>
      <c r="B1368" s="19"/>
      <c r="C1368" s="19"/>
      <c r="D1368" s="19"/>
      <c r="E1368" s="19"/>
      <c r="F1368" s="93">
        <v>2022</v>
      </c>
      <c r="G1368" s="19" t="s">
        <v>1654</v>
      </c>
      <c r="H1368" s="19" t="s">
        <v>1658</v>
      </c>
      <c r="I1368" s="19" t="s">
        <v>1662</v>
      </c>
      <c r="J1368" s="19" t="s">
        <v>567</v>
      </c>
      <c r="K1368" s="19" t="s">
        <v>42</v>
      </c>
      <c r="L1368" s="19" t="s">
        <v>43</v>
      </c>
      <c r="M1368" s="19" t="s">
        <v>1303</v>
      </c>
      <c r="N1368" s="19" t="s">
        <v>109</v>
      </c>
      <c r="O1368" s="19" t="s">
        <v>1649</v>
      </c>
      <c r="P1368" s="19" t="s">
        <v>1650</v>
      </c>
      <c r="Q1368" s="19"/>
      <c r="R1368" s="19" t="s">
        <v>81</v>
      </c>
      <c r="S1368" s="19" t="s">
        <v>1651</v>
      </c>
      <c r="T1368" s="19" t="s">
        <v>44</v>
      </c>
      <c r="U1368" s="19" t="s">
        <v>44</v>
      </c>
      <c r="V1368" s="19">
        <v>3</v>
      </c>
      <c r="W1368" s="19" t="s">
        <v>45</v>
      </c>
      <c r="X1368" s="19" t="s">
        <v>46</v>
      </c>
      <c r="Y1368" s="29"/>
      <c r="Z1368" s="19"/>
      <c r="AA1368" s="19"/>
      <c r="AB1368" s="19">
        <v>337</v>
      </c>
      <c r="AC1368" s="19" t="s">
        <v>214</v>
      </c>
      <c r="AD1368" s="19"/>
      <c r="AE1368" s="19">
        <v>89</v>
      </c>
      <c r="AF1368" s="19"/>
      <c r="AG1368" s="19"/>
      <c r="AH1368" s="19"/>
      <c r="AI1368" s="19"/>
      <c r="AJ1368" s="19">
        <v>7.42</v>
      </c>
      <c r="AK1368" s="19"/>
      <c r="AL1368" s="19"/>
      <c r="AM1368" s="19"/>
      <c r="AN1368" s="19"/>
      <c r="AO1368" s="19"/>
      <c r="AP1368" s="94">
        <v>20</v>
      </c>
      <c r="AQ1368" s="19">
        <v>27</v>
      </c>
      <c r="AR1368" s="19"/>
      <c r="AS1368" s="19"/>
      <c r="AT1368" s="65" t="str">
        <f t="shared" si="441"/>
        <v>Y</v>
      </c>
      <c r="AU1368" s="65" t="str">
        <f t="shared" si="443"/>
        <v>Y</v>
      </c>
      <c r="AV1368" s="65" t="str">
        <f t="shared" si="444"/>
        <v>Y</v>
      </c>
      <c r="AW1368" s="99"/>
      <c r="AX1368" s="99"/>
      <c r="AY1368" s="19"/>
      <c r="AZ1368" s="96" t="str">
        <f t="shared" si="445"/>
        <v>EC50</v>
      </c>
      <c r="BA1368" s="96">
        <f>IF(AZ1368="n","n",VLOOKUP(AZ1368,'Conversion factors'!$C$4:$D$24,2,FALSE))</f>
        <v>5</v>
      </c>
      <c r="BB1368" s="96">
        <f t="shared" si="446"/>
        <v>67.400000000000006</v>
      </c>
      <c r="BC1368" s="97"/>
      <c r="BD1368" s="96" t="str">
        <f t="shared" si="442"/>
        <v>Chronic</v>
      </c>
      <c r="BE1368" s="96" t="str">
        <f t="shared" si="447"/>
        <v>y</v>
      </c>
      <c r="BF1368" s="98" t="str">
        <f t="shared" si="430"/>
        <v>EC50</v>
      </c>
      <c r="BG1368" s="96" t="str">
        <f>IF(BF1368="","",IF(ISNUMBER(VLOOKUP(BF1368,'Conversion factors'!$B$35:$C$52,2,FALSE)),"y","n"))</f>
        <v>n</v>
      </c>
      <c r="BH1368" s="99"/>
      <c r="BI1368" s="103"/>
      <c r="BJ1368" s="103"/>
    </row>
    <row r="1369" spans="1:62" ht="15.95" customHeight="1" x14ac:dyDescent="0.2">
      <c r="A1369" s="18"/>
      <c r="B1369" s="19"/>
      <c r="C1369" s="19"/>
      <c r="D1369" s="19"/>
      <c r="E1369" s="19"/>
      <c r="F1369" s="93">
        <v>2022</v>
      </c>
      <c r="G1369" s="19" t="s">
        <v>1654</v>
      </c>
      <c r="H1369" s="19" t="s">
        <v>1658</v>
      </c>
      <c r="I1369" s="19" t="s">
        <v>1668</v>
      </c>
      <c r="J1369" s="19" t="s">
        <v>567</v>
      </c>
      <c r="K1369" s="19" t="s">
        <v>42</v>
      </c>
      <c r="L1369" s="19" t="s">
        <v>43</v>
      </c>
      <c r="M1369" s="19" t="s">
        <v>1303</v>
      </c>
      <c r="N1369" s="19" t="s">
        <v>109</v>
      </c>
      <c r="O1369" s="19" t="s">
        <v>1649</v>
      </c>
      <c r="P1369" s="19" t="s">
        <v>1650</v>
      </c>
      <c r="Q1369" s="19"/>
      <c r="R1369" s="19" t="s">
        <v>81</v>
      </c>
      <c r="S1369" s="19" t="s">
        <v>1651</v>
      </c>
      <c r="T1369" s="19" t="s">
        <v>44</v>
      </c>
      <c r="U1369" s="19" t="s">
        <v>44</v>
      </c>
      <c r="V1369" s="19">
        <v>3</v>
      </c>
      <c r="W1369" s="19" t="s">
        <v>45</v>
      </c>
      <c r="X1369" s="19" t="s">
        <v>46</v>
      </c>
      <c r="Y1369" s="29"/>
      <c r="Z1369" s="19"/>
      <c r="AA1369" s="19"/>
      <c r="AB1369" s="19">
        <v>254</v>
      </c>
      <c r="AC1369" s="19" t="s">
        <v>214</v>
      </c>
      <c r="AD1369" s="19"/>
      <c r="AE1369" s="19">
        <v>89</v>
      </c>
      <c r="AF1369" s="19"/>
      <c r="AG1369" s="19"/>
      <c r="AH1369" s="19"/>
      <c r="AI1369" s="19"/>
      <c r="AJ1369" s="19">
        <v>8</v>
      </c>
      <c r="AK1369" s="19"/>
      <c r="AL1369" s="19"/>
      <c r="AM1369" s="19"/>
      <c r="AN1369" s="19"/>
      <c r="AO1369" s="19"/>
      <c r="AP1369" s="94">
        <v>20</v>
      </c>
      <c r="AQ1369" s="19">
        <v>27</v>
      </c>
      <c r="AR1369" s="19"/>
      <c r="AS1369" s="19"/>
      <c r="AT1369" s="65" t="str">
        <f t="shared" si="441"/>
        <v>Y</v>
      </c>
      <c r="AU1369" s="65" t="str">
        <f t="shared" si="443"/>
        <v>Y</v>
      </c>
      <c r="AV1369" s="65" t="str">
        <f t="shared" si="444"/>
        <v>Y</v>
      </c>
      <c r="AW1369" s="99"/>
      <c r="AX1369" s="99"/>
      <c r="AY1369" s="19"/>
      <c r="AZ1369" s="96" t="str">
        <f t="shared" si="445"/>
        <v>EC50</v>
      </c>
      <c r="BA1369" s="96">
        <f>IF(AZ1369="n","n",VLOOKUP(AZ1369,'Conversion factors'!$C$4:$D$24,2,FALSE))</f>
        <v>5</v>
      </c>
      <c r="BB1369" s="96">
        <f t="shared" si="446"/>
        <v>50.8</v>
      </c>
      <c r="BC1369" s="97"/>
      <c r="BD1369" s="96" t="str">
        <f t="shared" si="442"/>
        <v>Chronic</v>
      </c>
      <c r="BE1369" s="96" t="str">
        <f t="shared" si="447"/>
        <v>y</v>
      </c>
      <c r="BF1369" s="98" t="str">
        <f t="shared" si="430"/>
        <v>EC50</v>
      </c>
      <c r="BG1369" s="96" t="str">
        <f>IF(BF1369="","",IF(ISNUMBER(VLOOKUP(BF1369,'Conversion factors'!$B$35:$C$52,2,FALSE)),"y","n"))</f>
        <v>n</v>
      </c>
      <c r="BH1369" s="99"/>
      <c r="BI1369" s="103"/>
      <c r="BJ1369" s="103"/>
    </row>
    <row r="1370" spans="1:62" ht="15.95" customHeight="1" x14ac:dyDescent="0.2">
      <c r="A1370" s="18"/>
      <c r="B1370" s="19"/>
      <c r="C1370" s="19"/>
      <c r="D1370" s="19"/>
      <c r="E1370" s="19"/>
      <c r="F1370" s="93">
        <v>2022</v>
      </c>
      <c r="G1370" s="19" t="s">
        <v>1654</v>
      </c>
      <c r="H1370" s="19" t="s">
        <v>1658</v>
      </c>
      <c r="I1370" s="19" t="s">
        <v>1663</v>
      </c>
      <c r="J1370" s="19" t="s">
        <v>567</v>
      </c>
      <c r="K1370" s="19" t="s">
        <v>42</v>
      </c>
      <c r="L1370" s="19" t="s">
        <v>43</v>
      </c>
      <c r="M1370" s="19" t="s">
        <v>1303</v>
      </c>
      <c r="N1370" s="19" t="s">
        <v>109</v>
      </c>
      <c r="O1370" s="19" t="s">
        <v>1649</v>
      </c>
      <c r="P1370" s="19" t="s">
        <v>1650</v>
      </c>
      <c r="Q1370" s="19"/>
      <c r="R1370" s="19" t="s">
        <v>81</v>
      </c>
      <c r="S1370" s="19" t="s">
        <v>1651</v>
      </c>
      <c r="T1370" s="19" t="s">
        <v>44</v>
      </c>
      <c r="U1370" s="19" t="s">
        <v>44</v>
      </c>
      <c r="V1370" s="19">
        <v>3</v>
      </c>
      <c r="W1370" s="19" t="s">
        <v>45</v>
      </c>
      <c r="X1370" s="19" t="s">
        <v>46</v>
      </c>
      <c r="Y1370" s="29"/>
      <c r="Z1370" s="19"/>
      <c r="AA1370" s="19"/>
      <c r="AB1370" s="19">
        <v>84</v>
      </c>
      <c r="AC1370" s="19" t="s">
        <v>214</v>
      </c>
      <c r="AD1370" s="19"/>
      <c r="AE1370" s="19">
        <v>3</v>
      </c>
      <c r="AF1370" s="19"/>
      <c r="AG1370" s="19"/>
      <c r="AH1370" s="19"/>
      <c r="AI1370" s="19"/>
      <c r="AJ1370" s="19">
        <v>6.38</v>
      </c>
      <c r="AK1370" s="19"/>
      <c r="AL1370" s="19"/>
      <c r="AM1370" s="19"/>
      <c r="AN1370" s="19"/>
      <c r="AO1370" s="19"/>
      <c r="AP1370" s="94">
        <v>6</v>
      </c>
      <c r="AQ1370" s="19">
        <v>27</v>
      </c>
      <c r="AR1370" s="19"/>
      <c r="AS1370" s="19"/>
      <c r="AT1370" s="65" t="str">
        <f t="shared" si="441"/>
        <v>Y</v>
      </c>
      <c r="AU1370" s="65" t="str">
        <f t="shared" si="443"/>
        <v>Y</v>
      </c>
      <c r="AV1370" s="65" t="str">
        <f t="shared" si="444"/>
        <v>Y</v>
      </c>
      <c r="AW1370" s="99"/>
      <c r="AX1370" s="99"/>
      <c r="AY1370" s="19"/>
      <c r="AZ1370" s="96" t="str">
        <f t="shared" si="445"/>
        <v>EC50</v>
      </c>
      <c r="BA1370" s="96">
        <f>IF(AZ1370="n","n",VLOOKUP(AZ1370,'Conversion factors'!$C$4:$D$24,2,FALSE))</f>
        <v>5</v>
      </c>
      <c r="BB1370" s="96">
        <f t="shared" si="446"/>
        <v>16.8</v>
      </c>
      <c r="BC1370" s="97"/>
      <c r="BD1370" s="96" t="str">
        <f t="shared" si="442"/>
        <v>Chronic</v>
      </c>
      <c r="BE1370" s="96" t="str">
        <f t="shared" si="447"/>
        <v>y</v>
      </c>
      <c r="BF1370" s="98" t="str">
        <f t="shared" si="430"/>
        <v>EC50</v>
      </c>
      <c r="BG1370" s="96" t="str">
        <f>IF(BF1370="","",IF(ISNUMBER(VLOOKUP(BF1370,'Conversion factors'!$B$35:$C$52,2,FALSE)),"y","n"))</f>
        <v>n</v>
      </c>
      <c r="BH1370" s="99"/>
      <c r="BI1370" s="103"/>
      <c r="BJ1370" s="103"/>
    </row>
    <row r="1371" spans="1:62" ht="15.95" customHeight="1" x14ac:dyDescent="0.2">
      <c r="A1371" s="18"/>
      <c r="B1371" s="19"/>
      <c r="C1371" s="19"/>
      <c r="D1371" s="19"/>
      <c r="E1371" s="19"/>
      <c r="F1371" s="93">
        <v>2022</v>
      </c>
      <c r="G1371" s="19" t="s">
        <v>1654</v>
      </c>
      <c r="H1371" s="19" t="s">
        <v>1658</v>
      </c>
      <c r="I1371" s="19" t="s">
        <v>1669</v>
      </c>
      <c r="J1371" s="19" t="s">
        <v>567</v>
      </c>
      <c r="K1371" s="19" t="s">
        <v>42</v>
      </c>
      <c r="L1371" s="19" t="s">
        <v>43</v>
      </c>
      <c r="M1371" s="19" t="s">
        <v>1303</v>
      </c>
      <c r="N1371" s="19" t="s">
        <v>109</v>
      </c>
      <c r="O1371" s="19" t="s">
        <v>1649</v>
      </c>
      <c r="P1371" s="19" t="s">
        <v>1650</v>
      </c>
      <c r="Q1371" s="19"/>
      <c r="R1371" s="19" t="s">
        <v>81</v>
      </c>
      <c r="S1371" s="19" t="s">
        <v>1651</v>
      </c>
      <c r="T1371" s="19" t="s">
        <v>44</v>
      </c>
      <c r="U1371" s="19" t="s">
        <v>44</v>
      </c>
      <c r="V1371" s="19">
        <v>3</v>
      </c>
      <c r="W1371" s="19" t="s">
        <v>45</v>
      </c>
      <c r="X1371" s="19" t="s">
        <v>46</v>
      </c>
      <c r="Y1371" s="29"/>
      <c r="Z1371" s="19"/>
      <c r="AA1371" s="19"/>
      <c r="AB1371" s="19">
        <v>66</v>
      </c>
      <c r="AC1371" s="19" t="s">
        <v>214</v>
      </c>
      <c r="AD1371" s="19"/>
      <c r="AE1371" s="19">
        <v>3</v>
      </c>
      <c r="AF1371" s="19"/>
      <c r="AG1371" s="19"/>
      <c r="AH1371" s="19"/>
      <c r="AI1371" s="19"/>
      <c r="AJ1371" s="19">
        <v>6.7</v>
      </c>
      <c r="AK1371" s="19"/>
      <c r="AL1371" s="19"/>
      <c r="AM1371" s="19"/>
      <c r="AN1371" s="19"/>
      <c r="AO1371" s="19"/>
      <c r="AP1371" s="94">
        <v>6</v>
      </c>
      <c r="AQ1371" s="19">
        <v>27</v>
      </c>
      <c r="AR1371" s="19"/>
      <c r="AS1371" s="19"/>
      <c r="AT1371" s="65" t="str">
        <f t="shared" si="441"/>
        <v>Y</v>
      </c>
      <c r="AU1371" s="65" t="str">
        <f t="shared" si="443"/>
        <v>Y</v>
      </c>
      <c r="AV1371" s="65" t="str">
        <f t="shared" si="444"/>
        <v>Y</v>
      </c>
      <c r="AW1371" s="99"/>
      <c r="AX1371" s="99"/>
      <c r="AY1371" s="19"/>
      <c r="AZ1371" s="96" t="str">
        <f t="shared" si="445"/>
        <v>EC50</v>
      </c>
      <c r="BA1371" s="96">
        <f>IF(AZ1371="n","n",VLOOKUP(AZ1371,'Conversion factors'!$C$4:$D$24,2,FALSE))</f>
        <v>5</v>
      </c>
      <c r="BB1371" s="96">
        <f t="shared" si="446"/>
        <v>13.2</v>
      </c>
      <c r="BC1371" s="97"/>
      <c r="BD1371" s="96" t="str">
        <f t="shared" si="442"/>
        <v>Chronic</v>
      </c>
      <c r="BE1371" s="96" t="str">
        <f t="shared" si="447"/>
        <v>y</v>
      </c>
      <c r="BF1371" s="98" t="str">
        <f t="shared" si="430"/>
        <v>EC50</v>
      </c>
      <c r="BG1371" s="96" t="str">
        <f>IF(BF1371="","",IF(ISNUMBER(VLOOKUP(BF1371,'Conversion factors'!$B$35:$C$52,2,FALSE)),"y","n"))</f>
        <v>n</v>
      </c>
      <c r="BH1371" s="99"/>
      <c r="BI1371" s="103"/>
      <c r="BJ1371" s="103"/>
    </row>
    <row r="1372" spans="1:62" ht="15.95" customHeight="1" x14ac:dyDescent="0.2">
      <c r="A1372" s="18"/>
      <c r="B1372" s="19"/>
      <c r="C1372" s="19"/>
      <c r="D1372" s="19"/>
      <c r="E1372" s="19"/>
      <c r="F1372" s="93">
        <v>2022</v>
      </c>
      <c r="G1372" s="19" t="s">
        <v>1654</v>
      </c>
      <c r="H1372" s="19" t="s">
        <v>1658</v>
      </c>
      <c r="I1372" s="19" t="s">
        <v>1664</v>
      </c>
      <c r="J1372" s="19" t="s">
        <v>567</v>
      </c>
      <c r="K1372" s="19" t="s">
        <v>42</v>
      </c>
      <c r="L1372" s="19" t="s">
        <v>43</v>
      </c>
      <c r="M1372" s="19" t="s">
        <v>1303</v>
      </c>
      <c r="N1372" s="19" t="s">
        <v>109</v>
      </c>
      <c r="O1372" s="19" t="s">
        <v>1649</v>
      </c>
      <c r="P1372" s="19" t="s">
        <v>1650</v>
      </c>
      <c r="Q1372" s="19"/>
      <c r="R1372" s="19" t="s">
        <v>81</v>
      </c>
      <c r="S1372" s="19" t="s">
        <v>1651</v>
      </c>
      <c r="T1372" s="19" t="s">
        <v>44</v>
      </c>
      <c r="U1372" s="19" t="s">
        <v>44</v>
      </c>
      <c r="V1372" s="19">
        <v>3</v>
      </c>
      <c r="W1372" s="19" t="s">
        <v>45</v>
      </c>
      <c r="X1372" s="19" t="s">
        <v>46</v>
      </c>
      <c r="Y1372" s="29"/>
      <c r="Z1372" s="19"/>
      <c r="AA1372" s="19"/>
      <c r="AB1372" s="19">
        <v>66</v>
      </c>
      <c r="AC1372" s="19" t="s">
        <v>214</v>
      </c>
      <c r="AD1372" s="19"/>
      <c r="AE1372" s="19">
        <v>11</v>
      </c>
      <c r="AF1372" s="19"/>
      <c r="AG1372" s="19"/>
      <c r="AH1372" s="19"/>
      <c r="AI1372" s="19"/>
      <c r="AJ1372" s="19">
        <v>7.47</v>
      </c>
      <c r="AK1372" s="19"/>
      <c r="AL1372" s="19"/>
      <c r="AM1372" s="19"/>
      <c r="AN1372" s="19"/>
      <c r="AO1372" s="19"/>
      <c r="AP1372" s="94" t="s">
        <v>73</v>
      </c>
      <c r="AQ1372" s="19">
        <v>27</v>
      </c>
      <c r="AR1372" s="19"/>
      <c r="AS1372" s="19"/>
      <c r="AT1372" s="65" t="str">
        <f t="shared" si="441"/>
        <v>Y</v>
      </c>
      <c r="AU1372" s="65" t="str">
        <f t="shared" si="443"/>
        <v>Y</v>
      </c>
      <c r="AV1372" s="65" t="str">
        <f t="shared" si="444"/>
        <v>Y</v>
      </c>
      <c r="AW1372" s="99"/>
      <c r="AX1372" s="99"/>
      <c r="AY1372" s="19"/>
      <c r="AZ1372" s="96" t="str">
        <f t="shared" si="445"/>
        <v>EC50</v>
      </c>
      <c r="BA1372" s="96">
        <f>IF(AZ1372="n","n",VLOOKUP(AZ1372,'Conversion factors'!$C$4:$D$24,2,FALSE))</f>
        <v>5</v>
      </c>
      <c r="BB1372" s="96">
        <f t="shared" si="446"/>
        <v>13.2</v>
      </c>
      <c r="BC1372" s="97"/>
      <c r="BD1372" s="96" t="str">
        <f t="shared" si="442"/>
        <v>Chronic</v>
      </c>
      <c r="BE1372" s="96" t="str">
        <f t="shared" si="447"/>
        <v>y</v>
      </c>
      <c r="BF1372" s="98" t="str">
        <f t="shared" si="430"/>
        <v>EC50</v>
      </c>
      <c r="BG1372" s="96" t="str">
        <f>IF(BF1372="","",IF(ISNUMBER(VLOOKUP(BF1372,'Conversion factors'!$B$35:$C$52,2,FALSE)),"y","n"))</f>
        <v>n</v>
      </c>
      <c r="BH1372" s="99"/>
      <c r="BI1372" s="103"/>
      <c r="BJ1372" s="103"/>
    </row>
    <row r="1373" spans="1:62" ht="15.95" customHeight="1" x14ac:dyDescent="0.2">
      <c r="A1373" s="18"/>
      <c r="B1373" s="19"/>
      <c r="C1373" s="19"/>
      <c r="D1373" s="19"/>
      <c r="E1373" s="19"/>
      <c r="F1373" s="93">
        <v>2022</v>
      </c>
      <c r="G1373" s="19" t="s">
        <v>1654</v>
      </c>
      <c r="H1373" s="19" t="s">
        <v>1658</v>
      </c>
      <c r="I1373" s="19" t="s">
        <v>1670</v>
      </c>
      <c r="J1373" s="19" t="s">
        <v>567</v>
      </c>
      <c r="K1373" s="19" t="s">
        <v>42</v>
      </c>
      <c r="L1373" s="19" t="s">
        <v>43</v>
      </c>
      <c r="M1373" s="19" t="s">
        <v>1303</v>
      </c>
      <c r="N1373" s="19" t="s">
        <v>109</v>
      </c>
      <c r="O1373" s="19" t="s">
        <v>1649</v>
      </c>
      <c r="P1373" s="19" t="s">
        <v>1650</v>
      </c>
      <c r="Q1373" s="19"/>
      <c r="R1373" s="19" t="s">
        <v>81</v>
      </c>
      <c r="S1373" s="19" t="s">
        <v>1651</v>
      </c>
      <c r="T1373" s="19" t="s">
        <v>44</v>
      </c>
      <c r="U1373" s="19" t="s">
        <v>44</v>
      </c>
      <c r="V1373" s="19">
        <v>3</v>
      </c>
      <c r="W1373" s="19" t="s">
        <v>45</v>
      </c>
      <c r="X1373" s="19" t="s">
        <v>46</v>
      </c>
      <c r="Y1373" s="29"/>
      <c r="Z1373" s="19"/>
      <c r="AA1373" s="19"/>
      <c r="AB1373" s="19">
        <v>42</v>
      </c>
      <c r="AC1373" s="19" t="s">
        <v>214</v>
      </c>
      <c r="AD1373" s="19"/>
      <c r="AE1373" s="19">
        <v>11</v>
      </c>
      <c r="AF1373" s="19"/>
      <c r="AG1373" s="19"/>
      <c r="AH1373" s="19"/>
      <c r="AI1373" s="19"/>
      <c r="AJ1373" s="19">
        <v>7.7</v>
      </c>
      <c r="AK1373" s="19"/>
      <c r="AL1373" s="19"/>
      <c r="AM1373" s="19"/>
      <c r="AN1373" s="19"/>
      <c r="AO1373" s="19"/>
      <c r="AP1373" s="94" t="s">
        <v>73</v>
      </c>
      <c r="AQ1373" s="19">
        <v>27</v>
      </c>
      <c r="AR1373" s="19"/>
      <c r="AS1373" s="19"/>
      <c r="AT1373" s="65" t="str">
        <f t="shared" si="441"/>
        <v>Y</v>
      </c>
      <c r="AU1373" s="65" t="str">
        <f t="shared" si="443"/>
        <v>Y</v>
      </c>
      <c r="AV1373" s="65" t="str">
        <f t="shared" si="444"/>
        <v>Y</v>
      </c>
      <c r="AW1373" s="99"/>
      <c r="AX1373" s="99"/>
      <c r="AY1373" s="19"/>
      <c r="AZ1373" s="96" t="str">
        <f t="shared" si="445"/>
        <v>EC50</v>
      </c>
      <c r="BA1373" s="96">
        <f>IF(AZ1373="n","n",VLOOKUP(AZ1373,'Conversion factors'!$C$4:$D$24,2,FALSE))</f>
        <v>5</v>
      </c>
      <c r="BB1373" s="96">
        <f t="shared" si="446"/>
        <v>8.4</v>
      </c>
      <c r="BC1373" s="97"/>
      <c r="BD1373" s="96" t="str">
        <f t="shared" si="442"/>
        <v>Chronic</v>
      </c>
      <c r="BE1373" s="96" t="str">
        <f t="shared" si="447"/>
        <v>y</v>
      </c>
      <c r="BF1373" s="98" t="str">
        <f t="shared" si="430"/>
        <v>EC50</v>
      </c>
      <c r="BG1373" s="96" t="str">
        <f>IF(BF1373="","",IF(ISNUMBER(VLOOKUP(BF1373,'Conversion factors'!$B$35:$C$52,2,FALSE)),"y","n"))</f>
        <v>n</v>
      </c>
      <c r="BH1373" s="99"/>
      <c r="BI1373" s="103"/>
      <c r="BJ1373" s="103"/>
    </row>
    <row r="1374" spans="1:62" ht="15.95" customHeight="1" x14ac:dyDescent="0.2">
      <c r="A1374" s="18"/>
      <c r="B1374" s="19"/>
      <c r="C1374" s="19"/>
      <c r="D1374" s="19"/>
      <c r="E1374" s="19"/>
      <c r="F1374" s="93">
        <v>2022</v>
      </c>
      <c r="G1374" s="19" t="s">
        <v>1654</v>
      </c>
      <c r="H1374" s="19" t="s">
        <v>1658</v>
      </c>
      <c r="I1374" s="19" t="s">
        <v>1672</v>
      </c>
      <c r="J1374" s="19" t="s">
        <v>567</v>
      </c>
      <c r="K1374" s="19" t="s">
        <v>42</v>
      </c>
      <c r="L1374" s="19" t="s">
        <v>43</v>
      </c>
      <c r="M1374" s="19" t="s">
        <v>1303</v>
      </c>
      <c r="N1374" s="19" t="s">
        <v>109</v>
      </c>
      <c r="O1374" s="19" t="s">
        <v>1649</v>
      </c>
      <c r="P1374" s="19" t="s">
        <v>1650</v>
      </c>
      <c r="Q1374" s="19"/>
      <c r="R1374" s="19" t="s">
        <v>81</v>
      </c>
      <c r="S1374" s="19" t="s">
        <v>1651</v>
      </c>
      <c r="T1374" s="19" t="s">
        <v>44</v>
      </c>
      <c r="U1374" s="19" t="s">
        <v>44</v>
      </c>
      <c r="V1374" s="19">
        <v>3</v>
      </c>
      <c r="W1374" s="19" t="s">
        <v>45</v>
      </c>
      <c r="X1374" s="19" t="s">
        <v>46</v>
      </c>
      <c r="Y1374" s="29"/>
      <c r="Z1374" s="19"/>
      <c r="AA1374" s="19"/>
      <c r="AB1374" s="19">
        <v>50</v>
      </c>
      <c r="AC1374" s="19" t="s">
        <v>214</v>
      </c>
      <c r="AD1374" s="19"/>
      <c r="AE1374" s="19">
        <v>11</v>
      </c>
      <c r="AF1374" s="19"/>
      <c r="AG1374" s="19"/>
      <c r="AH1374" s="19"/>
      <c r="AI1374" s="19"/>
      <c r="AJ1374" s="19">
        <v>8.01</v>
      </c>
      <c r="AK1374" s="19"/>
      <c r="AL1374" s="19"/>
      <c r="AM1374" s="19"/>
      <c r="AN1374" s="19"/>
      <c r="AO1374" s="19"/>
      <c r="AP1374" s="94" t="s">
        <v>73</v>
      </c>
      <c r="AQ1374" s="19">
        <v>27</v>
      </c>
      <c r="AR1374" s="19"/>
      <c r="AS1374" s="19"/>
      <c r="AT1374" s="65" t="str">
        <f t="shared" si="441"/>
        <v>Y</v>
      </c>
      <c r="AU1374" s="65" t="str">
        <f t="shared" si="443"/>
        <v>Y</v>
      </c>
      <c r="AV1374" s="65" t="str">
        <f t="shared" si="444"/>
        <v>Y</v>
      </c>
      <c r="AW1374" s="99"/>
      <c r="AX1374" s="99"/>
      <c r="AY1374" s="19"/>
      <c r="AZ1374" s="96" t="str">
        <f t="shared" si="445"/>
        <v>EC50</v>
      </c>
      <c r="BA1374" s="96">
        <f>IF(AZ1374="n","n",VLOOKUP(AZ1374,'Conversion factors'!$C$4:$D$24,2,FALSE))</f>
        <v>5</v>
      </c>
      <c r="BB1374" s="96">
        <f t="shared" si="446"/>
        <v>10</v>
      </c>
      <c r="BC1374" s="97"/>
      <c r="BD1374" s="96" t="str">
        <f t="shared" si="442"/>
        <v>Chronic</v>
      </c>
      <c r="BE1374" s="96" t="str">
        <f t="shared" si="447"/>
        <v>y</v>
      </c>
      <c r="BF1374" s="98" t="str">
        <f t="shared" si="430"/>
        <v>EC50</v>
      </c>
      <c r="BG1374" s="96" t="str">
        <f>IF(BF1374="","",IF(ISNUMBER(VLOOKUP(BF1374,'Conversion factors'!$B$35:$C$52,2,FALSE)),"y","n"))</f>
        <v>n</v>
      </c>
      <c r="BH1374" s="99"/>
      <c r="BI1374" s="103"/>
      <c r="BJ1374" s="103"/>
    </row>
    <row r="1375" spans="1:62" ht="15.95" customHeight="1" x14ac:dyDescent="0.2">
      <c r="A1375" s="18"/>
      <c r="B1375" s="19"/>
      <c r="C1375" s="19"/>
      <c r="D1375" s="19"/>
      <c r="E1375" s="19"/>
      <c r="F1375" s="93">
        <v>2022</v>
      </c>
      <c r="G1375" s="19" t="s">
        <v>1654</v>
      </c>
      <c r="H1375" s="19" t="s">
        <v>1658</v>
      </c>
      <c r="I1375" s="19" t="s">
        <v>1666</v>
      </c>
      <c r="J1375" s="19" t="s">
        <v>567</v>
      </c>
      <c r="K1375" s="19" t="s">
        <v>42</v>
      </c>
      <c r="L1375" s="19" t="s">
        <v>43</v>
      </c>
      <c r="M1375" s="19" t="s">
        <v>1303</v>
      </c>
      <c r="N1375" s="19" t="s">
        <v>109</v>
      </c>
      <c r="O1375" s="19" t="s">
        <v>1649</v>
      </c>
      <c r="P1375" s="19" t="s">
        <v>1650</v>
      </c>
      <c r="Q1375" s="19"/>
      <c r="R1375" s="19" t="s">
        <v>81</v>
      </c>
      <c r="S1375" s="19" t="s">
        <v>1651</v>
      </c>
      <c r="T1375" s="19" t="s">
        <v>44</v>
      </c>
      <c r="U1375" s="19" t="s">
        <v>44</v>
      </c>
      <c r="V1375" s="19">
        <v>3</v>
      </c>
      <c r="W1375" s="19" t="s">
        <v>45</v>
      </c>
      <c r="X1375" s="19" t="s">
        <v>46</v>
      </c>
      <c r="Y1375" s="29"/>
      <c r="Z1375" s="19"/>
      <c r="AA1375" s="19"/>
      <c r="AB1375" s="19">
        <v>467</v>
      </c>
      <c r="AC1375" s="19" t="s">
        <v>214</v>
      </c>
      <c r="AD1375" s="19"/>
      <c r="AE1375" s="19">
        <v>13</v>
      </c>
      <c r="AF1375" s="19"/>
      <c r="AG1375" s="19"/>
      <c r="AH1375" s="19"/>
      <c r="AI1375" s="19"/>
      <c r="AJ1375" s="19">
        <v>6.1</v>
      </c>
      <c r="AK1375" s="19"/>
      <c r="AL1375" s="19"/>
      <c r="AM1375" s="19"/>
      <c r="AN1375" s="19"/>
      <c r="AO1375" s="19"/>
      <c r="AP1375" s="94">
        <v>25</v>
      </c>
      <c r="AQ1375" s="19">
        <v>27</v>
      </c>
      <c r="AR1375" s="19"/>
      <c r="AS1375" s="19"/>
      <c r="AT1375" s="65" t="str">
        <f t="shared" si="441"/>
        <v>Y</v>
      </c>
      <c r="AU1375" s="65" t="str">
        <f t="shared" si="443"/>
        <v>Y</v>
      </c>
      <c r="AV1375" s="65" t="str">
        <f t="shared" si="444"/>
        <v>Y</v>
      </c>
      <c r="AW1375" s="99"/>
      <c r="AX1375" s="99"/>
      <c r="AY1375" s="19"/>
      <c r="AZ1375" s="96" t="str">
        <f t="shared" si="445"/>
        <v>EC50</v>
      </c>
      <c r="BA1375" s="96">
        <f>IF(AZ1375="n","n",VLOOKUP(AZ1375,'Conversion factors'!$C$4:$D$24,2,FALSE))</f>
        <v>5</v>
      </c>
      <c r="BB1375" s="96">
        <f t="shared" si="446"/>
        <v>93.4</v>
      </c>
      <c r="BC1375" s="97"/>
      <c r="BD1375" s="96" t="str">
        <f t="shared" si="442"/>
        <v>Chronic</v>
      </c>
      <c r="BE1375" s="96" t="str">
        <f t="shared" si="447"/>
        <v>y</v>
      </c>
      <c r="BF1375" s="98" t="str">
        <f t="shared" si="430"/>
        <v>EC50</v>
      </c>
      <c r="BG1375" s="96" t="str">
        <f>IF(BF1375="","",IF(ISNUMBER(VLOOKUP(BF1375,'Conversion factors'!$B$35:$C$52,2,FALSE)),"y","n"))</f>
        <v>n</v>
      </c>
      <c r="BH1375" s="99"/>
      <c r="BI1375" s="103"/>
      <c r="BJ1375" s="103"/>
    </row>
    <row r="1376" spans="1:62" ht="15.95" customHeight="1" x14ac:dyDescent="0.2">
      <c r="A1376" s="18"/>
      <c r="B1376" s="19"/>
      <c r="C1376" s="19"/>
      <c r="D1376" s="19"/>
      <c r="E1376" s="19"/>
      <c r="F1376" s="93">
        <v>2022</v>
      </c>
      <c r="G1376" s="19" t="s">
        <v>1654</v>
      </c>
      <c r="H1376" s="19" t="s">
        <v>1658</v>
      </c>
      <c r="I1376" s="19" t="s">
        <v>1665</v>
      </c>
      <c r="J1376" s="19" t="s">
        <v>567</v>
      </c>
      <c r="K1376" s="19" t="s">
        <v>42</v>
      </c>
      <c r="L1376" s="19" t="s">
        <v>43</v>
      </c>
      <c r="M1376" s="19" t="s">
        <v>1303</v>
      </c>
      <c r="N1376" s="19" t="s">
        <v>109</v>
      </c>
      <c r="O1376" s="19" t="s">
        <v>1649</v>
      </c>
      <c r="P1376" s="19" t="s">
        <v>1650</v>
      </c>
      <c r="Q1376" s="19"/>
      <c r="R1376" s="19" t="s">
        <v>81</v>
      </c>
      <c r="S1376" s="19" t="s">
        <v>1651</v>
      </c>
      <c r="T1376" s="19" t="s">
        <v>44</v>
      </c>
      <c r="U1376" s="19" t="s">
        <v>44</v>
      </c>
      <c r="V1376" s="19">
        <v>3</v>
      </c>
      <c r="W1376" s="19" t="s">
        <v>45</v>
      </c>
      <c r="X1376" s="19" t="s">
        <v>46</v>
      </c>
      <c r="Y1376" s="29"/>
      <c r="Z1376" s="19"/>
      <c r="AA1376" s="19"/>
      <c r="AB1376" s="19">
        <v>452</v>
      </c>
      <c r="AC1376" s="19" t="s">
        <v>214</v>
      </c>
      <c r="AD1376" s="19"/>
      <c r="AE1376" s="19">
        <v>18</v>
      </c>
      <c r="AF1376" s="19"/>
      <c r="AG1376" s="19"/>
      <c r="AH1376" s="19"/>
      <c r="AI1376" s="19"/>
      <c r="AJ1376" s="19">
        <v>7.11</v>
      </c>
      <c r="AK1376" s="19"/>
      <c r="AL1376" s="19"/>
      <c r="AM1376" s="19"/>
      <c r="AN1376" s="19"/>
      <c r="AO1376" s="19"/>
      <c r="AP1376" s="94">
        <v>5.3</v>
      </c>
      <c r="AQ1376" s="19">
        <v>27</v>
      </c>
      <c r="AR1376" s="19"/>
      <c r="AS1376" s="19"/>
      <c r="AT1376" s="65" t="str">
        <f t="shared" si="441"/>
        <v>Y</v>
      </c>
      <c r="AU1376" s="65" t="str">
        <f t="shared" si="443"/>
        <v>Y</v>
      </c>
      <c r="AV1376" s="65" t="str">
        <f t="shared" si="444"/>
        <v>Y</v>
      </c>
      <c r="AW1376" s="99"/>
      <c r="AX1376" s="99"/>
      <c r="AY1376" s="19"/>
      <c r="AZ1376" s="96" t="str">
        <f t="shared" si="445"/>
        <v>EC50</v>
      </c>
      <c r="BA1376" s="96">
        <f>IF(AZ1376="n","n",VLOOKUP(AZ1376,'Conversion factors'!$C$4:$D$24,2,FALSE))</f>
        <v>5</v>
      </c>
      <c r="BB1376" s="96">
        <f t="shared" si="446"/>
        <v>90.4</v>
      </c>
      <c r="BC1376" s="97"/>
      <c r="BD1376" s="96" t="str">
        <f t="shared" si="442"/>
        <v>Chronic</v>
      </c>
      <c r="BE1376" s="96" t="str">
        <f t="shared" si="447"/>
        <v>y</v>
      </c>
      <c r="BF1376" s="98" t="str">
        <f t="shared" si="430"/>
        <v>EC50</v>
      </c>
      <c r="BG1376" s="96" t="str">
        <f>IF(BF1376="","",IF(ISNUMBER(VLOOKUP(BF1376,'Conversion factors'!$B$35:$C$52,2,FALSE)),"y","n"))</f>
        <v>n</v>
      </c>
      <c r="BH1376" s="99"/>
      <c r="BI1376" s="103"/>
      <c r="BJ1376" s="103"/>
    </row>
    <row r="1377" spans="1:62" ht="15.95" customHeight="1" x14ac:dyDescent="0.2">
      <c r="A1377" s="18"/>
      <c r="B1377" s="19"/>
      <c r="C1377" s="19"/>
      <c r="D1377" s="19"/>
      <c r="E1377" s="19"/>
      <c r="F1377" s="93">
        <v>2022</v>
      </c>
      <c r="G1377" s="19" t="s">
        <v>1654</v>
      </c>
      <c r="H1377" s="19" t="s">
        <v>1658</v>
      </c>
      <c r="I1377" s="19" t="s">
        <v>1671</v>
      </c>
      <c r="J1377" s="19" t="s">
        <v>567</v>
      </c>
      <c r="K1377" s="19" t="s">
        <v>42</v>
      </c>
      <c r="L1377" s="19" t="s">
        <v>43</v>
      </c>
      <c r="M1377" s="19" t="s">
        <v>1303</v>
      </c>
      <c r="N1377" s="19" t="s">
        <v>109</v>
      </c>
      <c r="O1377" s="19" t="s">
        <v>1649</v>
      </c>
      <c r="P1377" s="19" t="s">
        <v>1650</v>
      </c>
      <c r="Q1377" s="19"/>
      <c r="R1377" s="19" t="s">
        <v>81</v>
      </c>
      <c r="S1377" s="19" t="s">
        <v>1651</v>
      </c>
      <c r="T1377" s="19" t="s">
        <v>44</v>
      </c>
      <c r="U1377" s="19" t="s">
        <v>44</v>
      </c>
      <c r="V1377" s="19">
        <v>3</v>
      </c>
      <c r="W1377" s="19" t="s">
        <v>45</v>
      </c>
      <c r="X1377" s="19" t="s">
        <v>46</v>
      </c>
      <c r="Y1377" s="29"/>
      <c r="Z1377" s="19"/>
      <c r="AA1377" s="19"/>
      <c r="AB1377" s="19">
        <v>257</v>
      </c>
      <c r="AC1377" s="19" t="s">
        <v>214</v>
      </c>
      <c r="AD1377" s="19"/>
      <c r="AE1377" s="19">
        <v>18</v>
      </c>
      <c r="AF1377" s="19"/>
      <c r="AG1377" s="19"/>
      <c r="AH1377" s="19"/>
      <c r="AI1377" s="19"/>
      <c r="AJ1377" s="19">
        <v>7.4</v>
      </c>
      <c r="AK1377" s="19"/>
      <c r="AL1377" s="19"/>
      <c r="AM1377" s="19"/>
      <c r="AN1377" s="19"/>
      <c r="AO1377" s="19"/>
      <c r="AP1377" s="94">
        <v>5.3</v>
      </c>
      <c r="AQ1377" s="19">
        <v>27</v>
      </c>
      <c r="AR1377" s="19"/>
      <c r="AS1377" s="19"/>
      <c r="AT1377" s="65" t="str">
        <f t="shared" si="441"/>
        <v>Y</v>
      </c>
      <c r="AU1377" s="65" t="str">
        <f t="shared" ref="AU1377" si="448">IF(AT1377="N","N",IF(AJ1377&lt;6,"N",IF(AJ1377&gt;8.5,"N","Y")))</f>
        <v>Y</v>
      </c>
      <c r="AV1377" s="65" t="str">
        <f t="shared" ref="AV1377" si="449">AU1377</f>
        <v>Y</v>
      </c>
      <c r="AW1377" s="99"/>
      <c r="AX1377" s="99"/>
      <c r="AY1377" s="19"/>
      <c r="AZ1377" s="96" t="str">
        <f t="shared" ref="AZ1377" si="450">IF(AV1377="N","n",T1377)</f>
        <v>EC50</v>
      </c>
      <c r="BA1377" s="96">
        <f>IF(AZ1377="n","n",VLOOKUP(AZ1377,'Conversion factors'!$C$4:$D$24,2,FALSE))</f>
        <v>5</v>
      </c>
      <c r="BB1377" s="96">
        <f t="shared" ref="BB1377" si="451">IF(BA1377="n","n",AB1377/BA1377)</f>
        <v>51.4</v>
      </c>
      <c r="BC1377" s="97"/>
      <c r="BD1377" s="96" t="str">
        <f t="shared" si="442"/>
        <v>Chronic</v>
      </c>
      <c r="BE1377" s="96" t="str">
        <f t="shared" ref="BE1377" si="452">IF(BD1377="chronic","y","n")</f>
        <v>y</v>
      </c>
      <c r="BF1377" s="98" t="str">
        <f t="shared" si="430"/>
        <v>EC50</v>
      </c>
      <c r="BG1377" s="96" t="str">
        <f>IF(BF1377="","",IF(ISNUMBER(VLOOKUP(BF1377,'Conversion factors'!$B$35:$C$52,2,FALSE)),"y","n"))</f>
        <v>n</v>
      </c>
      <c r="BH1377" s="99"/>
      <c r="BI1377" s="103"/>
      <c r="BJ1377" s="103"/>
    </row>
    <row r="1378" spans="1:62" s="103" customFormat="1" ht="15.95" customHeight="1" x14ac:dyDescent="0.2">
      <c r="A1378" s="18"/>
      <c r="B1378" s="19"/>
      <c r="C1378" s="19"/>
      <c r="D1378" s="19"/>
      <c r="E1378" s="19"/>
      <c r="F1378" s="93">
        <v>2022</v>
      </c>
      <c r="G1378" s="19" t="s">
        <v>1654</v>
      </c>
      <c r="H1378" s="19" t="s">
        <v>1658</v>
      </c>
      <c r="I1378" s="19" t="s">
        <v>1673</v>
      </c>
      <c r="J1378" s="19" t="s">
        <v>63</v>
      </c>
      <c r="K1378" s="19" t="s">
        <v>64</v>
      </c>
      <c r="L1378" s="19" t="s">
        <v>65</v>
      </c>
      <c r="M1378" s="19" t="s">
        <v>260</v>
      </c>
      <c r="N1378" s="19" t="s">
        <v>66</v>
      </c>
      <c r="O1378" s="19" t="s">
        <v>67</v>
      </c>
      <c r="P1378" s="19" t="s">
        <v>1655</v>
      </c>
      <c r="Q1378" s="19"/>
      <c r="R1378" s="19" t="s">
        <v>76</v>
      </c>
      <c r="S1378" s="19" t="s">
        <v>163</v>
      </c>
      <c r="T1378" s="19" t="s">
        <v>49</v>
      </c>
      <c r="U1378" s="19" t="s">
        <v>49</v>
      </c>
      <c r="V1378" s="19">
        <v>7</v>
      </c>
      <c r="W1378" s="19" t="s">
        <v>45</v>
      </c>
      <c r="X1378" s="19" t="s">
        <v>46</v>
      </c>
      <c r="Y1378" s="29"/>
      <c r="Z1378" s="19"/>
      <c r="AA1378" s="19"/>
      <c r="AB1378" s="19">
        <v>52</v>
      </c>
      <c r="AC1378" s="19" t="s">
        <v>214</v>
      </c>
      <c r="AD1378" s="19"/>
      <c r="AE1378" s="19">
        <v>18</v>
      </c>
      <c r="AF1378" s="19"/>
      <c r="AG1378" s="19"/>
      <c r="AH1378" s="19"/>
      <c r="AI1378" s="19"/>
      <c r="AJ1378" s="19">
        <v>7.2</v>
      </c>
      <c r="AK1378" s="19"/>
      <c r="AL1378" s="19"/>
      <c r="AM1378" s="19"/>
      <c r="AN1378" s="19"/>
      <c r="AO1378" s="19"/>
      <c r="AP1378" s="94">
        <v>5</v>
      </c>
      <c r="AQ1378" s="19">
        <v>25</v>
      </c>
      <c r="AR1378" s="19">
        <v>103</v>
      </c>
      <c r="AS1378" s="19"/>
      <c r="AT1378" s="65" t="str">
        <f t="shared" si="441"/>
        <v>Y</v>
      </c>
      <c r="AU1378" s="65" t="str">
        <f t="shared" ref="AU1378:AU1380" si="453">IF(AT1378="N","N",IF(AJ1378&lt;6,"N",IF(AJ1378&gt;8.5,"N","Y")))</f>
        <v>Y</v>
      </c>
      <c r="AV1378" s="65" t="str">
        <f t="shared" si="369"/>
        <v>Y</v>
      </c>
      <c r="AW1378" s="99"/>
      <c r="AX1378" s="99"/>
      <c r="AY1378" s="19"/>
      <c r="AZ1378" s="96" t="str">
        <f t="shared" si="373"/>
        <v>EC10</v>
      </c>
      <c r="BA1378" s="96">
        <f>IF(AZ1378="n","n",VLOOKUP(AZ1378,'Conversion factors'!$C$4:$D$24,2,FALSE))</f>
        <v>1</v>
      </c>
      <c r="BB1378" s="96">
        <f t="shared" si="374"/>
        <v>52</v>
      </c>
      <c r="BC1378" s="97"/>
      <c r="BD1378" s="96" t="str">
        <f t="shared" si="442"/>
        <v>Chronic</v>
      </c>
      <c r="BE1378" s="96" t="str">
        <f t="shared" si="375"/>
        <v>y</v>
      </c>
      <c r="BF1378" s="98" t="str">
        <f t="shared" si="430"/>
        <v>EC10</v>
      </c>
      <c r="BG1378" s="96" t="str">
        <f>IF(BF1378="","",IF(ISNUMBER(VLOOKUP(BF1378,'Conversion factors'!$B$35:$C$52,2,FALSE)),"y","n"))</f>
        <v>y</v>
      </c>
      <c r="BH1378" s="99"/>
    </row>
    <row r="1379" spans="1:62" s="103" customFormat="1" ht="15.95" customHeight="1" x14ac:dyDescent="0.2">
      <c r="A1379" s="18"/>
      <c r="B1379" s="19"/>
      <c r="C1379" s="19"/>
      <c r="D1379" s="19"/>
      <c r="E1379" s="19"/>
      <c r="F1379" s="93">
        <v>2022</v>
      </c>
      <c r="G1379" s="19" t="s">
        <v>1654</v>
      </c>
      <c r="H1379" s="19" t="s">
        <v>1658</v>
      </c>
      <c r="I1379" s="19" t="s">
        <v>1674</v>
      </c>
      <c r="J1379" s="19" t="s">
        <v>63</v>
      </c>
      <c r="K1379" s="19" t="s">
        <v>64</v>
      </c>
      <c r="L1379" s="19" t="s">
        <v>65</v>
      </c>
      <c r="M1379" s="19" t="s">
        <v>260</v>
      </c>
      <c r="N1379" s="19" t="s">
        <v>66</v>
      </c>
      <c r="O1379" s="19" t="s">
        <v>67</v>
      </c>
      <c r="P1379" s="19" t="s">
        <v>1655</v>
      </c>
      <c r="Q1379" s="19"/>
      <c r="R1379" s="19" t="s">
        <v>76</v>
      </c>
      <c r="S1379" s="19" t="s">
        <v>163</v>
      </c>
      <c r="T1379" s="19" t="s">
        <v>49</v>
      </c>
      <c r="U1379" s="19" t="s">
        <v>49</v>
      </c>
      <c r="V1379" s="19">
        <v>7</v>
      </c>
      <c r="W1379" s="19" t="s">
        <v>45</v>
      </c>
      <c r="X1379" s="19" t="s">
        <v>46</v>
      </c>
      <c r="Y1379" s="29"/>
      <c r="Z1379" s="19"/>
      <c r="AA1379" s="19"/>
      <c r="AB1379" s="19">
        <v>83</v>
      </c>
      <c r="AC1379" s="19" t="s">
        <v>214</v>
      </c>
      <c r="AD1379" s="19"/>
      <c r="AE1379" s="19">
        <v>23</v>
      </c>
      <c r="AF1379" s="19"/>
      <c r="AG1379" s="19"/>
      <c r="AH1379" s="19"/>
      <c r="AI1379" s="19"/>
      <c r="AJ1379" s="19">
        <v>7.68</v>
      </c>
      <c r="AK1379" s="19"/>
      <c r="AL1379" s="19"/>
      <c r="AM1379" s="19"/>
      <c r="AN1379" s="19"/>
      <c r="AO1379" s="19"/>
      <c r="AP1379" s="94">
        <v>2</v>
      </c>
      <c r="AQ1379" s="19">
        <v>25</v>
      </c>
      <c r="AR1379" s="19">
        <v>101</v>
      </c>
      <c r="AS1379" s="19"/>
      <c r="AT1379" s="65" t="str">
        <f t="shared" si="441"/>
        <v>Y</v>
      </c>
      <c r="AU1379" s="65" t="str">
        <f t="shared" si="453"/>
        <v>Y</v>
      </c>
      <c r="AV1379" s="65" t="str">
        <f t="shared" si="369"/>
        <v>Y</v>
      </c>
      <c r="AW1379" s="99"/>
      <c r="AX1379" s="99"/>
      <c r="AY1379" s="19"/>
      <c r="AZ1379" s="96" t="str">
        <f t="shared" si="373"/>
        <v>EC10</v>
      </c>
      <c r="BA1379" s="96">
        <f>IF(AZ1379="n","n",VLOOKUP(AZ1379,'Conversion factors'!$C$4:$D$24,2,FALSE))</f>
        <v>1</v>
      </c>
      <c r="BB1379" s="96">
        <f t="shared" si="374"/>
        <v>83</v>
      </c>
      <c r="BC1379" s="97"/>
      <c r="BD1379" s="96" t="str">
        <f t="shared" si="442"/>
        <v>Chronic</v>
      </c>
      <c r="BE1379" s="96" t="str">
        <f t="shared" si="375"/>
        <v>y</v>
      </c>
      <c r="BF1379" s="98" t="str">
        <f t="shared" si="430"/>
        <v>EC10</v>
      </c>
      <c r="BG1379" s="96" t="str">
        <f>IF(BF1379="","",IF(ISNUMBER(VLOOKUP(BF1379,'Conversion factors'!$B$35:$C$52,2,FALSE)),"y","n"))</f>
        <v>y</v>
      </c>
      <c r="BH1379" s="99"/>
    </row>
    <row r="1380" spans="1:62" s="103" customFormat="1" ht="15.95" customHeight="1" x14ac:dyDescent="0.2">
      <c r="A1380" s="18"/>
      <c r="B1380" s="19"/>
      <c r="C1380" s="19"/>
      <c r="D1380" s="19"/>
      <c r="E1380" s="19"/>
      <c r="F1380" s="93">
        <v>2022</v>
      </c>
      <c r="G1380" s="19" t="s">
        <v>1654</v>
      </c>
      <c r="H1380" s="19" t="s">
        <v>1658</v>
      </c>
      <c r="I1380" s="19" t="s">
        <v>1675</v>
      </c>
      <c r="J1380" s="19" t="s">
        <v>63</v>
      </c>
      <c r="K1380" s="19" t="s">
        <v>64</v>
      </c>
      <c r="L1380" s="19" t="s">
        <v>65</v>
      </c>
      <c r="M1380" s="19" t="s">
        <v>260</v>
      </c>
      <c r="N1380" s="19" t="s">
        <v>66</v>
      </c>
      <c r="O1380" s="19" t="s">
        <v>67</v>
      </c>
      <c r="P1380" s="19" t="s">
        <v>1655</v>
      </c>
      <c r="Q1380" s="19"/>
      <c r="R1380" s="19" t="s">
        <v>76</v>
      </c>
      <c r="S1380" s="19" t="s">
        <v>163</v>
      </c>
      <c r="T1380" s="19" t="s">
        <v>49</v>
      </c>
      <c r="U1380" s="19" t="s">
        <v>49</v>
      </c>
      <c r="V1380" s="19">
        <v>7</v>
      </c>
      <c r="W1380" s="19" t="s">
        <v>45</v>
      </c>
      <c r="X1380" s="19" t="s">
        <v>46</v>
      </c>
      <c r="Y1380" s="29"/>
      <c r="Z1380" s="19"/>
      <c r="AA1380" s="19"/>
      <c r="AB1380" s="19">
        <v>84</v>
      </c>
      <c r="AC1380" s="19" t="s">
        <v>214</v>
      </c>
      <c r="AD1380" s="19"/>
      <c r="AE1380" s="19">
        <v>26</v>
      </c>
      <c r="AF1380" s="19"/>
      <c r="AG1380" s="19"/>
      <c r="AH1380" s="19"/>
      <c r="AI1380" s="19"/>
      <c r="AJ1380" s="19">
        <v>6.6</v>
      </c>
      <c r="AK1380" s="19"/>
      <c r="AL1380" s="19"/>
      <c r="AM1380" s="19"/>
      <c r="AN1380" s="19"/>
      <c r="AO1380" s="19"/>
      <c r="AP1380" s="94">
        <v>12</v>
      </c>
      <c r="AQ1380" s="19">
        <v>25</v>
      </c>
      <c r="AR1380" s="19">
        <v>101</v>
      </c>
      <c r="AS1380" s="19"/>
      <c r="AT1380" s="65" t="str">
        <f t="shared" si="441"/>
        <v>Y</v>
      </c>
      <c r="AU1380" s="65" t="str">
        <f t="shared" si="453"/>
        <v>Y</v>
      </c>
      <c r="AV1380" s="65" t="s">
        <v>162</v>
      </c>
      <c r="AW1380" s="99" t="s">
        <v>1677</v>
      </c>
      <c r="AX1380" s="99"/>
      <c r="AY1380" s="19"/>
      <c r="AZ1380" s="96" t="str">
        <f t="shared" si="373"/>
        <v>n</v>
      </c>
      <c r="BA1380" s="96" t="str">
        <f>IF(AZ1380="n","n",VLOOKUP(AZ1380,'Conversion factors'!$C$4:$D$24,2,FALSE))</f>
        <v>n</v>
      </c>
      <c r="BB1380" s="96" t="str">
        <f t="shared" si="374"/>
        <v>n</v>
      </c>
      <c r="BC1380" s="97"/>
      <c r="BD1380" s="96" t="str">
        <f t="shared" si="442"/>
        <v>n</v>
      </c>
      <c r="BE1380" s="96" t="str">
        <f t="shared" si="375"/>
        <v>n</v>
      </c>
      <c r="BF1380" s="98" t="str">
        <f t="shared" si="430"/>
        <v/>
      </c>
      <c r="BG1380" s="96" t="str">
        <f>IF(BF1380="","",IF(ISNUMBER(VLOOKUP(BF1380,'Conversion factors'!$B$35:$C$52,2,FALSE)),"y","n"))</f>
        <v/>
      </c>
      <c r="BH1380" s="99"/>
    </row>
    <row r="1381" spans="1:62" s="103" customFormat="1" ht="15.95" customHeight="1" x14ac:dyDescent="0.2">
      <c r="A1381" s="18"/>
      <c r="B1381" s="19"/>
      <c r="C1381" s="19"/>
      <c r="D1381" s="19"/>
      <c r="E1381" s="19"/>
      <c r="F1381" s="93">
        <v>2022</v>
      </c>
      <c r="G1381" s="19" t="s">
        <v>1654</v>
      </c>
      <c r="H1381" s="19" t="s">
        <v>1658</v>
      </c>
      <c r="I1381" s="19" t="s">
        <v>1676</v>
      </c>
      <c r="J1381" s="19" t="s">
        <v>63</v>
      </c>
      <c r="K1381" s="19" t="s">
        <v>64</v>
      </c>
      <c r="L1381" s="19" t="s">
        <v>65</v>
      </c>
      <c r="M1381" s="19" t="s">
        <v>260</v>
      </c>
      <c r="N1381" s="19" t="s">
        <v>66</v>
      </c>
      <c r="O1381" s="19" t="s">
        <v>67</v>
      </c>
      <c r="P1381" s="19" t="s">
        <v>1655</v>
      </c>
      <c r="Q1381" s="19"/>
      <c r="R1381" s="19" t="s">
        <v>76</v>
      </c>
      <c r="S1381" s="19" t="s">
        <v>163</v>
      </c>
      <c r="T1381" s="19" t="s">
        <v>49</v>
      </c>
      <c r="U1381" s="19" t="s">
        <v>49</v>
      </c>
      <c r="V1381" s="19">
        <v>7</v>
      </c>
      <c r="W1381" s="19" t="s">
        <v>45</v>
      </c>
      <c r="X1381" s="19" t="s">
        <v>46</v>
      </c>
      <c r="Y1381" s="29"/>
      <c r="Z1381" s="19"/>
      <c r="AA1381" s="19"/>
      <c r="AB1381" s="19">
        <v>81</v>
      </c>
      <c r="AC1381" s="19" t="s">
        <v>214</v>
      </c>
      <c r="AD1381" s="19"/>
      <c r="AE1381" s="19">
        <v>97</v>
      </c>
      <c r="AF1381" s="19"/>
      <c r="AG1381" s="19"/>
      <c r="AH1381" s="19"/>
      <c r="AI1381" s="19"/>
      <c r="AJ1381" s="19">
        <v>7.8</v>
      </c>
      <c r="AK1381" s="19"/>
      <c r="AL1381" s="19"/>
      <c r="AM1381" s="19"/>
      <c r="AN1381" s="19"/>
      <c r="AO1381" s="19"/>
      <c r="AP1381" s="94">
        <v>16</v>
      </c>
      <c r="AQ1381" s="19">
        <v>25</v>
      </c>
      <c r="AR1381" s="19">
        <v>102</v>
      </c>
      <c r="AS1381" s="19"/>
      <c r="AT1381" s="65" t="str">
        <f t="shared" si="441"/>
        <v>Y</v>
      </c>
      <c r="AU1381" s="65" t="str">
        <f t="shared" ref="AU1381:AU1424" si="454">IF(AT1381="N","N",IF(AJ1381&lt;6,"N",IF(AJ1381&gt;8.5,"N","Y")))</f>
        <v>Y</v>
      </c>
      <c r="AV1381" s="65" t="s">
        <v>162</v>
      </c>
      <c r="AW1381" s="99" t="s">
        <v>1677</v>
      </c>
      <c r="AX1381" s="99"/>
      <c r="AY1381" s="19"/>
      <c r="AZ1381" s="96" t="str">
        <f>IF(AV1381="N","n",T1381)</f>
        <v>n</v>
      </c>
      <c r="BA1381" s="96" t="str">
        <f>IF(AZ1381="n","n",VLOOKUP(AZ1381,'Conversion factors'!$C$4:$D$24,2,FALSE))</f>
        <v>n</v>
      </c>
      <c r="BB1381" s="96" t="str">
        <f t="shared" ref="BB1381:BB1424" si="455">IF(BA1381="n","n",AB1381/BA1381)</f>
        <v>n</v>
      </c>
      <c r="BC1381" s="97"/>
      <c r="BD1381" s="96" t="str">
        <f t="shared" si="442"/>
        <v>n</v>
      </c>
      <c r="BE1381" s="96" t="str">
        <f t="shared" ref="BE1381:BE1424" si="456">IF(BD1381="chronic","y","n")</f>
        <v>n</v>
      </c>
      <c r="BF1381" s="98" t="str">
        <f t="shared" ref="BF1381:BF1412" si="457">IF(BE1381="n","",AZ1381)</f>
        <v/>
      </c>
      <c r="BG1381" s="96" t="str">
        <f>IF(BF1381="","",IF(ISNUMBER(VLOOKUP(BF1381,'Conversion factors'!$B$35:$C$52,2,FALSE)),"y","n"))</f>
        <v/>
      </c>
      <c r="BH1381" s="99"/>
    </row>
    <row r="1382" spans="1:62" s="103" customFormat="1" ht="15.95" customHeight="1" x14ac:dyDescent="0.2">
      <c r="A1382" s="18"/>
      <c r="B1382" s="19"/>
      <c r="C1382" s="19"/>
      <c r="D1382" s="19"/>
      <c r="E1382" s="19"/>
      <c r="F1382" s="93">
        <v>2022</v>
      </c>
      <c r="G1382" s="19" t="s">
        <v>1654</v>
      </c>
      <c r="H1382" s="19" t="s">
        <v>1658</v>
      </c>
      <c r="I1382" s="19" t="s">
        <v>1673</v>
      </c>
      <c r="J1382" s="19" t="s">
        <v>63</v>
      </c>
      <c r="K1382" s="19" t="s">
        <v>64</v>
      </c>
      <c r="L1382" s="19" t="s">
        <v>65</v>
      </c>
      <c r="M1382" s="19" t="s">
        <v>260</v>
      </c>
      <c r="N1382" s="19" t="s">
        <v>66</v>
      </c>
      <c r="O1382" s="19" t="s">
        <v>67</v>
      </c>
      <c r="P1382" s="19" t="s">
        <v>1655</v>
      </c>
      <c r="Q1382" s="19"/>
      <c r="R1382" s="19" t="s">
        <v>76</v>
      </c>
      <c r="S1382" s="19" t="s">
        <v>163</v>
      </c>
      <c r="T1382" s="19" t="s">
        <v>927</v>
      </c>
      <c r="U1382" s="19" t="s">
        <v>927</v>
      </c>
      <c r="V1382" s="19">
        <v>7</v>
      </c>
      <c r="W1382" s="19" t="s">
        <v>45</v>
      </c>
      <c r="X1382" s="19" t="s">
        <v>46</v>
      </c>
      <c r="Y1382" s="29"/>
      <c r="Z1382" s="19"/>
      <c r="AA1382" s="19"/>
      <c r="AB1382" s="19">
        <v>73</v>
      </c>
      <c r="AC1382" s="19" t="s">
        <v>214</v>
      </c>
      <c r="AD1382" s="19"/>
      <c r="AE1382" s="19">
        <v>18</v>
      </c>
      <c r="AF1382" s="19"/>
      <c r="AG1382" s="19"/>
      <c r="AH1382" s="19"/>
      <c r="AI1382" s="19"/>
      <c r="AJ1382" s="19">
        <v>7.2</v>
      </c>
      <c r="AK1382" s="19"/>
      <c r="AL1382" s="19"/>
      <c r="AM1382" s="19"/>
      <c r="AN1382" s="19"/>
      <c r="AO1382" s="19"/>
      <c r="AP1382" s="94">
        <v>5</v>
      </c>
      <c r="AQ1382" s="19">
        <v>25</v>
      </c>
      <c r="AR1382" s="19">
        <v>103</v>
      </c>
      <c r="AS1382" s="19"/>
      <c r="AT1382" s="65" t="str">
        <f t="shared" si="441"/>
        <v>Y</v>
      </c>
      <c r="AU1382" s="65" t="str">
        <f t="shared" si="454"/>
        <v>Y</v>
      </c>
      <c r="AV1382" s="65" t="str">
        <f t="shared" ref="AV1382:AV1383" si="458">AU1382</f>
        <v>Y</v>
      </c>
      <c r="AW1382" s="99"/>
      <c r="AX1382" s="99"/>
      <c r="AY1382" s="19"/>
      <c r="AZ1382" s="96" t="str">
        <f>IF(AV1382="N","n",T1382)</f>
        <v>EC20</v>
      </c>
      <c r="BA1382" s="96">
        <f>IF(AZ1382="n","n",VLOOKUP(AZ1382,'Conversion factors'!$C$4:$D$24,2,FALSE))</f>
        <v>1</v>
      </c>
      <c r="BB1382" s="96">
        <f t="shared" si="455"/>
        <v>73</v>
      </c>
      <c r="BC1382" s="97"/>
      <c r="BD1382" s="96" t="str">
        <f t="shared" si="442"/>
        <v>Chronic</v>
      </c>
      <c r="BE1382" s="96" t="str">
        <f t="shared" si="456"/>
        <v>y</v>
      </c>
      <c r="BF1382" s="98" t="str">
        <f t="shared" si="457"/>
        <v>EC20</v>
      </c>
      <c r="BG1382" s="96" t="str">
        <f>IF(BF1382="","",IF(ISNUMBER(VLOOKUP(BF1382,'Conversion factors'!$B$35:$C$52,2,FALSE)),"y","n"))</f>
        <v>y</v>
      </c>
      <c r="BH1382" s="99"/>
    </row>
    <row r="1383" spans="1:62" s="103" customFormat="1" ht="15.95" customHeight="1" x14ac:dyDescent="0.2">
      <c r="A1383" s="18"/>
      <c r="B1383" s="19"/>
      <c r="C1383" s="19"/>
      <c r="D1383" s="19"/>
      <c r="E1383" s="19"/>
      <c r="F1383" s="93">
        <v>2022</v>
      </c>
      <c r="G1383" s="19" t="s">
        <v>1654</v>
      </c>
      <c r="H1383" s="19" t="s">
        <v>1658</v>
      </c>
      <c r="I1383" s="19" t="s">
        <v>1674</v>
      </c>
      <c r="J1383" s="19" t="s">
        <v>63</v>
      </c>
      <c r="K1383" s="19" t="s">
        <v>64</v>
      </c>
      <c r="L1383" s="19" t="s">
        <v>65</v>
      </c>
      <c r="M1383" s="19" t="s">
        <v>260</v>
      </c>
      <c r="N1383" s="19" t="s">
        <v>66</v>
      </c>
      <c r="O1383" s="19" t="s">
        <v>67</v>
      </c>
      <c r="P1383" s="19" t="s">
        <v>1655</v>
      </c>
      <c r="Q1383" s="19"/>
      <c r="R1383" s="19" t="s">
        <v>76</v>
      </c>
      <c r="S1383" s="19" t="s">
        <v>163</v>
      </c>
      <c r="T1383" s="19" t="s">
        <v>927</v>
      </c>
      <c r="U1383" s="19" t="s">
        <v>927</v>
      </c>
      <c r="V1383" s="19">
        <v>7</v>
      </c>
      <c r="W1383" s="19" t="s">
        <v>45</v>
      </c>
      <c r="X1383" s="19" t="s">
        <v>46</v>
      </c>
      <c r="Y1383" s="29"/>
      <c r="Z1383" s="19"/>
      <c r="AA1383" s="19"/>
      <c r="AB1383" s="19">
        <v>101</v>
      </c>
      <c r="AC1383" s="19" t="s">
        <v>214</v>
      </c>
      <c r="AD1383" s="19"/>
      <c r="AE1383" s="19">
        <v>23</v>
      </c>
      <c r="AF1383" s="19"/>
      <c r="AG1383" s="19"/>
      <c r="AH1383" s="19"/>
      <c r="AI1383" s="19"/>
      <c r="AJ1383" s="19">
        <v>7.68</v>
      </c>
      <c r="AK1383" s="19"/>
      <c r="AL1383" s="19"/>
      <c r="AM1383" s="19"/>
      <c r="AN1383" s="19"/>
      <c r="AO1383" s="19"/>
      <c r="AP1383" s="94">
        <v>2</v>
      </c>
      <c r="AQ1383" s="19">
        <v>25</v>
      </c>
      <c r="AR1383" s="19">
        <v>101</v>
      </c>
      <c r="AS1383" s="19"/>
      <c r="AT1383" s="65" t="str">
        <f t="shared" si="441"/>
        <v>Y</v>
      </c>
      <c r="AU1383" s="65" t="str">
        <f t="shared" si="454"/>
        <v>Y</v>
      </c>
      <c r="AV1383" s="65" t="str">
        <f t="shared" si="458"/>
        <v>Y</v>
      </c>
      <c r="AW1383" s="99"/>
      <c r="AX1383" s="99"/>
      <c r="AY1383" s="19"/>
      <c r="AZ1383" s="96" t="str">
        <f>IF(AV1383="N","n",T1383)</f>
        <v>EC20</v>
      </c>
      <c r="BA1383" s="96">
        <f>IF(AZ1383="n","n",VLOOKUP(AZ1383,'Conversion factors'!$C$4:$D$24,2,FALSE))</f>
        <v>1</v>
      </c>
      <c r="BB1383" s="96">
        <f t="shared" si="455"/>
        <v>101</v>
      </c>
      <c r="BC1383" s="97"/>
      <c r="BD1383" s="96" t="str">
        <f t="shared" si="442"/>
        <v>Chronic</v>
      </c>
      <c r="BE1383" s="96" t="str">
        <f t="shared" si="456"/>
        <v>y</v>
      </c>
      <c r="BF1383" s="98" t="str">
        <f t="shared" si="457"/>
        <v>EC20</v>
      </c>
      <c r="BG1383" s="96" t="str">
        <f>IF(BF1383="","",IF(ISNUMBER(VLOOKUP(BF1383,'Conversion factors'!$B$35:$C$52,2,FALSE)),"y","n"))</f>
        <v>y</v>
      </c>
      <c r="BH1383" s="99"/>
    </row>
    <row r="1384" spans="1:62" s="103" customFormat="1" ht="15.95" customHeight="1" x14ac:dyDescent="0.2">
      <c r="A1384" s="18"/>
      <c r="B1384" s="19"/>
      <c r="C1384" s="19"/>
      <c r="D1384" s="19"/>
      <c r="E1384" s="19"/>
      <c r="F1384" s="93">
        <v>2022</v>
      </c>
      <c r="G1384" s="19" t="s">
        <v>1654</v>
      </c>
      <c r="H1384" s="19" t="s">
        <v>1658</v>
      </c>
      <c r="I1384" s="19" t="s">
        <v>1675</v>
      </c>
      <c r="J1384" s="19" t="s">
        <v>63</v>
      </c>
      <c r="K1384" s="19" t="s">
        <v>64</v>
      </c>
      <c r="L1384" s="19" t="s">
        <v>65</v>
      </c>
      <c r="M1384" s="19" t="s">
        <v>260</v>
      </c>
      <c r="N1384" s="19" t="s">
        <v>66</v>
      </c>
      <c r="O1384" s="19" t="s">
        <v>67</v>
      </c>
      <c r="P1384" s="19" t="s">
        <v>1655</v>
      </c>
      <c r="Q1384" s="19"/>
      <c r="R1384" s="19" t="s">
        <v>76</v>
      </c>
      <c r="S1384" s="19" t="s">
        <v>163</v>
      </c>
      <c r="T1384" s="19" t="s">
        <v>927</v>
      </c>
      <c r="U1384" s="19" t="s">
        <v>927</v>
      </c>
      <c r="V1384" s="19">
        <v>7</v>
      </c>
      <c r="W1384" s="19" t="s">
        <v>45</v>
      </c>
      <c r="X1384" s="19" t="s">
        <v>46</v>
      </c>
      <c r="Y1384" s="29"/>
      <c r="Z1384" s="19"/>
      <c r="AA1384" s="19"/>
      <c r="AB1384" s="19">
        <v>89</v>
      </c>
      <c r="AC1384" s="19" t="s">
        <v>214</v>
      </c>
      <c r="AD1384" s="19"/>
      <c r="AE1384" s="19">
        <v>26</v>
      </c>
      <c r="AF1384" s="19"/>
      <c r="AG1384" s="19"/>
      <c r="AH1384" s="19"/>
      <c r="AI1384" s="19"/>
      <c r="AJ1384" s="19">
        <v>6.6</v>
      </c>
      <c r="AK1384" s="19"/>
      <c r="AL1384" s="19"/>
      <c r="AM1384" s="19"/>
      <c r="AN1384" s="19"/>
      <c r="AO1384" s="19"/>
      <c r="AP1384" s="94">
        <v>12</v>
      </c>
      <c r="AQ1384" s="19">
        <v>25</v>
      </c>
      <c r="AR1384" s="19">
        <v>101</v>
      </c>
      <c r="AS1384" s="19"/>
      <c r="AT1384" s="65" t="str">
        <f t="shared" si="441"/>
        <v>Y</v>
      </c>
      <c r="AU1384" s="65" t="str">
        <f t="shared" si="454"/>
        <v>Y</v>
      </c>
      <c r="AV1384" s="65" t="s">
        <v>162</v>
      </c>
      <c r="AW1384" s="99" t="s">
        <v>1677</v>
      </c>
      <c r="AX1384" s="99"/>
      <c r="AY1384" s="19"/>
      <c r="AZ1384" s="96" t="str">
        <f>IF(AV1384="N","n",T1384)</f>
        <v>n</v>
      </c>
      <c r="BA1384" s="96" t="str">
        <f>IF(AZ1384="n","n",VLOOKUP(AZ1384,'Conversion factors'!$C$4:$D$24,2,FALSE))</f>
        <v>n</v>
      </c>
      <c r="BB1384" s="96" t="str">
        <f t="shared" si="455"/>
        <v>n</v>
      </c>
      <c r="BC1384" s="97"/>
      <c r="BD1384" s="96" t="str">
        <f t="shared" si="442"/>
        <v>n</v>
      </c>
      <c r="BE1384" s="96" t="str">
        <f t="shared" si="456"/>
        <v>n</v>
      </c>
      <c r="BF1384" s="98" t="str">
        <f t="shared" si="457"/>
        <v/>
      </c>
      <c r="BG1384" s="96" t="str">
        <f>IF(BF1384="","",IF(ISNUMBER(VLOOKUP(BF1384,'Conversion factors'!$B$35:$C$52,2,FALSE)),"y","n"))</f>
        <v/>
      </c>
      <c r="BH1384" s="99"/>
    </row>
    <row r="1385" spans="1:62" s="103" customFormat="1" ht="15.95" customHeight="1" x14ac:dyDescent="0.2">
      <c r="A1385" s="18"/>
      <c r="B1385" s="19"/>
      <c r="C1385" s="19"/>
      <c r="D1385" s="19"/>
      <c r="E1385" s="19"/>
      <c r="F1385" s="93">
        <v>2022</v>
      </c>
      <c r="G1385" s="19" t="s">
        <v>1654</v>
      </c>
      <c r="H1385" s="19" t="s">
        <v>1658</v>
      </c>
      <c r="I1385" s="19" t="s">
        <v>1676</v>
      </c>
      <c r="J1385" s="19" t="s">
        <v>63</v>
      </c>
      <c r="K1385" s="19" t="s">
        <v>64</v>
      </c>
      <c r="L1385" s="19" t="s">
        <v>65</v>
      </c>
      <c r="M1385" s="19" t="s">
        <v>260</v>
      </c>
      <c r="N1385" s="19" t="s">
        <v>66</v>
      </c>
      <c r="O1385" s="19" t="s">
        <v>67</v>
      </c>
      <c r="P1385" s="19" t="s">
        <v>1655</v>
      </c>
      <c r="Q1385" s="19"/>
      <c r="R1385" s="19" t="s">
        <v>76</v>
      </c>
      <c r="S1385" s="19" t="s">
        <v>163</v>
      </c>
      <c r="T1385" s="19" t="s">
        <v>927</v>
      </c>
      <c r="U1385" s="19" t="s">
        <v>927</v>
      </c>
      <c r="V1385" s="19">
        <v>7</v>
      </c>
      <c r="W1385" s="19" t="s">
        <v>45</v>
      </c>
      <c r="X1385" s="19" t="s">
        <v>46</v>
      </c>
      <c r="Y1385" s="29"/>
      <c r="Z1385" s="19"/>
      <c r="AA1385" s="19"/>
      <c r="AB1385" s="19">
        <v>110</v>
      </c>
      <c r="AC1385" s="19" t="s">
        <v>214</v>
      </c>
      <c r="AD1385" s="19"/>
      <c r="AE1385" s="19">
        <v>97</v>
      </c>
      <c r="AF1385" s="19"/>
      <c r="AG1385" s="19"/>
      <c r="AH1385" s="19"/>
      <c r="AI1385" s="19"/>
      <c r="AJ1385" s="19">
        <v>7.8</v>
      </c>
      <c r="AK1385" s="19"/>
      <c r="AL1385" s="19"/>
      <c r="AM1385" s="19"/>
      <c r="AN1385" s="19"/>
      <c r="AO1385" s="19"/>
      <c r="AP1385" s="94">
        <v>16</v>
      </c>
      <c r="AQ1385" s="19">
        <v>25</v>
      </c>
      <c r="AR1385" s="19">
        <v>102</v>
      </c>
      <c r="AS1385" s="19"/>
      <c r="AT1385" s="65" t="str">
        <f t="shared" si="441"/>
        <v>Y</v>
      </c>
      <c r="AU1385" s="65" t="str">
        <f t="shared" ref="AU1385:AU1388" si="459">IF(AT1385="N","N",IF(AJ1385&lt;6,"N",IF(AJ1385&gt;8.5,"N","Y")))</f>
        <v>Y</v>
      </c>
      <c r="AV1385" s="65" t="s">
        <v>162</v>
      </c>
      <c r="AW1385" s="99" t="s">
        <v>1677</v>
      </c>
      <c r="AX1385" s="99"/>
      <c r="AY1385" s="19"/>
      <c r="AZ1385" s="96" t="str">
        <f t="shared" ref="AZ1385:AZ1388" si="460">IF(AV1385="N","n",T1385)</f>
        <v>n</v>
      </c>
      <c r="BA1385" s="96" t="str">
        <f>IF(AZ1385="n","n",VLOOKUP(AZ1385,'Conversion factors'!$C$4:$D$24,2,FALSE))</f>
        <v>n</v>
      </c>
      <c r="BB1385" s="96" t="str">
        <f t="shared" ref="BB1385:BB1388" si="461">IF(BA1385="n","n",AB1385/BA1385)</f>
        <v>n</v>
      </c>
      <c r="BC1385" s="97"/>
      <c r="BD1385" s="96" t="str">
        <f t="shared" si="442"/>
        <v>n</v>
      </c>
      <c r="BE1385" s="96" t="str">
        <f t="shared" ref="BE1385:BE1388" si="462">IF(BD1385="chronic","y","n")</f>
        <v>n</v>
      </c>
      <c r="BF1385" s="98" t="str">
        <f t="shared" si="457"/>
        <v/>
      </c>
      <c r="BG1385" s="96" t="str">
        <f>IF(BF1385="","",IF(ISNUMBER(VLOOKUP(BF1385,'Conversion factors'!$B$35:$C$52,2,FALSE)),"y","n"))</f>
        <v/>
      </c>
      <c r="BH1385" s="99"/>
    </row>
    <row r="1386" spans="1:62" s="103" customFormat="1" ht="15.95" customHeight="1" x14ac:dyDescent="0.2">
      <c r="A1386" s="18"/>
      <c r="B1386" s="19"/>
      <c r="C1386" s="19"/>
      <c r="D1386" s="19"/>
      <c r="E1386" s="19"/>
      <c r="F1386" s="93">
        <v>2022</v>
      </c>
      <c r="G1386" s="19" t="s">
        <v>1654</v>
      </c>
      <c r="H1386" s="19" t="s">
        <v>1658</v>
      </c>
      <c r="I1386" s="19" t="s">
        <v>1673</v>
      </c>
      <c r="J1386" s="19" t="s">
        <v>63</v>
      </c>
      <c r="K1386" s="19" t="s">
        <v>64</v>
      </c>
      <c r="L1386" s="19" t="s">
        <v>65</v>
      </c>
      <c r="M1386" s="19" t="s">
        <v>260</v>
      </c>
      <c r="N1386" s="19" t="s">
        <v>66</v>
      </c>
      <c r="O1386" s="19" t="s">
        <v>67</v>
      </c>
      <c r="P1386" s="19" t="s">
        <v>1655</v>
      </c>
      <c r="Q1386" s="19"/>
      <c r="R1386" s="19" t="s">
        <v>76</v>
      </c>
      <c r="S1386" s="19" t="s">
        <v>163</v>
      </c>
      <c r="T1386" s="19" t="s">
        <v>44</v>
      </c>
      <c r="U1386" s="19" t="s">
        <v>44</v>
      </c>
      <c r="V1386" s="19">
        <v>7</v>
      </c>
      <c r="W1386" s="19" t="s">
        <v>45</v>
      </c>
      <c r="X1386" s="19" t="s">
        <v>46</v>
      </c>
      <c r="Y1386" s="29"/>
      <c r="Z1386" s="19"/>
      <c r="AA1386" s="19"/>
      <c r="AB1386" s="19">
        <v>121</v>
      </c>
      <c r="AC1386" s="19" t="s">
        <v>214</v>
      </c>
      <c r="AD1386" s="19"/>
      <c r="AE1386" s="19">
        <v>18</v>
      </c>
      <c r="AF1386" s="19"/>
      <c r="AG1386" s="19"/>
      <c r="AH1386" s="19"/>
      <c r="AI1386" s="19"/>
      <c r="AJ1386" s="19">
        <v>7.2</v>
      </c>
      <c r="AK1386" s="19"/>
      <c r="AL1386" s="19"/>
      <c r="AM1386" s="19"/>
      <c r="AN1386" s="19"/>
      <c r="AO1386" s="19"/>
      <c r="AP1386" s="94">
        <v>5</v>
      </c>
      <c r="AQ1386" s="19">
        <v>25</v>
      </c>
      <c r="AR1386" s="19">
        <v>103</v>
      </c>
      <c r="AS1386" s="19"/>
      <c r="AT1386" s="65" t="str">
        <f t="shared" si="441"/>
        <v>Y</v>
      </c>
      <c r="AU1386" s="65" t="str">
        <f t="shared" si="459"/>
        <v>Y</v>
      </c>
      <c r="AV1386" s="65" t="str">
        <f t="shared" ref="AV1386:AV1387" si="463">AU1386</f>
        <v>Y</v>
      </c>
      <c r="AW1386" s="99"/>
      <c r="AX1386" s="99"/>
      <c r="AY1386" s="19"/>
      <c r="AZ1386" s="96" t="str">
        <f t="shared" si="460"/>
        <v>EC50</v>
      </c>
      <c r="BA1386" s="96">
        <f>IF(AZ1386="n","n",VLOOKUP(AZ1386,'Conversion factors'!$C$4:$D$24,2,FALSE))</f>
        <v>5</v>
      </c>
      <c r="BB1386" s="96">
        <f t="shared" si="461"/>
        <v>24.2</v>
      </c>
      <c r="BC1386" s="97"/>
      <c r="BD1386" s="96" t="str">
        <f t="shared" si="442"/>
        <v>Chronic</v>
      </c>
      <c r="BE1386" s="96" t="str">
        <f t="shared" si="462"/>
        <v>y</v>
      </c>
      <c r="BF1386" s="98" t="str">
        <f t="shared" si="457"/>
        <v>EC50</v>
      </c>
      <c r="BG1386" s="96" t="str">
        <f>IF(BF1386="","",IF(ISNUMBER(VLOOKUP(BF1386,'Conversion factors'!$B$35:$C$52,2,FALSE)),"y","n"))</f>
        <v>n</v>
      </c>
      <c r="BH1386" s="99"/>
    </row>
    <row r="1387" spans="1:62" s="103" customFormat="1" ht="15.95" customHeight="1" x14ac:dyDescent="0.2">
      <c r="A1387" s="18"/>
      <c r="B1387" s="19"/>
      <c r="C1387" s="19"/>
      <c r="D1387" s="19"/>
      <c r="E1387" s="19"/>
      <c r="F1387" s="93">
        <v>2022</v>
      </c>
      <c r="G1387" s="19" t="s">
        <v>1654</v>
      </c>
      <c r="H1387" s="19" t="s">
        <v>1658</v>
      </c>
      <c r="I1387" s="19" t="s">
        <v>1674</v>
      </c>
      <c r="J1387" s="19" t="s">
        <v>63</v>
      </c>
      <c r="K1387" s="19" t="s">
        <v>64</v>
      </c>
      <c r="L1387" s="19" t="s">
        <v>65</v>
      </c>
      <c r="M1387" s="19" t="s">
        <v>260</v>
      </c>
      <c r="N1387" s="19" t="s">
        <v>66</v>
      </c>
      <c r="O1387" s="19" t="s">
        <v>67</v>
      </c>
      <c r="P1387" s="19" t="s">
        <v>1655</v>
      </c>
      <c r="Q1387" s="19"/>
      <c r="R1387" s="19" t="s">
        <v>76</v>
      </c>
      <c r="S1387" s="19" t="s">
        <v>163</v>
      </c>
      <c r="T1387" s="19" t="s">
        <v>44</v>
      </c>
      <c r="U1387" s="19" t="s">
        <v>44</v>
      </c>
      <c r="V1387" s="19">
        <v>7</v>
      </c>
      <c r="W1387" s="19" t="s">
        <v>45</v>
      </c>
      <c r="X1387" s="19" t="s">
        <v>46</v>
      </c>
      <c r="Y1387" s="29"/>
      <c r="Z1387" s="19"/>
      <c r="AA1387" s="19"/>
      <c r="AB1387" s="19">
        <v>138</v>
      </c>
      <c r="AC1387" s="19" t="s">
        <v>214</v>
      </c>
      <c r="AD1387" s="19"/>
      <c r="AE1387" s="19">
        <v>23</v>
      </c>
      <c r="AF1387" s="19"/>
      <c r="AG1387" s="19"/>
      <c r="AH1387" s="19"/>
      <c r="AI1387" s="19"/>
      <c r="AJ1387" s="19">
        <v>7.68</v>
      </c>
      <c r="AK1387" s="19"/>
      <c r="AL1387" s="19"/>
      <c r="AM1387" s="19"/>
      <c r="AN1387" s="19"/>
      <c r="AO1387" s="19"/>
      <c r="AP1387" s="94">
        <v>2</v>
      </c>
      <c r="AQ1387" s="19">
        <v>25</v>
      </c>
      <c r="AR1387" s="19">
        <v>101</v>
      </c>
      <c r="AS1387" s="19"/>
      <c r="AT1387" s="65" t="str">
        <f t="shared" si="441"/>
        <v>Y</v>
      </c>
      <c r="AU1387" s="65" t="str">
        <f t="shared" si="459"/>
        <v>Y</v>
      </c>
      <c r="AV1387" s="65" t="str">
        <f t="shared" si="463"/>
        <v>Y</v>
      </c>
      <c r="AW1387" s="99"/>
      <c r="AX1387" s="99"/>
      <c r="AY1387" s="19"/>
      <c r="AZ1387" s="96" t="str">
        <f t="shared" si="460"/>
        <v>EC50</v>
      </c>
      <c r="BA1387" s="96">
        <f>IF(AZ1387="n","n",VLOOKUP(AZ1387,'Conversion factors'!$C$4:$D$24,2,FALSE))</f>
        <v>5</v>
      </c>
      <c r="BB1387" s="96">
        <f t="shared" si="461"/>
        <v>27.6</v>
      </c>
      <c r="BC1387" s="97"/>
      <c r="BD1387" s="96" t="str">
        <f t="shared" si="442"/>
        <v>Chronic</v>
      </c>
      <c r="BE1387" s="96" t="str">
        <f t="shared" si="462"/>
        <v>y</v>
      </c>
      <c r="BF1387" s="98" t="str">
        <f t="shared" si="457"/>
        <v>EC50</v>
      </c>
      <c r="BG1387" s="96" t="str">
        <f>IF(BF1387="","",IF(ISNUMBER(VLOOKUP(BF1387,'Conversion factors'!$B$35:$C$52,2,FALSE)),"y","n"))</f>
        <v>n</v>
      </c>
      <c r="BH1387" s="99"/>
    </row>
    <row r="1388" spans="1:62" s="103" customFormat="1" ht="15.95" customHeight="1" x14ac:dyDescent="0.2">
      <c r="A1388" s="18"/>
      <c r="B1388" s="19"/>
      <c r="C1388" s="19"/>
      <c r="D1388" s="19"/>
      <c r="E1388" s="19"/>
      <c r="F1388" s="93">
        <v>2022</v>
      </c>
      <c r="G1388" s="19" t="s">
        <v>1654</v>
      </c>
      <c r="H1388" s="19" t="s">
        <v>1658</v>
      </c>
      <c r="I1388" s="19" t="s">
        <v>1675</v>
      </c>
      <c r="J1388" s="19" t="s">
        <v>63</v>
      </c>
      <c r="K1388" s="19" t="s">
        <v>64</v>
      </c>
      <c r="L1388" s="19" t="s">
        <v>65</v>
      </c>
      <c r="M1388" s="19" t="s">
        <v>260</v>
      </c>
      <c r="N1388" s="19" t="s">
        <v>66</v>
      </c>
      <c r="O1388" s="19" t="s">
        <v>67</v>
      </c>
      <c r="P1388" s="19" t="s">
        <v>1655</v>
      </c>
      <c r="Q1388" s="19"/>
      <c r="R1388" s="19" t="s">
        <v>76</v>
      </c>
      <c r="S1388" s="19" t="s">
        <v>163</v>
      </c>
      <c r="T1388" s="19" t="s">
        <v>44</v>
      </c>
      <c r="U1388" s="19" t="s">
        <v>44</v>
      </c>
      <c r="V1388" s="19">
        <v>7</v>
      </c>
      <c r="W1388" s="19" t="s">
        <v>45</v>
      </c>
      <c r="X1388" s="19" t="s">
        <v>46</v>
      </c>
      <c r="Y1388" s="29"/>
      <c r="Z1388" s="19"/>
      <c r="AA1388" s="19"/>
      <c r="AB1388" s="19">
        <v>96</v>
      </c>
      <c r="AC1388" s="19" t="s">
        <v>214</v>
      </c>
      <c r="AD1388" s="19"/>
      <c r="AE1388" s="19">
        <v>26</v>
      </c>
      <c r="AF1388" s="19"/>
      <c r="AG1388" s="19"/>
      <c r="AH1388" s="19"/>
      <c r="AI1388" s="19"/>
      <c r="AJ1388" s="19">
        <v>6.6</v>
      </c>
      <c r="AK1388" s="19"/>
      <c r="AL1388" s="19"/>
      <c r="AM1388" s="19"/>
      <c r="AN1388" s="19"/>
      <c r="AO1388" s="19"/>
      <c r="AP1388" s="94">
        <v>12</v>
      </c>
      <c r="AQ1388" s="19">
        <v>25</v>
      </c>
      <c r="AR1388" s="19">
        <v>101</v>
      </c>
      <c r="AS1388" s="19"/>
      <c r="AT1388" s="65" t="str">
        <f t="shared" si="441"/>
        <v>Y</v>
      </c>
      <c r="AU1388" s="65" t="str">
        <f t="shared" si="459"/>
        <v>Y</v>
      </c>
      <c r="AV1388" s="65" t="s">
        <v>162</v>
      </c>
      <c r="AW1388" s="99" t="s">
        <v>1677</v>
      </c>
      <c r="AX1388" s="99"/>
      <c r="AY1388" s="19"/>
      <c r="AZ1388" s="96" t="str">
        <f t="shared" si="460"/>
        <v>n</v>
      </c>
      <c r="BA1388" s="96" t="str">
        <f>IF(AZ1388="n","n",VLOOKUP(AZ1388,'Conversion factors'!$C$4:$D$24,2,FALSE))</f>
        <v>n</v>
      </c>
      <c r="BB1388" s="96" t="str">
        <f t="shared" si="461"/>
        <v>n</v>
      </c>
      <c r="BC1388" s="97"/>
      <c r="BD1388" s="96" t="str">
        <f t="shared" si="442"/>
        <v>n</v>
      </c>
      <c r="BE1388" s="96" t="str">
        <f t="shared" si="462"/>
        <v>n</v>
      </c>
      <c r="BF1388" s="98" t="str">
        <f t="shared" si="457"/>
        <v/>
      </c>
      <c r="BG1388" s="96" t="str">
        <f>IF(BF1388="","",IF(ISNUMBER(VLOOKUP(BF1388,'Conversion factors'!$B$35:$C$52,2,FALSE)),"y","n"))</f>
        <v/>
      </c>
      <c r="BH1388" s="99"/>
    </row>
    <row r="1389" spans="1:62" s="103" customFormat="1" ht="15.95" customHeight="1" x14ac:dyDescent="0.2">
      <c r="A1389" s="18"/>
      <c r="B1389" s="19"/>
      <c r="C1389" s="19"/>
      <c r="D1389" s="19"/>
      <c r="E1389" s="19"/>
      <c r="F1389" s="93">
        <v>2022</v>
      </c>
      <c r="G1389" s="19" t="s">
        <v>1654</v>
      </c>
      <c r="H1389" s="19" t="s">
        <v>1658</v>
      </c>
      <c r="I1389" s="19" t="s">
        <v>1676</v>
      </c>
      <c r="J1389" s="19" t="s">
        <v>63</v>
      </c>
      <c r="K1389" s="19" t="s">
        <v>64</v>
      </c>
      <c r="L1389" s="19" t="s">
        <v>65</v>
      </c>
      <c r="M1389" s="19" t="s">
        <v>260</v>
      </c>
      <c r="N1389" s="19" t="s">
        <v>66</v>
      </c>
      <c r="O1389" s="19" t="s">
        <v>67</v>
      </c>
      <c r="P1389" s="19" t="s">
        <v>1655</v>
      </c>
      <c r="Q1389" s="19"/>
      <c r="R1389" s="19" t="s">
        <v>76</v>
      </c>
      <c r="S1389" s="19" t="s">
        <v>163</v>
      </c>
      <c r="T1389" s="19" t="s">
        <v>44</v>
      </c>
      <c r="U1389" s="19" t="s">
        <v>44</v>
      </c>
      <c r="V1389" s="19">
        <v>7</v>
      </c>
      <c r="W1389" s="19" t="s">
        <v>45</v>
      </c>
      <c r="X1389" s="19" t="s">
        <v>46</v>
      </c>
      <c r="Y1389" s="29"/>
      <c r="Z1389" s="19"/>
      <c r="AA1389" s="19"/>
      <c r="AB1389" s="19">
        <v>177</v>
      </c>
      <c r="AC1389" s="19" t="s">
        <v>214</v>
      </c>
      <c r="AD1389" s="19"/>
      <c r="AE1389" s="19">
        <v>97</v>
      </c>
      <c r="AF1389" s="19"/>
      <c r="AG1389" s="19"/>
      <c r="AH1389" s="19"/>
      <c r="AI1389" s="19"/>
      <c r="AJ1389" s="19">
        <v>7.8</v>
      </c>
      <c r="AK1389" s="19"/>
      <c r="AL1389" s="19"/>
      <c r="AM1389" s="19"/>
      <c r="AN1389" s="19"/>
      <c r="AO1389" s="19"/>
      <c r="AP1389" s="94">
        <v>16</v>
      </c>
      <c r="AQ1389" s="19">
        <v>25</v>
      </c>
      <c r="AR1389" s="19">
        <v>102</v>
      </c>
      <c r="AS1389" s="19"/>
      <c r="AT1389" s="65" t="str">
        <f t="shared" si="441"/>
        <v>Y</v>
      </c>
      <c r="AU1389" s="65" t="str">
        <f t="shared" ref="AU1389:AU1390" si="464">IF(AT1389="N","N",IF(AJ1389&lt;6,"N",IF(AJ1389&gt;8.5,"N","Y")))</f>
        <v>Y</v>
      </c>
      <c r="AV1389" s="65" t="s">
        <v>162</v>
      </c>
      <c r="AW1389" s="99" t="s">
        <v>1677</v>
      </c>
      <c r="AX1389" s="99"/>
      <c r="AY1389" s="19"/>
      <c r="AZ1389" s="96" t="str">
        <f t="shared" ref="AZ1389:AZ1390" si="465">IF(AV1389="N","n",T1389)</f>
        <v>n</v>
      </c>
      <c r="BA1389" s="96" t="str">
        <f>IF(AZ1389="n","n",VLOOKUP(AZ1389,'Conversion factors'!$C$4:$D$24,2,FALSE))</f>
        <v>n</v>
      </c>
      <c r="BB1389" s="96" t="str">
        <f t="shared" ref="BB1389:BB1390" si="466">IF(BA1389="n","n",AB1389/BA1389)</f>
        <v>n</v>
      </c>
      <c r="BC1389" s="97"/>
      <c r="BD1389" s="96" t="str">
        <f t="shared" si="442"/>
        <v>n</v>
      </c>
      <c r="BE1389" s="96" t="str">
        <f t="shared" ref="BE1389:BE1390" si="467">IF(BD1389="chronic","y","n")</f>
        <v>n</v>
      </c>
      <c r="BF1389" s="98" t="str">
        <f t="shared" si="457"/>
        <v/>
      </c>
      <c r="BG1389" s="96" t="str">
        <f>IF(BF1389="","",IF(ISNUMBER(VLOOKUP(BF1389,'Conversion factors'!$B$35:$C$52,2,FALSE)),"y","n"))</f>
        <v/>
      </c>
      <c r="BH1389" s="99"/>
    </row>
    <row r="1390" spans="1:62" s="103" customFormat="1" ht="15.95" customHeight="1" x14ac:dyDescent="0.2">
      <c r="A1390" s="20"/>
      <c r="B1390" s="19"/>
      <c r="C1390" s="19"/>
      <c r="D1390" s="19"/>
      <c r="E1390" s="19"/>
      <c r="F1390" s="93">
        <v>2022</v>
      </c>
      <c r="G1390" s="19" t="s">
        <v>1654</v>
      </c>
      <c r="H1390" s="19" t="s">
        <v>1658</v>
      </c>
      <c r="I1390" s="19" t="s">
        <v>1311</v>
      </c>
      <c r="J1390" s="19" t="s">
        <v>344</v>
      </c>
      <c r="K1390" s="19" t="s">
        <v>42</v>
      </c>
      <c r="L1390" s="19" t="s">
        <v>43</v>
      </c>
      <c r="M1390" s="19" t="s">
        <v>1303</v>
      </c>
      <c r="N1390" s="19" t="s">
        <v>109</v>
      </c>
      <c r="O1390" s="19" t="s">
        <v>1649</v>
      </c>
      <c r="P1390" s="19"/>
      <c r="Q1390" s="19"/>
      <c r="R1390" s="19" t="s">
        <v>81</v>
      </c>
      <c r="S1390" s="19" t="s">
        <v>1651</v>
      </c>
      <c r="T1390" s="19" t="s">
        <v>49</v>
      </c>
      <c r="U1390" s="19" t="s">
        <v>49</v>
      </c>
      <c r="V1390" s="19">
        <v>3</v>
      </c>
      <c r="W1390" s="19" t="s">
        <v>45</v>
      </c>
      <c r="X1390" s="19" t="s">
        <v>46</v>
      </c>
      <c r="Y1390" s="29"/>
      <c r="Z1390" s="19"/>
      <c r="AA1390" s="19"/>
      <c r="AB1390" s="19">
        <v>21</v>
      </c>
      <c r="AC1390" s="19" t="s">
        <v>214</v>
      </c>
      <c r="AD1390" s="19"/>
      <c r="AE1390" s="19">
        <v>18</v>
      </c>
      <c r="AF1390" s="19"/>
      <c r="AG1390" s="19"/>
      <c r="AH1390" s="19"/>
      <c r="AI1390" s="19"/>
      <c r="AJ1390" s="19">
        <v>7.4</v>
      </c>
      <c r="AK1390" s="19"/>
      <c r="AL1390" s="19"/>
      <c r="AM1390" s="19"/>
      <c r="AN1390" s="19"/>
      <c r="AO1390" s="19"/>
      <c r="AP1390" s="94" t="s">
        <v>1683</v>
      </c>
      <c r="AQ1390" s="19">
        <v>25</v>
      </c>
      <c r="AR1390" s="19"/>
      <c r="AS1390" s="19"/>
      <c r="AT1390" s="65" t="str">
        <f t="shared" si="441"/>
        <v>Y</v>
      </c>
      <c r="AU1390" s="65" t="str">
        <f t="shared" si="464"/>
        <v>Y</v>
      </c>
      <c r="AV1390" s="65" t="str">
        <f t="shared" ref="AV1390" si="468">AU1390</f>
        <v>Y</v>
      </c>
      <c r="AW1390" s="99"/>
      <c r="AX1390" s="99"/>
      <c r="AY1390" s="19"/>
      <c r="AZ1390" s="96" t="str">
        <f t="shared" si="465"/>
        <v>EC10</v>
      </c>
      <c r="BA1390" s="96">
        <f>IF(AZ1390="n","n",VLOOKUP(AZ1390,'Conversion factors'!$C$4:$D$24,2,FALSE))</f>
        <v>1</v>
      </c>
      <c r="BB1390" s="96">
        <f t="shared" si="466"/>
        <v>21</v>
      </c>
      <c r="BC1390" s="97"/>
      <c r="BD1390" s="96" t="str">
        <f t="shared" si="442"/>
        <v>Chronic</v>
      </c>
      <c r="BE1390" s="96" t="str">
        <f t="shared" si="467"/>
        <v>y</v>
      </c>
      <c r="BF1390" s="98" t="str">
        <f t="shared" si="457"/>
        <v>EC10</v>
      </c>
      <c r="BG1390" s="96" t="str">
        <f>IF(BF1390="","",IF(ISNUMBER(VLOOKUP(BF1390,'Conversion factors'!$B$35:$C$52,2,FALSE)),"y","n"))</f>
        <v>y</v>
      </c>
      <c r="BH1390" s="99"/>
    </row>
    <row r="1391" spans="1:62" s="103" customFormat="1" ht="15.95" customHeight="1" x14ac:dyDescent="0.2">
      <c r="A1391" s="20"/>
      <c r="B1391" s="19"/>
      <c r="C1391" s="19"/>
      <c r="D1391" s="19"/>
      <c r="E1391" s="19"/>
      <c r="F1391" s="93">
        <v>2022</v>
      </c>
      <c r="G1391" s="19" t="s">
        <v>1654</v>
      </c>
      <c r="H1391" s="19" t="s">
        <v>1658</v>
      </c>
      <c r="I1391" s="19" t="s">
        <v>1678</v>
      </c>
      <c r="J1391" s="19" t="s">
        <v>344</v>
      </c>
      <c r="K1391" s="19" t="s">
        <v>42</v>
      </c>
      <c r="L1391" s="19" t="s">
        <v>43</v>
      </c>
      <c r="M1391" s="19" t="s">
        <v>1303</v>
      </c>
      <c r="N1391" s="19" t="s">
        <v>109</v>
      </c>
      <c r="O1391" s="19" t="s">
        <v>1649</v>
      </c>
      <c r="P1391" s="19"/>
      <c r="Q1391" s="19"/>
      <c r="R1391" s="19" t="s">
        <v>81</v>
      </c>
      <c r="S1391" s="19" t="s">
        <v>1651</v>
      </c>
      <c r="T1391" s="19" t="s">
        <v>49</v>
      </c>
      <c r="U1391" s="19" t="s">
        <v>49</v>
      </c>
      <c r="V1391" s="19">
        <v>3</v>
      </c>
      <c r="W1391" s="19" t="s">
        <v>45</v>
      </c>
      <c r="X1391" s="19" t="s">
        <v>46</v>
      </c>
      <c r="Y1391" s="29"/>
      <c r="Z1391" s="19"/>
      <c r="AA1391" s="19"/>
      <c r="AB1391" s="19">
        <v>6.3</v>
      </c>
      <c r="AC1391" s="19" t="s">
        <v>214</v>
      </c>
      <c r="AD1391" s="19"/>
      <c r="AE1391" s="19">
        <v>39</v>
      </c>
      <c r="AF1391" s="19"/>
      <c r="AG1391" s="19"/>
      <c r="AH1391" s="19"/>
      <c r="AI1391" s="19"/>
      <c r="AJ1391" s="19">
        <v>7.9</v>
      </c>
      <c r="AK1391" s="19"/>
      <c r="AL1391" s="19"/>
      <c r="AM1391" s="19"/>
      <c r="AN1391" s="19"/>
      <c r="AO1391" s="19"/>
      <c r="AP1391" s="94" t="s">
        <v>1683</v>
      </c>
      <c r="AQ1391" s="19">
        <v>25</v>
      </c>
      <c r="AR1391" s="19"/>
      <c r="AS1391" s="19"/>
      <c r="AT1391" s="65" t="str">
        <f t="shared" si="441"/>
        <v>Y</v>
      </c>
      <c r="AU1391" s="65" t="str">
        <f t="shared" ref="AU1391:AU1396" si="469">IF(AT1391="N","N",IF(AJ1391&lt;6,"N",IF(AJ1391&gt;8.5,"N","Y")))</f>
        <v>Y</v>
      </c>
      <c r="AV1391" s="65" t="str">
        <f t="shared" ref="AV1391:AV1396" si="470">AU1391</f>
        <v>Y</v>
      </c>
      <c r="AW1391" s="99"/>
      <c r="AX1391" s="99"/>
      <c r="AY1391" s="19"/>
      <c r="AZ1391" s="96" t="str">
        <f t="shared" ref="AZ1391:AZ1396" si="471">IF(AV1391="N","n",T1391)</f>
        <v>EC10</v>
      </c>
      <c r="BA1391" s="96">
        <f>IF(AZ1391="n","n",VLOOKUP(AZ1391,'Conversion factors'!$C$4:$D$24,2,FALSE))</f>
        <v>1</v>
      </c>
      <c r="BB1391" s="96">
        <f t="shared" ref="BB1391:BB1396" si="472">IF(BA1391="n","n",AB1391/BA1391)</f>
        <v>6.3</v>
      </c>
      <c r="BC1391" s="97"/>
      <c r="BD1391" s="96" t="str">
        <f t="shared" si="442"/>
        <v>Chronic</v>
      </c>
      <c r="BE1391" s="96" t="str">
        <f t="shared" ref="BE1391:BE1396" si="473">IF(BD1391="chronic","y","n")</f>
        <v>y</v>
      </c>
      <c r="BF1391" s="98" t="str">
        <f t="shared" si="457"/>
        <v>EC10</v>
      </c>
      <c r="BG1391" s="96" t="str">
        <f>IF(BF1391="","",IF(ISNUMBER(VLOOKUP(BF1391,'Conversion factors'!$B$35:$C$52,2,FALSE)),"y","n"))</f>
        <v>y</v>
      </c>
      <c r="BH1391" s="99"/>
    </row>
    <row r="1392" spans="1:62" s="103" customFormat="1" ht="15.95" customHeight="1" x14ac:dyDescent="0.2">
      <c r="A1392" s="18"/>
      <c r="B1392" s="19"/>
      <c r="C1392" s="19"/>
      <c r="D1392" s="19"/>
      <c r="E1392" s="19"/>
      <c r="F1392" s="93">
        <v>2022</v>
      </c>
      <c r="G1392" s="19" t="s">
        <v>1654</v>
      </c>
      <c r="H1392" s="19" t="s">
        <v>1658</v>
      </c>
      <c r="I1392" s="19" t="s">
        <v>1679</v>
      </c>
      <c r="J1392" s="19" t="s">
        <v>344</v>
      </c>
      <c r="K1392" s="19" t="s">
        <v>42</v>
      </c>
      <c r="L1392" s="19" t="s">
        <v>43</v>
      </c>
      <c r="M1392" s="19" t="s">
        <v>1303</v>
      </c>
      <c r="N1392" s="19" t="s">
        <v>109</v>
      </c>
      <c r="O1392" s="19" t="s">
        <v>1649</v>
      </c>
      <c r="P1392" s="19"/>
      <c r="Q1392" s="19"/>
      <c r="R1392" s="19" t="s">
        <v>81</v>
      </c>
      <c r="S1392" s="19" t="s">
        <v>1651</v>
      </c>
      <c r="T1392" s="19" t="s">
        <v>49</v>
      </c>
      <c r="U1392" s="19" t="s">
        <v>49</v>
      </c>
      <c r="V1392" s="19">
        <v>3</v>
      </c>
      <c r="W1392" s="19" t="s">
        <v>45</v>
      </c>
      <c r="X1392" s="19" t="s">
        <v>46</v>
      </c>
      <c r="Y1392" s="29"/>
      <c r="Z1392" s="19"/>
      <c r="AA1392" s="19"/>
      <c r="AB1392" s="19">
        <v>7.7</v>
      </c>
      <c r="AC1392" s="19" t="s">
        <v>214</v>
      </c>
      <c r="AD1392" s="19"/>
      <c r="AE1392" s="19">
        <v>50</v>
      </c>
      <c r="AF1392" s="19"/>
      <c r="AG1392" s="19"/>
      <c r="AH1392" s="19"/>
      <c r="AI1392" s="19"/>
      <c r="AJ1392" s="19">
        <v>8</v>
      </c>
      <c r="AK1392" s="19"/>
      <c r="AL1392" s="19"/>
      <c r="AM1392" s="19"/>
      <c r="AN1392" s="19"/>
      <c r="AO1392" s="19"/>
      <c r="AP1392" s="94">
        <v>0.4</v>
      </c>
      <c r="AQ1392" s="19">
        <v>25</v>
      </c>
      <c r="AR1392" s="19"/>
      <c r="AS1392" s="19"/>
      <c r="AT1392" s="65" t="str">
        <f t="shared" si="441"/>
        <v>Y</v>
      </c>
      <c r="AU1392" s="65" t="str">
        <f t="shared" si="469"/>
        <v>Y</v>
      </c>
      <c r="AV1392" s="65" t="str">
        <f t="shared" si="470"/>
        <v>Y</v>
      </c>
      <c r="AW1392" s="99"/>
      <c r="AX1392" s="99"/>
      <c r="AY1392" s="19"/>
      <c r="AZ1392" s="96" t="str">
        <f t="shared" si="471"/>
        <v>EC10</v>
      </c>
      <c r="BA1392" s="96">
        <f>IF(AZ1392="n","n",VLOOKUP(AZ1392,'Conversion factors'!$C$4:$D$24,2,FALSE))</f>
        <v>1</v>
      </c>
      <c r="BB1392" s="96">
        <f t="shared" si="472"/>
        <v>7.7</v>
      </c>
      <c r="BC1392" s="97"/>
      <c r="BD1392" s="96" t="str">
        <f t="shared" si="442"/>
        <v>Chronic</v>
      </c>
      <c r="BE1392" s="96" t="str">
        <f t="shared" si="473"/>
        <v>y</v>
      </c>
      <c r="BF1392" s="98" t="str">
        <f t="shared" si="457"/>
        <v>EC10</v>
      </c>
      <c r="BG1392" s="96" t="str">
        <f>IF(BF1392="","",IF(ISNUMBER(VLOOKUP(BF1392,'Conversion factors'!$B$35:$C$52,2,FALSE)),"y","n"))</f>
        <v>y</v>
      </c>
      <c r="BH1392" s="99"/>
    </row>
    <row r="1393" spans="1:60" s="103" customFormat="1" ht="15.95" customHeight="1" x14ac:dyDescent="0.2">
      <c r="A1393" s="18"/>
      <c r="B1393" s="19"/>
      <c r="C1393" s="19"/>
      <c r="D1393" s="19"/>
      <c r="E1393" s="19"/>
      <c r="F1393" s="93">
        <v>2022</v>
      </c>
      <c r="G1393" s="19" t="s">
        <v>1654</v>
      </c>
      <c r="H1393" s="19" t="s">
        <v>1658</v>
      </c>
      <c r="I1393" s="19" t="s">
        <v>1680</v>
      </c>
      <c r="J1393" s="19" t="s">
        <v>344</v>
      </c>
      <c r="K1393" s="19" t="s">
        <v>42</v>
      </c>
      <c r="L1393" s="19" t="s">
        <v>43</v>
      </c>
      <c r="M1393" s="19" t="s">
        <v>1303</v>
      </c>
      <c r="N1393" s="19" t="s">
        <v>109</v>
      </c>
      <c r="O1393" s="19" t="s">
        <v>1649</v>
      </c>
      <c r="P1393" s="19"/>
      <c r="Q1393" s="19"/>
      <c r="R1393" s="19" t="s">
        <v>81</v>
      </c>
      <c r="S1393" s="19" t="s">
        <v>1651</v>
      </c>
      <c r="T1393" s="19" t="s">
        <v>49</v>
      </c>
      <c r="U1393" s="19" t="s">
        <v>49</v>
      </c>
      <c r="V1393" s="19">
        <v>3</v>
      </c>
      <c r="W1393" s="19" t="s">
        <v>45</v>
      </c>
      <c r="X1393" s="19" t="s">
        <v>46</v>
      </c>
      <c r="Y1393" s="29"/>
      <c r="Z1393" s="19"/>
      <c r="AA1393" s="19"/>
      <c r="AB1393" s="19">
        <v>20</v>
      </c>
      <c r="AC1393" s="19" t="s">
        <v>214</v>
      </c>
      <c r="AD1393" s="19"/>
      <c r="AE1393" s="19">
        <v>110</v>
      </c>
      <c r="AF1393" s="19"/>
      <c r="AG1393" s="19"/>
      <c r="AH1393" s="19"/>
      <c r="AI1393" s="19"/>
      <c r="AJ1393" s="19">
        <v>8.1999999999999993</v>
      </c>
      <c r="AK1393" s="19"/>
      <c r="AL1393" s="19"/>
      <c r="AM1393" s="19"/>
      <c r="AN1393" s="19"/>
      <c r="AO1393" s="19"/>
      <c r="AP1393" s="94">
        <v>2.4</v>
      </c>
      <c r="AQ1393" s="19">
        <v>25</v>
      </c>
      <c r="AR1393" s="19"/>
      <c r="AS1393" s="19"/>
      <c r="AT1393" s="65" t="str">
        <f t="shared" si="441"/>
        <v>Y</v>
      </c>
      <c r="AU1393" s="65" t="str">
        <f t="shared" si="469"/>
        <v>Y</v>
      </c>
      <c r="AV1393" s="65" t="str">
        <f t="shared" si="470"/>
        <v>Y</v>
      </c>
      <c r="AW1393" s="99"/>
      <c r="AX1393" s="99"/>
      <c r="AY1393" s="19"/>
      <c r="AZ1393" s="96" t="str">
        <f t="shared" si="471"/>
        <v>EC10</v>
      </c>
      <c r="BA1393" s="96">
        <f>IF(AZ1393="n","n",VLOOKUP(AZ1393,'Conversion factors'!$C$4:$D$24,2,FALSE))</f>
        <v>1</v>
      </c>
      <c r="BB1393" s="96">
        <f t="shared" si="472"/>
        <v>20</v>
      </c>
      <c r="BC1393" s="97"/>
      <c r="BD1393" s="96" t="str">
        <f t="shared" si="442"/>
        <v>Chronic</v>
      </c>
      <c r="BE1393" s="96" t="str">
        <f t="shared" si="473"/>
        <v>y</v>
      </c>
      <c r="BF1393" s="98" t="str">
        <f t="shared" si="457"/>
        <v>EC10</v>
      </c>
      <c r="BG1393" s="96" t="str">
        <f>IF(BF1393="","",IF(ISNUMBER(VLOOKUP(BF1393,'Conversion factors'!$B$35:$C$52,2,FALSE)),"y","n"))</f>
        <v>y</v>
      </c>
      <c r="BH1393" s="99"/>
    </row>
    <row r="1394" spans="1:60" s="103" customFormat="1" ht="15.95" customHeight="1" x14ac:dyDescent="0.2">
      <c r="A1394" s="18"/>
      <c r="B1394" s="19"/>
      <c r="C1394" s="19"/>
      <c r="D1394" s="19"/>
      <c r="E1394" s="19"/>
      <c r="F1394" s="93">
        <v>2022</v>
      </c>
      <c r="G1394" s="19" t="s">
        <v>1654</v>
      </c>
      <c r="H1394" s="19" t="s">
        <v>1658</v>
      </c>
      <c r="I1394" s="19" t="s">
        <v>1681</v>
      </c>
      <c r="J1394" s="19" t="s">
        <v>344</v>
      </c>
      <c r="K1394" s="19" t="s">
        <v>42</v>
      </c>
      <c r="L1394" s="19" t="s">
        <v>43</v>
      </c>
      <c r="M1394" s="19" t="s">
        <v>1303</v>
      </c>
      <c r="N1394" s="19" t="s">
        <v>109</v>
      </c>
      <c r="O1394" s="19" t="s">
        <v>1649</v>
      </c>
      <c r="P1394" s="19"/>
      <c r="Q1394" s="19"/>
      <c r="R1394" s="19" t="s">
        <v>81</v>
      </c>
      <c r="S1394" s="19" t="s">
        <v>1651</v>
      </c>
      <c r="T1394" s="19" t="s">
        <v>49</v>
      </c>
      <c r="U1394" s="19" t="s">
        <v>49</v>
      </c>
      <c r="V1394" s="19">
        <v>3</v>
      </c>
      <c r="W1394" s="19" t="s">
        <v>45</v>
      </c>
      <c r="X1394" s="19" t="s">
        <v>46</v>
      </c>
      <c r="Y1394" s="29"/>
      <c r="Z1394" s="19"/>
      <c r="AA1394" s="19"/>
      <c r="AB1394" s="19">
        <v>43</v>
      </c>
      <c r="AC1394" s="19" t="s">
        <v>214</v>
      </c>
      <c r="AD1394" s="19"/>
      <c r="AE1394" s="19">
        <v>25.6</v>
      </c>
      <c r="AF1394" s="19"/>
      <c r="AG1394" s="19"/>
      <c r="AH1394" s="19"/>
      <c r="AI1394" s="19"/>
      <c r="AJ1394" s="19">
        <v>7.2</v>
      </c>
      <c r="AK1394" s="19"/>
      <c r="AL1394" s="19"/>
      <c r="AM1394" s="19"/>
      <c r="AN1394" s="19"/>
      <c r="AO1394" s="19"/>
      <c r="AP1394" s="94">
        <v>7.3</v>
      </c>
      <c r="AQ1394" s="19">
        <v>25</v>
      </c>
      <c r="AR1394" s="19"/>
      <c r="AS1394" s="19"/>
      <c r="AT1394" s="65" t="str">
        <f t="shared" si="441"/>
        <v>Y</v>
      </c>
      <c r="AU1394" s="65" t="str">
        <f t="shared" si="469"/>
        <v>Y</v>
      </c>
      <c r="AV1394" s="65" t="str">
        <f t="shared" si="470"/>
        <v>Y</v>
      </c>
      <c r="AW1394" s="99"/>
      <c r="AX1394" s="99"/>
      <c r="AY1394" s="19"/>
      <c r="AZ1394" s="96" t="str">
        <f t="shared" si="471"/>
        <v>EC10</v>
      </c>
      <c r="BA1394" s="96">
        <f>IF(AZ1394="n","n",VLOOKUP(AZ1394,'Conversion factors'!$C$4:$D$24,2,FALSE))</f>
        <v>1</v>
      </c>
      <c r="BB1394" s="96">
        <f t="shared" si="472"/>
        <v>43</v>
      </c>
      <c r="BC1394" s="97"/>
      <c r="BD1394" s="96" t="str">
        <f t="shared" si="442"/>
        <v>Chronic</v>
      </c>
      <c r="BE1394" s="96" t="str">
        <f t="shared" si="473"/>
        <v>y</v>
      </c>
      <c r="BF1394" s="98" t="str">
        <f t="shared" si="457"/>
        <v>EC10</v>
      </c>
      <c r="BG1394" s="96" t="str">
        <f>IF(BF1394="","",IF(ISNUMBER(VLOOKUP(BF1394,'Conversion factors'!$B$35:$C$52,2,FALSE)),"y","n"))</f>
        <v>y</v>
      </c>
      <c r="BH1394" s="99"/>
    </row>
    <row r="1395" spans="1:60" s="103" customFormat="1" ht="15.95" customHeight="1" x14ac:dyDescent="0.2">
      <c r="A1395" s="18"/>
      <c r="B1395" s="19"/>
      <c r="C1395" s="19"/>
      <c r="D1395" s="19"/>
      <c r="E1395" s="19"/>
      <c r="F1395" s="93">
        <v>2022</v>
      </c>
      <c r="G1395" s="19" t="s">
        <v>1654</v>
      </c>
      <c r="H1395" s="19" t="s">
        <v>1658</v>
      </c>
      <c r="I1395" s="19" t="s">
        <v>1682</v>
      </c>
      <c r="J1395" s="19" t="s">
        <v>344</v>
      </c>
      <c r="K1395" s="19" t="s">
        <v>42</v>
      </c>
      <c r="L1395" s="19" t="s">
        <v>43</v>
      </c>
      <c r="M1395" s="19" t="s">
        <v>1303</v>
      </c>
      <c r="N1395" s="19" t="s">
        <v>109</v>
      </c>
      <c r="O1395" s="19" t="s">
        <v>1649</v>
      </c>
      <c r="P1395" s="19"/>
      <c r="Q1395" s="19"/>
      <c r="R1395" s="19" t="s">
        <v>81</v>
      </c>
      <c r="S1395" s="19" t="s">
        <v>1651</v>
      </c>
      <c r="T1395" s="19" t="s">
        <v>49</v>
      </c>
      <c r="U1395" s="19" t="s">
        <v>49</v>
      </c>
      <c r="V1395" s="19">
        <v>3</v>
      </c>
      <c r="W1395" s="19" t="s">
        <v>45</v>
      </c>
      <c r="X1395" s="19" t="s">
        <v>46</v>
      </c>
      <c r="Y1395" s="29"/>
      <c r="Z1395" s="19"/>
      <c r="AA1395" s="19"/>
      <c r="AB1395" s="19">
        <v>6.9</v>
      </c>
      <c r="AC1395" s="19" t="s">
        <v>214</v>
      </c>
      <c r="AD1395" s="19"/>
      <c r="AE1395" s="19">
        <v>72.3</v>
      </c>
      <c r="AF1395" s="19"/>
      <c r="AG1395" s="19"/>
      <c r="AH1395" s="19"/>
      <c r="AI1395" s="19"/>
      <c r="AJ1395" s="19">
        <v>7.6</v>
      </c>
      <c r="AK1395" s="19"/>
      <c r="AL1395" s="19"/>
      <c r="AM1395" s="19"/>
      <c r="AN1395" s="19"/>
      <c r="AO1395" s="19"/>
      <c r="AP1395" s="94">
        <v>4.5999999999999996</v>
      </c>
      <c r="AQ1395" s="19">
        <v>25</v>
      </c>
      <c r="AR1395" s="19"/>
      <c r="AS1395" s="19"/>
      <c r="AT1395" s="65" t="str">
        <f t="shared" si="441"/>
        <v>Y</v>
      </c>
      <c r="AU1395" s="65" t="str">
        <f t="shared" si="469"/>
        <v>Y</v>
      </c>
      <c r="AV1395" s="65" t="str">
        <f t="shared" si="470"/>
        <v>Y</v>
      </c>
      <c r="AW1395" s="99"/>
      <c r="AX1395" s="99"/>
      <c r="AY1395" s="19"/>
      <c r="AZ1395" s="96" t="str">
        <f t="shared" si="471"/>
        <v>EC10</v>
      </c>
      <c r="BA1395" s="96">
        <f>IF(AZ1395="n","n",VLOOKUP(AZ1395,'Conversion factors'!$C$4:$D$24,2,FALSE))</f>
        <v>1</v>
      </c>
      <c r="BB1395" s="96">
        <f t="shared" si="472"/>
        <v>6.9</v>
      </c>
      <c r="BC1395" s="97"/>
      <c r="BD1395" s="96" t="str">
        <f t="shared" si="442"/>
        <v>Chronic</v>
      </c>
      <c r="BE1395" s="96" t="str">
        <f t="shared" si="473"/>
        <v>y</v>
      </c>
      <c r="BF1395" s="98" t="str">
        <f t="shared" si="457"/>
        <v>EC10</v>
      </c>
      <c r="BG1395" s="96" t="str">
        <f>IF(BF1395="","",IF(ISNUMBER(VLOOKUP(BF1395,'Conversion factors'!$B$35:$C$52,2,FALSE)),"y","n"))</f>
        <v>y</v>
      </c>
      <c r="BH1395" s="99"/>
    </row>
    <row r="1396" spans="1:60" s="103" customFormat="1" ht="15.95" customHeight="1" x14ac:dyDescent="0.2">
      <c r="A1396" s="20"/>
      <c r="B1396" s="19"/>
      <c r="C1396" s="19"/>
      <c r="D1396" s="19"/>
      <c r="E1396" s="19"/>
      <c r="F1396" s="93">
        <v>2022</v>
      </c>
      <c r="G1396" s="19" t="s">
        <v>1654</v>
      </c>
      <c r="H1396" s="19" t="s">
        <v>1658</v>
      </c>
      <c r="I1396" s="19" t="s">
        <v>1311</v>
      </c>
      <c r="J1396" s="19" t="s">
        <v>344</v>
      </c>
      <c r="K1396" s="19" t="s">
        <v>42</v>
      </c>
      <c r="L1396" s="19" t="s">
        <v>43</v>
      </c>
      <c r="M1396" s="19" t="s">
        <v>1303</v>
      </c>
      <c r="N1396" s="19" t="s">
        <v>109</v>
      </c>
      <c r="O1396" s="19" t="s">
        <v>1649</v>
      </c>
      <c r="P1396" s="19"/>
      <c r="Q1396" s="19"/>
      <c r="R1396" s="19" t="s">
        <v>81</v>
      </c>
      <c r="S1396" s="19" t="s">
        <v>1651</v>
      </c>
      <c r="T1396" s="19" t="s">
        <v>927</v>
      </c>
      <c r="U1396" s="19" t="s">
        <v>927</v>
      </c>
      <c r="V1396" s="19">
        <v>3</v>
      </c>
      <c r="W1396" s="19" t="s">
        <v>45</v>
      </c>
      <c r="X1396" s="19" t="s">
        <v>46</v>
      </c>
      <c r="Y1396" s="29"/>
      <c r="Z1396" s="19"/>
      <c r="AA1396" s="19"/>
      <c r="AB1396" s="19">
        <v>39</v>
      </c>
      <c r="AC1396" s="19" t="s">
        <v>214</v>
      </c>
      <c r="AD1396" s="19"/>
      <c r="AE1396" s="19">
        <v>18</v>
      </c>
      <c r="AF1396" s="19"/>
      <c r="AG1396" s="19"/>
      <c r="AH1396" s="19"/>
      <c r="AI1396" s="19"/>
      <c r="AJ1396" s="19">
        <v>7.4</v>
      </c>
      <c r="AK1396" s="19"/>
      <c r="AL1396" s="19"/>
      <c r="AM1396" s="19"/>
      <c r="AN1396" s="19"/>
      <c r="AO1396" s="19"/>
      <c r="AP1396" s="94" t="s">
        <v>1683</v>
      </c>
      <c r="AQ1396" s="19">
        <v>25</v>
      </c>
      <c r="AR1396" s="19"/>
      <c r="AS1396" s="19"/>
      <c r="AT1396" s="65" t="str">
        <f t="shared" si="441"/>
        <v>Y</v>
      </c>
      <c r="AU1396" s="65" t="str">
        <f t="shared" si="469"/>
        <v>Y</v>
      </c>
      <c r="AV1396" s="65" t="str">
        <f t="shared" si="470"/>
        <v>Y</v>
      </c>
      <c r="AW1396" s="99"/>
      <c r="AX1396" s="99"/>
      <c r="AY1396" s="19"/>
      <c r="AZ1396" s="96" t="str">
        <f t="shared" si="471"/>
        <v>EC20</v>
      </c>
      <c r="BA1396" s="96">
        <f>IF(AZ1396="n","n",VLOOKUP(AZ1396,'Conversion factors'!$C$4:$D$24,2,FALSE))</f>
        <v>1</v>
      </c>
      <c r="BB1396" s="96">
        <f t="shared" si="472"/>
        <v>39</v>
      </c>
      <c r="BC1396" s="97"/>
      <c r="BD1396" s="96" t="str">
        <f t="shared" si="442"/>
        <v>Chronic</v>
      </c>
      <c r="BE1396" s="96" t="str">
        <f t="shared" si="473"/>
        <v>y</v>
      </c>
      <c r="BF1396" s="98" t="str">
        <f t="shared" si="457"/>
        <v>EC20</v>
      </c>
      <c r="BG1396" s="96" t="str">
        <f>IF(BF1396="","",IF(ISNUMBER(VLOOKUP(BF1396,'Conversion factors'!$B$35:$C$52,2,FALSE)),"y","n"))</f>
        <v>y</v>
      </c>
      <c r="BH1396" s="99"/>
    </row>
    <row r="1397" spans="1:60" s="103" customFormat="1" ht="15.95" customHeight="1" x14ac:dyDescent="0.2">
      <c r="A1397" s="20"/>
      <c r="B1397" s="19"/>
      <c r="C1397" s="19"/>
      <c r="D1397" s="19"/>
      <c r="E1397" s="19"/>
      <c r="F1397" s="93">
        <v>2022</v>
      </c>
      <c r="G1397" s="19" t="s">
        <v>1654</v>
      </c>
      <c r="H1397" s="19" t="s">
        <v>1658</v>
      </c>
      <c r="I1397" s="19" t="s">
        <v>1678</v>
      </c>
      <c r="J1397" s="19" t="s">
        <v>344</v>
      </c>
      <c r="K1397" s="19" t="s">
        <v>42</v>
      </c>
      <c r="L1397" s="19" t="s">
        <v>43</v>
      </c>
      <c r="M1397" s="19" t="s">
        <v>1303</v>
      </c>
      <c r="N1397" s="19" t="s">
        <v>109</v>
      </c>
      <c r="O1397" s="19" t="s">
        <v>1649</v>
      </c>
      <c r="P1397" s="19"/>
      <c r="Q1397" s="19"/>
      <c r="R1397" s="19" t="s">
        <v>81</v>
      </c>
      <c r="S1397" s="19" t="s">
        <v>1651</v>
      </c>
      <c r="T1397" s="19" t="s">
        <v>927</v>
      </c>
      <c r="U1397" s="19" t="s">
        <v>927</v>
      </c>
      <c r="V1397" s="19">
        <v>3</v>
      </c>
      <c r="W1397" s="19" t="s">
        <v>45</v>
      </c>
      <c r="X1397" s="19" t="s">
        <v>46</v>
      </c>
      <c r="Y1397" s="29"/>
      <c r="Z1397" s="19"/>
      <c r="AA1397" s="19"/>
      <c r="AB1397" s="19">
        <v>16</v>
      </c>
      <c r="AC1397" s="19" t="s">
        <v>214</v>
      </c>
      <c r="AD1397" s="19"/>
      <c r="AE1397" s="19">
        <v>39</v>
      </c>
      <c r="AF1397" s="19"/>
      <c r="AG1397" s="19"/>
      <c r="AH1397" s="19"/>
      <c r="AI1397" s="19"/>
      <c r="AJ1397" s="19">
        <v>7.9</v>
      </c>
      <c r="AK1397" s="19"/>
      <c r="AL1397" s="19"/>
      <c r="AM1397" s="19"/>
      <c r="AN1397" s="19"/>
      <c r="AO1397" s="19"/>
      <c r="AP1397" s="94" t="s">
        <v>1683</v>
      </c>
      <c r="AQ1397" s="19">
        <v>25</v>
      </c>
      <c r="AR1397" s="19"/>
      <c r="AS1397" s="19"/>
      <c r="AT1397" s="65" t="str">
        <f t="shared" si="441"/>
        <v>Y</v>
      </c>
      <c r="AU1397" s="65" t="str">
        <f t="shared" ref="AU1397:AU1402" si="474">IF(AT1397="N","N",IF(AJ1397&lt;6,"N",IF(AJ1397&gt;8.5,"N","Y")))</f>
        <v>Y</v>
      </c>
      <c r="AV1397" s="65" t="str">
        <f t="shared" ref="AV1397:AV1402" si="475">AU1397</f>
        <v>Y</v>
      </c>
      <c r="AW1397" s="99"/>
      <c r="AX1397" s="99"/>
      <c r="AY1397" s="19"/>
      <c r="AZ1397" s="96" t="str">
        <f t="shared" ref="AZ1397:AZ1402" si="476">IF(AV1397="N","n",T1397)</f>
        <v>EC20</v>
      </c>
      <c r="BA1397" s="96">
        <f>IF(AZ1397="n","n",VLOOKUP(AZ1397,'Conversion factors'!$C$4:$D$24,2,FALSE))</f>
        <v>1</v>
      </c>
      <c r="BB1397" s="96">
        <f t="shared" ref="BB1397:BB1402" si="477">IF(BA1397="n","n",AB1397/BA1397)</f>
        <v>16</v>
      </c>
      <c r="BC1397" s="97"/>
      <c r="BD1397" s="96" t="str">
        <f t="shared" si="442"/>
        <v>Chronic</v>
      </c>
      <c r="BE1397" s="96" t="str">
        <f t="shared" ref="BE1397:BE1402" si="478">IF(BD1397="chronic","y","n")</f>
        <v>y</v>
      </c>
      <c r="BF1397" s="98" t="str">
        <f t="shared" si="457"/>
        <v>EC20</v>
      </c>
      <c r="BG1397" s="96" t="str">
        <f>IF(BF1397="","",IF(ISNUMBER(VLOOKUP(BF1397,'Conversion factors'!$B$35:$C$52,2,FALSE)),"y","n"))</f>
        <v>y</v>
      </c>
      <c r="BH1397" s="99"/>
    </row>
    <row r="1398" spans="1:60" s="103" customFormat="1" ht="15.95" customHeight="1" x14ac:dyDescent="0.2">
      <c r="A1398" s="18"/>
      <c r="B1398" s="19"/>
      <c r="C1398" s="19"/>
      <c r="D1398" s="19"/>
      <c r="E1398" s="19"/>
      <c r="F1398" s="93">
        <v>2022</v>
      </c>
      <c r="G1398" s="19" t="s">
        <v>1654</v>
      </c>
      <c r="H1398" s="19" t="s">
        <v>1658</v>
      </c>
      <c r="I1398" s="19" t="s">
        <v>1679</v>
      </c>
      <c r="J1398" s="19" t="s">
        <v>344</v>
      </c>
      <c r="K1398" s="19" t="s">
        <v>42</v>
      </c>
      <c r="L1398" s="19" t="s">
        <v>43</v>
      </c>
      <c r="M1398" s="19" t="s">
        <v>1303</v>
      </c>
      <c r="N1398" s="19" t="s">
        <v>109</v>
      </c>
      <c r="O1398" s="19" t="s">
        <v>1649</v>
      </c>
      <c r="P1398" s="19"/>
      <c r="Q1398" s="19"/>
      <c r="R1398" s="19" t="s">
        <v>81</v>
      </c>
      <c r="S1398" s="19" t="s">
        <v>1651</v>
      </c>
      <c r="T1398" s="19" t="s">
        <v>927</v>
      </c>
      <c r="U1398" s="19" t="s">
        <v>927</v>
      </c>
      <c r="V1398" s="19">
        <v>3</v>
      </c>
      <c r="W1398" s="19" t="s">
        <v>45</v>
      </c>
      <c r="X1398" s="19" t="s">
        <v>46</v>
      </c>
      <c r="Y1398" s="29"/>
      <c r="Z1398" s="19"/>
      <c r="AA1398" s="19"/>
      <c r="AB1398" s="19">
        <v>18</v>
      </c>
      <c r="AC1398" s="19" t="s">
        <v>214</v>
      </c>
      <c r="AD1398" s="19"/>
      <c r="AE1398" s="19">
        <v>50</v>
      </c>
      <c r="AF1398" s="19"/>
      <c r="AG1398" s="19"/>
      <c r="AH1398" s="19"/>
      <c r="AI1398" s="19"/>
      <c r="AJ1398" s="19">
        <v>8</v>
      </c>
      <c r="AK1398" s="19"/>
      <c r="AL1398" s="19"/>
      <c r="AM1398" s="19"/>
      <c r="AN1398" s="19"/>
      <c r="AO1398" s="19"/>
      <c r="AP1398" s="94">
        <v>0.4</v>
      </c>
      <c r="AQ1398" s="19">
        <v>25</v>
      </c>
      <c r="AR1398" s="19"/>
      <c r="AS1398" s="19"/>
      <c r="AT1398" s="65" t="str">
        <f t="shared" si="441"/>
        <v>Y</v>
      </c>
      <c r="AU1398" s="65" t="str">
        <f t="shared" si="474"/>
        <v>Y</v>
      </c>
      <c r="AV1398" s="65" t="str">
        <f t="shared" si="475"/>
        <v>Y</v>
      </c>
      <c r="AW1398" s="99"/>
      <c r="AX1398" s="99"/>
      <c r="AY1398" s="19"/>
      <c r="AZ1398" s="96" t="str">
        <f t="shared" si="476"/>
        <v>EC20</v>
      </c>
      <c r="BA1398" s="96">
        <f>IF(AZ1398="n","n",VLOOKUP(AZ1398,'Conversion factors'!$C$4:$D$24,2,FALSE))</f>
        <v>1</v>
      </c>
      <c r="BB1398" s="96">
        <f t="shared" si="477"/>
        <v>18</v>
      </c>
      <c r="BC1398" s="97"/>
      <c r="BD1398" s="96" t="str">
        <f t="shared" si="442"/>
        <v>Chronic</v>
      </c>
      <c r="BE1398" s="96" t="str">
        <f t="shared" si="478"/>
        <v>y</v>
      </c>
      <c r="BF1398" s="98" t="str">
        <f t="shared" si="457"/>
        <v>EC20</v>
      </c>
      <c r="BG1398" s="96" t="str">
        <f>IF(BF1398="","",IF(ISNUMBER(VLOOKUP(BF1398,'Conversion factors'!$B$35:$C$52,2,FALSE)),"y","n"))</f>
        <v>y</v>
      </c>
      <c r="BH1398" s="99"/>
    </row>
    <row r="1399" spans="1:60" s="103" customFormat="1" ht="15.95" customHeight="1" x14ac:dyDescent="0.2">
      <c r="A1399" s="18"/>
      <c r="B1399" s="19"/>
      <c r="C1399" s="19"/>
      <c r="D1399" s="19"/>
      <c r="E1399" s="19"/>
      <c r="F1399" s="93">
        <v>2022</v>
      </c>
      <c r="G1399" s="19" t="s">
        <v>1654</v>
      </c>
      <c r="H1399" s="19" t="s">
        <v>1658</v>
      </c>
      <c r="I1399" s="19" t="s">
        <v>1680</v>
      </c>
      <c r="J1399" s="19" t="s">
        <v>344</v>
      </c>
      <c r="K1399" s="19" t="s">
        <v>42</v>
      </c>
      <c r="L1399" s="19" t="s">
        <v>43</v>
      </c>
      <c r="M1399" s="19" t="s">
        <v>1303</v>
      </c>
      <c r="N1399" s="19" t="s">
        <v>109</v>
      </c>
      <c r="O1399" s="19" t="s">
        <v>1649</v>
      </c>
      <c r="P1399" s="19"/>
      <c r="Q1399" s="19"/>
      <c r="R1399" s="19" t="s">
        <v>81</v>
      </c>
      <c r="S1399" s="19" t="s">
        <v>1651</v>
      </c>
      <c r="T1399" s="19" t="s">
        <v>927</v>
      </c>
      <c r="U1399" s="19" t="s">
        <v>927</v>
      </c>
      <c r="V1399" s="19">
        <v>3</v>
      </c>
      <c r="W1399" s="19" t="s">
        <v>45</v>
      </c>
      <c r="X1399" s="19" t="s">
        <v>46</v>
      </c>
      <c r="Y1399" s="29"/>
      <c r="Z1399" s="19"/>
      <c r="AA1399" s="19"/>
      <c r="AB1399" s="19">
        <v>41</v>
      </c>
      <c r="AC1399" s="19" t="s">
        <v>214</v>
      </c>
      <c r="AD1399" s="19"/>
      <c r="AE1399" s="19">
        <v>110</v>
      </c>
      <c r="AF1399" s="19"/>
      <c r="AG1399" s="19"/>
      <c r="AH1399" s="19"/>
      <c r="AI1399" s="19"/>
      <c r="AJ1399" s="19">
        <v>8.1999999999999993</v>
      </c>
      <c r="AK1399" s="19"/>
      <c r="AL1399" s="19"/>
      <c r="AM1399" s="19"/>
      <c r="AN1399" s="19"/>
      <c r="AO1399" s="19"/>
      <c r="AP1399" s="94">
        <v>2.4</v>
      </c>
      <c r="AQ1399" s="19">
        <v>25</v>
      </c>
      <c r="AR1399" s="19"/>
      <c r="AS1399" s="19"/>
      <c r="AT1399" s="65" t="str">
        <f t="shared" si="441"/>
        <v>Y</v>
      </c>
      <c r="AU1399" s="65" t="str">
        <f t="shared" si="474"/>
        <v>Y</v>
      </c>
      <c r="AV1399" s="65" t="str">
        <f t="shared" si="475"/>
        <v>Y</v>
      </c>
      <c r="AW1399" s="99"/>
      <c r="AX1399" s="99"/>
      <c r="AY1399" s="19"/>
      <c r="AZ1399" s="96" t="str">
        <f t="shared" si="476"/>
        <v>EC20</v>
      </c>
      <c r="BA1399" s="96">
        <f>IF(AZ1399="n","n",VLOOKUP(AZ1399,'Conversion factors'!$C$4:$D$24,2,FALSE))</f>
        <v>1</v>
      </c>
      <c r="BB1399" s="96">
        <f t="shared" si="477"/>
        <v>41</v>
      </c>
      <c r="BC1399" s="97"/>
      <c r="BD1399" s="96" t="str">
        <f t="shared" si="442"/>
        <v>Chronic</v>
      </c>
      <c r="BE1399" s="96" t="str">
        <f t="shared" si="478"/>
        <v>y</v>
      </c>
      <c r="BF1399" s="98" t="str">
        <f t="shared" si="457"/>
        <v>EC20</v>
      </c>
      <c r="BG1399" s="96" t="str">
        <f>IF(BF1399="","",IF(ISNUMBER(VLOOKUP(BF1399,'Conversion factors'!$B$35:$C$52,2,FALSE)),"y","n"))</f>
        <v>y</v>
      </c>
      <c r="BH1399" s="99"/>
    </row>
    <row r="1400" spans="1:60" s="103" customFormat="1" ht="15.95" customHeight="1" x14ac:dyDescent="0.2">
      <c r="A1400" s="18"/>
      <c r="B1400" s="19"/>
      <c r="C1400" s="19"/>
      <c r="D1400" s="19"/>
      <c r="E1400" s="19"/>
      <c r="F1400" s="93">
        <v>2022</v>
      </c>
      <c r="G1400" s="19" t="s">
        <v>1654</v>
      </c>
      <c r="H1400" s="19" t="s">
        <v>1658</v>
      </c>
      <c r="I1400" s="19" t="s">
        <v>1681</v>
      </c>
      <c r="J1400" s="19" t="s">
        <v>344</v>
      </c>
      <c r="K1400" s="19" t="s">
        <v>42</v>
      </c>
      <c r="L1400" s="19" t="s">
        <v>43</v>
      </c>
      <c r="M1400" s="19" t="s">
        <v>1303</v>
      </c>
      <c r="N1400" s="19" t="s">
        <v>109</v>
      </c>
      <c r="O1400" s="19" t="s">
        <v>1649</v>
      </c>
      <c r="P1400" s="19"/>
      <c r="Q1400" s="19"/>
      <c r="R1400" s="19" t="s">
        <v>81</v>
      </c>
      <c r="S1400" s="19" t="s">
        <v>1651</v>
      </c>
      <c r="T1400" s="19" t="s">
        <v>927</v>
      </c>
      <c r="U1400" s="19" t="s">
        <v>927</v>
      </c>
      <c r="V1400" s="19">
        <v>3</v>
      </c>
      <c r="W1400" s="19" t="s">
        <v>45</v>
      </c>
      <c r="X1400" s="19" t="s">
        <v>46</v>
      </c>
      <c r="Y1400" s="29"/>
      <c r="Z1400" s="19"/>
      <c r="AA1400" s="19"/>
      <c r="AB1400" s="19">
        <v>68</v>
      </c>
      <c r="AC1400" s="19" t="s">
        <v>214</v>
      </c>
      <c r="AD1400" s="19"/>
      <c r="AE1400" s="19">
        <v>25.6</v>
      </c>
      <c r="AF1400" s="19"/>
      <c r="AG1400" s="19"/>
      <c r="AH1400" s="19"/>
      <c r="AI1400" s="19"/>
      <c r="AJ1400" s="19">
        <v>7.2</v>
      </c>
      <c r="AK1400" s="19"/>
      <c r="AL1400" s="19"/>
      <c r="AM1400" s="19"/>
      <c r="AN1400" s="19"/>
      <c r="AO1400" s="19"/>
      <c r="AP1400" s="94">
        <v>7.3</v>
      </c>
      <c r="AQ1400" s="19">
        <v>25</v>
      </c>
      <c r="AR1400" s="19"/>
      <c r="AS1400" s="19"/>
      <c r="AT1400" s="65" t="str">
        <f t="shared" si="441"/>
        <v>Y</v>
      </c>
      <c r="AU1400" s="65" t="str">
        <f t="shared" si="474"/>
        <v>Y</v>
      </c>
      <c r="AV1400" s="65" t="str">
        <f t="shared" si="475"/>
        <v>Y</v>
      </c>
      <c r="AW1400" s="99"/>
      <c r="AX1400" s="99"/>
      <c r="AY1400" s="19"/>
      <c r="AZ1400" s="96" t="str">
        <f t="shared" si="476"/>
        <v>EC20</v>
      </c>
      <c r="BA1400" s="96">
        <f>IF(AZ1400="n","n",VLOOKUP(AZ1400,'Conversion factors'!$C$4:$D$24,2,FALSE))</f>
        <v>1</v>
      </c>
      <c r="BB1400" s="96">
        <f t="shared" si="477"/>
        <v>68</v>
      </c>
      <c r="BC1400" s="97"/>
      <c r="BD1400" s="96" t="str">
        <f t="shared" si="442"/>
        <v>Chronic</v>
      </c>
      <c r="BE1400" s="96" t="str">
        <f t="shared" si="478"/>
        <v>y</v>
      </c>
      <c r="BF1400" s="98" t="str">
        <f t="shared" si="457"/>
        <v>EC20</v>
      </c>
      <c r="BG1400" s="96" t="str">
        <f>IF(BF1400="","",IF(ISNUMBER(VLOOKUP(BF1400,'Conversion factors'!$B$35:$C$52,2,FALSE)),"y","n"))</f>
        <v>y</v>
      </c>
      <c r="BH1400" s="99"/>
    </row>
    <row r="1401" spans="1:60" s="103" customFormat="1" ht="15.95" customHeight="1" x14ac:dyDescent="0.2">
      <c r="A1401" s="18"/>
      <c r="B1401" s="19"/>
      <c r="C1401" s="19"/>
      <c r="D1401" s="19"/>
      <c r="E1401" s="19"/>
      <c r="F1401" s="93">
        <v>2022</v>
      </c>
      <c r="G1401" s="19" t="s">
        <v>1654</v>
      </c>
      <c r="H1401" s="19" t="s">
        <v>1658</v>
      </c>
      <c r="I1401" s="19" t="s">
        <v>1682</v>
      </c>
      <c r="J1401" s="19" t="s">
        <v>344</v>
      </c>
      <c r="K1401" s="19" t="s">
        <v>42</v>
      </c>
      <c r="L1401" s="19" t="s">
        <v>43</v>
      </c>
      <c r="M1401" s="19" t="s">
        <v>1303</v>
      </c>
      <c r="N1401" s="19" t="s">
        <v>109</v>
      </c>
      <c r="O1401" s="19" t="s">
        <v>1649</v>
      </c>
      <c r="P1401" s="19"/>
      <c r="Q1401" s="19"/>
      <c r="R1401" s="19" t="s">
        <v>81</v>
      </c>
      <c r="S1401" s="19" t="s">
        <v>1651</v>
      </c>
      <c r="T1401" s="19" t="s">
        <v>927</v>
      </c>
      <c r="U1401" s="19" t="s">
        <v>927</v>
      </c>
      <c r="V1401" s="19">
        <v>3</v>
      </c>
      <c r="W1401" s="19" t="s">
        <v>45</v>
      </c>
      <c r="X1401" s="19" t="s">
        <v>46</v>
      </c>
      <c r="Y1401" s="29"/>
      <c r="Z1401" s="19"/>
      <c r="AA1401" s="19"/>
      <c r="AB1401" s="19">
        <v>16</v>
      </c>
      <c r="AC1401" s="19" t="s">
        <v>214</v>
      </c>
      <c r="AD1401" s="19"/>
      <c r="AE1401" s="19">
        <v>72.3</v>
      </c>
      <c r="AF1401" s="19"/>
      <c r="AG1401" s="19"/>
      <c r="AH1401" s="19"/>
      <c r="AI1401" s="19"/>
      <c r="AJ1401" s="19">
        <v>7.6</v>
      </c>
      <c r="AK1401" s="19"/>
      <c r="AL1401" s="19"/>
      <c r="AM1401" s="19"/>
      <c r="AN1401" s="19"/>
      <c r="AO1401" s="19"/>
      <c r="AP1401" s="94">
        <v>4.5999999999999996</v>
      </c>
      <c r="AQ1401" s="19">
        <v>25</v>
      </c>
      <c r="AR1401" s="19"/>
      <c r="AS1401" s="19"/>
      <c r="AT1401" s="65" t="str">
        <f t="shared" si="441"/>
        <v>Y</v>
      </c>
      <c r="AU1401" s="65" t="str">
        <f t="shared" si="474"/>
        <v>Y</v>
      </c>
      <c r="AV1401" s="65" t="str">
        <f t="shared" si="475"/>
        <v>Y</v>
      </c>
      <c r="AW1401" s="99"/>
      <c r="AX1401" s="99"/>
      <c r="AY1401" s="19"/>
      <c r="AZ1401" s="96" t="str">
        <f t="shared" si="476"/>
        <v>EC20</v>
      </c>
      <c r="BA1401" s="96">
        <f>IF(AZ1401="n","n",VLOOKUP(AZ1401,'Conversion factors'!$C$4:$D$24,2,FALSE))</f>
        <v>1</v>
      </c>
      <c r="BB1401" s="96">
        <f t="shared" si="477"/>
        <v>16</v>
      </c>
      <c r="BC1401" s="97"/>
      <c r="BD1401" s="96" t="str">
        <f t="shared" si="442"/>
        <v>Chronic</v>
      </c>
      <c r="BE1401" s="96" t="str">
        <f t="shared" si="478"/>
        <v>y</v>
      </c>
      <c r="BF1401" s="98" t="str">
        <f t="shared" si="457"/>
        <v>EC20</v>
      </c>
      <c r="BG1401" s="96" t="str">
        <f>IF(BF1401="","",IF(ISNUMBER(VLOOKUP(BF1401,'Conversion factors'!$B$35:$C$52,2,FALSE)),"y","n"))</f>
        <v>y</v>
      </c>
      <c r="BH1401" s="99"/>
    </row>
    <row r="1402" spans="1:60" s="103" customFormat="1" ht="15.95" customHeight="1" x14ac:dyDescent="0.2">
      <c r="A1402" s="20"/>
      <c r="B1402" s="19"/>
      <c r="C1402" s="19"/>
      <c r="D1402" s="19"/>
      <c r="E1402" s="19"/>
      <c r="F1402" s="93">
        <v>2022</v>
      </c>
      <c r="G1402" s="19" t="s">
        <v>1654</v>
      </c>
      <c r="H1402" s="19" t="s">
        <v>1658</v>
      </c>
      <c r="I1402" s="19" t="s">
        <v>1311</v>
      </c>
      <c r="J1402" s="19" t="s">
        <v>344</v>
      </c>
      <c r="K1402" s="19" t="s">
        <v>42</v>
      </c>
      <c r="L1402" s="19" t="s">
        <v>43</v>
      </c>
      <c r="M1402" s="19" t="s">
        <v>1303</v>
      </c>
      <c r="N1402" s="19" t="s">
        <v>109</v>
      </c>
      <c r="O1402" s="19" t="s">
        <v>1649</v>
      </c>
      <c r="P1402" s="19"/>
      <c r="Q1402" s="19"/>
      <c r="R1402" s="19" t="s">
        <v>81</v>
      </c>
      <c r="S1402" s="19" t="s">
        <v>1651</v>
      </c>
      <c r="T1402" s="19" t="s">
        <v>44</v>
      </c>
      <c r="U1402" s="19" t="s">
        <v>44</v>
      </c>
      <c r="V1402" s="19">
        <v>3</v>
      </c>
      <c r="W1402" s="19" t="s">
        <v>45</v>
      </c>
      <c r="X1402" s="19" t="s">
        <v>46</v>
      </c>
      <c r="Y1402" s="29"/>
      <c r="Z1402" s="19"/>
      <c r="AA1402" s="19"/>
      <c r="AB1402" s="19">
        <v>99</v>
      </c>
      <c r="AC1402" s="19" t="s">
        <v>214</v>
      </c>
      <c r="AD1402" s="19"/>
      <c r="AE1402" s="19">
        <v>18</v>
      </c>
      <c r="AF1402" s="19"/>
      <c r="AG1402" s="19"/>
      <c r="AH1402" s="19"/>
      <c r="AI1402" s="19"/>
      <c r="AJ1402" s="19">
        <v>7.4</v>
      </c>
      <c r="AK1402" s="19"/>
      <c r="AL1402" s="19"/>
      <c r="AM1402" s="19"/>
      <c r="AN1402" s="19"/>
      <c r="AO1402" s="19"/>
      <c r="AP1402" s="94" t="s">
        <v>1683</v>
      </c>
      <c r="AQ1402" s="19">
        <v>25</v>
      </c>
      <c r="AR1402" s="19"/>
      <c r="AS1402" s="19"/>
      <c r="AT1402" s="65" t="str">
        <f t="shared" si="441"/>
        <v>Y</v>
      </c>
      <c r="AU1402" s="65" t="str">
        <f t="shared" si="474"/>
        <v>Y</v>
      </c>
      <c r="AV1402" s="65" t="str">
        <f t="shared" si="475"/>
        <v>Y</v>
      </c>
      <c r="AW1402" s="99"/>
      <c r="AX1402" s="99"/>
      <c r="AY1402" s="19"/>
      <c r="AZ1402" s="96" t="str">
        <f t="shared" si="476"/>
        <v>EC50</v>
      </c>
      <c r="BA1402" s="96">
        <f>IF(AZ1402="n","n",VLOOKUP(AZ1402,'Conversion factors'!$C$4:$D$24,2,FALSE))</f>
        <v>5</v>
      </c>
      <c r="BB1402" s="96">
        <f t="shared" si="477"/>
        <v>19.8</v>
      </c>
      <c r="BC1402" s="97"/>
      <c r="BD1402" s="96" t="str">
        <f t="shared" si="442"/>
        <v>Chronic</v>
      </c>
      <c r="BE1402" s="96" t="str">
        <f t="shared" si="478"/>
        <v>y</v>
      </c>
      <c r="BF1402" s="98" t="str">
        <f t="shared" si="457"/>
        <v>EC50</v>
      </c>
      <c r="BG1402" s="96" t="str">
        <f>IF(BF1402="","",IF(ISNUMBER(VLOOKUP(BF1402,'Conversion factors'!$B$35:$C$52,2,FALSE)),"y","n"))</f>
        <v>n</v>
      </c>
      <c r="BH1402" s="99"/>
    </row>
    <row r="1403" spans="1:60" s="103" customFormat="1" ht="15.95" customHeight="1" x14ac:dyDescent="0.2">
      <c r="A1403" s="20"/>
      <c r="B1403" s="19"/>
      <c r="C1403" s="19"/>
      <c r="D1403" s="19"/>
      <c r="E1403" s="19"/>
      <c r="F1403" s="93">
        <v>2022</v>
      </c>
      <c r="G1403" s="19" t="s">
        <v>1654</v>
      </c>
      <c r="H1403" s="19" t="s">
        <v>1658</v>
      </c>
      <c r="I1403" s="19" t="s">
        <v>1678</v>
      </c>
      <c r="J1403" s="19" t="s">
        <v>344</v>
      </c>
      <c r="K1403" s="19" t="s">
        <v>42</v>
      </c>
      <c r="L1403" s="19" t="s">
        <v>43</v>
      </c>
      <c r="M1403" s="19" t="s">
        <v>1303</v>
      </c>
      <c r="N1403" s="19" t="s">
        <v>109</v>
      </c>
      <c r="O1403" s="19" t="s">
        <v>1649</v>
      </c>
      <c r="P1403" s="19"/>
      <c r="Q1403" s="19"/>
      <c r="R1403" s="19" t="s">
        <v>81</v>
      </c>
      <c r="S1403" s="19" t="s">
        <v>1651</v>
      </c>
      <c r="T1403" s="19" t="s">
        <v>44</v>
      </c>
      <c r="U1403" s="19" t="s">
        <v>44</v>
      </c>
      <c r="V1403" s="19">
        <v>3</v>
      </c>
      <c r="W1403" s="19" t="s">
        <v>45</v>
      </c>
      <c r="X1403" s="19" t="s">
        <v>46</v>
      </c>
      <c r="Y1403" s="29"/>
      <c r="Z1403" s="19"/>
      <c r="AA1403" s="19"/>
      <c r="AB1403" s="19">
        <v>67</v>
      </c>
      <c r="AC1403" s="19" t="s">
        <v>214</v>
      </c>
      <c r="AD1403" s="19"/>
      <c r="AE1403" s="19">
        <v>39</v>
      </c>
      <c r="AF1403" s="19"/>
      <c r="AG1403" s="19"/>
      <c r="AH1403" s="19"/>
      <c r="AI1403" s="19"/>
      <c r="AJ1403" s="19">
        <v>7.9</v>
      </c>
      <c r="AK1403" s="19"/>
      <c r="AL1403" s="19"/>
      <c r="AM1403" s="19"/>
      <c r="AN1403" s="19"/>
      <c r="AO1403" s="19"/>
      <c r="AP1403" s="94" t="s">
        <v>1683</v>
      </c>
      <c r="AQ1403" s="19">
        <v>25</v>
      </c>
      <c r="AR1403" s="19"/>
      <c r="AS1403" s="19"/>
      <c r="AT1403" s="65" t="str">
        <f t="shared" si="441"/>
        <v>Y</v>
      </c>
      <c r="AU1403" s="65" t="str">
        <f t="shared" ref="AU1403:AU1407" si="479">IF(AT1403="N","N",IF(AJ1403&lt;6,"N",IF(AJ1403&gt;8.5,"N","Y")))</f>
        <v>Y</v>
      </c>
      <c r="AV1403" s="65" t="str">
        <f t="shared" ref="AV1403:AV1407" si="480">AU1403</f>
        <v>Y</v>
      </c>
      <c r="AW1403" s="99"/>
      <c r="AX1403" s="99"/>
      <c r="AY1403" s="19"/>
      <c r="AZ1403" s="96" t="str">
        <f t="shared" ref="AZ1403:AZ1407" si="481">IF(AV1403="N","n",T1403)</f>
        <v>EC50</v>
      </c>
      <c r="BA1403" s="96">
        <f>IF(AZ1403="n","n",VLOOKUP(AZ1403,'Conversion factors'!$C$4:$D$24,2,FALSE))</f>
        <v>5</v>
      </c>
      <c r="BB1403" s="96">
        <f t="shared" ref="BB1403:BB1407" si="482">IF(BA1403="n","n",AB1403/BA1403)</f>
        <v>13.4</v>
      </c>
      <c r="BC1403" s="97"/>
      <c r="BD1403" s="96" t="str">
        <f t="shared" si="442"/>
        <v>Chronic</v>
      </c>
      <c r="BE1403" s="96" t="str">
        <f t="shared" ref="BE1403:BE1407" si="483">IF(BD1403="chronic","y","n")</f>
        <v>y</v>
      </c>
      <c r="BF1403" s="98" t="str">
        <f t="shared" si="457"/>
        <v>EC50</v>
      </c>
      <c r="BG1403" s="96" t="str">
        <f>IF(BF1403="","",IF(ISNUMBER(VLOOKUP(BF1403,'Conversion factors'!$B$35:$C$52,2,FALSE)),"y","n"))</f>
        <v>n</v>
      </c>
      <c r="BH1403" s="99"/>
    </row>
    <row r="1404" spans="1:60" s="103" customFormat="1" ht="15.95" customHeight="1" x14ac:dyDescent="0.2">
      <c r="A1404" s="18"/>
      <c r="B1404" s="19"/>
      <c r="C1404" s="19"/>
      <c r="D1404" s="19"/>
      <c r="E1404" s="19"/>
      <c r="F1404" s="93">
        <v>2022</v>
      </c>
      <c r="G1404" s="19" t="s">
        <v>1654</v>
      </c>
      <c r="H1404" s="19" t="s">
        <v>1658</v>
      </c>
      <c r="I1404" s="19" t="s">
        <v>1679</v>
      </c>
      <c r="J1404" s="19" t="s">
        <v>344</v>
      </c>
      <c r="K1404" s="19" t="s">
        <v>42</v>
      </c>
      <c r="L1404" s="19" t="s">
        <v>43</v>
      </c>
      <c r="M1404" s="19" t="s">
        <v>1303</v>
      </c>
      <c r="N1404" s="19" t="s">
        <v>109</v>
      </c>
      <c r="O1404" s="19" t="s">
        <v>1649</v>
      </c>
      <c r="P1404" s="19"/>
      <c r="Q1404" s="19"/>
      <c r="R1404" s="19" t="s">
        <v>81</v>
      </c>
      <c r="S1404" s="19" t="s">
        <v>1651</v>
      </c>
      <c r="T1404" s="19" t="s">
        <v>44</v>
      </c>
      <c r="U1404" s="19" t="s">
        <v>44</v>
      </c>
      <c r="V1404" s="19">
        <v>3</v>
      </c>
      <c r="W1404" s="19" t="s">
        <v>45</v>
      </c>
      <c r="X1404" s="19" t="s">
        <v>46</v>
      </c>
      <c r="Y1404" s="29"/>
      <c r="Z1404" s="19"/>
      <c r="AA1404" s="19"/>
      <c r="AB1404" s="19">
        <v>68</v>
      </c>
      <c r="AC1404" s="19" t="s">
        <v>214</v>
      </c>
      <c r="AD1404" s="19"/>
      <c r="AE1404" s="19">
        <v>50</v>
      </c>
      <c r="AF1404" s="19"/>
      <c r="AG1404" s="19"/>
      <c r="AH1404" s="19"/>
      <c r="AI1404" s="19"/>
      <c r="AJ1404" s="19">
        <v>8</v>
      </c>
      <c r="AK1404" s="19"/>
      <c r="AL1404" s="19"/>
      <c r="AM1404" s="19"/>
      <c r="AN1404" s="19"/>
      <c r="AO1404" s="19"/>
      <c r="AP1404" s="94">
        <v>0.4</v>
      </c>
      <c r="AQ1404" s="19">
        <v>25</v>
      </c>
      <c r="AR1404" s="19"/>
      <c r="AS1404" s="19"/>
      <c r="AT1404" s="65" t="str">
        <f t="shared" si="441"/>
        <v>Y</v>
      </c>
      <c r="AU1404" s="65" t="str">
        <f t="shared" si="479"/>
        <v>Y</v>
      </c>
      <c r="AV1404" s="65" t="str">
        <f t="shared" si="480"/>
        <v>Y</v>
      </c>
      <c r="AW1404" s="99"/>
      <c r="AX1404" s="99"/>
      <c r="AY1404" s="19"/>
      <c r="AZ1404" s="96" t="str">
        <f t="shared" si="481"/>
        <v>EC50</v>
      </c>
      <c r="BA1404" s="96">
        <f>IF(AZ1404="n","n",VLOOKUP(AZ1404,'Conversion factors'!$C$4:$D$24,2,FALSE))</f>
        <v>5</v>
      </c>
      <c r="BB1404" s="96">
        <f t="shared" si="482"/>
        <v>13.6</v>
      </c>
      <c r="BC1404" s="97"/>
      <c r="BD1404" s="96" t="str">
        <f t="shared" si="442"/>
        <v>Chronic</v>
      </c>
      <c r="BE1404" s="96" t="str">
        <f t="shared" si="483"/>
        <v>y</v>
      </c>
      <c r="BF1404" s="98" t="str">
        <f t="shared" si="457"/>
        <v>EC50</v>
      </c>
      <c r="BG1404" s="96" t="str">
        <f>IF(BF1404="","",IF(ISNUMBER(VLOOKUP(BF1404,'Conversion factors'!$B$35:$C$52,2,FALSE)),"y","n"))</f>
        <v>n</v>
      </c>
      <c r="BH1404" s="99"/>
    </row>
    <row r="1405" spans="1:60" s="103" customFormat="1" ht="15.95" customHeight="1" x14ac:dyDescent="0.2">
      <c r="A1405" s="18"/>
      <c r="B1405" s="19"/>
      <c r="C1405" s="19"/>
      <c r="D1405" s="19"/>
      <c r="E1405" s="19"/>
      <c r="F1405" s="93">
        <v>2022</v>
      </c>
      <c r="G1405" s="19" t="s">
        <v>1654</v>
      </c>
      <c r="H1405" s="19" t="s">
        <v>1658</v>
      </c>
      <c r="I1405" s="19" t="s">
        <v>1680</v>
      </c>
      <c r="J1405" s="19" t="s">
        <v>344</v>
      </c>
      <c r="K1405" s="19" t="s">
        <v>42</v>
      </c>
      <c r="L1405" s="19" t="s">
        <v>43</v>
      </c>
      <c r="M1405" s="19" t="s">
        <v>1303</v>
      </c>
      <c r="N1405" s="19" t="s">
        <v>109</v>
      </c>
      <c r="O1405" s="19" t="s">
        <v>1649</v>
      </c>
      <c r="P1405" s="19"/>
      <c r="Q1405" s="19"/>
      <c r="R1405" s="19" t="s">
        <v>81</v>
      </c>
      <c r="S1405" s="19" t="s">
        <v>1651</v>
      </c>
      <c r="T1405" s="19" t="s">
        <v>44</v>
      </c>
      <c r="U1405" s="19" t="s">
        <v>44</v>
      </c>
      <c r="V1405" s="19">
        <v>3</v>
      </c>
      <c r="W1405" s="19" t="s">
        <v>45</v>
      </c>
      <c r="X1405" s="19" t="s">
        <v>46</v>
      </c>
      <c r="Y1405" s="29"/>
      <c r="Z1405" s="19"/>
      <c r="AA1405" s="19"/>
      <c r="AB1405" s="19">
        <v>122</v>
      </c>
      <c r="AC1405" s="19" t="s">
        <v>214</v>
      </c>
      <c r="AD1405" s="19"/>
      <c r="AE1405" s="19">
        <v>110</v>
      </c>
      <c r="AF1405" s="19"/>
      <c r="AG1405" s="19"/>
      <c r="AH1405" s="19"/>
      <c r="AI1405" s="19"/>
      <c r="AJ1405" s="19">
        <v>8.1999999999999993</v>
      </c>
      <c r="AK1405" s="19"/>
      <c r="AL1405" s="19"/>
      <c r="AM1405" s="19"/>
      <c r="AN1405" s="19"/>
      <c r="AO1405" s="19"/>
      <c r="AP1405" s="94">
        <v>2.4</v>
      </c>
      <c r="AQ1405" s="19">
        <v>25</v>
      </c>
      <c r="AR1405" s="19"/>
      <c r="AS1405" s="19"/>
      <c r="AT1405" s="65" t="str">
        <f t="shared" si="441"/>
        <v>Y</v>
      </c>
      <c r="AU1405" s="65" t="str">
        <f t="shared" si="479"/>
        <v>Y</v>
      </c>
      <c r="AV1405" s="65" t="str">
        <f t="shared" si="480"/>
        <v>Y</v>
      </c>
      <c r="AW1405" s="99"/>
      <c r="AX1405" s="99"/>
      <c r="AY1405" s="19"/>
      <c r="AZ1405" s="96" t="str">
        <f t="shared" si="481"/>
        <v>EC50</v>
      </c>
      <c r="BA1405" s="96">
        <f>IF(AZ1405="n","n",VLOOKUP(AZ1405,'Conversion factors'!$C$4:$D$24,2,FALSE))</f>
        <v>5</v>
      </c>
      <c r="BB1405" s="96">
        <f t="shared" si="482"/>
        <v>24.4</v>
      </c>
      <c r="BC1405" s="97"/>
      <c r="BD1405" s="96" t="str">
        <f t="shared" si="442"/>
        <v>Chronic</v>
      </c>
      <c r="BE1405" s="96" t="str">
        <f t="shared" si="483"/>
        <v>y</v>
      </c>
      <c r="BF1405" s="98" t="str">
        <f t="shared" si="457"/>
        <v>EC50</v>
      </c>
      <c r="BG1405" s="96" t="str">
        <f>IF(BF1405="","",IF(ISNUMBER(VLOOKUP(BF1405,'Conversion factors'!$B$35:$C$52,2,FALSE)),"y","n"))</f>
        <v>n</v>
      </c>
      <c r="BH1405" s="99"/>
    </row>
    <row r="1406" spans="1:60" s="103" customFormat="1" ht="15.95" customHeight="1" x14ac:dyDescent="0.2">
      <c r="A1406" s="18"/>
      <c r="B1406" s="19"/>
      <c r="C1406" s="19"/>
      <c r="D1406" s="19"/>
      <c r="E1406" s="19"/>
      <c r="F1406" s="93">
        <v>2022</v>
      </c>
      <c r="G1406" s="19" t="s">
        <v>1654</v>
      </c>
      <c r="H1406" s="19" t="s">
        <v>1658</v>
      </c>
      <c r="I1406" s="19" t="s">
        <v>1681</v>
      </c>
      <c r="J1406" s="19" t="s">
        <v>344</v>
      </c>
      <c r="K1406" s="19" t="s">
        <v>42</v>
      </c>
      <c r="L1406" s="19" t="s">
        <v>43</v>
      </c>
      <c r="M1406" s="19" t="s">
        <v>1303</v>
      </c>
      <c r="N1406" s="19" t="s">
        <v>109</v>
      </c>
      <c r="O1406" s="19" t="s">
        <v>1649</v>
      </c>
      <c r="P1406" s="19"/>
      <c r="Q1406" s="19"/>
      <c r="R1406" s="19" t="s">
        <v>81</v>
      </c>
      <c r="S1406" s="19" t="s">
        <v>1651</v>
      </c>
      <c r="T1406" s="19" t="s">
        <v>44</v>
      </c>
      <c r="U1406" s="19" t="s">
        <v>44</v>
      </c>
      <c r="V1406" s="19">
        <v>3</v>
      </c>
      <c r="W1406" s="19" t="s">
        <v>45</v>
      </c>
      <c r="X1406" s="19" t="s">
        <v>46</v>
      </c>
      <c r="Y1406" s="29"/>
      <c r="Z1406" s="19"/>
      <c r="AA1406" s="19"/>
      <c r="AB1406" s="19">
        <v>133</v>
      </c>
      <c r="AC1406" s="19" t="s">
        <v>214</v>
      </c>
      <c r="AD1406" s="19"/>
      <c r="AE1406" s="19">
        <v>25.6</v>
      </c>
      <c r="AF1406" s="19"/>
      <c r="AG1406" s="19"/>
      <c r="AH1406" s="19"/>
      <c r="AI1406" s="19"/>
      <c r="AJ1406" s="19">
        <v>7.2</v>
      </c>
      <c r="AK1406" s="19"/>
      <c r="AL1406" s="19"/>
      <c r="AM1406" s="19"/>
      <c r="AN1406" s="19"/>
      <c r="AO1406" s="19"/>
      <c r="AP1406" s="94">
        <v>7.3</v>
      </c>
      <c r="AQ1406" s="19">
        <v>25</v>
      </c>
      <c r="AR1406" s="19"/>
      <c r="AS1406" s="19"/>
      <c r="AT1406" s="65" t="str">
        <f t="shared" si="441"/>
        <v>Y</v>
      </c>
      <c r="AU1406" s="65" t="str">
        <f t="shared" si="479"/>
        <v>Y</v>
      </c>
      <c r="AV1406" s="65" t="str">
        <f t="shared" si="480"/>
        <v>Y</v>
      </c>
      <c r="AW1406" s="99"/>
      <c r="AX1406" s="99"/>
      <c r="AY1406" s="19"/>
      <c r="AZ1406" s="96" t="str">
        <f t="shared" si="481"/>
        <v>EC50</v>
      </c>
      <c r="BA1406" s="96">
        <f>IF(AZ1406="n","n",VLOOKUP(AZ1406,'Conversion factors'!$C$4:$D$24,2,FALSE))</f>
        <v>5</v>
      </c>
      <c r="BB1406" s="96">
        <f t="shared" si="482"/>
        <v>26.6</v>
      </c>
      <c r="BC1406" s="97"/>
      <c r="BD1406" s="96" t="str">
        <f t="shared" si="442"/>
        <v>Chronic</v>
      </c>
      <c r="BE1406" s="96" t="str">
        <f t="shared" si="483"/>
        <v>y</v>
      </c>
      <c r="BF1406" s="98" t="str">
        <f t="shared" si="457"/>
        <v>EC50</v>
      </c>
      <c r="BG1406" s="96" t="str">
        <f>IF(BF1406="","",IF(ISNUMBER(VLOOKUP(BF1406,'Conversion factors'!$B$35:$C$52,2,FALSE)),"y","n"))</f>
        <v>n</v>
      </c>
      <c r="BH1406" s="99"/>
    </row>
    <row r="1407" spans="1:60" s="103" customFormat="1" ht="15.95" customHeight="1" x14ac:dyDescent="0.2">
      <c r="A1407" s="18"/>
      <c r="B1407" s="19"/>
      <c r="C1407" s="19"/>
      <c r="D1407" s="19"/>
      <c r="E1407" s="19"/>
      <c r="F1407" s="93">
        <v>2022</v>
      </c>
      <c r="G1407" s="19" t="s">
        <v>1654</v>
      </c>
      <c r="H1407" s="19" t="s">
        <v>1658</v>
      </c>
      <c r="I1407" s="19" t="s">
        <v>1682</v>
      </c>
      <c r="J1407" s="19" t="s">
        <v>344</v>
      </c>
      <c r="K1407" s="19" t="s">
        <v>42</v>
      </c>
      <c r="L1407" s="19" t="s">
        <v>43</v>
      </c>
      <c r="M1407" s="19" t="s">
        <v>1303</v>
      </c>
      <c r="N1407" s="19" t="s">
        <v>109</v>
      </c>
      <c r="O1407" s="19" t="s">
        <v>1649</v>
      </c>
      <c r="P1407" s="19"/>
      <c r="Q1407" s="19"/>
      <c r="R1407" s="19" t="s">
        <v>81</v>
      </c>
      <c r="S1407" s="19" t="s">
        <v>1651</v>
      </c>
      <c r="T1407" s="19" t="s">
        <v>44</v>
      </c>
      <c r="U1407" s="19" t="s">
        <v>44</v>
      </c>
      <c r="V1407" s="19">
        <v>3</v>
      </c>
      <c r="W1407" s="19" t="s">
        <v>45</v>
      </c>
      <c r="X1407" s="19" t="s">
        <v>46</v>
      </c>
      <c r="Y1407" s="29"/>
      <c r="Z1407" s="19"/>
      <c r="AA1407" s="19"/>
      <c r="AB1407" s="19">
        <v>61</v>
      </c>
      <c r="AC1407" s="19" t="s">
        <v>214</v>
      </c>
      <c r="AD1407" s="19"/>
      <c r="AE1407" s="19">
        <v>72.3</v>
      </c>
      <c r="AF1407" s="19"/>
      <c r="AG1407" s="19"/>
      <c r="AH1407" s="19"/>
      <c r="AI1407" s="19"/>
      <c r="AJ1407" s="19">
        <v>7.6</v>
      </c>
      <c r="AK1407" s="19"/>
      <c r="AL1407" s="19"/>
      <c r="AM1407" s="19"/>
      <c r="AN1407" s="19"/>
      <c r="AO1407" s="19"/>
      <c r="AP1407" s="94">
        <v>4.5999999999999996</v>
      </c>
      <c r="AQ1407" s="19">
        <v>25</v>
      </c>
      <c r="AR1407" s="19"/>
      <c r="AS1407" s="19"/>
      <c r="AT1407" s="65" t="str">
        <f t="shared" si="441"/>
        <v>Y</v>
      </c>
      <c r="AU1407" s="65" t="str">
        <f t="shared" si="479"/>
        <v>Y</v>
      </c>
      <c r="AV1407" s="65" t="str">
        <f t="shared" si="480"/>
        <v>Y</v>
      </c>
      <c r="AW1407" s="99"/>
      <c r="AX1407" s="99"/>
      <c r="AY1407" s="19"/>
      <c r="AZ1407" s="96" t="str">
        <f t="shared" si="481"/>
        <v>EC50</v>
      </c>
      <c r="BA1407" s="96">
        <f>IF(AZ1407="n","n",VLOOKUP(AZ1407,'Conversion factors'!$C$4:$D$24,2,FALSE))</f>
        <v>5</v>
      </c>
      <c r="BB1407" s="96">
        <f t="shared" si="482"/>
        <v>12.2</v>
      </c>
      <c r="BC1407" s="97"/>
      <c r="BD1407" s="96" t="str">
        <f t="shared" si="442"/>
        <v>Chronic</v>
      </c>
      <c r="BE1407" s="96" t="str">
        <f t="shared" si="483"/>
        <v>y</v>
      </c>
      <c r="BF1407" s="98" t="str">
        <f t="shared" si="457"/>
        <v>EC50</v>
      </c>
      <c r="BG1407" s="96" t="str">
        <f>IF(BF1407="","",IF(ISNUMBER(VLOOKUP(BF1407,'Conversion factors'!$B$35:$C$52,2,FALSE)),"y","n"))</f>
        <v>n</v>
      </c>
      <c r="BH1407" s="99"/>
    </row>
    <row r="1408" spans="1:60" s="103" customFormat="1" ht="15.95" customHeight="1" x14ac:dyDescent="0.2">
      <c r="A1408" s="20"/>
      <c r="B1408" s="19"/>
      <c r="C1408" s="19"/>
      <c r="D1408" s="19"/>
      <c r="E1408" s="19"/>
      <c r="F1408" s="93">
        <v>2022</v>
      </c>
      <c r="G1408" s="19" t="s">
        <v>1654</v>
      </c>
      <c r="H1408" s="19" t="s">
        <v>1658</v>
      </c>
      <c r="I1408" s="19" t="s">
        <v>1678</v>
      </c>
      <c r="J1408" s="19" t="s">
        <v>1657</v>
      </c>
      <c r="K1408" s="19" t="s">
        <v>64</v>
      </c>
      <c r="L1408" s="19" t="s">
        <v>151</v>
      </c>
      <c r="M1408" s="19" t="s">
        <v>260</v>
      </c>
      <c r="N1408" s="19" t="s">
        <v>66</v>
      </c>
      <c r="O1408" s="19" t="s">
        <v>67</v>
      </c>
      <c r="P1408" s="19" t="s">
        <v>1656</v>
      </c>
      <c r="Q1408" s="19"/>
      <c r="R1408" s="19" t="s">
        <v>76</v>
      </c>
      <c r="S1408" s="19" t="s">
        <v>163</v>
      </c>
      <c r="T1408" s="19" t="s">
        <v>49</v>
      </c>
      <c r="U1408" s="19" t="s">
        <v>49</v>
      </c>
      <c r="V1408" s="19">
        <v>21</v>
      </c>
      <c r="W1408" s="19" t="s">
        <v>45</v>
      </c>
      <c r="X1408" s="19" t="s">
        <v>46</v>
      </c>
      <c r="Y1408" s="29"/>
      <c r="Z1408" s="19"/>
      <c r="AA1408" s="19"/>
      <c r="AB1408" s="19">
        <v>8</v>
      </c>
      <c r="AC1408" s="19" t="s">
        <v>214</v>
      </c>
      <c r="AD1408" s="19"/>
      <c r="AE1408" s="19">
        <v>20.8</v>
      </c>
      <c r="AF1408" s="19"/>
      <c r="AG1408" s="19"/>
      <c r="AH1408" s="19"/>
      <c r="AI1408" s="19"/>
      <c r="AJ1408" s="19">
        <v>8.1</v>
      </c>
      <c r="AK1408" s="19"/>
      <c r="AL1408" s="19"/>
      <c r="AM1408" s="19"/>
      <c r="AN1408" s="19"/>
      <c r="AO1408" s="19"/>
      <c r="AP1408" s="94">
        <v>0.9</v>
      </c>
      <c r="AQ1408" s="19">
        <v>20</v>
      </c>
      <c r="AR1408" s="19"/>
      <c r="AS1408" s="19"/>
      <c r="AT1408" s="65" t="str">
        <f t="shared" si="441"/>
        <v>Y</v>
      </c>
      <c r="AU1408" s="65" t="str">
        <f t="shared" si="454"/>
        <v>Y</v>
      </c>
      <c r="AV1408" s="65" t="s">
        <v>162</v>
      </c>
      <c r="AW1408" s="99" t="s">
        <v>1684</v>
      </c>
      <c r="AX1408" s="99"/>
      <c r="AY1408" s="19"/>
      <c r="AZ1408" s="96" t="str">
        <f>IF(AV1408="N","n",T1408)</f>
        <v>n</v>
      </c>
      <c r="BA1408" s="96" t="str">
        <f>IF(AZ1408="n","n",VLOOKUP(AZ1408,'Conversion factors'!$C$4:$D$24,2,FALSE))</f>
        <v>n</v>
      </c>
      <c r="BB1408" s="96" t="str">
        <f t="shared" si="455"/>
        <v>n</v>
      </c>
      <c r="BC1408" s="97"/>
      <c r="BD1408" s="96" t="str">
        <f t="shared" si="442"/>
        <v>n</v>
      </c>
      <c r="BE1408" s="96" t="str">
        <f t="shared" si="456"/>
        <v>n</v>
      </c>
      <c r="BF1408" s="98" t="str">
        <f t="shared" si="457"/>
        <v/>
      </c>
      <c r="BG1408" s="96" t="str">
        <f>IF(BF1408="","",IF(ISNUMBER(VLOOKUP(BF1408,'Conversion factors'!$B$35:$C$52,2,FALSE)),"y","n"))</f>
        <v/>
      </c>
      <c r="BH1408" s="99"/>
    </row>
    <row r="1409" spans="1:60" s="103" customFormat="1" ht="15.95" customHeight="1" x14ac:dyDescent="0.2">
      <c r="A1409" s="18"/>
      <c r="B1409" s="19"/>
      <c r="C1409" s="19"/>
      <c r="D1409" s="19"/>
      <c r="E1409" s="19"/>
      <c r="F1409" s="93">
        <v>2022</v>
      </c>
      <c r="G1409" s="19" t="s">
        <v>1654</v>
      </c>
      <c r="H1409" s="19" t="s">
        <v>1658</v>
      </c>
      <c r="I1409" s="19" t="s">
        <v>1679</v>
      </c>
      <c r="J1409" s="19" t="s">
        <v>1657</v>
      </c>
      <c r="K1409" s="19" t="s">
        <v>64</v>
      </c>
      <c r="L1409" s="19" t="s">
        <v>151</v>
      </c>
      <c r="M1409" s="19" t="s">
        <v>260</v>
      </c>
      <c r="N1409" s="19" t="s">
        <v>66</v>
      </c>
      <c r="O1409" s="19" t="s">
        <v>67</v>
      </c>
      <c r="P1409" s="19" t="s">
        <v>1656</v>
      </c>
      <c r="Q1409" s="19"/>
      <c r="R1409" s="19" t="s">
        <v>76</v>
      </c>
      <c r="S1409" s="19" t="s">
        <v>163</v>
      </c>
      <c r="T1409" s="19" t="s">
        <v>49</v>
      </c>
      <c r="U1409" s="19" t="s">
        <v>49</v>
      </c>
      <c r="V1409" s="19">
        <v>21</v>
      </c>
      <c r="W1409" s="19" t="s">
        <v>45</v>
      </c>
      <c r="X1409" s="19" t="s">
        <v>46</v>
      </c>
      <c r="Y1409" s="29"/>
      <c r="Z1409" s="19"/>
      <c r="AA1409" s="19"/>
      <c r="AB1409" s="19">
        <v>55</v>
      </c>
      <c r="AC1409" s="19" t="s">
        <v>214</v>
      </c>
      <c r="AD1409" s="19"/>
      <c r="AE1409" s="19">
        <v>32.700000000000003</v>
      </c>
      <c r="AF1409" s="19"/>
      <c r="AG1409" s="19"/>
      <c r="AH1409" s="19"/>
      <c r="AI1409" s="19"/>
      <c r="AJ1409" s="19">
        <v>8.1</v>
      </c>
      <c r="AK1409" s="19"/>
      <c r="AL1409" s="19"/>
      <c r="AM1409" s="19"/>
      <c r="AN1409" s="19"/>
      <c r="AO1409" s="19"/>
      <c r="AP1409" s="94">
        <v>0.7</v>
      </c>
      <c r="AQ1409" s="19">
        <v>20</v>
      </c>
      <c r="AR1409" s="19"/>
      <c r="AS1409" s="19"/>
      <c r="AT1409" s="65" t="str">
        <f t="shared" si="441"/>
        <v>Y</v>
      </c>
      <c r="AU1409" s="65" t="str">
        <f t="shared" si="454"/>
        <v>Y</v>
      </c>
      <c r="AV1409" s="65" t="str">
        <f t="shared" si="369"/>
        <v>Y</v>
      </c>
      <c r="AW1409" s="99"/>
      <c r="AX1409" s="99"/>
      <c r="AY1409" s="19"/>
      <c r="AZ1409" s="96" t="str">
        <f>IF(AV1409="N","n",T1409)</f>
        <v>EC10</v>
      </c>
      <c r="BA1409" s="96">
        <f>IF(AZ1409="n","n",VLOOKUP(AZ1409,'Conversion factors'!$C$4:$D$24,2,FALSE))</f>
        <v>1</v>
      </c>
      <c r="BB1409" s="96">
        <f t="shared" si="455"/>
        <v>55</v>
      </c>
      <c r="BC1409" s="97"/>
      <c r="BD1409" s="96" t="str">
        <f t="shared" si="442"/>
        <v>Chronic</v>
      </c>
      <c r="BE1409" s="96" t="str">
        <f t="shared" si="456"/>
        <v>y</v>
      </c>
      <c r="BF1409" s="98" t="str">
        <f t="shared" si="457"/>
        <v>EC10</v>
      </c>
      <c r="BG1409" s="96" t="str">
        <f>IF(BF1409="","",IF(ISNUMBER(VLOOKUP(BF1409,'Conversion factors'!$B$35:$C$52,2,FALSE)),"y","n"))</f>
        <v>y</v>
      </c>
      <c r="BH1409" s="99"/>
    </row>
    <row r="1410" spans="1:60" s="103" customFormat="1" ht="15.95" customHeight="1" x14ac:dyDescent="0.2">
      <c r="A1410" s="18"/>
      <c r="B1410" s="19"/>
      <c r="C1410" s="19"/>
      <c r="D1410" s="19"/>
      <c r="E1410" s="19"/>
      <c r="F1410" s="93">
        <v>2022</v>
      </c>
      <c r="G1410" s="19" t="s">
        <v>1654</v>
      </c>
      <c r="H1410" s="19" t="s">
        <v>1658</v>
      </c>
      <c r="I1410" s="19" t="s">
        <v>1682</v>
      </c>
      <c r="J1410" s="19" t="s">
        <v>1657</v>
      </c>
      <c r="K1410" s="19" t="s">
        <v>64</v>
      </c>
      <c r="L1410" s="19" t="s">
        <v>151</v>
      </c>
      <c r="M1410" s="19" t="s">
        <v>260</v>
      </c>
      <c r="N1410" s="19" t="s">
        <v>66</v>
      </c>
      <c r="O1410" s="19" t="s">
        <v>67</v>
      </c>
      <c r="P1410" s="19" t="s">
        <v>1656</v>
      </c>
      <c r="Q1410" s="19"/>
      <c r="R1410" s="19" t="s">
        <v>76</v>
      </c>
      <c r="S1410" s="19" t="s">
        <v>163</v>
      </c>
      <c r="T1410" s="19" t="s">
        <v>49</v>
      </c>
      <c r="U1410" s="19" t="s">
        <v>49</v>
      </c>
      <c r="V1410" s="19">
        <v>21</v>
      </c>
      <c r="W1410" s="19" t="s">
        <v>45</v>
      </c>
      <c r="X1410" s="19" t="s">
        <v>46</v>
      </c>
      <c r="Y1410" s="29"/>
      <c r="Z1410" s="19"/>
      <c r="AA1410" s="19"/>
      <c r="AB1410" s="19">
        <v>36</v>
      </c>
      <c r="AC1410" s="19" t="s">
        <v>214</v>
      </c>
      <c r="AD1410" s="19"/>
      <c r="AE1410" s="19">
        <v>61.3</v>
      </c>
      <c r="AF1410" s="19"/>
      <c r="AG1410" s="19"/>
      <c r="AH1410" s="19"/>
      <c r="AI1410" s="19"/>
      <c r="AJ1410" s="19">
        <v>7.9</v>
      </c>
      <c r="AK1410" s="19"/>
      <c r="AL1410" s="19"/>
      <c r="AM1410" s="19"/>
      <c r="AN1410" s="19"/>
      <c r="AO1410" s="19"/>
      <c r="AP1410" s="94">
        <v>6.6</v>
      </c>
      <c r="AQ1410" s="19">
        <v>20</v>
      </c>
      <c r="AR1410" s="19"/>
      <c r="AS1410" s="19"/>
      <c r="AT1410" s="65" t="str">
        <f t="shared" si="441"/>
        <v>Y</v>
      </c>
      <c r="AU1410" s="65" t="str">
        <f t="shared" si="454"/>
        <v>Y</v>
      </c>
      <c r="AV1410" s="65" t="str">
        <f t="shared" si="369"/>
        <v>Y</v>
      </c>
      <c r="AW1410" s="99"/>
      <c r="AX1410" s="99"/>
      <c r="AY1410" s="19"/>
      <c r="AZ1410" s="96" t="str">
        <f>IF(AV1410="N","n",T1410)</f>
        <v>EC10</v>
      </c>
      <c r="BA1410" s="96">
        <f>IF(AZ1410="n","n",VLOOKUP(AZ1410,'Conversion factors'!$C$4:$D$24,2,FALSE))</f>
        <v>1</v>
      </c>
      <c r="BB1410" s="96">
        <f t="shared" si="455"/>
        <v>36</v>
      </c>
      <c r="BC1410" s="97"/>
      <c r="BD1410" s="96" t="str">
        <f t="shared" si="442"/>
        <v>Chronic</v>
      </c>
      <c r="BE1410" s="96" t="str">
        <f t="shared" si="456"/>
        <v>y</v>
      </c>
      <c r="BF1410" s="98" t="str">
        <f t="shared" si="457"/>
        <v>EC10</v>
      </c>
      <c r="BG1410" s="96" t="str">
        <f>IF(BF1410="","",IF(ISNUMBER(VLOOKUP(BF1410,'Conversion factors'!$B$35:$C$52,2,FALSE)),"y","n"))</f>
        <v>y</v>
      </c>
      <c r="BH1410" s="99"/>
    </row>
    <row r="1411" spans="1:60" s="103" customFormat="1" ht="15.95" customHeight="1" x14ac:dyDescent="0.2">
      <c r="A1411" s="18"/>
      <c r="B1411" s="19"/>
      <c r="C1411" s="19"/>
      <c r="D1411" s="19"/>
      <c r="E1411" s="19"/>
      <c r="F1411" s="93">
        <v>2022</v>
      </c>
      <c r="G1411" s="19" t="s">
        <v>1654</v>
      </c>
      <c r="H1411" s="19" t="s">
        <v>1658</v>
      </c>
      <c r="I1411" s="19" t="s">
        <v>1680</v>
      </c>
      <c r="J1411" s="19" t="s">
        <v>1657</v>
      </c>
      <c r="K1411" s="19" t="s">
        <v>64</v>
      </c>
      <c r="L1411" s="19" t="s">
        <v>151</v>
      </c>
      <c r="M1411" s="19" t="s">
        <v>260</v>
      </c>
      <c r="N1411" s="19" t="s">
        <v>66</v>
      </c>
      <c r="O1411" s="19" t="s">
        <v>67</v>
      </c>
      <c r="P1411" s="19" t="s">
        <v>1656</v>
      </c>
      <c r="Q1411" s="19"/>
      <c r="R1411" s="19" t="s">
        <v>76</v>
      </c>
      <c r="S1411" s="19" t="s">
        <v>163</v>
      </c>
      <c r="T1411" s="19" t="s">
        <v>49</v>
      </c>
      <c r="U1411" s="19" t="s">
        <v>49</v>
      </c>
      <c r="V1411" s="19">
        <v>21</v>
      </c>
      <c r="W1411" s="19" t="s">
        <v>45</v>
      </c>
      <c r="X1411" s="19" t="s">
        <v>46</v>
      </c>
      <c r="Y1411" s="29"/>
      <c r="Z1411" s="19"/>
      <c r="AA1411" s="19"/>
      <c r="AB1411" s="19">
        <v>46</v>
      </c>
      <c r="AC1411" s="19" t="s">
        <v>214</v>
      </c>
      <c r="AD1411" s="19"/>
      <c r="AE1411" s="19">
        <v>89.6</v>
      </c>
      <c r="AF1411" s="19"/>
      <c r="AG1411" s="19"/>
      <c r="AH1411" s="19"/>
      <c r="AI1411" s="19"/>
      <c r="AJ1411" s="19">
        <v>8.1999999999999993</v>
      </c>
      <c r="AK1411" s="19"/>
      <c r="AL1411" s="19"/>
      <c r="AM1411" s="19"/>
      <c r="AN1411" s="19"/>
      <c r="AO1411" s="19"/>
      <c r="AP1411" s="94">
        <v>4</v>
      </c>
      <c r="AQ1411" s="19">
        <v>20</v>
      </c>
      <c r="AR1411" s="19"/>
      <c r="AS1411" s="19"/>
      <c r="AT1411" s="65" t="str">
        <f t="shared" si="441"/>
        <v>Y</v>
      </c>
      <c r="AU1411" s="65" t="str">
        <f t="shared" si="454"/>
        <v>Y</v>
      </c>
      <c r="AV1411" s="65" t="str">
        <f t="shared" si="369"/>
        <v>Y</v>
      </c>
      <c r="AW1411" s="99"/>
      <c r="AX1411" s="99"/>
      <c r="AY1411" s="19"/>
      <c r="AZ1411" s="96" t="str">
        <f>IF(AV1411="N","n",T1411)</f>
        <v>EC10</v>
      </c>
      <c r="BA1411" s="96">
        <f>IF(AZ1411="n","n",VLOOKUP(AZ1411,'Conversion factors'!$C$4:$D$24,2,FALSE))</f>
        <v>1</v>
      </c>
      <c r="BB1411" s="96">
        <f t="shared" si="455"/>
        <v>46</v>
      </c>
      <c r="BC1411" s="97"/>
      <c r="BD1411" s="96" t="str">
        <f t="shared" si="442"/>
        <v>Chronic</v>
      </c>
      <c r="BE1411" s="96" t="str">
        <f t="shared" si="456"/>
        <v>y</v>
      </c>
      <c r="BF1411" s="98" t="str">
        <f t="shared" si="457"/>
        <v>EC10</v>
      </c>
      <c r="BG1411" s="96" t="str">
        <f>IF(BF1411="","",IF(ISNUMBER(VLOOKUP(BF1411,'Conversion factors'!$B$35:$C$52,2,FALSE)),"y","n"))</f>
        <v>y</v>
      </c>
      <c r="BH1411" s="99"/>
    </row>
    <row r="1412" spans="1:60" s="103" customFormat="1" ht="15.95" customHeight="1" x14ac:dyDescent="0.2">
      <c r="A1412" s="18"/>
      <c r="B1412" s="19"/>
      <c r="C1412" s="19"/>
      <c r="D1412" s="19"/>
      <c r="E1412" s="19"/>
      <c r="F1412" s="93">
        <v>2022</v>
      </c>
      <c r="G1412" s="19" t="s">
        <v>1654</v>
      </c>
      <c r="H1412" s="19" t="s">
        <v>1658</v>
      </c>
      <c r="I1412" s="19" t="s">
        <v>1681</v>
      </c>
      <c r="J1412" s="19" t="s">
        <v>1657</v>
      </c>
      <c r="K1412" s="19" t="s">
        <v>64</v>
      </c>
      <c r="L1412" s="19" t="s">
        <v>151</v>
      </c>
      <c r="M1412" s="19" t="s">
        <v>260</v>
      </c>
      <c r="N1412" s="19" t="s">
        <v>66</v>
      </c>
      <c r="O1412" s="19" t="s">
        <v>67</v>
      </c>
      <c r="P1412" s="19" t="s">
        <v>1656</v>
      </c>
      <c r="Q1412" s="19"/>
      <c r="R1412" s="19" t="s">
        <v>76</v>
      </c>
      <c r="S1412" s="19" t="s">
        <v>163</v>
      </c>
      <c r="T1412" s="19" t="s">
        <v>49</v>
      </c>
      <c r="U1412" s="19" t="s">
        <v>49</v>
      </c>
      <c r="V1412" s="19">
        <v>21</v>
      </c>
      <c r="W1412" s="19" t="s">
        <v>45</v>
      </c>
      <c r="X1412" s="19" t="s">
        <v>46</v>
      </c>
      <c r="Y1412" s="29"/>
      <c r="Z1412" s="19"/>
      <c r="AA1412" s="19"/>
      <c r="AB1412" s="19">
        <v>72</v>
      </c>
      <c r="AC1412" s="19" t="s">
        <v>214</v>
      </c>
      <c r="AD1412" s="19"/>
      <c r="AE1412" s="19">
        <v>9.1999999999999993</v>
      </c>
      <c r="AF1412" s="19"/>
      <c r="AG1412" s="19"/>
      <c r="AH1412" s="19"/>
      <c r="AI1412" s="19"/>
      <c r="AJ1412" s="19">
        <v>7.5</v>
      </c>
      <c r="AK1412" s="19"/>
      <c r="AL1412" s="19"/>
      <c r="AM1412" s="19"/>
      <c r="AN1412" s="19"/>
      <c r="AO1412" s="19"/>
      <c r="AP1412" s="94">
        <v>10</v>
      </c>
      <c r="AQ1412" s="19">
        <v>20</v>
      </c>
      <c r="AR1412" s="19"/>
      <c r="AS1412" s="19"/>
      <c r="AT1412" s="65" t="str">
        <f t="shared" si="441"/>
        <v>Y</v>
      </c>
      <c r="AU1412" s="65" t="str">
        <f t="shared" si="454"/>
        <v>Y</v>
      </c>
      <c r="AV1412" s="65" t="str">
        <f t="shared" si="369"/>
        <v>Y</v>
      </c>
      <c r="AW1412" s="99"/>
      <c r="AX1412" s="99"/>
      <c r="AY1412" s="19"/>
      <c r="AZ1412" s="96" t="str">
        <f>IF(AV1412="N","n",T1412)</f>
        <v>EC10</v>
      </c>
      <c r="BA1412" s="96">
        <f>IF(AZ1412="n","n",VLOOKUP(AZ1412,'Conversion factors'!$C$4:$D$24,2,FALSE))</f>
        <v>1</v>
      </c>
      <c r="BB1412" s="96">
        <f t="shared" si="455"/>
        <v>72</v>
      </c>
      <c r="BC1412" s="97"/>
      <c r="BD1412" s="96" t="str">
        <f t="shared" si="442"/>
        <v>Chronic</v>
      </c>
      <c r="BE1412" s="96" t="str">
        <f t="shared" si="456"/>
        <v>y</v>
      </c>
      <c r="BF1412" s="98" t="str">
        <f t="shared" si="457"/>
        <v>EC10</v>
      </c>
      <c r="BG1412" s="96" t="str">
        <f>IF(BF1412="","",IF(ISNUMBER(VLOOKUP(BF1412,'Conversion factors'!$B$35:$C$52,2,FALSE)),"y","n"))</f>
        <v>y</v>
      </c>
      <c r="BH1412" s="99"/>
    </row>
    <row r="1413" spans="1:60" s="103" customFormat="1" ht="15.95" customHeight="1" x14ac:dyDescent="0.2">
      <c r="A1413" s="20"/>
      <c r="B1413" s="19"/>
      <c r="C1413" s="19"/>
      <c r="D1413" s="19"/>
      <c r="E1413" s="19"/>
      <c r="F1413" s="93">
        <v>2022</v>
      </c>
      <c r="G1413" s="19" t="s">
        <v>1654</v>
      </c>
      <c r="H1413" s="19" t="s">
        <v>1658</v>
      </c>
      <c r="I1413" s="19" t="s">
        <v>1678</v>
      </c>
      <c r="J1413" s="19" t="s">
        <v>1657</v>
      </c>
      <c r="K1413" s="19" t="s">
        <v>64</v>
      </c>
      <c r="L1413" s="19" t="s">
        <v>151</v>
      </c>
      <c r="M1413" s="19" t="s">
        <v>260</v>
      </c>
      <c r="N1413" s="19" t="s">
        <v>66</v>
      </c>
      <c r="O1413" s="19" t="s">
        <v>67</v>
      </c>
      <c r="P1413" s="19" t="s">
        <v>1656</v>
      </c>
      <c r="Q1413" s="19"/>
      <c r="R1413" s="19" t="s">
        <v>76</v>
      </c>
      <c r="S1413" s="19" t="s">
        <v>163</v>
      </c>
      <c r="T1413" s="19" t="s">
        <v>927</v>
      </c>
      <c r="U1413" s="19" t="s">
        <v>927</v>
      </c>
      <c r="V1413" s="19">
        <v>21</v>
      </c>
      <c r="W1413" s="19" t="s">
        <v>45</v>
      </c>
      <c r="X1413" s="19" t="s">
        <v>46</v>
      </c>
      <c r="Y1413" s="29"/>
      <c r="Z1413" s="19"/>
      <c r="AA1413" s="19"/>
      <c r="AB1413" s="19">
        <v>13</v>
      </c>
      <c r="AC1413" s="19" t="s">
        <v>214</v>
      </c>
      <c r="AD1413" s="19"/>
      <c r="AE1413" s="19">
        <v>20.8</v>
      </c>
      <c r="AF1413" s="19"/>
      <c r="AG1413" s="19"/>
      <c r="AH1413" s="19"/>
      <c r="AI1413" s="19"/>
      <c r="AJ1413" s="19">
        <v>8.1</v>
      </c>
      <c r="AK1413" s="19"/>
      <c r="AL1413" s="19"/>
      <c r="AM1413" s="19"/>
      <c r="AN1413" s="19"/>
      <c r="AO1413" s="19"/>
      <c r="AP1413" s="94">
        <v>0.9</v>
      </c>
      <c r="AQ1413" s="19">
        <v>20</v>
      </c>
      <c r="AR1413" s="19"/>
      <c r="AS1413" s="19"/>
      <c r="AT1413" s="65" t="str">
        <f t="shared" si="441"/>
        <v>Y</v>
      </c>
      <c r="AU1413" s="65" t="str">
        <f t="shared" ref="AU1413:AU1417" si="484">IF(AT1413="N","N",IF(AJ1413&lt;6,"N",IF(AJ1413&gt;8.5,"N","Y")))</f>
        <v>Y</v>
      </c>
      <c r="AV1413" s="65" t="s">
        <v>162</v>
      </c>
      <c r="AW1413" s="99" t="s">
        <v>1684</v>
      </c>
      <c r="AX1413" s="99"/>
      <c r="AY1413" s="19"/>
      <c r="AZ1413" s="96" t="str">
        <f t="shared" ref="AZ1413:AZ1417" si="485">IF(AV1413="N","n",T1413)</f>
        <v>n</v>
      </c>
      <c r="BA1413" s="96" t="str">
        <f>IF(AZ1413="n","n",VLOOKUP(AZ1413,'Conversion factors'!$C$4:$D$24,2,FALSE))</f>
        <v>n</v>
      </c>
      <c r="BB1413" s="96" t="str">
        <f t="shared" ref="BB1413:BB1417" si="486">IF(BA1413="n","n",AB1413/BA1413)</f>
        <v>n</v>
      </c>
      <c r="BC1413" s="97"/>
      <c r="BD1413" s="96" t="str">
        <f t="shared" si="442"/>
        <v>n</v>
      </c>
      <c r="BE1413" s="96" t="str">
        <f t="shared" ref="BE1413:BE1417" si="487">IF(BD1413="chronic","y","n")</f>
        <v>n</v>
      </c>
      <c r="BF1413" s="98" t="str">
        <f t="shared" ref="BF1413:BF1444" si="488">IF(BE1413="n","",AZ1413)</f>
        <v/>
      </c>
      <c r="BG1413" s="96" t="str">
        <f>IF(BF1413="","",IF(ISNUMBER(VLOOKUP(BF1413,'Conversion factors'!$B$35:$C$52,2,FALSE)),"y","n"))</f>
        <v/>
      </c>
      <c r="BH1413" s="99"/>
    </row>
    <row r="1414" spans="1:60" s="103" customFormat="1" ht="15.95" customHeight="1" x14ac:dyDescent="0.2">
      <c r="A1414" s="18"/>
      <c r="B1414" s="19"/>
      <c r="C1414" s="19"/>
      <c r="D1414" s="19"/>
      <c r="E1414" s="19"/>
      <c r="F1414" s="93">
        <v>2022</v>
      </c>
      <c r="G1414" s="19" t="s">
        <v>1654</v>
      </c>
      <c r="H1414" s="19" t="s">
        <v>1658</v>
      </c>
      <c r="I1414" s="19" t="s">
        <v>1679</v>
      </c>
      <c r="J1414" s="19" t="s">
        <v>1657</v>
      </c>
      <c r="K1414" s="19" t="s">
        <v>64</v>
      </c>
      <c r="L1414" s="19" t="s">
        <v>151</v>
      </c>
      <c r="M1414" s="19" t="s">
        <v>260</v>
      </c>
      <c r="N1414" s="19" t="s">
        <v>66</v>
      </c>
      <c r="O1414" s="19" t="s">
        <v>67</v>
      </c>
      <c r="P1414" s="19" t="s">
        <v>1656</v>
      </c>
      <c r="Q1414" s="19"/>
      <c r="R1414" s="19" t="s">
        <v>76</v>
      </c>
      <c r="S1414" s="19" t="s">
        <v>163</v>
      </c>
      <c r="T1414" s="19" t="s">
        <v>927</v>
      </c>
      <c r="U1414" s="19" t="s">
        <v>927</v>
      </c>
      <c r="V1414" s="19">
        <v>21</v>
      </c>
      <c r="W1414" s="19" t="s">
        <v>45</v>
      </c>
      <c r="X1414" s="19" t="s">
        <v>46</v>
      </c>
      <c r="Y1414" s="29"/>
      <c r="Z1414" s="19"/>
      <c r="AA1414" s="19"/>
      <c r="AB1414" s="19">
        <v>58</v>
      </c>
      <c r="AC1414" s="19" t="s">
        <v>214</v>
      </c>
      <c r="AD1414" s="19"/>
      <c r="AE1414" s="19">
        <v>32.700000000000003</v>
      </c>
      <c r="AF1414" s="19"/>
      <c r="AG1414" s="19"/>
      <c r="AH1414" s="19"/>
      <c r="AI1414" s="19"/>
      <c r="AJ1414" s="19">
        <v>8.1</v>
      </c>
      <c r="AK1414" s="19"/>
      <c r="AL1414" s="19"/>
      <c r="AM1414" s="19"/>
      <c r="AN1414" s="19"/>
      <c r="AO1414" s="19"/>
      <c r="AP1414" s="94">
        <v>0.7</v>
      </c>
      <c r="AQ1414" s="19">
        <v>20</v>
      </c>
      <c r="AR1414" s="19"/>
      <c r="AS1414" s="19"/>
      <c r="AT1414" s="65" t="str">
        <f t="shared" si="441"/>
        <v>Y</v>
      </c>
      <c r="AU1414" s="65" t="str">
        <f t="shared" si="484"/>
        <v>Y</v>
      </c>
      <c r="AV1414" s="65" t="str">
        <f t="shared" ref="AV1414:AV1417" si="489">AU1414</f>
        <v>Y</v>
      </c>
      <c r="AW1414" s="99"/>
      <c r="AX1414" s="99"/>
      <c r="AY1414" s="19"/>
      <c r="AZ1414" s="96" t="str">
        <f t="shared" si="485"/>
        <v>EC20</v>
      </c>
      <c r="BA1414" s="96">
        <f>IF(AZ1414="n","n",VLOOKUP(AZ1414,'Conversion factors'!$C$4:$D$24,2,FALSE))</f>
        <v>1</v>
      </c>
      <c r="BB1414" s="96">
        <f t="shared" si="486"/>
        <v>58</v>
      </c>
      <c r="BC1414" s="97"/>
      <c r="BD1414" s="96" t="str">
        <f t="shared" si="442"/>
        <v>Chronic</v>
      </c>
      <c r="BE1414" s="96" t="str">
        <f t="shared" si="487"/>
        <v>y</v>
      </c>
      <c r="BF1414" s="98" t="str">
        <f t="shared" si="488"/>
        <v>EC20</v>
      </c>
      <c r="BG1414" s="96" t="str">
        <f>IF(BF1414="","",IF(ISNUMBER(VLOOKUP(BF1414,'Conversion factors'!$B$35:$C$52,2,FALSE)),"y","n"))</f>
        <v>y</v>
      </c>
      <c r="BH1414" s="99"/>
    </row>
    <row r="1415" spans="1:60" s="103" customFormat="1" ht="15.95" customHeight="1" x14ac:dyDescent="0.2">
      <c r="A1415" s="18"/>
      <c r="B1415" s="19"/>
      <c r="C1415" s="19"/>
      <c r="D1415" s="19"/>
      <c r="E1415" s="19"/>
      <c r="F1415" s="93">
        <v>2022</v>
      </c>
      <c r="G1415" s="19" t="s">
        <v>1654</v>
      </c>
      <c r="H1415" s="19" t="s">
        <v>1658</v>
      </c>
      <c r="I1415" s="19" t="s">
        <v>1682</v>
      </c>
      <c r="J1415" s="19" t="s">
        <v>1657</v>
      </c>
      <c r="K1415" s="19" t="s">
        <v>64</v>
      </c>
      <c r="L1415" s="19" t="s">
        <v>151</v>
      </c>
      <c r="M1415" s="19" t="s">
        <v>260</v>
      </c>
      <c r="N1415" s="19" t="s">
        <v>66</v>
      </c>
      <c r="O1415" s="19" t="s">
        <v>67</v>
      </c>
      <c r="P1415" s="19" t="s">
        <v>1656</v>
      </c>
      <c r="Q1415" s="19"/>
      <c r="R1415" s="19" t="s">
        <v>76</v>
      </c>
      <c r="S1415" s="19" t="s">
        <v>163</v>
      </c>
      <c r="T1415" s="19" t="s">
        <v>927</v>
      </c>
      <c r="U1415" s="19" t="s">
        <v>927</v>
      </c>
      <c r="V1415" s="19">
        <v>21</v>
      </c>
      <c r="W1415" s="19" t="s">
        <v>45</v>
      </c>
      <c r="X1415" s="19" t="s">
        <v>46</v>
      </c>
      <c r="Y1415" s="29"/>
      <c r="Z1415" s="19"/>
      <c r="AA1415" s="19"/>
      <c r="AB1415" s="19">
        <v>55</v>
      </c>
      <c r="AC1415" s="19" t="s">
        <v>214</v>
      </c>
      <c r="AD1415" s="19"/>
      <c r="AE1415" s="19">
        <v>61.3</v>
      </c>
      <c r="AF1415" s="19"/>
      <c r="AG1415" s="19"/>
      <c r="AH1415" s="19"/>
      <c r="AI1415" s="19"/>
      <c r="AJ1415" s="19">
        <v>7.9</v>
      </c>
      <c r="AK1415" s="19"/>
      <c r="AL1415" s="19"/>
      <c r="AM1415" s="19"/>
      <c r="AN1415" s="19"/>
      <c r="AO1415" s="19"/>
      <c r="AP1415" s="94">
        <v>6.6</v>
      </c>
      <c r="AQ1415" s="19">
        <v>20</v>
      </c>
      <c r="AR1415" s="19"/>
      <c r="AS1415" s="19"/>
      <c r="AT1415" s="65" t="str">
        <f t="shared" si="441"/>
        <v>Y</v>
      </c>
      <c r="AU1415" s="65" t="str">
        <f t="shared" si="484"/>
        <v>Y</v>
      </c>
      <c r="AV1415" s="65" t="str">
        <f t="shared" si="489"/>
        <v>Y</v>
      </c>
      <c r="AW1415" s="99"/>
      <c r="AX1415" s="99"/>
      <c r="AY1415" s="19"/>
      <c r="AZ1415" s="96" t="str">
        <f t="shared" si="485"/>
        <v>EC20</v>
      </c>
      <c r="BA1415" s="96">
        <f>IF(AZ1415="n","n",VLOOKUP(AZ1415,'Conversion factors'!$C$4:$D$24,2,FALSE))</f>
        <v>1</v>
      </c>
      <c r="BB1415" s="96">
        <f t="shared" si="486"/>
        <v>55</v>
      </c>
      <c r="BC1415" s="97"/>
      <c r="BD1415" s="96" t="str">
        <f t="shared" si="442"/>
        <v>Chronic</v>
      </c>
      <c r="BE1415" s="96" t="str">
        <f t="shared" si="487"/>
        <v>y</v>
      </c>
      <c r="BF1415" s="98" t="str">
        <f t="shared" si="488"/>
        <v>EC20</v>
      </c>
      <c r="BG1415" s="96" t="str">
        <f>IF(BF1415="","",IF(ISNUMBER(VLOOKUP(BF1415,'Conversion factors'!$B$35:$C$52,2,FALSE)),"y","n"))</f>
        <v>y</v>
      </c>
      <c r="BH1415" s="99"/>
    </row>
    <row r="1416" spans="1:60" s="103" customFormat="1" ht="15.95" customHeight="1" x14ac:dyDescent="0.2">
      <c r="A1416" s="18"/>
      <c r="B1416" s="19"/>
      <c r="C1416" s="19"/>
      <c r="D1416" s="19"/>
      <c r="E1416" s="19"/>
      <c r="F1416" s="93">
        <v>2022</v>
      </c>
      <c r="G1416" s="19" t="s">
        <v>1654</v>
      </c>
      <c r="H1416" s="19" t="s">
        <v>1658</v>
      </c>
      <c r="I1416" s="19" t="s">
        <v>1680</v>
      </c>
      <c r="J1416" s="19" t="s">
        <v>1657</v>
      </c>
      <c r="K1416" s="19" t="s">
        <v>64</v>
      </c>
      <c r="L1416" s="19" t="s">
        <v>151</v>
      </c>
      <c r="M1416" s="19" t="s">
        <v>260</v>
      </c>
      <c r="N1416" s="19" t="s">
        <v>66</v>
      </c>
      <c r="O1416" s="19" t="s">
        <v>67</v>
      </c>
      <c r="P1416" s="19" t="s">
        <v>1656</v>
      </c>
      <c r="Q1416" s="19"/>
      <c r="R1416" s="19" t="s">
        <v>76</v>
      </c>
      <c r="S1416" s="19" t="s">
        <v>163</v>
      </c>
      <c r="T1416" s="19" t="s">
        <v>927</v>
      </c>
      <c r="U1416" s="19" t="s">
        <v>927</v>
      </c>
      <c r="V1416" s="19">
        <v>21</v>
      </c>
      <c r="W1416" s="19" t="s">
        <v>45</v>
      </c>
      <c r="X1416" s="19" t="s">
        <v>46</v>
      </c>
      <c r="Y1416" s="29"/>
      <c r="Z1416" s="19"/>
      <c r="AA1416" s="19"/>
      <c r="AB1416" s="19">
        <v>77</v>
      </c>
      <c r="AC1416" s="19" t="s">
        <v>214</v>
      </c>
      <c r="AD1416" s="19"/>
      <c r="AE1416" s="19">
        <v>89.6</v>
      </c>
      <c r="AF1416" s="19"/>
      <c r="AG1416" s="19"/>
      <c r="AH1416" s="19"/>
      <c r="AI1416" s="19"/>
      <c r="AJ1416" s="19">
        <v>8.1999999999999993</v>
      </c>
      <c r="AK1416" s="19"/>
      <c r="AL1416" s="19"/>
      <c r="AM1416" s="19"/>
      <c r="AN1416" s="19"/>
      <c r="AO1416" s="19"/>
      <c r="AP1416" s="94">
        <v>4</v>
      </c>
      <c r="AQ1416" s="19">
        <v>20</v>
      </c>
      <c r="AR1416" s="19"/>
      <c r="AS1416" s="19"/>
      <c r="AT1416" s="65" t="str">
        <f t="shared" si="441"/>
        <v>Y</v>
      </c>
      <c r="AU1416" s="65" t="str">
        <f t="shared" si="484"/>
        <v>Y</v>
      </c>
      <c r="AV1416" s="65" t="str">
        <f t="shared" si="489"/>
        <v>Y</v>
      </c>
      <c r="AW1416" s="99"/>
      <c r="AX1416" s="99"/>
      <c r="AY1416" s="19"/>
      <c r="AZ1416" s="96" t="str">
        <f t="shared" si="485"/>
        <v>EC20</v>
      </c>
      <c r="BA1416" s="96">
        <f>IF(AZ1416="n","n",VLOOKUP(AZ1416,'Conversion factors'!$C$4:$D$24,2,FALSE))</f>
        <v>1</v>
      </c>
      <c r="BB1416" s="96">
        <f t="shared" si="486"/>
        <v>77</v>
      </c>
      <c r="BC1416" s="97"/>
      <c r="BD1416" s="96" t="str">
        <f t="shared" si="442"/>
        <v>Chronic</v>
      </c>
      <c r="BE1416" s="96" t="str">
        <f t="shared" si="487"/>
        <v>y</v>
      </c>
      <c r="BF1416" s="98" t="str">
        <f t="shared" si="488"/>
        <v>EC20</v>
      </c>
      <c r="BG1416" s="96" t="str">
        <f>IF(BF1416="","",IF(ISNUMBER(VLOOKUP(BF1416,'Conversion factors'!$B$35:$C$52,2,FALSE)),"y","n"))</f>
        <v>y</v>
      </c>
      <c r="BH1416" s="99"/>
    </row>
    <row r="1417" spans="1:60" s="103" customFormat="1" ht="15.95" customHeight="1" x14ac:dyDescent="0.2">
      <c r="A1417" s="18"/>
      <c r="B1417" s="19"/>
      <c r="C1417" s="19"/>
      <c r="D1417" s="19"/>
      <c r="E1417" s="19"/>
      <c r="F1417" s="93">
        <v>2022</v>
      </c>
      <c r="G1417" s="19" t="s">
        <v>1654</v>
      </c>
      <c r="H1417" s="19" t="s">
        <v>1658</v>
      </c>
      <c r="I1417" s="19" t="s">
        <v>1681</v>
      </c>
      <c r="J1417" s="19" t="s">
        <v>1657</v>
      </c>
      <c r="K1417" s="19" t="s">
        <v>64</v>
      </c>
      <c r="L1417" s="19" t="s">
        <v>151</v>
      </c>
      <c r="M1417" s="19" t="s">
        <v>260</v>
      </c>
      <c r="N1417" s="19" t="s">
        <v>66</v>
      </c>
      <c r="O1417" s="19" t="s">
        <v>67</v>
      </c>
      <c r="P1417" s="19" t="s">
        <v>1656</v>
      </c>
      <c r="Q1417" s="19"/>
      <c r="R1417" s="19" t="s">
        <v>76</v>
      </c>
      <c r="S1417" s="19" t="s">
        <v>163</v>
      </c>
      <c r="T1417" s="19" t="s">
        <v>927</v>
      </c>
      <c r="U1417" s="19" t="s">
        <v>927</v>
      </c>
      <c r="V1417" s="19">
        <v>21</v>
      </c>
      <c r="W1417" s="19" t="s">
        <v>45</v>
      </c>
      <c r="X1417" s="19" t="s">
        <v>46</v>
      </c>
      <c r="Y1417" s="29"/>
      <c r="Z1417" s="19"/>
      <c r="AA1417" s="19"/>
      <c r="AB1417" s="19">
        <v>78</v>
      </c>
      <c r="AC1417" s="19" t="s">
        <v>214</v>
      </c>
      <c r="AD1417" s="19"/>
      <c r="AE1417" s="19">
        <v>9.1999999999999993</v>
      </c>
      <c r="AF1417" s="19"/>
      <c r="AG1417" s="19"/>
      <c r="AH1417" s="19"/>
      <c r="AI1417" s="19"/>
      <c r="AJ1417" s="19">
        <v>7.5</v>
      </c>
      <c r="AK1417" s="19"/>
      <c r="AL1417" s="19"/>
      <c r="AM1417" s="19"/>
      <c r="AN1417" s="19"/>
      <c r="AO1417" s="19"/>
      <c r="AP1417" s="94">
        <v>10</v>
      </c>
      <c r="AQ1417" s="19">
        <v>20</v>
      </c>
      <c r="AR1417" s="19"/>
      <c r="AS1417" s="19"/>
      <c r="AT1417" s="65" t="str">
        <f t="shared" si="441"/>
        <v>Y</v>
      </c>
      <c r="AU1417" s="65" t="str">
        <f t="shared" si="484"/>
        <v>Y</v>
      </c>
      <c r="AV1417" s="65" t="str">
        <f t="shared" si="489"/>
        <v>Y</v>
      </c>
      <c r="AW1417" s="99"/>
      <c r="AX1417" s="99"/>
      <c r="AY1417" s="19"/>
      <c r="AZ1417" s="96" t="str">
        <f t="shared" si="485"/>
        <v>EC20</v>
      </c>
      <c r="BA1417" s="96">
        <f>IF(AZ1417="n","n",VLOOKUP(AZ1417,'Conversion factors'!$C$4:$D$24,2,FALSE))</f>
        <v>1</v>
      </c>
      <c r="BB1417" s="96">
        <f t="shared" si="486"/>
        <v>78</v>
      </c>
      <c r="BC1417" s="97"/>
      <c r="BD1417" s="96" t="str">
        <f t="shared" si="442"/>
        <v>Chronic</v>
      </c>
      <c r="BE1417" s="96" t="str">
        <f t="shared" si="487"/>
        <v>y</v>
      </c>
      <c r="BF1417" s="98" t="str">
        <f t="shared" si="488"/>
        <v>EC20</v>
      </c>
      <c r="BG1417" s="96" t="str">
        <f>IF(BF1417="","",IF(ISNUMBER(VLOOKUP(BF1417,'Conversion factors'!$B$35:$C$52,2,FALSE)),"y","n"))</f>
        <v>y</v>
      </c>
      <c r="BH1417" s="99"/>
    </row>
    <row r="1418" spans="1:60" s="103" customFormat="1" ht="15.95" customHeight="1" x14ac:dyDescent="0.2">
      <c r="A1418" s="20"/>
      <c r="B1418" s="19"/>
      <c r="C1418" s="19"/>
      <c r="D1418" s="19"/>
      <c r="E1418" s="19"/>
      <c r="F1418" s="93">
        <v>2022</v>
      </c>
      <c r="G1418" s="19" t="s">
        <v>1654</v>
      </c>
      <c r="H1418" s="19" t="s">
        <v>1658</v>
      </c>
      <c r="I1418" s="19" t="s">
        <v>1678</v>
      </c>
      <c r="J1418" s="19" t="s">
        <v>1657</v>
      </c>
      <c r="K1418" s="19" t="s">
        <v>64</v>
      </c>
      <c r="L1418" s="19" t="s">
        <v>151</v>
      </c>
      <c r="M1418" s="19" t="s">
        <v>260</v>
      </c>
      <c r="N1418" s="19" t="s">
        <v>66</v>
      </c>
      <c r="O1418" s="19" t="s">
        <v>67</v>
      </c>
      <c r="P1418" s="19" t="s">
        <v>1656</v>
      </c>
      <c r="Q1418" s="19"/>
      <c r="R1418" s="19" t="s">
        <v>76</v>
      </c>
      <c r="S1418" s="19" t="s">
        <v>163</v>
      </c>
      <c r="T1418" s="19" t="s">
        <v>44</v>
      </c>
      <c r="U1418" s="19" t="s">
        <v>44</v>
      </c>
      <c r="V1418" s="19">
        <v>21</v>
      </c>
      <c r="W1418" s="19" t="s">
        <v>45</v>
      </c>
      <c r="X1418" s="19" t="s">
        <v>46</v>
      </c>
      <c r="Y1418" s="29"/>
      <c r="Z1418" s="19"/>
      <c r="AA1418" s="19"/>
      <c r="AB1418" s="19">
        <v>34</v>
      </c>
      <c r="AC1418" s="19" t="s">
        <v>214</v>
      </c>
      <c r="AD1418" s="19"/>
      <c r="AE1418" s="19">
        <v>20.8</v>
      </c>
      <c r="AF1418" s="19"/>
      <c r="AG1418" s="19"/>
      <c r="AH1418" s="19"/>
      <c r="AI1418" s="19"/>
      <c r="AJ1418" s="19">
        <v>8.1</v>
      </c>
      <c r="AK1418" s="19"/>
      <c r="AL1418" s="19"/>
      <c r="AM1418" s="19"/>
      <c r="AN1418" s="19"/>
      <c r="AO1418" s="19"/>
      <c r="AP1418" s="94">
        <v>0.9</v>
      </c>
      <c r="AQ1418" s="19">
        <v>20</v>
      </c>
      <c r="AR1418" s="19"/>
      <c r="AS1418" s="19"/>
      <c r="AT1418" s="65" t="str">
        <f t="shared" si="441"/>
        <v>Y</v>
      </c>
      <c r="AU1418" s="65" t="str">
        <f t="shared" ref="AU1418:AU1422" si="490">IF(AT1418="N","N",IF(AJ1418&lt;6,"N",IF(AJ1418&gt;8.5,"N","Y")))</f>
        <v>Y</v>
      </c>
      <c r="AV1418" s="65" t="s">
        <v>162</v>
      </c>
      <c r="AW1418" s="99" t="s">
        <v>1684</v>
      </c>
      <c r="AX1418" s="99"/>
      <c r="AY1418" s="19"/>
      <c r="AZ1418" s="96" t="str">
        <f t="shared" ref="AZ1418:AZ1422" si="491">IF(AV1418="N","n",T1418)</f>
        <v>n</v>
      </c>
      <c r="BA1418" s="96" t="str">
        <f>IF(AZ1418="n","n",VLOOKUP(AZ1418,'Conversion factors'!$C$4:$D$24,2,FALSE))</f>
        <v>n</v>
      </c>
      <c r="BB1418" s="96" t="str">
        <f t="shared" ref="BB1418:BB1422" si="492">IF(BA1418="n","n",AB1418/BA1418)</f>
        <v>n</v>
      </c>
      <c r="BC1418" s="97"/>
      <c r="BD1418" s="96" t="str">
        <f t="shared" si="442"/>
        <v>n</v>
      </c>
      <c r="BE1418" s="96" t="str">
        <f t="shared" ref="BE1418:BE1422" si="493">IF(BD1418="chronic","y","n")</f>
        <v>n</v>
      </c>
      <c r="BF1418" s="98" t="str">
        <f t="shared" si="488"/>
        <v/>
      </c>
      <c r="BG1418" s="96" t="str">
        <f>IF(BF1418="","",IF(ISNUMBER(VLOOKUP(BF1418,'Conversion factors'!$B$35:$C$52,2,FALSE)),"y","n"))</f>
        <v/>
      </c>
      <c r="BH1418" s="99"/>
    </row>
    <row r="1419" spans="1:60" s="103" customFormat="1" ht="15.95" customHeight="1" x14ac:dyDescent="0.2">
      <c r="A1419" s="18"/>
      <c r="B1419" s="19"/>
      <c r="C1419" s="19"/>
      <c r="D1419" s="19"/>
      <c r="E1419" s="19"/>
      <c r="F1419" s="93">
        <v>2022</v>
      </c>
      <c r="G1419" s="19" t="s">
        <v>1654</v>
      </c>
      <c r="H1419" s="19" t="s">
        <v>1658</v>
      </c>
      <c r="I1419" s="19" t="s">
        <v>1679</v>
      </c>
      <c r="J1419" s="19" t="s">
        <v>1657</v>
      </c>
      <c r="K1419" s="19" t="s">
        <v>64</v>
      </c>
      <c r="L1419" s="19" t="s">
        <v>151</v>
      </c>
      <c r="M1419" s="19" t="s">
        <v>260</v>
      </c>
      <c r="N1419" s="19" t="s">
        <v>66</v>
      </c>
      <c r="O1419" s="19" t="s">
        <v>67</v>
      </c>
      <c r="P1419" s="19" t="s">
        <v>1656</v>
      </c>
      <c r="Q1419" s="19"/>
      <c r="R1419" s="19" t="s">
        <v>76</v>
      </c>
      <c r="S1419" s="19" t="s">
        <v>163</v>
      </c>
      <c r="T1419" s="19" t="s">
        <v>44</v>
      </c>
      <c r="U1419" s="19" t="s">
        <v>44</v>
      </c>
      <c r="V1419" s="19">
        <v>21</v>
      </c>
      <c r="W1419" s="19" t="s">
        <v>45</v>
      </c>
      <c r="X1419" s="19" t="s">
        <v>46</v>
      </c>
      <c r="Y1419" s="29"/>
      <c r="Z1419" s="19"/>
      <c r="AA1419" s="19"/>
      <c r="AB1419" s="19">
        <v>65</v>
      </c>
      <c r="AC1419" s="19" t="s">
        <v>214</v>
      </c>
      <c r="AD1419" s="19"/>
      <c r="AE1419" s="19">
        <v>32.700000000000003</v>
      </c>
      <c r="AF1419" s="19"/>
      <c r="AG1419" s="19"/>
      <c r="AH1419" s="19"/>
      <c r="AI1419" s="19"/>
      <c r="AJ1419" s="19">
        <v>8.1</v>
      </c>
      <c r="AK1419" s="19"/>
      <c r="AL1419" s="19"/>
      <c r="AM1419" s="19"/>
      <c r="AN1419" s="19"/>
      <c r="AO1419" s="19"/>
      <c r="AP1419" s="94">
        <v>0.7</v>
      </c>
      <c r="AQ1419" s="19">
        <v>20</v>
      </c>
      <c r="AR1419" s="19"/>
      <c r="AS1419" s="19"/>
      <c r="AT1419" s="65" t="str">
        <f t="shared" si="441"/>
        <v>Y</v>
      </c>
      <c r="AU1419" s="65" t="str">
        <f t="shared" si="490"/>
        <v>Y</v>
      </c>
      <c r="AV1419" s="65" t="str">
        <f t="shared" ref="AV1419:AV1422" si="494">AU1419</f>
        <v>Y</v>
      </c>
      <c r="AW1419" s="99"/>
      <c r="AX1419" s="99"/>
      <c r="AY1419" s="19"/>
      <c r="AZ1419" s="96" t="str">
        <f t="shared" si="491"/>
        <v>EC50</v>
      </c>
      <c r="BA1419" s="96">
        <f>IF(AZ1419="n","n",VLOOKUP(AZ1419,'Conversion factors'!$C$4:$D$24,2,FALSE))</f>
        <v>5</v>
      </c>
      <c r="BB1419" s="96">
        <f t="shared" si="492"/>
        <v>13</v>
      </c>
      <c r="BC1419" s="97"/>
      <c r="BD1419" s="96" t="str">
        <f t="shared" si="442"/>
        <v>Chronic</v>
      </c>
      <c r="BE1419" s="96" t="str">
        <f t="shared" si="493"/>
        <v>y</v>
      </c>
      <c r="BF1419" s="98" t="str">
        <f t="shared" si="488"/>
        <v>EC50</v>
      </c>
      <c r="BG1419" s="96" t="str">
        <f>IF(BF1419="","",IF(ISNUMBER(VLOOKUP(BF1419,'Conversion factors'!$B$35:$C$52,2,FALSE)),"y","n"))</f>
        <v>n</v>
      </c>
      <c r="BH1419" s="99"/>
    </row>
    <row r="1420" spans="1:60" s="103" customFormat="1" ht="15.95" customHeight="1" x14ac:dyDescent="0.2">
      <c r="A1420" s="18"/>
      <c r="B1420" s="19"/>
      <c r="C1420" s="19"/>
      <c r="D1420" s="19"/>
      <c r="E1420" s="19"/>
      <c r="F1420" s="93">
        <v>2022</v>
      </c>
      <c r="G1420" s="19" t="s">
        <v>1654</v>
      </c>
      <c r="H1420" s="19" t="s">
        <v>1658</v>
      </c>
      <c r="I1420" s="19" t="s">
        <v>1682</v>
      </c>
      <c r="J1420" s="19" t="s">
        <v>1657</v>
      </c>
      <c r="K1420" s="19" t="s">
        <v>64</v>
      </c>
      <c r="L1420" s="19" t="s">
        <v>151</v>
      </c>
      <c r="M1420" s="19" t="s">
        <v>260</v>
      </c>
      <c r="N1420" s="19" t="s">
        <v>66</v>
      </c>
      <c r="O1420" s="19" t="s">
        <v>67</v>
      </c>
      <c r="P1420" s="19" t="s">
        <v>1656</v>
      </c>
      <c r="Q1420" s="19"/>
      <c r="R1420" s="19" t="s">
        <v>76</v>
      </c>
      <c r="S1420" s="19" t="s">
        <v>163</v>
      </c>
      <c r="T1420" s="19" t="s">
        <v>44</v>
      </c>
      <c r="U1420" s="19" t="s">
        <v>44</v>
      </c>
      <c r="V1420" s="19">
        <v>21</v>
      </c>
      <c r="W1420" s="19" t="s">
        <v>45</v>
      </c>
      <c r="X1420" s="19" t="s">
        <v>46</v>
      </c>
      <c r="Y1420" s="29"/>
      <c r="Z1420" s="19"/>
      <c r="AA1420" s="19"/>
      <c r="AB1420" s="19">
        <v>115</v>
      </c>
      <c r="AC1420" s="19" t="s">
        <v>214</v>
      </c>
      <c r="AD1420" s="19"/>
      <c r="AE1420" s="19">
        <v>61.3</v>
      </c>
      <c r="AF1420" s="19"/>
      <c r="AG1420" s="19"/>
      <c r="AH1420" s="19"/>
      <c r="AI1420" s="19"/>
      <c r="AJ1420" s="19">
        <v>7.9</v>
      </c>
      <c r="AK1420" s="19"/>
      <c r="AL1420" s="19"/>
      <c r="AM1420" s="19"/>
      <c r="AN1420" s="19"/>
      <c r="AO1420" s="19"/>
      <c r="AP1420" s="94">
        <v>6.6</v>
      </c>
      <c r="AQ1420" s="19">
        <v>20</v>
      </c>
      <c r="AR1420" s="19"/>
      <c r="AS1420" s="19"/>
      <c r="AT1420" s="65" t="str">
        <f t="shared" si="441"/>
        <v>Y</v>
      </c>
      <c r="AU1420" s="65" t="str">
        <f t="shared" si="490"/>
        <v>Y</v>
      </c>
      <c r="AV1420" s="65" t="str">
        <f t="shared" si="494"/>
        <v>Y</v>
      </c>
      <c r="AW1420" s="99"/>
      <c r="AX1420" s="99"/>
      <c r="AY1420" s="19"/>
      <c r="AZ1420" s="96" t="str">
        <f t="shared" si="491"/>
        <v>EC50</v>
      </c>
      <c r="BA1420" s="96">
        <f>IF(AZ1420="n","n",VLOOKUP(AZ1420,'Conversion factors'!$C$4:$D$24,2,FALSE))</f>
        <v>5</v>
      </c>
      <c r="BB1420" s="96">
        <f t="shared" si="492"/>
        <v>23</v>
      </c>
      <c r="BC1420" s="97"/>
      <c r="BD1420" s="96" t="str">
        <f t="shared" si="442"/>
        <v>Chronic</v>
      </c>
      <c r="BE1420" s="96" t="str">
        <f t="shared" si="493"/>
        <v>y</v>
      </c>
      <c r="BF1420" s="98" t="str">
        <f t="shared" si="488"/>
        <v>EC50</v>
      </c>
      <c r="BG1420" s="96" t="str">
        <f>IF(BF1420="","",IF(ISNUMBER(VLOOKUP(BF1420,'Conversion factors'!$B$35:$C$52,2,FALSE)),"y","n"))</f>
        <v>n</v>
      </c>
      <c r="BH1420" s="99"/>
    </row>
    <row r="1421" spans="1:60" s="103" customFormat="1" ht="15.95" customHeight="1" x14ac:dyDescent="0.2">
      <c r="A1421" s="18"/>
      <c r="B1421" s="19"/>
      <c r="C1421" s="19"/>
      <c r="D1421" s="19"/>
      <c r="E1421" s="19"/>
      <c r="F1421" s="93">
        <v>2022</v>
      </c>
      <c r="G1421" s="19" t="s">
        <v>1654</v>
      </c>
      <c r="H1421" s="19" t="s">
        <v>1658</v>
      </c>
      <c r="I1421" s="19" t="s">
        <v>1680</v>
      </c>
      <c r="J1421" s="19" t="s">
        <v>1657</v>
      </c>
      <c r="K1421" s="19" t="s">
        <v>64</v>
      </c>
      <c r="L1421" s="19" t="s">
        <v>151</v>
      </c>
      <c r="M1421" s="19" t="s">
        <v>260</v>
      </c>
      <c r="N1421" s="19" t="s">
        <v>66</v>
      </c>
      <c r="O1421" s="19" t="s">
        <v>67</v>
      </c>
      <c r="P1421" s="19" t="s">
        <v>1656</v>
      </c>
      <c r="Q1421" s="19"/>
      <c r="R1421" s="19" t="s">
        <v>76</v>
      </c>
      <c r="S1421" s="19" t="s">
        <v>163</v>
      </c>
      <c r="T1421" s="19" t="s">
        <v>44</v>
      </c>
      <c r="U1421" s="19" t="s">
        <v>44</v>
      </c>
      <c r="V1421" s="19">
        <v>21</v>
      </c>
      <c r="W1421" s="19" t="s">
        <v>45</v>
      </c>
      <c r="X1421" s="19" t="s">
        <v>46</v>
      </c>
      <c r="Y1421" s="29"/>
      <c r="Z1421" s="19"/>
      <c r="AA1421" s="19"/>
      <c r="AB1421" s="19">
        <v>188</v>
      </c>
      <c r="AC1421" s="19" t="s">
        <v>214</v>
      </c>
      <c r="AD1421" s="19"/>
      <c r="AE1421" s="19">
        <v>89.6</v>
      </c>
      <c r="AF1421" s="19"/>
      <c r="AG1421" s="19"/>
      <c r="AH1421" s="19"/>
      <c r="AI1421" s="19"/>
      <c r="AJ1421" s="19">
        <v>8.1999999999999993</v>
      </c>
      <c r="AK1421" s="19"/>
      <c r="AL1421" s="19"/>
      <c r="AM1421" s="19"/>
      <c r="AN1421" s="19"/>
      <c r="AO1421" s="19"/>
      <c r="AP1421" s="94">
        <v>4</v>
      </c>
      <c r="AQ1421" s="19">
        <v>20</v>
      </c>
      <c r="AR1421" s="19"/>
      <c r="AS1421" s="19"/>
      <c r="AT1421" s="65" t="str">
        <f t="shared" si="441"/>
        <v>Y</v>
      </c>
      <c r="AU1421" s="65" t="str">
        <f t="shared" si="490"/>
        <v>Y</v>
      </c>
      <c r="AV1421" s="65" t="str">
        <f t="shared" si="494"/>
        <v>Y</v>
      </c>
      <c r="AW1421" s="99"/>
      <c r="AX1421" s="99"/>
      <c r="AY1421" s="19"/>
      <c r="AZ1421" s="96" t="str">
        <f t="shared" si="491"/>
        <v>EC50</v>
      </c>
      <c r="BA1421" s="96">
        <f>IF(AZ1421="n","n",VLOOKUP(AZ1421,'Conversion factors'!$C$4:$D$24,2,FALSE))</f>
        <v>5</v>
      </c>
      <c r="BB1421" s="96">
        <f t="shared" si="492"/>
        <v>37.6</v>
      </c>
      <c r="BC1421" s="97"/>
      <c r="BD1421" s="96" t="str">
        <f t="shared" si="442"/>
        <v>Chronic</v>
      </c>
      <c r="BE1421" s="96" t="str">
        <f t="shared" si="493"/>
        <v>y</v>
      </c>
      <c r="BF1421" s="98" t="str">
        <f t="shared" si="488"/>
        <v>EC50</v>
      </c>
      <c r="BG1421" s="96" t="str">
        <f>IF(BF1421="","",IF(ISNUMBER(VLOOKUP(BF1421,'Conversion factors'!$B$35:$C$52,2,FALSE)),"y","n"))</f>
        <v>n</v>
      </c>
      <c r="BH1421" s="99"/>
    </row>
    <row r="1422" spans="1:60" s="103" customFormat="1" ht="15.95" customHeight="1" x14ac:dyDescent="0.2">
      <c r="A1422" s="18"/>
      <c r="B1422" s="19"/>
      <c r="C1422" s="19"/>
      <c r="D1422" s="19"/>
      <c r="E1422" s="19"/>
      <c r="F1422" s="93">
        <v>2022</v>
      </c>
      <c r="G1422" s="19" t="s">
        <v>1654</v>
      </c>
      <c r="H1422" s="19" t="s">
        <v>1658</v>
      </c>
      <c r="I1422" s="19" t="s">
        <v>1681</v>
      </c>
      <c r="J1422" s="19" t="s">
        <v>1657</v>
      </c>
      <c r="K1422" s="19" t="s">
        <v>64</v>
      </c>
      <c r="L1422" s="19" t="s">
        <v>151</v>
      </c>
      <c r="M1422" s="19" t="s">
        <v>260</v>
      </c>
      <c r="N1422" s="19" t="s">
        <v>66</v>
      </c>
      <c r="O1422" s="19" t="s">
        <v>67</v>
      </c>
      <c r="P1422" s="19" t="s">
        <v>1656</v>
      </c>
      <c r="Q1422" s="19"/>
      <c r="R1422" s="19" t="s">
        <v>76</v>
      </c>
      <c r="S1422" s="19" t="s">
        <v>163</v>
      </c>
      <c r="T1422" s="19" t="s">
        <v>44</v>
      </c>
      <c r="U1422" s="19" t="s">
        <v>44</v>
      </c>
      <c r="V1422" s="19">
        <v>21</v>
      </c>
      <c r="W1422" s="19" t="s">
        <v>45</v>
      </c>
      <c r="X1422" s="19" t="s">
        <v>46</v>
      </c>
      <c r="Y1422" s="29"/>
      <c r="Z1422" s="19"/>
      <c r="AA1422" s="19"/>
      <c r="AB1422" s="19">
        <v>91</v>
      </c>
      <c r="AC1422" s="19" t="s">
        <v>214</v>
      </c>
      <c r="AD1422" s="19"/>
      <c r="AE1422" s="19">
        <v>9.1999999999999993</v>
      </c>
      <c r="AF1422" s="19"/>
      <c r="AG1422" s="19"/>
      <c r="AH1422" s="19"/>
      <c r="AI1422" s="19"/>
      <c r="AJ1422" s="19">
        <v>7.5</v>
      </c>
      <c r="AK1422" s="19"/>
      <c r="AL1422" s="19"/>
      <c r="AM1422" s="19"/>
      <c r="AN1422" s="19"/>
      <c r="AO1422" s="19"/>
      <c r="AP1422" s="94">
        <v>10</v>
      </c>
      <c r="AQ1422" s="19">
        <v>20</v>
      </c>
      <c r="AR1422" s="19"/>
      <c r="AS1422" s="19"/>
      <c r="AT1422" s="65" t="str">
        <f t="shared" si="441"/>
        <v>Y</v>
      </c>
      <c r="AU1422" s="65" t="str">
        <f t="shared" si="490"/>
        <v>Y</v>
      </c>
      <c r="AV1422" s="65" t="str">
        <f t="shared" si="494"/>
        <v>Y</v>
      </c>
      <c r="AW1422" s="99"/>
      <c r="AX1422" s="99"/>
      <c r="AY1422" s="19"/>
      <c r="AZ1422" s="96" t="str">
        <f t="shared" si="491"/>
        <v>EC50</v>
      </c>
      <c r="BA1422" s="96">
        <f>IF(AZ1422="n","n",VLOOKUP(AZ1422,'Conversion factors'!$C$4:$D$24,2,FALSE))</f>
        <v>5</v>
      </c>
      <c r="BB1422" s="96">
        <f t="shared" si="492"/>
        <v>18.2</v>
      </c>
      <c r="BC1422" s="97"/>
      <c r="BD1422" s="96" t="str">
        <f t="shared" si="442"/>
        <v>Chronic</v>
      </c>
      <c r="BE1422" s="96" t="str">
        <f t="shared" si="493"/>
        <v>y</v>
      </c>
      <c r="BF1422" s="98" t="str">
        <f t="shared" si="488"/>
        <v>EC50</v>
      </c>
      <c r="BG1422" s="96" t="str">
        <f>IF(BF1422="","",IF(ISNUMBER(VLOOKUP(BF1422,'Conversion factors'!$B$35:$C$52,2,FALSE)),"y","n"))</f>
        <v>n</v>
      </c>
      <c r="BH1422" s="99"/>
    </row>
    <row r="1423" spans="1:60" s="103" customFormat="1" ht="15.95" customHeight="1" x14ac:dyDescent="0.2">
      <c r="A1423" s="18"/>
      <c r="B1423" s="19"/>
      <c r="C1423" s="19"/>
      <c r="D1423" s="19"/>
      <c r="E1423" s="19"/>
      <c r="F1423" s="93">
        <v>2017</v>
      </c>
      <c r="G1423" s="19" t="s">
        <v>1685</v>
      </c>
      <c r="H1423" s="19"/>
      <c r="I1423" s="19" t="s">
        <v>1686</v>
      </c>
      <c r="J1423" s="19" t="s">
        <v>63</v>
      </c>
      <c r="K1423" s="19" t="s">
        <v>64</v>
      </c>
      <c r="L1423" s="19" t="s">
        <v>65</v>
      </c>
      <c r="M1423" s="19" t="s">
        <v>260</v>
      </c>
      <c r="N1423" s="19" t="s">
        <v>66</v>
      </c>
      <c r="O1423" s="19" t="s">
        <v>67</v>
      </c>
      <c r="P1423" s="19"/>
      <c r="Q1423" s="19"/>
      <c r="R1423" s="19" t="s">
        <v>76</v>
      </c>
      <c r="S1423" s="19" t="s">
        <v>163</v>
      </c>
      <c r="T1423" s="19" t="s">
        <v>44</v>
      </c>
      <c r="U1423" s="19" t="s">
        <v>44</v>
      </c>
      <c r="V1423" s="19">
        <v>7</v>
      </c>
      <c r="W1423" s="19" t="s">
        <v>45</v>
      </c>
      <c r="X1423" s="19" t="s">
        <v>46</v>
      </c>
      <c r="Y1423" s="29"/>
      <c r="Z1423" s="19"/>
      <c r="AA1423" s="19"/>
      <c r="AB1423" s="19">
        <v>164</v>
      </c>
      <c r="AC1423" s="19" t="s">
        <v>214</v>
      </c>
      <c r="AD1423" s="19"/>
      <c r="AE1423" s="24">
        <v>159.28399999999999</v>
      </c>
      <c r="AF1423" s="19"/>
      <c r="AG1423" s="19"/>
      <c r="AH1423" s="19">
        <v>44</v>
      </c>
      <c r="AI1423" s="19">
        <v>12</v>
      </c>
      <c r="AJ1423" s="19">
        <v>8</v>
      </c>
      <c r="AK1423" s="19"/>
      <c r="AL1423" s="19"/>
      <c r="AM1423" s="19"/>
      <c r="AN1423" s="19"/>
      <c r="AO1423" s="19"/>
      <c r="AP1423" s="94">
        <v>11.4</v>
      </c>
      <c r="AQ1423" s="19">
        <v>25</v>
      </c>
      <c r="AR1423" s="19"/>
      <c r="AS1423" s="19"/>
      <c r="AT1423" s="65" t="str">
        <f t="shared" si="441"/>
        <v>Y</v>
      </c>
      <c r="AU1423" s="65" t="str">
        <f t="shared" si="454"/>
        <v>Y</v>
      </c>
      <c r="AV1423" s="65" t="str">
        <f t="shared" si="369"/>
        <v>Y</v>
      </c>
      <c r="AW1423" s="99"/>
      <c r="AX1423" s="99"/>
      <c r="AY1423" s="19"/>
      <c r="AZ1423" s="96" t="str">
        <f>IF(AV1423="N","n",T1423)</f>
        <v>EC50</v>
      </c>
      <c r="BA1423" s="96">
        <f>IF(AZ1423="n","n",VLOOKUP(AZ1423,'Conversion factors'!$C$4:$D$24,2,FALSE))</f>
        <v>5</v>
      </c>
      <c r="BB1423" s="96">
        <f t="shared" si="455"/>
        <v>32.799999999999997</v>
      </c>
      <c r="BC1423" s="97"/>
      <c r="BD1423" s="96" t="str">
        <f t="shared" si="442"/>
        <v>Chronic</v>
      </c>
      <c r="BE1423" s="96" t="str">
        <f t="shared" si="456"/>
        <v>y</v>
      </c>
      <c r="BF1423" s="98" t="str">
        <f t="shared" si="488"/>
        <v>EC50</v>
      </c>
      <c r="BG1423" s="96" t="str">
        <f>IF(BF1423="","",IF(ISNUMBER(VLOOKUP(BF1423,'Conversion factors'!$B$35:$C$52,2,FALSE)),"y","n"))</f>
        <v>n</v>
      </c>
      <c r="BH1423" s="99"/>
    </row>
    <row r="1424" spans="1:60" s="126" customFormat="1" ht="15.95" customHeight="1" x14ac:dyDescent="0.2">
      <c r="A1424" s="18"/>
      <c r="B1424" s="19"/>
      <c r="C1424" s="19"/>
      <c r="D1424" s="19"/>
      <c r="E1424" s="19"/>
      <c r="F1424" s="93">
        <v>2017</v>
      </c>
      <c r="G1424" s="19" t="s">
        <v>1685</v>
      </c>
      <c r="H1424" s="19"/>
      <c r="I1424" s="19" t="s">
        <v>1687</v>
      </c>
      <c r="J1424" s="19" t="s">
        <v>63</v>
      </c>
      <c r="K1424" s="19" t="s">
        <v>64</v>
      </c>
      <c r="L1424" s="19" t="s">
        <v>65</v>
      </c>
      <c r="M1424" s="19" t="s">
        <v>260</v>
      </c>
      <c r="N1424" s="19" t="s">
        <v>66</v>
      </c>
      <c r="O1424" s="19" t="s">
        <v>67</v>
      </c>
      <c r="P1424" s="19"/>
      <c r="Q1424" s="19"/>
      <c r="R1424" s="19" t="s">
        <v>76</v>
      </c>
      <c r="S1424" s="19" t="s">
        <v>163</v>
      </c>
      <c r="T1424" s="19" t="s">
        <v>44</v>
      </c>
      <c r="U1424" s="19" t="s">
        <v>44</v>
      </c>
      <c r="V1424" s="19">
        <v>7</v>
      </c>
      <c r="W1424" s="19" t="s">
        <v>45</v>
      </c>
      <c r="X1424" s="19" t="s">
        <v>46</v>
      </c>
      <c r="Y1424" s="29"/>
      <c r="Z1424" s="19"/>
      <c r="AA1424" s="19"/>
      <c r="AB1424" s="19">
        <v>120</v>
      </c>
      <c r="AC1424" s="19" t="s">
        <v>214</v>
      </c>
      <c r="AD1424" s="19"/>
      <c r="AE1424" s="24">
        <v>213.11359999999996</v>
      </c>
      <c r="AF1424" s="19"/>
      <c r="AG1424" s="19"/>
      <c r="AH1424" s="19">
        <v>71</v>
      </c>
      <c r="AI1424" s="19">
        <v>8.6999999999999993</v>
      </c>
      <c r="AJ1424" s="19">
        <v>8.3000000000000007</v>
      </c>
      <c r="AK1424" s="19"/>
      <c r="AL1424" s="19"/>
      <c r="AM1424" s="19"/>
      <c r="AN1424" s="19"/>
      <c r="AO1424" s="19"/>
      <c r="AP1424" s="94">
        <v>16.399999999999999</v>
      </c>
      <c r="AQ1424" s="19">
        <v>25</v>
      </c>
      <c r="AT1424" s="65" t="str">
        <f t="shared" ref="AT1424:AT1446" si="495">IF(F1424&lt;1980,"N",IF(AC1424="M","Y",IF(AC1424="SM","Y","N")))</f>
        <v>Y</v>
      </c>
      <c r="AU1424" s="65" t="str">
        <f t="shared" si="454"/>
        <v>Y</v>
      </c>
      <c r="AV1424" s="65" t="str">
        <f t="shared" si="369"/>
        <v>Y</v>
      </c>
      <c r="AW1424" s="99"/>
      <c r="AX1424" s="99"/>
      <c r="AY1424" s="19"/>
      <c r="AZ1424" s="96" t="str">
        <f>IF(AV1424="N","n",T1424)</f>
        <v>EC50</v>
      </c>
      <c r="BA1424" s="96">
        <f>IF(AZ1424="n","n",VLOOKUP(AZ1424,'Conversion factors'!$C$4:$D$24,2,FALSE))</f>
        <v>5</v>
      </c>
      <c r="BB1424" s="96">
        <f t="shared" si="455"/>
        <v>24</v>
      </c>
      <c r="BC1424" s="97"/>
      <c r="BD1424" s="96" t="str">
        <f t="shared" ref="BD1424:BD1446" si="496">IF(AV1424="N","n",X1424)</f>
        <v>Chronic</v>
      </c>
      <c r="BE1424" s="96" t="str">
        <f t="shared" si="456"/>
        <v>y</v>
      </c>
      <c r="BF1424" s="98" t="str">
        <f t="shared" si="488"/>
        <v>EC50</v>
      </c>
      <c r="BG1424" s="96" t="str">
        <f>IF(BF1424="","",IF(ISNUMBER(VLOOKUP(BF1424,'Conversion factors'!$B$35:$C$52,2,FALSE)),"y","n"))</f>
        <v>n</v>
      </c>
      <c r="BH1424" s="131"/>
    </row>
    <row r="1425" spans="1:60" s="103" customFormat="1" ht="15.95" customHeight="1" x14ac:dyDescent="0.2">
      <c r="A1425" s="18"/>
      <c r="B1425" s="19"/>
      <c r="C1425" s="19"/>
      <c r="D1425" s="19"/>
      <c r="E1425" s="19"/>
      <c r="F1425" s="93">
        <v>2017</v>
      </c>
      <c r="G1425" s="19" t="s">
        <v>1685</v>
      </c>
      <c r="H1425" s="19"/>
      <c r="I1425" s="19" t="s">
        <v>1688</v>
      </c>
      <c r="J1425" s="19" t="s">
        <v>63</v>
      </c>
      <c r="K1425" s="19" t="s">
        <v>64</v>
      </c>
      <c r="L1425" s="19" t="s">
        <v>65</v>
      </c>
      <c r="M1425" s="19" t="s">
        <v>260</v>
      </c>
      <c r="N1425" s="19" t="s">
        <v>66</v>
      </c>
      <c r="O1425" s="19" t="s">
        <v>67</v>
      </c>
      <c r="P1425" s="19"/>
      <c r="Q1425" s="19"/>
      <c r="R1425" s="19" t="s">
        <v>76</v>
      </c>
      <c r="S1425" s="19" t="s">
        <v>163</v>
      </c>
      <c r="T1425" s="19" t="s">
        <v>44</v>
      </c>
      <c r="U1425" s="19" t="s">
        <v>44</v>
      </c>
      <c r="V1425" s="19">
        <v>7</v>
      </c>
      <c r="W1425" s="19" t="s">
        <v>45</v>
      </c>
      <c r="X1425" s="19" t="s">
        <v>46</v>
      </c>
      <c r="Y1425" s="29"/>
      <c r="Z1425" s="19"/>
      <c r="AA1425" s="19"/>
      <c r="AB1425" s="19">
        <v>150</v>
      </c>
      <c r="AC1425" s="19" t="s">
        <v>214</v>
      </c>
      <c r="AD1425" s="19"/>
      <c r="AE1425" s="24">
        <v>225.565</v>
      </c>
      <c r="AF1425" s="19"/>
      <c r="AG1425" s="19"/>
      <c r="AH1425" s="19">
        <v>59</v>
      </c>
      <c r="AI1425" s="19">
        <v>19</v>
      </c>
      <c r="AJ1425" s="19">
        <v>8.1</v>
      </c>
      <c r="AK1425" s="19"/>
      <c r="AL1425" s="19"/>
      <c r="AM1425" s="19"/>
      <c r="AN1425" s="19"/>
      <c r="AO1425" s="19"/>
      <c r="AP1425" s="94">
        <v>9.5</v>
      </c>
      <c r="AQ1425" s="19">
        <v>25</v>
      </c>
      <c r="AR1425" s="19"/>
      <c r="AS1425" s="19"/>
      <c r="AT1425" s="65" t="str">
        <f t="shared" si="495"/>
        <v>Y</v>
      </c>
      <c r="AU1425" s="65" t="str">
        <f t="shared" ref="AU1425:AU1428" si="497">IF(AT1425="N","N",IF(AJ1425&lt;6,"N",IF(AJ1425&gt;8.5,"N","Y")))</f>
        <v>Y</v>
      </c>
      <c r="AV1425" s="65" t="str">
        <f t="shared" ref="AV1425:AV1428" si="498">AU1425</f>
        <v>Y</v>
      </c>
      <c r="AW1425" s="99"/>
      <c r="AX1425" s="99"/>
      <c r="AY1425" s="19"/>
      <c r="AZ1425" s="96" t="str">
        <f t="shared" ref="AZ1425:AZ1428" si="499">IF(AV1425="N","n",T1425)</f>
        <v>EC50</v>
      </c>
      <c r="BA1425" s="96">
        <f>IF(AZ1425="n","n",VLOOKUP(AZ1425,'Conversion factors'!$C$4:$D$24,2,FALSE))</f>
        <v>5</v>
      </c>
      <c r="BB1425" s="96">
        <f t="shared" ref="BB1425:BB1428" si="500">IF(BA1425="n","n",AB1425/BA1425)</f>
        <v>30</v>
      </c>
      <c r="BC1425" s="97"/>
      <c r="BD1425" s="96" t="str">
        <f t="shared" si="496"/>
        <v>Chronic</v>
      </c>
      <c r="BE1425" s="96" t="str">
        <f t="shared" ref="BE1425:BE1428" si="501">IF(BD1425="chronic","y","n")</f>
        <v>y</v>
      </c>
      <c r="BF1425" s="98" t="str">
        <f t="shared" si="488"/>
        <v>EC50</v>
      </c>
      <c r="BG1425" s="96" t="str">
        <f>IF(BF1425="","",IF(ISNUMBER(VLOOKUP(BF1425,'Conversion factors'!$B$35:$C$52,2,FALSE)),"y","n"))</f>
        <v>n</v>
      </c>
      <c r="BH1425" s="99"/>
    </row>
    <row r="1426" spans="1:60" s="126" customFormat="1" ht="15.95" customHeight="1" x14ac:dyDescent="0.2">
      <c r="A1426" s="18"/>
      <c r="B1426" s="19"/>
      <c r="C1426" s="19"/>
      <c r="D1426" s="19"/>
      <c r="E1426" s="19"/>
      <c r="F1426" s="93">
        <v>2017</v>
      </c>
      <c r="G1426" s="19" t="s">
        <v>1685</v>
      </c>
      <c r="H1426" s="19"/>
      <c r="I1426" s="19" t="s">
        <v>1689</v>
      </c>
      <c r="J1426" s="19" t="s">
        <v>63</v>
      </c>
      <c r="K1426" s="19" t="s">
        <v>64</v>
      </c>
      <c r="L1426" s="19" t="s">
        <v>65</v>
      </c>
      <c r="M1426" s="19" t="s">
        <v>260</v>
      </c>
      <c r="N1426" s="19" t="s">
        <v>66</v>
      </c>
      <c r="O1426" s="19" t="s">
        <v>67</v>
      </c>
      <c r="P1426" s="19"/>
      <c r="Q1426" s="19"/>
      <c r="R1426" s="19" t="s">
        <v>76</v>
      </c>
      <c r="S1426" s="19" t="s">
        <v>163</v>
      </c>
      <c r="T1426" s="19" t="s">
        <v>44</v>
      </c>
      <c r="U1426" s="19" t="s">
        <v>44</v>
      </c>
      <c r="V1426" s="19">
        <v>7</v>
      </c>
      <c r="W1426" s="19" t="s">
        <v>45</v>
      </c>
      <c r="X1426" s="19" t="s">
        <v>46</v>
      </c>
      <c r="Y1426" s="29"/>
      <c r="Z1426" s="19"/>
      <c r="AA1426" s="19"/>
      <c r="AB1426" s="19">
        <v>104</v>
      </c>
      <c r="AC1426" s="19" t="s">
        <v>214</v>
      </c>
      <c r="AD1426" s="19"/>
      <c r="AE1426" s="24">
        <v>80.413200000000003</v>
      </c>
      <c r="AF1426" s="19"/>
      <c r="AG1426" s="19"/>
      <c r="AH1426" s="19">
        <v>20</v>
      </c>
      <c r="AI1426" s="19">
        <v>7.4</v>
      </c>
      <c r="AJ1426" s="19">
        <v>8</v>
      </c>
      <c r="AK1426" s="19"/>
      <c r="AL1426" s="19"/>
      <c r="AM1426" s="19"/>
      <c r="AN1426" s="19"/>
      <c r="AO1426" s="19"/>
      <c r="AP1426" s="94">
        <v>13.1</v>
      </c>
      <c r="AQ1426" s="19">
        <v>25</v>
      </c>
      <c r="AT1426" s="65" t="str">
        <f t="shared" si="495"/>
        <v>Y</v>
      </c>
      <c r="AU1426" s="65" t="str">
        <f t="shared" si="497"/>
        <v>Y</v>
      </c>
      <c r="AV1426" s="65" t="str">
        <f t="shared" si="498"/>
        <v>Y</v>
      </c>
      <c r="AW1426" s="99"/>
      <c r="AX1426" s="99"/>
      <c r="AY1426" s="19"/>
      <c r="AZ1426" s="96" t="str">
        <f t="shared" si="499"/>
        <v>EC50</v>
      </c>
      <c r="BA1426" s="96">
        <f>IF(AZ1426="n","n",VLOOKUP(AZ1426,'Conversion factors'!$C$4:$D$24,2,FALSE))</f>
        <v>5</v>
      </c>
      <c r="BB1426" s="96">
        <f t="shared" si="500"/>
        <v>20.8</v>
      </c>
      <c r="BC1426" s="97"/>
      <c r="BD1426" s="96" t="str">
        <f t="shared" si="496"/>
        <v>Chronic</v>
      </c>
      <c r="BE1426" s="96" t="str">
        <f t="shared" si="501"/>
        <v>y</v>
      </c>
      <c r="BF1426" s="98" t="str">
        <f t="shared" si="488"/>
        <v>EC50</v>
      </c>
      <c r="BG1426" s="96" t="str">
        <f>IF(BF1426="","",IF(ISNUMBER(VLOOKUP(BF1426,'Conversion factors'!$B$35:$C$52,2,FALSE)),"y","n"))</f>
        <v>n</v>
      </c>
      <c r="BH1426" s="131"/>
    </row>
    <row r="1427" spans="1:60" s="103" customFormat="1" ht="15.95" customHeight="1" x14ac:dyDescent="0.2">
      <c r="A1427" s="18"/>
      <c r="B1427" s="19"/>
      <c r="C1427" s="19"/>
      <c r="D1427" s="19"/>
      <c r="E1427" s="19"/>
      <c r="F1427" s="93">
        <v>2017</v>
      </c>
      <c r="G1427" s="19" t="s">
        <v>1685</v>
      </c>
      <c r="H1427" s="19"/>
      <c r="I1427" s="19" t="s">
        <v>1690</v>
      </c>
      <c r="J1427" s="19" t="s">
        <v>63</v>
      </c>
      <c r="K1427" s="19" t="s">
        <v>64</v>
      </c>
      <c r="L1427" s="19" t="s">
        <v>65</v>
      </c>
      <c r="M1427" s="19" t="s">
        <v>260</v>
      </c>
      <c r="N1427" s="19" t="s">
        <v>66</v>
      </c>
      <c r="O1427" s="19" t="s">
        <v>67</v>
      </c>
      <c r="P1427" s="19"/>
      <c r="Q1427" s="19"/>
      <c r="R1427" s="19" t="s">
        <v>76</v>
      </c>
      <c r="S1427" s="19" t="s">
        <v>163</v>
      </c>
      <c r="T1427" s="19" t="s">
        <v>44</v>
      </c>
      <c r="U1427" s="19" t="s">
        <v>44</v>
      </c>
      <c r="V1427" s="19">
        <v>7</v>
      </c>
      <c r="W1427" s="19" t="s">
        <v>45</v>
      </c>
      <c r="X1427" s="19" t="s">
        <v>46</v>
      </c>
      <c r="Y1427" s="29"/>
      <c r="Z1427" s="19"/>
      <c r="AA1427" s="19"/>
      <c r="AB1427" s="19">
        <v>136</v>
      </c>
      <c r="AC1427" s="19" t="s">
        <v>214</v>
      </c>
      <c r="AD1427" s="19"/>
      <c r="AE1427" s="24">
        <v>45.998000000000005</v>
      </c>
      <c r="AF1427" s="19"/>
      <c r="AG1427" s="19"/>
      <c r="AH1427" s="19">
        <v>11</v>
      </c>
      <c r="AI1427" s="19">
        <v>4.5</v>
      </c>
      <c r="AJ1427" s="19">
        <v>7.2</v>
      </c>
      <c r="AK1427" s="19"/>
      <c r="AL1427" s="19"/>
      <c r="AM1427" s="19"/>
      <c r="AN1427" s="19"/>
      <c r="AO1427" s="19"/>
      <c r="AP1427" s="94">
        <v>4.9000000000000004</v>
      </c>
      <c r="AQ1427" s="19">
        <v>25</v>
      </c>
      <c r="AR1427" s="19"/>
      <c r="AS1427" s="19"/>
      <c r="AT1427" s="65" t="str">
        <f t="shared" si="495"/>
        <v>Y</v>
      </c>
      <c r="AU1427" s="65" t="str">
        <f t="shared" si="497"/>
        <v>Y</v>
      </c>
      <c r="AV1427" s="65" t="str">
        <f t="shared" si="498"/>
        <v>Y</v>
      </c>
      <c r="AW1427" s="99"/>
      <c r="AX1427" s="99"/>
      <c r="AY1427" s="19"/>
      <c r="AZ1427" s="96" t="str">
        <f t="shared" si="499"/>
        <v>EC50</v>
      </c>
      <c r="BA1427" s="96">
        <f>IF(AZ1427="n","n",VLOOKUP(AZ1427,'Conversion factors'!$C$4:$D$24,2,FALSE))</f>
        <v>5</v>
      </c>
      <c r="BB1427" s="96">
        <f t="shared" si="500"/>
        <v>27.2</v>
      </c>
      <c r="BC1427" s="97"/>
      <c r="BD1427" s="96" t="str">
        <f t="shared" si="496"/>
        <v>Chronic</v>
      </c>
      <c r="BE1427" s="96" t="str">
        <f t="shared" si="501"/>
        <v>y</v>
      </c>
      <c r="BF1427" s="98" t="str">
        <f t="shared" si="488"/>
        <v>EC50</v>
      </c>
      <c r="BG1427" s="96" t="str">
        <f>IF(BF1427="","",IF(ISNUMBER(VLOOKUP(BF1427,'Conversion factors'!$B$35:$C$52,2,FALSE)),"y","n"))</f>
        <v>n</v>
      </c>
      <c r="BH1427" s="99"/>
    </row>
    <row r="1428" spans="1:60" s="126" customFormat="1" ht="15.95" customHeight="1" x14ac:dyDescent="0.2">
      <c r="A1428" s="18"/>
      <c r="B1428" s="19"/>
      <c r="C1428" s="19"/>
      <c r="D1428" s="19"/>
      <c r="E1428" s="19"/>
      <c r="F1428" s="93">
        <v>2017</v>
      </c>
      <c r="G1428" s="19" t="s">
        <v>1685</v>
      </c>
      <c r="H1428" s="19"/>
      <c r="I1428" s="19" t="s">
        <v>1692</v>
      </c>
      <c r="J1428" s="19" t="s">
        <v>63</v>
      </c>
      <c r="K1428" s="19" t="s">
        <v>64</v>
      </c>
      <c r="L1428" s="19" t="s">
        <v>65</v>
      </c>
      <c r="M1428" s="19" t="s">
        <v>260</v>
      </c>
      <c r="N1428" s="19" t="s">
        <v>66</v>
      </c>
      <c r="O1428" s="19" t="s">
        <v>67</v>
      </c>
      <c r="P1428" s="19"/>
      <c r="Q1428" s="19"/>
      <c r="R1428" s="19" t="s">
        <v>76</v>
      </c>
      <c r="S1428" s="19" t="s">
        <v>163</v>
      </c>
      <c r="T1428" s="19" t="s">
        <v>44</v>
      </c>
      <c r="U1428" s="19" t="s">
        <v>44</v>
      </c>
      <c r="V1428" s="19">
        <v>7</v>
      </c>
      <c r="W1428" s="19" t="s">
        <v>45</v>
      </c>
      <c r="X1428" s="19" t="s">
        <v>46</v>
      </c>
      <c r="Y1428" s="29"/>
      <c r="Z1428" s="19"/>
      <c r="AA1428" s="19"/>
      <c r="AB1428" s="19">
        <v>185</v>
      </c>
      <c r="AC1428" s="19" t="s">
        <v>214</v>
      </c>
      <c r="AD1428" s="19"/>
      <c r="AE1428" s="24">
        <v>103.429</v>
      </c>
      <c r="AF1428" s="19"/>
      <c r="AG1428" s="19"/>
      <c r="AH1428" s="19">
        <v>34</v>
      </c>
      <c r="AI1428" s="19">
        <v>4.5</v>
      </c>
      <c r="AJ1428" s="19">
        <v>7.2</v>
      </c>
      <c r="AK1428" s="19"/>
      <c r="AL1428" s="19"/>
      <c r="AM1428" s="19"/>
      <c r="AN1428" s="19"/>
      <c r="AO1428" s="19"/>
      <c r="AP1428" s="94">
        <v>4.8</v>
      </c>
      <c r="AQ1428" s="19">
        <v>25</v>
      </c>
      <c r="AT1428" s="65" t="str">
        <f t="shared" si="495"/>
        <v>Y</v>
      </c>
      <c r="AU1428" s="65" t="str">
        <f t="shared" si="497"/>
        <v>Y</v>
      </c>
      <c r="AV1428" s="65" t="str">
        <f t="shared" si="498"/>
        <v>Y</v>
      </c>
      <c r="AW1428" s="99"/>
      <c r="AX1428" s="99"/>
      <c r="AY1428" s="19"/>
      <c r="AZ1428" s="96" t="str">
        <f t="shared" si="499"/>
        <v>EC50</v>
      </c>
      <c r="BA1428" s="96">
        <f>IF(AZ1428="n","n",VLOOKUP(AZ1428,'Conversion factors'!$C$4:$D$24,2,FALSE))</f>
        <v>5</v>
      </c>
      <c r="BB1428" s="96">
        <f t="shared" si="500"/>
        <v>37</v>
      </c>
      <c r="BC1428" s="97"/>
      <c r="BD1428" s="96" t="str">
        <f t="shared" si="496"/>
        <v>Chronic</v>
      </c>
      <c r="BE1428" s="96" t="str">
        <f t="shared" si="501"/>
        <v>y</v>
      </c>
      <c r="BF1428" s="98" t="str">
        <f t="shared" si="488"/>
        <v>EC50</v>
      </c>
      <c r="BG1428" s="96" t="str">
        <f>IF(BF1428="","",IF(ISNUMBER(VLOOKUP(BF1428,'Conversion factors'!$B$35:$C$52,2,FALSE)),"y","n"))</f>
        <v>n</v>
      </c>
      <c r="BH1428" s="131"/>
    </row>
    <row r="1429" spans="1:60" s="103" customFormat="1" ht="15.95" customHeight="1" x14ac:dyDescent="0.2">
      <c r="A1429" s="18"/>
      <c r="B1429" s="19"/>
      <c r="C1429" s="19"/>
      <c r="D1429" s="19"/>
      <c r="E1429" s="19"/>
      <c r="F1429" s="93">
        <v>2017</v>
      </c>
      <c r="G1429" s="19" t="s">
        <v>1685</v>
      </c>
      <c r="H1429" s="19"/>
      <c r="I1429" s="19" t="s">
        <v>1693</v>
      </c>
      <c r="J1429" s="19" t="s">
        <v>63</v>
      </c>
      <c r="K1429" s="19" t="s">
        <v>64</v>
      </c>
      <c r="L1429" s="19" t="s">
        <v>65</v>
      </c>
      <c r="M1429" s="19" t="s">
        <v>260</v>
      </c>
      <c r="N1429" s="19" t="s">
        <v>66</v>
      </c>
      <c r="O1429" s="19" t="s">
        <v>67</v>
      </c>
      <c r="P1429" s="19"/>
      <c r="Q1429" s="19"/>
      <c r="R1429" s="19" t="s">
        <v>76</v>
      </c>
      <c r="S1429" s="19" t="s">
        <v>163</v>
      </c>
      <c r="T1429" s="19" t="s">
        <v>44</v>
      </c>
      <c r="U1429" s="19" t="s">
        <v>44</v>
      </c>
      <c r="V1429" s="19">
        <v>7</v>
      </c>
      <c r="W1429" s="19" t="s">
        <v>45</v>
      </c>
      <c r="X1429" s="19" t="s">
        <v>46</v>
      </c>
      <c r="Y1429" s="29"/>
      <c r="Z1429" s="19"/>
      <c r="AA1429" s="19"/>
      <c r="AB1429" s="19">
        <v>43</v>
      </c>
      <c r="AC1429" s="19" t="s">
        <v>214</v>
      </c>
      <c r="AD1429" s="19"/>
      <c r="AE1429" s="24">
        <v>45.998000000000005</v>
      </c>
      <c r="AF1429" s="19"/>
      <c r="AG1429" s="19"/>
      <c r="AH1429" s="19">
        <v>11</v>
      </c>
      <c r="AI1429" s="19">
        <v>4.5</v>
      </c>
      <c r="AJ1429" s="19">
        <v>7.8</v>
      </c>
      <c r="AK1429" s="19"/>
      <c r="AL1429" s="19"/>
      <c r="AM1429" s="19"/>
      <c r="AN1429" s="19"/>
      <c r="AO1429" s="19"/>
      <c r="AP1429" s="94">
        <v>4.7</v>
      </c>
      <c r="AQ1429" s="19">
        <v>25</v>
      </c>
      <c r="AR1429" s="19"/>
      <c r="AS1429" s="19"/>
      <c r="AT1429" s="65" t="str">
        <f t="shared" si="495"/>
        <v>Y</v>
      </c>
      <c r="AU1429" s="65" t="str">
        <f t="shared" ref="AU1429:AU1436" si="502">IF(AT1429="N","N",IF(AJ1429&lt;6,"N",IF(AJ1429&gt;8.5,"N","Y")))</f>
        <v>Y</v>
      </c>
      <c r="AV1429" s="65" t="str">
        <f t="shared" ref="AV1429:AV1436" si="503">AU1429</f>
        <v>Y</v>
      </c>
      <c r="AW1429" s="99"/>
      <c r="AX1429" s="99"/>
      <c r="AY1429" s="19"/>
      <c r="AZ1429" s="96" t="str">
        <f t="shared" ref="AZ1429:AZ1436" si="504">IF(AV1429="N","n",T1429)</f>
        <v>EC50</v>
      </c>
      <c r="BA1429" s="96">
        <f>IF(AZ1429="n","n",VLOOKUP(AZ1429,'Conversion factors'!$C$4:$D$24,2,FALSE))</f>
        <v>5</v>
      </c>
      <c r="BB1429" s="96">
        <f t="shared" ref="BB1429:BB1436" si="505">IF(BA1429="n","n",AB1429/BA1429)</f>
        <v>8.6</v>
      </c>
      <c r="BC1429" s="97"/>
      <c r="BD1429" s="96" t="str">
        <f t="shared" si="496"/>
        <v>Chronic</v>
      </c>
      <c r="BE1429" s="96" t="str">
        <f t="shared" ref="BE1429:BE1436" si="506">IF(BD1429="chronic","y","n")</f>
        <v>y</v>
      </c>
      <c r="BF1429" s="98" t="str">
        <f t="shared" si="488"/>
        <v>EC50</v>
      </c>
      <c r="BG1429" s="96" t="str">
        <f>IF(BF1429="","",IF(ISNUMBER(VLOOKUP(BF1429,'Conversion factors'!$B$35:$C$52,2,FALSE)),"y","n"))</f>
        <v>n</v>
      </c>
      <c r="BH1429" s="99"/>
    </row>
    <row r="1430" spans="1:60" s="126" customFormat="1" ht="15.95" customHeight="1" x14ac:dyDescent="0.2">
      <c r="A1430" s="18"/>
      <c r="B1430" s="19"/>
      <c r="C1430" s="19"/>
      <c r="D1430" s="19"/>
      <c r="E1430" s="19"/>
      <c r="F1430" s="93">
        <v>2017</v>
      </c>
      <c r="G1430" s="19" t="s">
        <v>1685</v>
      </c>
      <c r="H1430" s="19"/>
      <c r="I1430" s="19" t="s">
        <v>1691</v>
      </c>
      <c r="J1430" s="19" t="s">
        <v>63</v>
      </c>
      <c r="K1430" s="19" t="s">
        <v>64</v>
      </c>
      <c r="L1430" s="19" t="s">
        <v>65</v>
      </c>
      <c r="M1430" s="19" t="s">
        <v>260</v>
      </c>
      <c r="N1430" s="19" t="s">
        <v>66</v>
      </c>
      <c r="O1430" s="19" t="s">
        <v>67</v>
      </c>
      <c r="P1430" s="19"/>
      <c r="Q1430" s="19"/>
      <c r="R1430" s="19" t="s">
        <v>76</v>
      </c>
      <c r="S1430" s="19" t="s">
        <v>163</v>
      </c>
      <c r="T1430" s="19" t="s">
        <v>44</v>
      </c>
      <c r="U1430" s="19" t="s">
        <v>44</v>
      </c>
      <c r="V1430" s="19">
        <v>7</v>
      </c>
      <c r="W1430" s="19" t="s">
        <v>45</v>
      </c>
      <c r="X1430" s="19" t="s">
        <v>46</v>
      </c>
      <c r="Y1430" s="29"/>
      <c r="Z1430" s="19"/>
      <c r="AA1430" s="19"/>
      <c r="AB1430" s="19">
        <v>69</v>
      </c>
      <c r="AC1430" s="19" t="s">
        <v>214</v>
      </c>
      <c r="AD1430" s="19"/>
      <c r="AE1430" s="24">
        <v>15.004099999999999</v>
      </c>
      <c r="AF1430" s="19"/>
      <c r="AG1430" s="19"/>
      <c r="AH1430" s="19">
        <v>3.7</v>
      </c>
      <c r="AI1430" s="19">
        <v>1.4</v>
      </c>
      <c r="AJ1430" s="19">
        <v>6.4</v>
      </c>
      <c r="AK1430" s="19"/>
      <c r="AL1430" s="19"/>
      <c r="AM1430" s="19"/>
      <c r="AN1430" s="19"/>
      <c r="AO1430" s="19"/>
      <c r="AP1430" s="94">
        <v>12.4</v>
      </c>
      <c r="AQ1430" s="19">
        <v>25</v>
      </c>
      <c r="AT1430" s="65" t="str">
        <f t="shared" si="495"/>
        <v>Y</v>
      </c>
      <c r="AU1430" s="65" t="str">
        <f t="shared" si="502"/>
        <v>Y</v>
      </c>
      <c r="AV1430" s="65" t="str">
        <f t="shared" si="503"/>
        <v>Y</v>
      </c>
      <c r="AW1430" s="99"/>
      <c r="AX1430" s="99"/>
      <c r="AY1430" s="19"/>
      <c r="AZ1430" s="96" t="str">
        <f t="shared" si="504"/>
        <v>EC50</v>
      </c>
      <c r="BA1430" s="96">
        <f>IF(AZ1430="n","n",VLOOKUP(AZ1430,'Conversion factors'!$C$4:$D$24,2,FALSE))</f>
        <v>5</v>
      </c>
      <c r="BB1430" s="96">
        <f t="shared" si="505"/>
        <v>13.8</v>
      </c>
      <c r="BC1430" s="97"/>
      <c r="BD1430" s="96" t="str">
        <f t="shared" si="496"/>
        <v>Chronic</v>
      </c>
      <c r="BE1430" s="96" t="str">
        <f t="shared" si="506"/>
        <v>y</v>
      </c>
      <c r="BF1430" s="98" t="str">
        <f t="shared" si="488"/>
        <v>EC50</v>
      </c>
      <c r="BG1430" s="96" t="str">
        <f>IF(BF1430="","",IF(ISNUMBER(VLOOKUP(BF1430,'Conversion factors'!$B$35:$C$52,2,FALSE)),"y","n"))</f>
        <v>n</v>
      </c>
      <c r="BH1430" s="131"/>
    </row>
    <row r="1431" spans="1:60" s="103" customFormat="1" ht="15.95" customHeight="1" x14ac:dyDescent="0.2">
      <c r="A1431" s="18"/>
      <c r="B1431" s="19"/>
      <c r="C1431" s="19"/>
      <c r="D1431" s="19"/>
      <c r="E1431" s="19"/>
      <c r="F1431" s="93">
        <v>2017</v>
      </c>
      <c r="G1431" s="19" t="s">
        <v>1685</v>
      </c>
      <c r="H1431" s="19"/>
      <c r="I1431" s="19" t="s">
        <v>1686</v>
      </c>
      <c r="J1431" s="19" t="s">
        <v>63</v>
      </c>
      <c r="K1431" s="19" t="s">
        <v>64</v>
      </c>
      <c r="L1431" s="19" t="s">
        <v>65</v>
      </c>
      <c r="M1431" s="19" t="s">
        <v>260</v>
      </c>
      <c r="N1431" s="19" t="s">
        <v>66</v>
      </c>
      <c r="O1431" s="19" t="s">
        <v>67</v>
      </c>
      <c r="P1431" s="19"/>
      <c r="Q1431" s="19"/>
      <c r="R1431" s="19" t="s">
        <v>76</v>
      </c>
      <c r="S1431" s="19" t="s">
        <v>163</v>
      </c>
      <c r="T1431" s="19" t="s">
        <v>927</v>
      </c>
      <c r="U1431" s="19" t="s">
        <v>927</v>
      </c>
      <c r="V1431" s="19">
        <v>7</v>
      </c>
      <c r="W1431" s="19" t="s">
        <v>45</v>
      </c>
      <c r="X1431" s="19" t="s">
        <v>46</v>
      </c>
      <c r="Y1431" s="29"/>
      <c r="Z1431" s="19"/>
      <c r="AA1431" s="19"/>
      <c r="AB1431" s="19" t="s">
        <v>231</v>
      </c>
      <c r="AC1431" s="19" t="s">
        <v>214</v>
      </c>
      <c r="AD1431" s="19"/>
      <c r="AE1431" s="24">
        <v>159.28399999999999</v>
      </c>
      <c r="AF1431" s="19"/>
      <c r="AG1431" s="19"/>
      <c r="AH1431" s="19">
        <v>44</v>
      </c>
      <c r="AI1431" s="19">
        <v>12</v>
      </c>
      <c r="AJ1431" s="19">
        <v>8</v>
      </c>
      <c r="AK1431" s="19"/>
      <c r="AL1431" s="19"/>
      <c r="AM1431" s="19"/>
      <c r="AN1431" s="19"/>
      <c r="AO1431" s="19"/>
      <c r="AP1431" s="94">
        <v>11.4</v>
      </c>
      <c r="AQ1431" s="19">
        <v>25</v>
      </c>
      <c r="AR1431" s="19"/>
      <c r="AS1431" s="19"/>
      <c r="AT1431" s="65" t="str">
        <f t="shared" si="495"/>
        <v>Y</v>
      </c>
      <c r="AU1431" s="65" t="str">
        <f t="shared" si="502"/>
        <v>Y</v>
      </c>
      <c r="AV1431" s="65" t="str">
        <f t="shared" si="503"/>
        <v>Y</v>
      </c>
      <c r="AW1431" s="99"/>
      <c r="AX1431" s="99"/>
      <c r="AY1431" s="19"/>
      <c r="AZ1431" s="96" t="str">
        <f t="shared" si="504"/>
        <v>EC20</v>
      </c>
      <c r="BA1431" s="96">
        <f>IF(AZ1431="n","n",VLOOKUP(AZ1431,'Conversion factors'!$C$4:$D$24,2,FALSE))</f>
        <v>1</v>
      </c>
      <c r="BB1431" s="96" t="e">
        <f t="shared" si="505"/>
        <v>#VALUE!</v>
      </c>
      <c r="BC1431" s="97"/>
      <c r="BD1431" s="96" t="str">
        <f t="shared" si="496"/>
        <v>Chronic</v>
      </c>
      <c r="BE1431" s="96" t="str">
        <f t="shared" si="506"/>
        <v>y</v>
      </c>
      <c r="BF1431" s="98" t="str">
        <f t="shared" si="488"/>
        <v>EC20</v>
      </c>
      <c r="BG1431" s="96" t="str">
        <f>IF(BF1431="","",IF(ISNUMBER(VLOOKUP(BF1431,'Conversion factors'!$B$35:$C$52,2,FALSE)),"y","n"))</f>
        <v>y</v>
      </c>
      <c r="BH1431" s="99"/>
    </row>
    <row r="1432" spans="1:60" s="126" customFormat="1" ht="15.95" customHeight="1" x14ac:dyDescent="0.2">
      <c r="A1432" s="18"/>
      <c r="B1432" s="19"/>
      <c r="C1432" s="19"/>
      <c r="D1432" s="19"/>
      <c r="E1432" s="19"/>
      <c r="F1432" s="93">
        <v>2017</v>
      </c>
      <c r="G1432" s="19" t="s">
        <v>1685</v>
      </c>
      <c r="H1432" s="19"/>
      <c r="I1432" s="19" t="s">
        <v>1687</v>
      </c>
      <c r="J1432" s="19" t="s">
        <v>63</v>
      </c>
      <c r="K1432" s="19" t="s">
        <v>64</v>
      </c>
      <c r="L1432" s="19" t="s">
        <v>65</v>
      </c>
      <c r="M1432" s="19" t="s">
        <v>260</v>
      </c>
      <c r="N1432" s="19" t="s">
        <v>66</v>
      </c>
      <c r="O1432" s="19" t="s">
        <v>67</v>
      </c>
      <c r="P1432" s="19"/>
      <c r="Q1432" s="19"/>
      <c r="R1432" s="19" t="s">
        <v>76</v>
      </c>
      <c r="S1432" s="19" t="s">
        <v>163</v>
      </c>
      <c r="T1432" s="19" t="s">
        <v>927</v>
      </c>
      <c r="U1432" s="19" t="s">
        <v>927</v>
      </c>
      <c r="V1432" s="19">
        <v>7</v>
      </c>
      <c r="W1432" s="19" t="s">
        <v>45</v>
      </c>
      <c r="X1432" s="19" t="s">
        <v>46</v>
      </c>
      <c r="Y1432" s="29"/>
      <c r="Z1432" s="19"/>
      <c r="AA1432" s="19"/>
      <c r="AB1432" s="19">
        <v>88</v>
      </c>
      <c r="AC1432" s="19" t="s">
        <v>214</v>
      </c>
      <c r="AD1432" s="19"/>
      <c r="AE1432" s="24">
        <v>213.11359999999996</v>
      </c>
      <c r="AF1432" s="19"/>
      <c r="AG1432" s="19"/>
      <c r="AH1432" s="19">
        <v>71</v>
      </c>
      <c r="AI1432" s="19">
        <v>8.6999999999999993</v>
      </c>
      <c r="AJ1432" s="19">
        <v>8.3000000000000007</v>
      </c>
      <c r="AK1432" s="19"/>
      <c r="AL1432" s="19"/>
      <c r="AM1432" s="19"/>
      <c r="AN1432" s="19"/>
      <c r="AO1432" s="19"/>
      <c r="AP1432" s="94">
        <v>16.399999999999999</v>
      </c>
      <c r="AQ1432" s="19">
        <v>25</v>
      </c>
      <c r="AT1432" s="65" t="str">
        <f t="shared" si="495"/>
        <v>Y</v>
      </c>
      <c r="AU1432" s="65" t="str">
        <f t="shared" si="502"/>
        <v>Y</v>
      </c>
      <c r="AV1432" s="65" t="str">
        <f t="shared" si="503"/>
        <v>Y</v>
      </c>
      <c r="AW1432" s="99"/>
      <c r="AX1432" s="99"/>
      <c r="AY1432" s="19"/>
      <c r="AZ1432" s="96" t="str">
        <f t="shared" si="504"/>
        <v>EC20</v>
      </c>
      <c r="BA1432" s="96">
        <f>IF(AZ1432="n","n",VLOOKUP(AZ1432,'Conversion factors'!$C$4:$D$24,2,FALSE))</f>
        <v>1</v>
      </c>
      <c r="BB1432" s="96">
        <f t="shared" si="505"/>
        <v>88</v>
      </c>
      <c r="BC1432" s="97"/>
      <c r="BD1432" s="96" t="str">
        <f t="shared" si="496"/>
        <v>Chronic</v>
      </c>
      <c r="BE1432" s="96" t="str">
        <f t="shared" si="506"/>
        <v>y</v>
      </c>
      <c r="BF1432" s="98" t="str">
        <f t="shared" si="488"/>
        <v>EC20</v>
      </c>
      <c r="BG1432" s="96" t="str">
        <f>IF(BF1432="","",IF(ISNUMBER(VLOOKUP(BF1432,'Conversion factors'!$B$35:$C$52,2,FALSE)),"y","n"))</f>
        <v>y</v>
      </c>
      <c r="BH1432" s="131"/>
    </row>
    <row r="1433" spans="1:60" s="103" customFormat="1" ht="15.95" customHeight="1" x14ac:dyDescent="0.2">
      <c r="A1433" s="18"/>
      <c r="B1433" s="19"/>
      <c r="C1433" s="19"/>
      <c r="D1433" s="19"/>
      <c r="E1433" s="19"/>
      <c r="F1433" s="93">
        <v>2017</v>
      </c>
      <c r="G1433" s="19" t="s">
        <v>1685</v>
      </c>
      <c r="H1433" s="19"/>
      <c r="I1433" s="19" t="s">
        <v>1688</v>
      </c>
      <c r="J1433" s="19" t="s">
        <v>63</v>
      </c>
      <c r="K1433" s="19" t="s">
        <v>64</v>
      </c>
      <c r="L1433" s="19" t="s">
        <v>65</v>
      </c>
      <c r="M1433" s="19" t="s">
        <v>260</v>
      </c>
      <c r="N1433" s="19" t="s">
        <v>66</v>
      </c>
      <c r="O1433" s="19" t="s">
        <v>67</v>
      </c>
      <c r="P1433" s="19"/>
      <c r="Q1433" s="19"/>
      <c r="R1433" s="19" t="s">
        <v>76</v>
      </c>
      <c r="S1433" s="19" t="s">
        <v>163</v>
      </c>
      <c r="T1433" s="19" t="s">
        <v>927</v>
      </c>
      <c r="U1433" s="19" t="s">
        <v>927</v>
      </c>
      <c r="V1433" s="19">
        <v>7</v>
      </c>
      <c r="W1433" s="19" t="s">
        <v>45</v>
      </c>
      <c r="X1433" s="19" t="s">
        <v>46</v>
      </c>
      <c r="Y1433" s="29"/>
      <c r="Z1433" s="19"/>
      <c r="AA1433" s="19"/>
      <c r="AB1433" s="19">
        <v>124</v>
      </c>
      <c r="AC1433" s="19" t="s">
        <v>214</v>
      </c>
      <c r="AD1433" s="19"/>
      <c r="AE1433" s="24">
        <v>225.565</v>
      </c>
      <c r="AF1433" s="19"/>
      <c r="AG1433" s="19"/>
      <c r="AH1433" s="19">
        <v>59</v>
      </c>
      <c r="AI1433" s="19">
        <v>19</v>
      </c>
      <c r="AJ1433" s="19">
        <v>8.1</v>
      </c>
      <c r="AK1433" s="19"/>
      <c r="AL1433" s="19"/>
      <c r="AM1433" s="19"/>
      <c r="AN1433" s="19"/>
      <c r="AO1433" s="19"/>
      <c r="AP1433" s="94">
        <v>9.5</v>
      </c>
      <c r="AQ1433" s="19">
        <v>25</v>
      </c>
      <c r="AR1433" s="19"/>
      <c r="AS1433" s="19"/>
      <c r="AT1433" s="65" t="str">
        <f t="shared" si="495"/>
        <v>Y</v>
      </c>
      <c r="AU1433" s="65" t="str">
        <f t="shared" si="502"/>
        <v>Y</v>
      </c>
      <c r="AV1433" s="65" t="str">
        <f t="shared" si="503"/>
        <v>Y</v>
      </c>
      <c r="AW1433" s="99"/>
      <c r="AX1433" s="99"/>
      <c r="AY1433" s="19"/>
      <c r="AZ1433" s="96" t="str">
        <f t="shared" si="504"/>
        <v>EC20</v>
      </c>
      <c r="BA1433" s="96">
        <f>IF(AZ1433="n","n",VLOOKUP(AZ1433,'Conversion factors'!$C$4:$D$24,2,FALSE))</f>
        <v>1</v>
      </c>
      <c r="BB1433" s="96">
        <f t="shared" si="505"/>
        <v>124</v>
      </c>
      <c r="BC1433" s="97"/>
      <c r="BD1433" s="96" t="str">
        <f t="shared" si="496"/>
        <v>Chronic</v>
      </c>
      <c r="BE1433" s="96" t="str">
        <f t="shared" si="506"/>
        <v>y</v>
      </c>
      <c r="BF1433" s="98" t="str">
        <f t="shared" si="488"/>
        <v>EC20</v>
      </c>
      <c r="BG1433" s="96" t="str">
        <f>IF(BF1433="","",IF(ISNUMBER(VLOOKUP(BF1433,'Conversion factors'!$B$35:$C$52,2,FALSE)),"y","n"))</f>
        <v>y</v>
      </c>
      <c r="BH1433" s="99"/>
    </row>
    <row r="1434" spans="1:60" s="126" customFormat="1" ht="15.95" customHeight="1" x14ac:dyDescent="0.2">
      <c r="A1434" s="18"/>
      <c r="B1434" s="19"/>
      <c r="C1434" s="19"/>
      <c r="D1434" s="19"/>
      <c r="E1434" s="19"/>
      <c r="F1434" s="93">
        <v>2017</v>
      </c>
      <c r="G1434" s="19" t="s">
        <v>1685</v>
      </c>
      <c r="H1434" s="19"/>
      <c r="I1434" s="19" t="s">
        <v>1689</v>
      </c>
      <c r="J1434" s="19" t="s">
        <v>63</v>
      </c>
      <c r="K1434" s="19" t="s">
        <v>64</v>
      </c>
      <c r="L1434" s="19" t="s">
        <v>65</v>
      </c>
      <c r="M1434" s="19" t="s">
        <v>260</v>
      </c>
      <c r="N1434" s="19" t="s">
        <v>66</v>
      </c>
      <c r="O1434" s="19" t="s">
        <v>67</v>
      </c>
      <c r="P1434" s="19"/>
      <c r="Q1434" s="19"/>
      <c r="R1434" s="19" t="s">
        <v>76</v>
      </c>
      <c r="S1434" s="19" t="s">
        <v>163</v>
      </c>
      <c r="T1434" s="19" t="s">
        <v>927</v>
      </c>
      <c r="U1434" s="19" t="s">
        <v>927</v>
      </c>
      <c r="V1434" s="19">
        <v>7</v>
      </c>
      <c r="W1434" s="19" t="s">
        <v>45</v>
      </c>
      <c r="X1434" s="19" t="s">
        <v>46</v>
      </c>
      <c r="Y1434" s="29"/>
      <c r="Z1434" s="19"/>
      <c r="AA1434" s="19"/>
      <c r="AB1434" s="19">
        <v>77</v>
      </c>
      <c r="AC1434" s="19" t="s">
        <v>214</v>
      </c>
      <c r="AD1434" s="19"/>
      <c r="AE1434" s="24">
        <v>80.413200000000003</v>
      </c>
      <c r="AF1434" s="19"/>
      <c r="AG1434" s="19"/>
      <c r="AH1434" s="19">
        <v>20</v>
      </c>
      <c r="AI1434" s="19">
        <v>7.4</v>
      </c>
      <c r="AJ1434" s="19">
        <v>8</v>
      </c>
      <c r="AK1434" s="19"/>
      <c r="AL1434" s="19"/>
      <c r="AM1434" s="19"/>
      <c r="AN1434" s="19"/>
      <c r="AO1434" s="19"/>
      <c r="AP1434" s="94">
        <v>13.1</v>
      </c>
      <c r="AQ1434" s="19">
        <v>25</v>
      </c>
      <c r="AT1434" s="65" t="str">
        <f t="shared" si="495"/>
        <v>Y</v>
      </c>
      <c r="AU1434" s="65" t="str">
        <f t="shared" si="502"/>
        <v>Y</v>
      </c>
      <c r="AV1434" s="65" t="str">
        <f t="shared" si="503"/>
        <v>Y</v>
      </c>
      <c r="AW1434" s="99"/>
      <c r="AX1434" s="99"/>
      <c r="AY1434" s="19"/>
      <c r="AZ1434" s="96" t="str">
        <f t="shared" si="504"/>
        <v>EC20</v>
      </c>
      <c r="BA1434" s="96">
        <f>IF(AZ1434="n","n",VLOOKUP(AZ1434,'Conversion factors'!$C$4:$D$24,2,FALSE))</f>
        <v>1</v>
      </c>
      <c r="BB1434" s="96">
        <f t="shared" si="505"/>
        <v>77</v>
      </c>
      <c r="BC1434" s="97"/>
      <c r="BD1434" s="96" t="str">
        <f t="shared" si="496"/>
        <v>Chronic</v>
      </c>
      <c r="BE1434" s="96" t="str">
        <f t="shared" si="506"/>
        <v>y</v>
      </c>
      <c r="BF1434" s="98" t="str">
        <f t="shared" si="488"/>
        <v>EC20</v>
      </c>
      <c r="BG1434" s="96" t="str">
        <f>IF(BF1434="","",IF(ISNUMBER(VLOOKUP(BF1434,'Conversion factors'!$B$35:$C$52,2,FALSE)),"y","n"))</f>
        <v>y</v>
      </c>
      <c r="BH1434" s="131"/>
    </row>
    <row r="1435" spans="1:60" s="103" customFormat="1" ht="15.95" customHeight="1" x14ac:dyDescent="0.2">
      <c r="A1435" s="18"/>
      <c r="B1435" s="19"/>
      <c r="C1435" s="19"/>
      <c r="D1435" s="19"/>
      <c r="E1435" s="19"/>
      <c r="F1435" s="93">
        <v>2017</v>
      </c>
      <c r="G1435" s="19" t="s">
        <v>1685</v>
      </c>
      <c r="H1435" s="19"/>
      <c r="I1435" s="19" t="s">
        <v>1690</v>
      </c>
      <c r="J1435" s="19" t="s">
        <v>63</v>
      </c>
      <c r="K1435" s="19" t="s">
        <v>64</v>
      </c>
      <c r="L1435" s="19" t="s">
        <v>65</v>
      </c>
      <c r="M1435" s="19" t="s">
        <v>260</v>
      </c>
      <c r="N1435" s="19" t="s">
        <v>66</v>
      </c>
      <c r="O1435" s="19" t="s">
        <v>67</v>
      </c>
      <c r="P1435" s="19"/>
      <c r="Q1435" s="19"/>
      <c r="R1435" s="19" t="s">
        <v>76</v>
      </c>
      <c r="S1435" s="19" t="s">
        <v>163</v>
      </c>
      <c r="T1435" s="19" t="s">
        <v>927</v>
      </c>
      <c r="U1435" s="19" t="s">
        <v>927</v>
      </c>
      <c r="V1435" s="19">
        <v>7</v>
      </c>
      <c r="W1435" s="19" t="s">
        <v>45</v>
      </c>
      <c r="X1435" s="19" t="s">
        <v>46</v>
      </c>
      <c r="Y1435" s="29"/>
      <c r="Z1435" s="19"/>
      <c r="AA1435" s="19"/>
      <c r="AB1435" s="19">
        <v>104</v>
      </c>
      <c r="AC1435" s="19" t="s">
        <v>214</v>
      </c>
      <c r="AD1435" s="19"/>
      <c r="AE1435" s="24">
        <v>45.998000000000005</v>
      </c>
      <c r="AF1435" s="19"/>
      <c r="AG1435" s="19"/>
      <c r="AH1435" s="19">
        <v>11</v>
      </c>
      <c r="AI1435" s="19">
        <v>4.5</v>
      </c>
      <c r="AJ1435" s="19">
        <v>7.2</v>
      </c>
      <c r="AK1435" s="19"/>
      <c r="AL1435" s="19"/>
      <c r="AM1435" s="19"/>
      <c r="AN1435" s="19"/>
      <c r="AO1435" s="19"/>
      <c r="AP1435" s="94">
        <v>4.9000000000000004</v>
      </c>
      <c r="AQ1435" s="19">
        <v>25</v>
      </c>
      <c r="AR1435" s="19"/>
      <c r="AS1435" s="19"/>
      <c r="AT1435" s="65" t="str">
        <f t="shared" si="495"/>
        <v>Y</v>
      </c>
      <c r="AU1435" s="65" t="str">
        <f t="shared" si="502"/>
        <v>Y</v>
      </c>
      <c r="AV1435" s="65" t="str">
        <f t="shared" si="503"/>
        <v>Y</v>
      </c>
      <c r="AW1435" s="99"/>
      <c r="AX1435" s="99"/>
      <c r="AY1435" s="19"/>
      <c r="AZ1435" s="96" t="str">
        <f t="shared" si="504"/>
        <v>EC20</v>
      </c>
      <c r="BA1435" s="96">
        <f>IF(AZ1435="n","n",VLOOKUP(AZ1435,'Conversion factors'!$C$4:$D$24,2,FALSE))</f>
        <v>1</v>
      </c>
      <c r="BB1435" s="96">
        <f t="shared" si="505"/>
        <v>104</v>
      </c>
      <c r="BC1435" s="97"/>
      <c r="BD1435" s="96" t="str">
        <f t="shared" si="496"/>
        <v>Chronic</v>
      </c>
      <c r="BE1435" s="96" t="str">
        <f t="shared" si="506"/>
        <v>y</v>
      </c>
      <c r="BF1435" s="98" t="str">
        <f t="shared" si="488"/>
        <v>EC20</v>
      </c>
      <c r="BG1435" s="96" t="str">
        <f>IF(BF1435="","",IF(ISNUMBER(VLOOKUP(BF1435,'Conversion factors'!$B$35:$C$52,2,FALSE)),"y","n"))</f>
        <v>y</v>
      </c>
      <c r="BH1435" s="99"/>
    </row>
    <row r="1436" spans="1:60" s="126" customFormat="1" ht="15.95" customHeight="1" x14ac:dyDescent="0.2">
      <c r="A1436" s="18"/>
      <c r="B1436" s="19"/>
      <c r="C1436" s="19"/>
      <c r="D1436" s="19"/>
      <c r="E1436" s="19"/>
      <c r="F1436" s="93">
        <v>2017</v>
      </c>
      <c r="G1436" s="19" t="s">
        <v>1685</v>
      </c>
      <c r="H1436" s="19"/>
      <c r="I1436" s="19" t="s">
        <v>1692</v>
      </c>
      <c r="J1436" s="19" t="s">
        <v>63</v>
      </c>
      <c r="K1436" s="19" t="s">
        <v>64</v>
      </c>
      <c r="L1436" s="19" t="s">
        <v>65</v>
      </c>
      <c r="M1436" s="19" t="s">
        <v>260</v>
      </c>
      <c r="N1436" s="19" t="s">
        <v>66</v>
      </c>
      <c r="O1436" s="19" t="s">
        <v>67</v>
      </c>
      <c r="P1436" s="19"/>
      <c r="Q1436" s="19"/>
      <c r="R1436" s="19" t="s">
        <v>76</v>
      </c>
      <c r="S1436" s="19" t="s">
        <v>163</v>
      </c>
      <c r="T1436" s="19" t="s">
        <v>927</v>
      </c>
      <c r="U1436" s="19" t="s">
        <v>927</v>
      </c>
      <c r="V1436" s="19">
        <v>7</v>
      </c>
      <c r="W1436" s="19" t="s">
        <v>45</v>
      </c>
      <c r="X1436" s="19" t="s">
        <v>46</v>
      </c>
      <c r="Y1436" s="29"/>
      <c r="Z1436" s="19"/>
      <c r="AA1436" s="19"/>
      <c r="AB1436" s="19">
        <v>124</v>
      </c>
      <c r="AC1436" s="19" t="s">
        <v>214</v>
      </c>
      <c r="AD1436" s="19"/>
      <c r="AE1436" s="24">
        <v>103.429</v>
      </c>
      <c r="AF1436" s="19"/>
      <c r="AG1436" s="19"/>
      <c r="AH1436" s="19">
        <v>34</v>
      </c>
      <c r="AI1436" s="19">
        <v>4.5</v>
      </c>
      <c r="AJ1436" s="19">
        <v>7.2</v>
      </c>
      <c r="AK1436" s="19"/>
      <c r="AL1436" s="19"/>
      <c r="AM1436" s="19"/>
      <c r="AN1436" s="19"/>
      <c r="AO1436" s="19"/>
      <c r="AP1436" s="94">
        <v>4.8</v>
      </c>
      <c r="AQ1436" s="19">
        <v>25</v>
      </c>
      <c r="AT1436" s="65" t="str">
        <f t="shared" si="495"/>
        <v>Y</v>
      </c>
      <c r="AU1436" s="65" t="str">
        <f t="shared" si="502"/>
        <v>Y</v>
      </c>
      <c r="AV1436" s="65" t="str">
        <f t="shared" si="503"/>
        <v>Y</v>
      </c>
      <c r="AW1436" s="99"/>
      <c r="AX1436" s="99"/>
      <c r="AY1436" s="19"/>
      <c r="AZ1436" s="96" t="str">
        <f t="shared" si="504"/>
        <v>EC20</v>
      </c>
      <c r="BA1436" s="96">
        <f>IF(AZ1436="n","n",VLOOKUP(AZ1436,'Conversion factors'!$C$4:$D$24,2,FALSE))</f>
        <v>1</v>
      </c>
      <c r="BB1436" s="96">
        <f t="shared" si="505"/>
        <v>124</v>
      </c>
      <c r="BC1436" s="97"/>
      <c r="BD1436" s="96" t="str">
        <f t="shared" si="496"/>
        <v>Chronic</v>
      </c>
      <c r="BE1436" s="96" t="str">
        <f t="shared" si="506"/>
        <v>y</v>
      </c>
      <c r="BF1436" s="98" t="str">
        <f t="shared" si="488"/>
        <v>EC20</v>
      </c>
      <c r="BG1436" s="96" t="str">
        <f>IF(BF1436="","",IF(ISNUMBER(VLOOKUP(BF1436,'Conversion factors'!$B$35:$C$52,2,FALSE)),"y","n"))</f>
        <v>y</v>
      </c>
      <c r="BH1436" s="131"/>
    </row>
    <row r="1437" spans="1:60" s="103" customFormat="1" ht="15.95" customHeight="1" x14ac:dyDescent="0.2">
      <c r="A1437" s="18"/>
      <c r="B1437" s="19"/>
      <c r="C1437" s="19"/>
      <c r="D1437" s="19"/>
      <c r="E1437" s="19"/>
      <c r="F1437" s="93">
        <v>2017</v>
      </c>
      <c r="G1437" s="19" t="s">
        <v>1685</v>
      </c>
      <c r="H1437" s="19"/>
      <c r="I1437" s="19" t="s">
        <v>1693</v>
      </c>
      <c r="J1437" s="19" t="s">
        <v>63</v>
      </c>
      <c r="K1437" s="19" t="s">
        <v>64</v>
      </c>
      <c r="L1437" s="19" t="s">
        <v>65</v>
      </c>
      <c r="M1437" s="19" t="s">
        <v>260</v>
      </c>
      <c r="N1437" s="19" t="s">
        <v>66</v>
      </c>
      <c r="O1437" s="19" t="s">
        <v>67</v>
      </c>
      <c r="P1437" s="19"/>
      <c r="Q1437" s="19"/>
      <c r="R1437" s="19" t="s">
        <v>76</v>
      </c>
      <c r="S1437" s="19" t="s">
        <v>163</v>
      </c>
      <c r="T1437" s="19" t="s">
        <v>927</v>
      </c>
      <c r="U1437" s="19" t="s">
        <v>927</v>
      </c>
      <c r="V1437" s="19">
        <v>7</v>
      </c>
      <c r="W1437" s="19" t="s">
        <v>45</v>
      </c>
      <c r="X1437" s="19" t="s">
        <v>46</v>
      </c>
      <c r="Y1437" s="29"/>
      <c r="Z1437" s="19"/>
      <c r="AA1437" s="19"/>
      <c r="AB1437" s="19">
        <v>21</v>
      </c>
      <c r="AC1437" s="19" t="s">
        <v>214</v>
      </c>
      <c r="AD1437" s="19"/>
      <c r="AE1437" s="24">
        <v>45.998000000000005</v>
      </c>
      <c r="AF1437" s="19"/>
      <c r="AG1437" s="19"/>
      <c r="AH1437" s="19">
        <v>11</v>
      </c>
      <c r="AI1437" s="19">
        <v>4.5</v>
      </c>
      <c r="AJ1437" s="19">
        <v>7.8</v>
      </c>
      <c r="AK1437" s="19"/>
      <c r="AL1437" s="19"/>
      <c r="AM1437" s="19"/>
      <c r="AN1437" s="19"/>
      <c r="AO1437" s="19"/>
      <c r="AP1437" s="94">
        <v>4.7</v>
      </c>
      <c r="AQ1437" s="19">
        <v>25</v>
      </c>
      <c r="AR1437" s="19"/>
      <c r="AS1437" s="19"/>
      <c r="AT1437" s="65" t="str">
        <f t="shared" si="495"/>
        <v>Y</v>
      </c>
      <c r="AU1437" s="65" t="str">
        <f t="shared" ref="AU1437:AU1444" si="507">IF(AT1437="N","N",IF(AJ1437&lt;6,"N",IF(AJ1437&gt;8.5,"N","Y")))</f>
        <v>Y</v>
      </c>
      <c r="AV1437" s="65" t="str">
        <f t="shared" ref="AV1437:AV1444" si="508">AU1437</f>
        <v>Y</v>
      </c>
      <c r="AW1437" s="99"/>
      <c r="AX1437" s="99"/>
      <c r="AY1437" s="19"/>
      <c r="AZ1437" s="96" t="str">
        <f t="shared" ref="AZ1437:AZ1444" si="509">IF(AV1437="N","n",T1437)</f>
        <v>EC20</v>
      </c>
      <c r="BA1437" s="96">
        <f>IF(AZ1437="n","n",VLOOKUP(AZ1437,'Conversion factors'!$C$4:$D$24,2,FALSE))</f>
        <v>1</v>
      </c>
      <c r="BB1437" s="96">
        <f t="shared" ref="BB1437:BB1444" si="510">IF(BA1437="n","n",AB1437/BA1437)</f>
        <v>21</v>
      </c>
      <c r="BC1437" s="97"/>
      <c r="BD1437" s="96" t="str">
        <f t="shared" si="496"/>
        <v>Chronic</v>
      </c>
      <c r="BE1437" s="96" t="str">
        <f t="shared" ref="BE1437:BE1444" si="511">IF(BD1437="chronic","y","n")</f>
        <v>y</v>
      </c>
      <c r="BF1437" s="98" t="str">
        <f t="shared" si="488"/>
        <v>EC20</v>
      </c>
      <c r="BG1437" s="96" t="str">
        <f>IF(BF1437="","",IF(ISNUMBER(VLOOKUP(BF1437,'Conversion factors'!$B$35:$C$52,2,FALSE)),"y","n"))</f>
        <v>y</v>
      </c>
      <c r="BH1437" s="99"/>
    </row>
    <row r="1438" spans="1:60" s="126" customFormat="1" ht="15.95" customHeight="1" x14ac:dyDescent="0.2">
      <c r="A1438" s="18"/>
      <c r="B1438" s="19"/>
      <c r="C1438" s="19"/>
      <c r="D1438" s="19"/>
      <c r="E1438" s="19"/>
      <c r="F1438" s="93">
        <v>2017</v>
      </c>
      <c r="G1438" s="19" t="s">
        <v>1685</v>
      </c>
      <c r="H1438" s="19"/>
      <c r="I1438" s="19" t="s">
        <v>1691</v>
      </c>
      <c r="J1438" s="19" t="s">
        <v>63</v>
      </c>
      <c r="K1438" s="19" t="s">
        <v>64</v>
      </c>
      <c r="L1438" s="19" t="s">
        <v>65</v>
      </c>
      <c r="M1438" s="19" t="s">
        <v>260</v>
      </c>
      <c r="N1438" s="19" t="s">
        <v>66</v>
      </c>
      <c r="O1438" s="19" t="s">
        <v>67</v>
      </c>
      <c r="P1438" s="19"/>
      <c r="Q1438" s="19"/>
      <c r="R1438" s="19" t="s">
        <v>76</v>
      </c>
      <c r="S1438" s="19" t="s">
        <v>163</v>
      </c>
      <c r="T1438" s="19" t="s">
        <v>927</v>
      </c>
      <c r="U1438" s="19" t="s">
        <v>927</v>
      </c>
      <c r="V1438" s="19">
        <v>7</v>
      </c>
      <c r="W1438" s="19" t="s">
        <v>45</v>
      </c>
      <c r="X1438" s="19" t="s">
        <v>46</v>
      </c>
      <c r="Y1438" s="29"/>
      <c r="Z1438" s="19"/>
      <c r="AA1438" s="19"/>
      <c r="AB1438" s="19">
        <v>34</v>
      </c>
      <c r="AC1438" s="19" t="s">
        <v>214</v>
      </c>
      <c r="AD1438" s="19"/>
      <c r="AE1438" s="24">
        <v>15.004099999999999</v>
      </c>
      <c r="AF1438" s="19"/>
      <c r="AG1438" s="19"/>
      <c r="AH1438" s="19">
        <v>3.7</v>
      </c>
      <c r="AI1438" s="19">
        <v>1.4</v>
      </c>
      <c r="AJ1438" s="19">
        <v>6.4</v>
      </c>
      <c r="AK1438" s="19"/>
      <c r="AL1438" s="19"/>
      <c r="AM1438" s="19"/>
      <c r="AN1438" s="19"/>
      <c r="AO1438" s="19"/>
      <c r="AP1438" s="94">
        <v>12.4</v>
      </c>
      <c r="AQ1438" s="19">
        <v>25</v>
      </c>
      <c r="AT1438" s="65" t="str">
        <f t="shared" si="495"/>
        <v>Y</v>
      </c>
      <c r="AU1438" s="65" t="str">
        <f t="shared" si="507"/>
        <v>Y</v>
      </c>
      <c r="AV1438" s="65" t="str">
        <f t="shared" si="508"/>
        <v>Y</v>
      </c>
      <c r="AW1438" s="99"/>
      <c r="AX1438" s="99"/>
      <c r="AY1438" s="19"/>
      <c r="AZ1438" s="96" t="str">
        <f t="shared" si="509"/>
        <v>EC20</v>
      </c>
      <c r="BA1438" s="96">
        <f>IF(AZ1438="n","n",VLOOKUP(AZ1438,'Conversion factors'!$C$4:$D$24,2,FALSE))</f>
        <v>1</v>
      </c>
      <c r="BB1438" s="96">
        <f t="shared" si="510"/>
        <v>34</v>
      </c>
      <c r="BC1438" s="97"/>
      <c r="BD1438" s="96" t="str">
        <f t="shared" si="496"/>
        <v>Chronic</v>
      </c>
      <c r="BE1438" s="96" t="str">
        <f t="shared" si="511"/>
        <v>y</v>
      </c>
      <c r="BF1438" s="98" t="str">
        <f t="shared" si="488"/>
        <v>EC20</v>
      </c>
      <c r="BG1438" s="96" t="str">
        <f>IF(BF1438="","",IF(ISNUMBER(VLOOKUP(BF1438,'Conversion factors'!$B$35:$C$52,2,FALSE)),"y","n"))</f>
        <v>y</v>
      </c>
      <c r="BH1438" s="131"/>
    </row>
    <row r="1439" spans="1:60" s="103" customFormat="1" ht="15.95" customHeight="1" x14ac:dyDescent="0.2">
      <c r="A1439" s="18"/>
      <c r="B1439" s="19"/>
      <c r="C1439" s="19"/>
      <c r="D1439" s="19"/>
      <c r="E1439" s="19"/>
      <c r="F1439" s="93">
        <v>2017</v>
      </c>
      <c r="G1439" s="19" t="s">
        <v>1685</v>
      </c>
      <c r="H1439" s="19"/>
      <c r="I1439" s="19" t="s">
        <v>1686</v>
      </c>
      <c r="J1439" s="19" t="s">
        <v>63</v>
      </c>
      <c r="K1439" s="19" t="s">
        <v>64</v>
      </c>
      <c r="L1439" s="19" t="s">
        <v>65</v>
      </c>
      <c r="M1439" s="19" t="s">
        <v>260</v>
      </c>
      <c r="N1439" s="19" t="s">
        <v>66</v>
      </c>
      <c r="O1439" s="19" t="s">
        <v>67</v>
      </c>
      <c r="P1439" s="19"/>
      <c r="Q1439" s="19"/>
      <c r="R1439" s="19" t="s">
        <v>76</v>
      </c>
      <c r="S1439" s="19" t="s">
        <v>163</v>
      </c>
      <c r="T1439" s="19" t="s">
        <v>49</v>
      </c>
      <c r="U1439" s="19" t="s">
        <v>49</v>
      </c>
      <c r="V1439" s="19">
        <v>7</v>
      </c>
      <c r="W1439" s="19" t="s">
        <v>45</v>
      </c>
      <c r="X1439" s="19" t="s">
        <v>46</v>
      </c>
      <c r="Y1439" s="29"/>
      <c r="Z1439" s="19"/>
      <c r="AA1439" s="19"/>
      <c r="AB1439" s="19" t="s">
        <v>231</v>
      </c>
      <c r="AC1439" s="19" t="s">
        <v>214</v>
      </c>
      <c r="AD1439" s="19"/>
      <c r="AE1439" s="24">
        <v>159.28399999999999</v>
      </c>
      <c r="AF1439" s="19"/>
      <c r="AG1439" s="19"/>
      <c r="AH1439" s="19">
        <v>44</v>
      </c>
      <c r="AI1439" s="19">
        <v>12</v>
      </c>
      <c r="AJ1439" s="19">
        <v>8</v>
      </c>
      <c r="AK1439" s="19"/>
      <c r="AL1439" s="19"/>
      <c r="AM1439" s="19"/>
      <c r="AN1439" s="19"/>
      <c r="AO1439" s="19"/>
      <c r="AP1439" s="94">
        <v>11.4</v>
      </c>
      <c r="AQ1439" s="19">
        <v>25</v>
      </c>
      <c r="AR1439" s="19"/>
      <c r="AS1439" s="19"/>
      <c r="AT1439" s="65" t="str">
        <f t="shared" si="495"/>
        <v>Y</v>
      </c>
      <c r="AU1439" s="65" t="str">
        <f t="shared" si="507"/>
        <v>Y</v>
      </c>
      <c r="AV1439" s="65" t="str">
        <f t="shared" si="508"/>
        <v>Y</v>
      </c>
      <c r="AW1439" s="99"/>
      <c r="AX1439" s="99"/>
      <c r="AY1439" s="19"/>
      <c r="AZ1439" s="96" t="str">
        <f t="shared" si="509"/>
        <v>EC10</v>
      </c>
      <c r="BA1439" s="96">
        <f>IF(AZ1439="n","n",VLOOKUP(AZ1439,'Conversion factors'!$C$4:$D$24,2,FALSE))</f>
        <v>1</v>
      </c>
      <c r="BB1439" s="96" t="e">
        <f t="shared" si="510"/>
        <v>#VALUE!</v>
      </c>
      <c r="BC1439" s="97"/>
      <c r="BD1439" s="96" t="str">
        <f t="shared" si="496"/>
        <v>Chronic</v>
      </c>
      <c r="BE1439" s="96" t="str">
        <f t="shared" si="511"/>
        <v>y</v>
      </c>
      <c r="BF1439" s="98" t="str">
        <f t="shared" si="488"/>
        <v>EC10</v>
      </c>
      <c r="BG1439" s="96" t="str">
        <f>IF(BF1439="","",IF(ISNUMBER(VLOOKUP(BF1439,'Conversion factors'!$B$35:$C$52,2,FALSE)),"y","n"))</f>
        <v>y</v>
      </c>
      <c r="BH1439" s="99"/>
    </row>
    <row r="1440" spans="1:60" s="126" customFormat="1" ht="15.95" customHeight="1" x14ac:dyDescent="0.2">
      <c r="A1440" s="18"/>
      <c r="B1440" s="19"/>
      <c r="C1440" s="19"/>
      <c r="D1440" s="19"/>
      <c r="E1440" s="19"/>
      <c r="F1440" s="93">
        <v>2017</v>
      </c>
      <c r="G1440" s="19" t="s">
        <v>1685</v>
      </c>
      <c r="H1440" s="19"/>
      <c r="I1440" s="19" t="s">
        <v>1687</v>
      </c>
      <c r="J1440" s="19" t="s">
        <v>63</v>
      </c>
      <c r="K1440" s="19" t="s">
        <v>64</v>
      </c>
      <c r="L1440" s="19" t="s">
        <v>65</v>
      </c>
      <c r="M1440" s="19" t="s">
        <v>260</v>
      </c>
      <c r="N1440" s="19" t="s">
        <v>66</v>
      </c>
      <c r="O1440" s="19" t="s">
        <v>67</v>
      </c>
      <c r="P1440" s="19"/>
      <c r="Q1440" s="19"/>
      <c r="R1440" s="19" t="s">
        <v>76</v>
      </c>
      <c r="S1440" s="19" t="s">
        <v>163</v>
      </c>
      <c r="T1440" s="19" t="s">
        <v>49</v>
      </c>
      <c r="U1440" s="19" t="s">
        <v>49</v>
      </c>
      <c r="V1440" s="19">
        <v>7</v>
      </c>
      <c r="W1440" s="19" t="s">
        <v>45</v>
      </c>
      <c r="X1440" s="19" t="s">
        <v>46</v>
      </c>
      <c r="Y1440" s="29"/>
      <c r="Z1440" s="19"/>
      <c r="AA1440" s="19"/>
      <c r="AB1440" s="19">
        <v>73</v>
      </c>
      <c r="AC1440" s="19" t="s">
        <v>214</v>
      </c>
      <c r="AD1440" s="19"/>
      <c r="AE1440" s="24">
        <v>213.11359999999996</v>
      </c>
      <c r="AF1440" s="19"/>
      <c r="AG1440" s="19"/>
      <c r="AH1440" s="19">
        <v>71</v>
      </c>
      <c r="AI1440" s="19">
        <v>8.6999999999999993</v>
      </c>
      <c r="AJ1440" s="19">
        <v>8.3000000000000007</v>
      </c>
      <c r="AK1440" s="19"/>
      <c r="AL1440" s="19"/>
      <c r="AM1440" s="19"/>
      <c r="AN1440" s="19"/>
      <c r="AO1440" s="19"/>
      <c r="AP1440" s="94">
        <v>16.399999999999999</v>
      </c>
      <c r="AQ1440" s="19">
        <v>25</v>
      </c>
      <c r="AT1440" s="65" t="str">
        <f t="shared" si="495"/>
        <v>Y</v>
      </c>
      <c r="AU1440" s="65" t="str">
        <f t="shared" si="507"/>
        <v>Y</v>
      </c>
      <c r="AV1440" s="65" t="str">
        <f t="shared" si="508"/>
        <v>Y</v>
      </c>
      <c r="AW1440" s="99"/>
      <c r="AX1440" s="99"/>
      <c r="AY1440" s="19"/>
      <c r="AZ1440" s="96" t="str">
        <f t="shared" si="509"/>
        <v>EC10</v>
      </c>
      <c r="BA1440" s="96">
        <f>IF(AZ1440="n","n",VLOOKUP(AZ1440,'Conversion factors'!$C$4:$D$24,2,FALSE))</f>
        <v>1</v>
      </c>
      <c r="BB1440" s="96">
        <f t="shared" si="510"/>
        <v>73</v>
      </c>
      <c r="BC1440" s="97"/>
      <c r="BD1440" s="96" t="str">
        <f t="shared" si="496"/>
        <v>Chronic</v>
      </c>
      <c r="BE1440" s="96" t="str">
        <f t="shared" si="511"/>
        <v>y</v>
      </c>
      <c r="BF1440" s="98" t="str">
        <f t="shared" si="488"/>
        <v>EC10</v>
      </c>
      <c r="BG1440" s="96" t="str">
        <f>IF(BF1440="","",IF(ISNUMBER(VLOOKUP(BF1440,'Conversion factors'!$B$35:$C$52,2,FALSE)),"y","n"))</f>
        <v>y</v>
      </c>
      <c r="BH1440" s="131"/>
    </row>
    <row r="1441" spans="1:16380" s="103" customFormat="1" ht="15.95" customHeight="1" x14ac:dyDescent="0.2">
      <c r="A1441" s="18"/>
      <c r="B1441" s="19"/>
      <c r="C1441" s="19"/>
      <c r="D1441" s="19"/>
      <c r="E1441" s="19"/>
      <c r="F1441" s="93">
        <v>2017</v>
      </c>
      <c r="G1441" s="19" t="s">
        <v>1685</v>
      </c>
      <c r="H1441" s="19"/>
      <c r="I1441" s="19" t="s">
        <v>1688</v>
      </c>
      <c r="J1441" s="19" t="s">
        <v>63</v>
      </c>
      <c r="K1441" s="19" t="s">
        <v>64</v>
      </c>
      <c r="L1441" s="19" t="s">
        <v>65</v>
      </c>
      <c r="M1441" s="19" t="s">
        <v>260</v>
      </c>
      <c r="N1441" s="19" t="s">
        <v>66</v>
      </c>
      <c r="O1441" s="19" t="s">
        <v>67</v>
      </c>
      <c r="P1441" s="19"/>
      <c r="Q1441" s="19"/>
      <c r="R1441" s="19" t="s">
        <v>76</v>
      </c>
      <c r="S1441" s="19" t="s">
        <v>163</v>
      </c>
      <c r="T1441" s="19" t="s">
        <v>49</v>
      </c>
      <c r="U1441" s="19" t="s">
        <v>49</v>
      </c>
      <c r="V1441" s="19">
        <v>7</v>
      </c>
      <c r="W1441" s="19" t="s">
        <v>45</v>
      </c>
      <c r="X1441" s="19" t="s">
        <v>46</v>
      </c>
      <c r="Y1441" s="29"/>
      <c r="Z1441" s="19"/>
      <c r="AA1441" s="19"/>
      <c r="AB1441" s="19">
        <v>111</v>
      </c>
      <c r="AC1441" s="19" t="s">
        <v>214</v>
      </c>
      <c r="AD1441" s="19"/>
      <c r="AE1441" s="24">
        <v>225.565</v>
      </c>
      <c r="AF1441" s="19"/>
      <c r="AG1441" s="19"/>
      <c r="AH1441" s="19">
        <v>59</v>
      </c>
      <c r="AI1441" s="19">
        <v>19</v>
      </c>
      <c r="AJ1441" s="19">
        <v>8.1</v>
      </c>
      <c r="AK1441" s="19"/>
      <c r="AL1441" s="19"/>
      <c r="AM1441" s="19"/>
      <c r="AN1441" s="19"/>
      <c r="AO1441" s="19"/>
      <c r="AP1441" s="94">
        <v>9.5</v>
      </c>
      <c r="AQ1441" s="19">
        <v>25</v>
      </c>
      <c r="AR1441" s="19"/>
      <c r="AS1441" s="19"/>
      <c r="AT1441" s="65" t="str">
        <f t="shared" si="495"/>
        <v>Y</v>
      </c>
      <c r="AU1441" s="65" t="str">
        <f t="shared" si="507"/>
        <v>Y</v>
      </c>
      <c r="AV1441" s="65" t="str">
        <f t="shared" si="508"/>
        <v>Y</v>
      </c>
      <c r="AW1441" s="99"/>
      <c r="AX1441" s="99"/>
      <c r="AY1441" s="19"/>
      <c r="AZ1441" s="96" t="str">
        <f t="shared" si="509"/>
        <v>EC10</v>
      </c>
      <c r="BA1441" s="96">
        <f>IF(AZ1441="n","n",VLOOKUP(AZ1441,'Conversion factors'!$C$4:$D$24,2,FALSE))</f>
        <v>1</v>
      </c>
      <c r="BB1441" s="96">
        <f t="shared" si="510"/>
        <v>111</v>
      </c>
      <c r="BC1441" s="97"/>
      <c r="BD1441" s="96" t="str">
        <f t="shared" si="496"/>
        <v>Chronic</v>
      </c>
      <c r="BE1441" s="96" t="str">
        <f t="shared" si="511"/>
        <v>y</v>
      </c>
      <c r="BF1441" s="98" t="str">
        <f t="shared" si="488"/>
        <v>EC10</v>
      </c>
      <c r="BG1441" s="96" t="str">
        <f>IF(BF1441="","",IF(ISNUMBER(VLOOKUP(BF1441,'Conversion factors'!$B$35:$C$52,2,FALSE)),"y","n"))</f>
        <v>y</v>
      </c>
      <c r="BH1441" s="99"/>
    </row>
    <row r="1442" spans="1:16380" s="126" customFormat="1" ht="15.95" customHeight="1" x14ac:dyDescent="0.2">
      <c r="A1442" s="18"/>
      <c r="B1442" s="19"/>
      <c r="C1442" s="19"/>
      <c r="D1442" s="19"/>
      <c r="E1442" s="19"/>
      <c r="F1442" s="93">
        <v>2017</v>
      </c>
      <c r="G1442" s="19" t="s">
        <v>1685</v>
      </c>
      <c r="H1442" s="19"/>
      <c r="I1442" s="19" t="s">
        <v>1689</v>
      </c>
      <c r="J1442" s="19" t="s">
        <v>63</v>
      </c>
      <c r="K1442" s="19" t="s">
        <v>64</v>
      </c>
      <c r="L1442" s="19" t="s">
        <v>65</v>
      </c>
      <c r="M1442" s="19" t="s">
        <v>260</v>
      </c>
      <c r="N1442" s="19" t="s">
        <v>66</v>
      </c>
      <c r="O1442" s="19" t="s">
        <v>67</v>
      </c>
      <c r="P1442" s="19"/>
      <c r="Q1442" s="19"/>
      <c r="R1442" s="19" t="s">
        <v>76</v>
      </c>
      <c r="S1442" s="19" t="s">
        <v>163</v>
      </c>
      <c r="T1442" s="19" t="s">
        <v>49</v>
      </c>
      <c r="U1442" s="19" t="s">
        <v>49</v>
      </c>
      <c r="V1442" s="19">
        <v>7</v>
      </c>
      <c r="W1442" s="19" t="s">
        <v>45</v>
      </c>
      <c r="X1442" s="19" t="s">
        <v>46</v>
      </c>
      <c r="Y1442" s="29"/>
      <c r="Z1442" s="19"/>
      <c r="AA1442" s="19"/>
      <c r="AB1442" s="19">
        <v>64</v>
      </c>
      <c r="AC1442" s="19" t="s">
        <v>214</v>
      </c>
      <c r="AD1442" s="19"/>
      <c r="AE1442" s="24">
        <v>80.413200000000003</v>
      </c>
      <c r="AF1442" s="19"/>
      <c r="AG1442" s="19"/>
      <c r="AH1442" s="19">
        <v>20</v>
      </c>
      <c r="AI1442" s="19">
        <v>7.4</v>
      </c>
      <c r="AJ1442" s="19">
        <v>8</v>
      </c>
      <c r="AK1442" s="19"/>
      <c r="AL1442" s="19"/>
      <c r="AM1442" s="19"/>
      <c r="AN1442" s="19"/>
      <c r="AO1442" s="19"/>
      <c r="AP1442" s="94">
        <v>13.1</v>
      </c>
      <c r="AQ1442" s="19">
        <v>25</v>
      </c>
      <c r="AT1442" s="65" t="str">
        <f t="shared" si="495"/>
        <v>Y</v>
      </c>
      <c r="AU1442" s="65" t="str">
        <f t="shared" si="507"/>
        <v>Y</v>
      </c>
      <c r="AV1442" s="65" t="str">
        <f t="shared" si="508"/>
        <v>Y</v>
      </c>
      <c r="AW1442" s="99"/>
      <c r="AX1442" s="99"/>
      <c r="AY1442" s="19"/>
      <c r="AZ1442" s="96" t="str">
        <f t="shared" si="509"/>
        <v>EC10</v>
      </c>
      <c r="BA1442" s="96">
        <f>IF(AZ1442="n","n",VLOOKUP(AZ1442,'Conversion factors'!$C$4:$D$24,2,FALSE))</f>
        <v>1</v>
      </c>
      <c r="BB1442" s="96">
        <f t="shared" si="510"/>
        <v>64</v>
      </c>
      <c r="BC1442" s="97"/>
      <c r="BD1442" s="96" t="str">
        <f t="shared" si="496"/>
        <v>Chronic</v>
      </c>
      <c r="BE1442" s="96" t="str">
        <f t="shared" si="511"/>
        <v>y</v>
      </c>
      <c r="BF1442" s="98" t="str">
        <f t="shared" si="488"/>
        <v>EC10</v>
      </c>
      <c r="BG1442" s="96" t="str">
        <f>IF(BF1442="","",IF(ISNUMBER(VLOOKUP(BF1442,'Conversion factors'!$B$35:$C$52,2,FALSE)),"y","n"))</f>
        <v>y</v>
      </c>
      <c r="BH1442" s="131"/>
    </row>
    <row r="1443" spans="1:16380" s="103" customFormat="1" ht="15.95" customHeight="1" x14ac:dyDescent="0.2">
      <c r="A1443" s="18"/>
      <c r="B1443" s="19"/>
      <c r="C1443" s="19"/>
      <c r="D1443" s="19"/>
      <c r="E1443" s="19"/>
      <c r="F1443" s="93">
        <v>2017</v>
      </c>
      <c r="G1443" s="19" t="s">
        <v>1685</v>
      </c>
      <c r="H1443" s="19"/>
      <c r="I1443" s="19" t="s">
        <v>1690</v>
      </c>
      <c r="J1443" s="19" t="s">
        <v>63</v>
      </c>
      <c r="K1443" s="19" t="s">
        <v>64</v>
      </c>
      <c r="L1443" s="19" t="s">
        <v>65</v>
      </c>
      <c r="M1443" s="19" t="s">
        <v>260</v>
      </c>
      <c r="N1443" s="19" t="s">
        <v>66</v>
      </c>
      <c r="O1443" s="19" t="s">
        <v>67</v>
      </c>
      <c r="P1443" s="19"/>
      <c r="Q1443" s="19"/>
      <c r="R1443" s="19" t="s">
        <v>76</v>
      </c>
      <c r="S1443" s="19" t="s">
        <v>163</v>
      </c>
      <c r="T1443" s="19" t="s">
        <v>49</v>
      </c>
      <c r="U1443" s="19" t="s">
        <v>49</v>
      </c>
      <c r="V1443" s="19">
        <v>7</v>
      </c>
      <c r="W1443" s="19" t="s">
        <v>45</v>
      </c>
      <c r="X1443" s="19" t="s">
        <v>46</v>
      </c>
      <c r="Y1443" s="29"/>
      <c r="Z1443" s="19"/>
      <c r="AA1443" s="19"/>
      <c r="AB1443" s="19">
        <v>89</v>
      </c>
      <c r="AC1443" s="19" t="s">
        <v>214</v>
      </c>
      <c r="AD1443" s="19"/>
      <c r="AE1443" s="24">
        <v>45.998000000000005</v>
      </c>
      <c r="AF1443" s="19"/>
      <c r="AG1443" s="19"/>
      <c r="AH1443" s="19">
        <v>11</v>
      </c>
      <c r="AI1443" s="19">
        <v>4.5</v>
      </c>
      <c r="AJ1443" s="19">
        <v>7.2</v>
      </c>
      <c r="AK1443" s="19"/>
      <c r="AL1443" s="19"/>
      <c r="AM1443" s="19"/>
      <c r="AN1443" s="19"/>
      <c r="AO1443" s="19"/>
      <c r="AP1443" s="94">
        <v>4.9000000000000004</v>
      </c>
      <c r="AQ1443" s="19">
        <v>25</v>
      </c>
      <c r="AR1443" s="19"/>
      <c r="AS1443" s="19"/>
      <c r="AT1443" s="65" t="str">
        <f t="shared" si="495"/>
        <v>Y</v>
      </c>
      <c r="AU1443" s="65" t="str">
        <f t="shared" si="507"/>
        <v>Y</v>
      </c>
      <c r="AV1443" s="65" t="str">
        <f t="shared" si="508"/>
        <v>Y</v>
      </c>
      <c r="AW1443" s="99"/>
      <c r="AX1443" s="99"/>
      <c r="AY1443" s="19"/>
      <c r="AZ1443" s="96" t="str">
        <f t="shared" si="509"/>
        <v>EC10</v>
      </c>
      <c r="BA1443" s="96">
        <f>IF(AZ1443="n","n",VLOOKUP(AZ1443,'Conversion factors'!$C$4:$D$24,2,FALSE))</f>
        <v>1</v>
      </c>
      <c r="BB1443" s="96">
        <f t="shared" si="510"/>
        <v>89</v>
      </c>
      <c r="BC1443" s="97"/>
      <c r="BD1443" s="96" t="str">
        <f t="shared" si="496"/>
        <v>Chronic</v>
      </c>
      <c r="BE1443" s="96" t="str">
        <f t="shared" si="511"/>
        <v>y</v>
      </c>
      <c r="BF1443" s="98" t="str">
        <f t="shared" si="488"/>
        <v>EC10</v>
      </c>
      <c r="BG1443" s="96" t="str">
        <f>IF(BF1443="","",IF(ISNUMBER(VLOOKUP(BF1443,'Conversion factors'!$B$35:$C$52,2,FALSE)),"y","n"))</f>
        <v>y</v>
      </c>
      <c r="BH1443" s="99"/>
    </row>
    <row r="1444" spans="1:16380" s="126" customFormat="1" ht="15.95" customHeight="1" x14ac:dyDescent="0.2">
      <c r="A1444" s="18"/>
      <c r="B1444" s="19"/>
      <c r="C1444" s="19"/>
      <c r="D1444" s="19"/>
      <c r="E1444" s="19"/>
      <c r="F1444" s="93">
        <v>2017</v>
      </c>
      <c r="G1444" s="19" t="s">
        <v>1685</v>
      </c>
      <c r="H1444" s="19"/>
      <c r="I1444" s="19" t="s">
        <v>1692</v>
      </c>
      <c r="J1444" s="19" t="s">
        <v>63</v>
      </c>
      <c r="K1444" s="19" t="s">
        <v>64</v>
      </c>
      <c r="L1444" s="19" t="s">
        <v>65</v>
      </c>
      <c r="M1444" s="19" t="s">
        <v>260</v>
      </c>
      <c r="N1444" s="19" t="s">
        <v>66</v>
      </c>
      <c r="O1444" s="19" t="s">
        <v>67</v>
      </c>
      <c r="P1444" s="19"/>
      <c r="Q1444" s="19"/>
      <c r="R1444" s="19" t="s">
        <v>76</v>
      </c>
      <c r="S1444" s="19" t="s">
        <v>163</v>
      </c>
      <c r="T1444" s="19" t="s">
        <v>49</v>
      </c>
      <c r="U1444" s="19" t="s">
        <v>49</v>
      </c>
      <c r="V1444" s="19">
        <v>7</v>
      </c>
      <c r="W1444" s="19" t="s">
        <v>45</v>
      </c>
      <c r="X1444" s="19" t="s">
        <v>46</v>
      </c>
      <c r="Y1444" s="29"/>
      <c r="Z1444" s="19"/>
      <c r="AA1444" s="19"/>
      <c r="AB1444" s="19">
        <v>98</v>
      </c>
      <c r="AC1444" s="19" t="s">
        <v>214</v>
      </c>
      <c r="AD1444" s="19"/>
      <c r="AE1444" s="24">
        <v>103.429</v>
      </c>
      <c r="AF1444" s="19"/>
      <c r="AG1444" s="19"/>
      <c r="AH1444" s="19">
        <v>34</v>
      </c>
      <c r="AI1444" s="19">
        <v>4.5</v>
      </c>
      <c r="AJ1444" s="19">
        <v>7.2</v>
      </c>
      <c r="AK1444" s="19"/>
      <c r="AL1444" s="19"/>
      <c r="AM1444" s="19"/>
      <c r="AN1444" s="19"/>
      <c r="AO1444" s="19"/>
      <c r="AP1444" s="94">
        <v>4.8</v>
      </c>
      <c r="AQ1444" s="19">
        <v>25</v>
      </c>
      <c r="AT1444" s="65" t="str">
        <f t="shared" si="495"/>
        <v>Y</v>
      </c>
      <c r="AU1444" s="65" t="str">
        <f t="shared" si="507"/>
        <v>Y</v>
      </c>
      <c r="AV1444" s="65" t="str">
        <f t="shared" si="508"/>
        <v>Y</v>
      </c>
      <c r="AW1444" s="99"/>
      <c r="AX1444" s="99"/>
      <c r="AY1444" s="19"/>
      <c r="AZ1444" s="96" t="str">
        <f t="shared" si="509"/>
        <v>EC10</v>
      </c>
      <c r="BA1444" s="96">
        <f>IF(AZ1444="n","n",VLOOKUP(AZ1444,'Conversion factors'!$C$4:$D$24,2,FALSE))</f>
        <v>1</v>
      </c>
      <c r="BB1444" s="96">
        <f t="shared" si="510"/>
        <v>98</v>
      </c>
      <c r="BC1444" s="97"/>
      <c r="BD1444" s="96" t="str">
        <f t="shared" si="496"/>
        <v>Chronic</v>
      </c>
      <c r="BE1444" s="96" t="str">
        <f t="shared" si="511"/>
        <v>y</v>
      </c>
      <c r="BF1444" s="98" t="str">
        <f t="shared" si="488"/>
        <v>EC10</v>
      </c>
      <c r="BG1444" s="96" t="str">
        <f>IF(BF1444="","",IF(ISNUMBER(VLOOKUP(BF1444,'Conversion factors'!$B$35:$C$52,2,FALSE)),"y","n"))</f>
        <v>y</v>
      </c>
      <c r="BH1444" s="131"/>
    </row>
    <row r="1445" spans="1:16380" s="103" customFormat="1" ht="15.95" customHeight="1" x14ac:dyDescent="0.2">
      <c r="A1445" s="18"/>
      <c r="B1445" s="19"/>
      <c r="C1445" s="19"/>
      <c r="D1445" s="19"/>
      <c r="E1445" s="19"/>
      <c r="F1445" s="93">
        <v>2017</v>
      </c>
      <c r="G1445" s="19" t="s">
        <v>1685</v>
      </c>
      <c r="H1445" s="19"/>
      <c r="I1445" s="19" t="s">
        <v>1693</v>
      </c>
      <c r="J1445" s="19" t="s">
        <v>63</v>
      </c>
      <c r="K1445" s="19" t="s">
        <v>64</v>
      </c>
      <c r="L1445" s="19" t="s">
        <v>65</v>
      </c>
      <c r="M1445" s="19" t="s">
        <v>260</v>
      </c>
      <c r="N1445" s="19" t="s">
        <v>66</v>
      </c>
      <c r="O1445" s="19" t="s">
        <v>67</v>
      </c>
      <c r="P1445" s="19"/>
      <c r="Q1445" s="19"/>
      <c r="R1445" s="19" t="s">
        <v>76</v>
      </c>
      <c r="S1445" s="19" t="s">
        <v>163</v>
      </c>
      <c r="T1445" s="19" t="s">
        <v>49</v>
      </c>
      <c r="U1445" s="19" t="s">
        <v>49</v>
      </c>
      <c r="V1445" s="19">
        <v>7</v>
      </c>
      <c r="W1445" s="19" t="s">
        <v>45</v>
      </c>
      <c r="X1445" s="19" t="s">
        <v>46</v>
      </c>
      <c r="Y1445" s="29"/>
      <c r="Z1445" s="19"/>
      <c r="AA1445" s="19"/>
      <c r="AB1445" s="19">
        <v>14</v>
      </c>
      <c r="AC1445" s="19" t="s">
        <v>214</v>
      </c>
      <c r="AD1445" s="19"/>
      <c r="AE1445" s="24">
        <v>45.998000000000005</v>
      </c>
      <c r="AF1445" s="19"/>
      <c r="AG1445" s="19"/>
      <c r="AH1445" s="19">
        <v>11</v>
      </c>
      <c r="AI1445" s="19">
        <v>4.5</v>
      </c>
      <c r="AJ1445" s="19">
        <v>7.8</v>
      </c>
      <c r="AK1445" s="19"/>
      <c r="AL1445" s="19"/>
      <c r="AM1445" s="19"/>
      <c r="AN1445" s="19"/>
      <c r="AO1445" s="19"/>
      <c r="AP1445" s="94">
        <v>4.7</v>
      </c>
      <c r="AQ1445" s="19">
        <v>25</v>
      </c>
      <c r="AR1445" s="19"/>
      <c r="AS1445" s="19"/>
      <c r="AT1445" s="65" t="str">
        <f t="shared" si="495"/>
        <v>Y</v>
      </c>
      <c r="AU1445" s="65" t="str">
        <f t="shared" ref="AU1445:AU1446" si="512">IF(AT1445="N","N",IF(AJ1445&lt;6,"N",IF(AJ1445&gt;8.5,"N","Y")))</f>
        <v>Y</v>
      </c>
      <c r="AV1445" s="65" t="str">
        <f t="shared" ref="AV1445:AV1446" si="513">AU1445</f>
        <v>Y</v>
      </c>
      <c r="AW1445" s="99"/>
      <c r="AX1445" s="99"/>
      <c r="AY1445" s="19"/>
      <c r="AZ1445" s="96" t="str">
        <f t="shared" ref="AZ1445:AZ1446" si="514">IF(AV1445="N","n",T1445)</f>
        <v>EC10</v>
      </c>
      <c r="BA1445" s="96">
        <f>IF(AZ1445="n","n",VLOOKUP(AZ1445,'Conversion factors'!$C$4:$D$24,2,FALSE))</f>
        <v>1</v>
      </c>
      <c r="BB1445" s="96">
        <f t="shared" ref="BB1445:BB1446" si="515">IF(BA1445="n","n",AB1445/BA1445)</f>
        <v>14</v>
      </c>
      <c r="BC1445" s="97"/>
      <c r="BD1445" s="96" t="str">
        <f t="shared" si="496"/>
        <v>Chronic</v>
      </c>
      <c r="BE1445" s="96" t="str">
        <f t="shared" ref="BE1445:BE1446" si="516">IF(BD1445="chronic","y","n")</f>
        <v>y</v>
      </c>
      <c r="BF1445" s="98" t="str">
        <f t="shared" ref="BF1445:BF1446" si="517">IF(BE1445="n","",AZ1445)</f>
        <v>EC10</v>
      </c>
      <c r="BG1445" s="96" t="str">
        <f>IF(BF1445="","",IF(ISNUMBER(VLOOKUP(BF1445,'Conversion factors'!$B$35:$C$52,2,FALSE)),"y","n"))</f>
        <v>y</v>
      </c>
      <c r="BH1445" s="99"/>
    </row>
    <row r="1446" spans="1:16380" s="126" customFormat="1" ht="15.95" customHeight="1" thickBot="1" x14ac:dyDescent="0.25">
      <c r="A1446" s="18"/>
      <c r="B1446" s="19"/>
      <c r="C1446" s="19"/>
      <c r="D1446" s="19"/>
      <c r="E1446" s="19"/>
      <c r="F1446" s="93">
        <v>2017</v>
      </c>
      <c r="G1446" s="19" t="s">
        <v>1685</v>
      </c>
      <c r="H1446" s="19"/>
      <c r="I1446" s="19" t="s">
        <v>1691</v>
      </c>
      <c r="J1446" s="19" t="s">
        <v>63</v>
      </c>
      <c r="K1446" s="19" t="s">
        <v>64</v>
      </c>
      <c r="L1446" s="19" t="s">
        <v>65</v>
      </c>
      <c r="M1446" s="19" t="s">
        <v>260</v>
      </c>
      <c r="N1446" s="19" t="s">
        <v>66</v>
      </c>
      <c r="O1446" s="19" t="s">
        <v>67</v>
      </c>
      <c r="P1446" s="19"/>
      <c r="Q1446" s="19"/>
      <c r="R1446" s="19" t="s">
        <v>76</v>
      </c>
      <c r="S1446" s="19" t="s">
        <v>163</v>
      </c>
      <c r="T1446" s="19" t="s">
        <v>49</v>
      </c>
      <c r="U1446" s="19" t="s">
        <v>49</v>
      </c>
      <c r="V1446" s="19">
        <v>7</v>
      </c>
      <c r="W1446" s="19" t="s">
        <v>45</v>
      </c>
      <c r="X1446" s="19" t="s">
        <v>46</v>
      </c>
      <c r="Y1446" s="29"/>
      <c r="Z1446" s="19"/>
      <c r="AA1446" s="19"/>
      <c r="AB1446" s="19">
        <v>22</v>
      </c>
      <c r="AC1446" s="19" t="s">
        <v>214</v>
      </c>
      <c r="AD1446" s="19"/>
      <c r="AE1446" s="24">
        <v>15.004099999999999</v>
      </c>
      <c r="AF1446" s="19"/>
      <c r="AG1446" s="19"/>
      <c r="AH1446" s="19">
        <v>3.7</v>
      </c>
      <c r="AI1446" s="19">
        <v>1.4</v>
      </c>
      <c r="AJ1446" s="19">
        <v>6.4</v>
      </c>
      <c r="AK1446" s="19"/>
      <c r="AL1446" s="19"/>
      <c r="AM1446" s="19"/>
      <c r="AN1446" s="19"/>
      <c r="AO1446" s="19"/>
      <c r="AP1446" s="94">
        <v>12.4</v>
      </c>
      <c r="AQ1446" s="19">
        <v>25</v>
      </c>
      <c r="AT1446" s="65" t="str">
        <f t="shared" si="495"/>
        <v>Y</v>
      </c>
      <c r="AU1446" s="65" t="str">
        <f t="shared" si="512"/>
        <v>Y</v>
      </c>
      <c r="AV1446" s="65" t="str">
        <f t="shared" si="513"/>
        <v>Y</v>
      </c>
      <c r="AW1446" s="99"/>
      <c r="AX1446" s="99"/>
      <c r="AY1446" s="19"/>
      <c r="AZ1446" s="96" t="str">
        <f t="shared" si="514"/>
        <v>EC10</v>
      </c>
      <c r="BA1446" s="96">
        <f>IF(AZ1446="n","n",VLOOKUP(AZ1446,'Conversion factors'!$C$4:$D$24,2,FALSE))</f>
        <v>1</v>
      </c>
      <c r="BB1446" s="96">
        <f t="shared" si="515"/>
        <v>22</v>
      </c>
      <c r="BC1446" s="97"/>
      <c r="BD1446" s="96" t="str">
        <f t="shared" si="496"/>
        <v>Chronic</v>
      </c>
      <c r="BE1446" s="96" t="str">
        <f t="shared" si="516"/>
        <v>y</v>
      </c>
      <c r="BF1446" s="98" t="str">
        <f t="shared" si="517"/>
        <v>EC10</v>
      </c>
      <c r="BG1446" s="96" t="str">
        <f>IF(BF1446="","",IF(ISNUMBER(VLOOKUP(BF1446,'Conversion factors'!$B$35:$C$52,2,FALSE)),"y","n"))</f>
        <v>y</v>
      </c>
      <c r="BH1446" s="131"/>
    </row>
    <row r="1447" spans="1:16380" s="103" customFormat="1" ht="15.95" customHeight="1" thickBot="1" x14ac:dyDescent="0.3">
      <c r="A1447" s="166" t="s">
        <v>1723</v>
      </c>
      <c r="B1447" s="166"/>
      <c r="C1447" s="166"/>
      <c r="D1447" s="166" t="s">
        <v>1720</v>
      </c>
      <c r="E1447" s="166" t="s">
        <v>1739</v>
      </c>
      <c r="F1447" s="166">
        <v>2020</v>
      </c>
      <c r="G1447" s="166" t="s">
        <v>1721</v>
      </c>
      <c r="H1447" s="166" t="s">
        <v>1390</v>
      </c>
      <c r="I1447" s="166" t="s">
        <v>1740</v>
      </c>
      <c r="J1447" s="166" t="s">
        <v>1724</v>
      </c>
      <c r="K1447" s="166" t="s">
        <v>42</v>
      </c>
      <c r="L1447" s="166" t="s">
        <v>43</v>
      </c>
      <c r="M1447" s="166" t="s">
        <v>1303</v>
      </c>
      <c r="N1447" s="19" t="s">
        <v>66</v>
      </c>
      <c r="O1447" s="166" t="s">
        <v>1725</v>
      </c>
      <c r="P1447" s="166" t="s">
        <v>1390</v>
      </c>
      <c r="Q1447" s="166"/>
      <c r="R1447" s="166" t="s">
        <v>1253</v>
      </c>
      <c r="S1447" s="166" t="s">
        <v>1726</v>
      </c>
      <c r="T1447" s="166" t="s">
        <v>49</v>
      </c>
      <c r="U1447" s="19" t="s">
        <v>49</v>
      </c>
      <c r="V1447" s="166">
        <v>3</v>
      </c>
      <c r="W1447" s="166" t="s">
        <v>45</v>
      </c>
      <c r="X1447" s="166" t="s">
        <v>46</v>
      </c>
      <c r="Y1447" s="166"/>
      <c r="Z1447" s="166"/>
      <c r="AA1447" s="166"/>
      <c r="AB1447" s="166">
        <v>286</v>
      </c>
      <c r="AC1447" s="166" t="s">
        <v>214</v>
      </c>
      <c r="AD1447" s="166"/>
      <c r="AE1447" s="168">
        <v>3.5</v>
      </c>
      <c r="AF1447" s="166"/>
      <c r="AG1447" s="166"/>
      <c r="AH1447" s="166"/>
      <c r="AI1447" s="166"/>
      <c r="AJ1447" s="167">
        <v>6.4</v>
      </c>
      <c r="AK1447" s="168" t="s">
        <v>1744</v>
      </c>
      <c r="AL1447" s="168" t="s">
        <v>1750</v>
      </c>
      <c r="AM1447" s="166"/>
      <c r="AN1447" s="168">
        <v>3</v>
      </c>
      <c r="AO1447" s="166"/>
      <c r="AP1447" s="168">
        <v>1.4</v>
      </c>
      <c r="AQ1447" s="168" t="s">
        <v>1754</v>
      </c>
      <c r="AR1447" s="168" t="s">
        <v>1760</v>
      </c>
      <c r="AS1447" s="20"/>
      <c r="AT1447" s="65" t="str">
        <f>IF(F1447&lt;1980,"N",IF(AC1447="M","Y",IF(AC1447="SM","Y","N")))</f>
        <v>Y</v>
      </c>
      <c r="AU1447" s="65" t="str">
        <f>IF(AT1447="N","N",IF(AJ1447&lt;6,"N",IF(AJ1447&gt;8.5,"N","Y")))</f>
        <v>Y</v>
      </c>
      <c r="AV1447" s="65" t="str">
        <f>AU1447</f>
        <v>Y</v>
      </c>
      <c r="AW1447" s="99"/>
      <c r="AX1447" s="99"/>
      <c r="AY1447" s="20"/>
      <c r="AZ1447" s="96" t="str">
        <f>IF(AV1447="N","n",T1447)</f>
        <v>EC10</v>
      </c>
      <c r="BA1447" s="96">
        <f>IF(AZ1447="n","n",VLOOKUP(AZ1447,'Conversion factors'!$C$4:$D$24,2,FALSE))</f>
        <v>1</v>
      </c>
      <c r="BB1447" s="96">
        <f>IF(BA1447="n","n",AB1447/BA1447)</f>
        <v>286</v>
      </c>
      <c r="BC1447" s="97"/>
      <c r="BD1447" s="96" t="str">
        <f>IF(AV1447="N","n",X1447)</f>
        <v>Chronic</v>
      </c>
      <c r="BE1447" s="96" t="str">
        <f>IF(BD1447="chronic","y","n")</f>
        <v>y</v>
      </c>
      <c r="BF1447" s="98" t="str">
        <f>IF(BE1447="n","",AZ1447)</f>
        <v>EC10</v>
      </c>
      <c r="BG1447" s="96" t="str">
        <f>IF(BF1447="","",IF(ISNUMBER(VLOOKUP(BF1447,'Conversion factors'!$B$35:$C$52,2,FALSE)),"y","n"))</f>
        <v>y</v>
      </c>
      <c r="BH1447" s="131"/>
      <c r="BI1447" s="126"/>
      <c r="BJ1447" s="126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  <c r="DB1447"/>
      <c r="DC1447"/>
      <c r="DD1447"/>
      <c r="DE1447"/>
      <c r="DF1447"/>
      <c r="DG1447"/>
      <c r="DH1447"/>
      <c r="DI1447"/>
      <c r="DJ1447"/>
      <c r="DK1447"/>
      <c r="DL1447"/>
      <c r="DM1447"/>
      <c r="DN1447"/>
      <c r="DO1447"/>
      <c r="DP1447"/>
      <c r="DQ1447"/>
      <c r="DR1447"/>
      <c r="DS1447"/>
      <c r="DT1447"/>
      <c r="DU1447"/>
      <c r="DV1447"/>
      <c r="DW1447"/>
      <c r="DX1447"/>
      <c r="DY1447"/>
      <c r="DZ1447"/>
      <c r="EA1447"/>
      <c r="EB1447"/>
      <c r="EC1447"/>
      <c r="ED1447"/>
      <c r="EE1447"/>
      <c r="EF1447"/>
      <c r="EG1447"/>
      <c r="EH1447"/>
      <c r="EI1447"/>
      <c r="EJ1447"/>
      <c r="EK1447"/>
      <c r="EL1447"/>
      <c r="EM1447"/>
      <c r="EN1447"/>
      <c r="EO1447"/>
      <c r="EP1447"/>
      <c r="EQ1447"/>
      <c r="ER1447"/>
      <c r="ES1447"/>
      <c r="ET1447"/>
      <c r="EU1447"/>
      <c r="EV1447"/>
      <c r="EW1447"/>
      <c r="EX1447"/>
      <c r="EY1447"/>
      <c r="EZ1447"/>
      <c r="FA1447"/>
      <c r="FB1447"/>
      <c r="FC1447"/>
      <c r="FD1447"/>
      <c r="FE1447"/>
      <c r="FF1447"/>
      <c r="FG1447"/>
      <c r="FH1447"/>
      <c r="FI1447"/>
      <c r="FJ1447"/>
      <c r="FK1447"/>
      <c r="FL1447"/>
      <c r="FM1447"/>
      <c r="FN1447"/>
      <c r="FO1447"/>
      <c r="FP1447"/>
      <c r="FQ1447"/>
      <c r="FR1447"/>
      <c r="FS1447"/>
      <c r="FT1447"/>
      <c r="FU1447"/>
      <c r="FV1447"/>
      <c r="FW1447"/>
      <c r="FX1447"/>
      <c r="FY1447"/>
      <c r="FZ1447"/>
      <c r="GA1447"/>
      <c r="GB1447"/>
      <c r="GC1447"/>
      <c r="GD1447"/>
      <c r="GE1447"/>
      <c r="GF1447"/>
      <c r="GG1447"/>
      <c r="GH1447"/>
      <c r="GI1447"/>
      <c r="GJ1447"/>
      <c r="GK1447"/>
      <c r="GL1447"/>
      <c r="GM1447"/>
      <c r="GN1447"/>
      <c r="GO1447"/>
      <c r="GP1447"/>
      <c r="GQ1447"/>
      <c r="GR1447"/>
      <c r="GS1447"/>
      <c r="GT1447"/>
      <c r="GU1447"/>
      <c r="GV1447"/>
      <c r="GW1447"/>
      <c r="GX1447"/>
      <c r="GY1447"/>
      <c r="GZ1447"/>
      <c r="HA1447"/>
      <c r="HB1447"/>
      <c r="HC1447"/>
      <c r="HD1447"/>
      <c r="HE1447"/>
      <c r="HF1447"/>
      <c r="HG1447"/>
      <c r="HH1447"/>
      <c r="HI1447"/>
      <c r="HJ1447"/>
      <c r="HK1447"/>
      <c r="HL1447"/>
      <c r="HM1447"/>
      <c r="HN1447"/>
      <c r="HO1447"/>
      <c r="HP1447"/>
      <c r="HQ1447"/>
      <c r="HR1447"/>
      <c r="HS1447"/>
      <c r="HT1447"/>
      <c r="HU1447"/>
      <c r="HV1447"/>
      <c r="HW1447"/>
      <c r="HX1447"/>
      <c r="HY1447"/>
      <c r="HZ1447"/>
      <c r="IA1447"/>
      <c r="IB1447"/>
      <c r="IC1447"/>
      <c r="ID1447"/>
      <c r="IE1447"/>
      <c r="IF1447"/>
      <c r="IG1447"/>
      <c r="IH1447"/>
      <c r="II1447"/>
      <c r="IJ1447"/>
      <c r="IK1447"/>
      <c r="IL1447"/>
      <c r="IM1447"/>
      <c r="IN1447"/>
      <c r="IO1447"/>
      <c r="IP1447"/>
      <c r="IQ1447"/>
      <c r="IR1447"/>
      <c r="IS1447"/>
      <c r="IT1447"/>
      <c r="IU1447"/>
      <c r="IV1447"/>
      <c r="IW1447"/>
      <c r="IX1447"/>
      <c r="IY1447"/>
      <c r="IZ1447"/>
      <c r="JA1447"/>
      <c r="JB1447"/>
      <c r="JC1447"/>
      <c r="JD1447"/>
      <c r="JE1447"/>
      <c r="JF1447"/>
      <c r="JG1447"/>
      <c r="JH1447"/>
      <c r="JI1447"/>
      <c r="JJ1447"/>
      <c r="JK1447"/>
      <c r="JL1447"/>
      <c r="JM1447"/>
      <c r="JN1447"/>
      <c r="JO1447"/>
      <c r="JP1447"/>
      <c r="JQ1447"/>
      <c r="JR1447"/>
      <c r="JS1447"/>
      <c r="JT1447"/>
      <c r="JU1447"/>
      <c r="JV1447"/>
      <c r="JW1447"/>
      <c r="JX1447"/>
      <c r="JY1447"/>
      <c r="JZ1447"/>
      <c r="KA1447"/>
      <c r="KB1447"/>
      <c r="KC1447"/>
      <c r="KD1447"/>
      <c r="KE1447"/>
      <c r="KF1447"/>
      <c r="KG1447"/>
      <c r="KH1447"/>
      <c r="KI1447"/>
      <c r="KJ1447"/>
      <c r="KK1447"/>
      <c r="KL1447"/>
      <c r="KM1447"/>
      <c r="KN1447"/>
      <c r="KO1447"/>
      <c r="KP1447"/>
      <c r="KQ1447"/>
      <c r="KR1447"/>
      <c r="KS1447"/>
      <c r="KT1447"/>
      <c r="KU1447"/>
      <c r="KV1447"/>
      <c r="KW1447"/>
      <c r="KX1447"/>
      <c r="KY1447"/>
      <c r="KZ1447"/>
      <c r="LA1447"/>
      <c r="LB1447"/>
      <c r="LC1447"/>
      <c r="LD1447"/>
      <c r="LE1447"/>
      <c r="LF1447"/>
      <c r="LG1447"/>
      <c r="LH1447"/>
      <c r="LI1447"/>
      <c r="LJ1447"/>
      <c r="LK1447"/>
      <c r="LL1447"/>
      <c r="LM1447"/>
      <c r="LN1447"/>
      <c r="LO1447"/>
      <c r="LP1447"/>
      <c r="LQ1447"/>
      <c r="LR1447"/>
      <c r="LS1447"/>
      <c r="LT1447"/>
      <c r="LU1447"/>
      <c r="LV1447"/>
      <c r="LW1447"/>
      <c r="LX1447"/>
      <c r="LY1447"/>
      <c r="LZ1447"/>
      <c r="MA1447"/>
      <c r="MB1447"/>
      <c r="MC1447"/>
      <c r="MD1447"/>
      <c r="ME1447"/>
      <c r="MF1447"/>
      <c r="MG1447"/>
      <c r="MH1447"/>
      <c r="MI1447"/>
      <c r="MJ1447"/>
      <c r="MK1447"/>
      <c r="ML1447"/>
      <c r="MM1447"/>
      <c r="MN1447"/>
      <c r="MO1447"/>
      <c r="MP1447"/>
      <c r="MQ1447"/>
      <c r="MR1447"/>
      <c r="MS1447"/>
      <c r="MT1447"/>
      <c r="MU1447"/>
      <c r="MV1447"/>
      <c r="MW1447"/>
      <c r="MX1447"/>
      <c r="MY1447"/>
      <c r="MZ1447"/>
      <c r="NA1447"/>
      <c r="NB1447"/>
      <c r="NC1447"/>
      <c r="ND1447"/>
      <c r="NE1447"/>
      <c r="NF1447"/>
      <c r="NG1447"/>
      <c r="NH1447"/>
      <c r="NI1447"/>
      <c r="NJ1447"/>
      <c r="NK1447"/>
      <c r="NL1447"/>
      <c r="NM1447"/>
      <c r="NN1447"/>
      <c r="NO1447"/>
      <c r="NP1447"/>
      <c r="NQ1447"/>
      <c r="NR1447"/>
      <c r="NS1447"/>
      <c r="NT1447"/>
      <c r="NU1447"/>
      <c r="NV1447"/>
      <c r="NW1447"/>
      <c r="NX1447"/>
      <c r="NY1447"/>
      <c r="NZ1447"/>
      <c r="OA1447"/>
      <c r="OB1447"/>
      <c r="OC1447"/>
      <c r="OD1447"/>
      <c r="OE1447"/>
      <c r="OF1447"/>
      <c r="OG1447"/>
      <c r="OH1447"/>
      <c r="OI1447"/>
      <c r="OJ1447"/>
      <c r="OK1447"/>
      <c r="OL1447"/>
      <c r="OM1447"/>
      <c r="ON1447"/>
      <c r="OO1447"/>
      <c r="OP1447"/>
      <c r="OQ1447"/>
      <c r="OR1447"/>
      <c r="OS1447"/>
      <c r="OT1447"/>
      <c r="OU1447"/>
      <c r="OV1447"/>
      <c r="OW1447"/>
      <c r="OX1447"/>
      <c r="OY1447"/>
      <c r="OZ1447"/>
      <c r="PA1447"/>
      <c r="PB1447"/>
      <c r="PC1447"/>
      <c r="PD1447"/>
      <c r="PE1447"/>
      <c r="PF1447"/>
      <c r="PG1447"/>
      <c r="PH1447"/>
      <c r="PI1447"/>
      <c r="PJ1447"/>
      <c r="PK1447"/>
      <c r="PL1447"/>
      <c r="PM1447"/>
      <c r="PN1447"/>
      <c r="PO1447"/>
      <c r="PP1447"/>
      <c r="PQ1447"/>
      <c r="PR1447"/>
      <c r="PS1447"/>
      <c r="PT1447"/>
      <c r="PU1447"/>
      <c r="PV1447"/>
      <c r="PW1447"/>
      <c r="PX1447"/>
      <c r="PY1447"/>
      <c r="PZ1447"/>
      <c r="QA1447"/>
      <c r="QB1447"/>
      <c r="QC1447"/>
      <c r="QD1447"/>
      <c r="QE1447"/>
      <c r="QF1447"/>
      <c r="QG1447"/>
      <c r="QH1447"/>
      <c r="QI1447"/>
      <c r="QJ1447"/>
      <c r="QK1447"/>
      <c r="QL1447"/>
      <c r="QM1447"/>
      <c r="QN1447"/>
      <c r="QO1447"/>
      <c r="QP1447"/>
      <c r="QQ1447"/>
      <c r="QR1447"/>
      <c r="QS1447"/>
      <c r="QT1447"/>
      <c r="QU1447"/>
      <c r="QV1447"/>
      <c r="QW1447"/>
      <c r="QX1447"/>
      <c r="QY1447"/>
      <c r="QZ1447"/>
      <c r="RA1447"/>
      <c r="RB1447"/>
      <c r="RC1447"/>
      <c r="RD1447"/>
      <c r="RE1447"/>
      <c r="RF1447"/>
      <c r="RG1447"/>
      <c r="RH1447"/>
      <c r="RI1447"/>
      <c r="RJ1447"/>
      <c r="RK1447"/>
      <c r="RL1447"/>
      <c r="RM1447"/>
      <c r="RN1447"/>
      <c r="RO1447"/>
      <c r="RP1447"/>
      <c r="RQ1447"/>
      <c r="RR1447"/>
      <c r="RS1447"/>
      <c r="RT1447"/>
      <c r="RU1447"/>
      <c r="RV1447"/>
      <c r="RW1447"/>
      <c r="RX1447"/>
      <c r="RY1447"/>
      <c r="RZ1447"/>
      <c r="SA1447"/>
      <c r="SB1447"/>
      <c r="SC1447"/>
      <c r="SD1447"/>
      <c r="SE1447"/>
      <c r="SF1447"/>
      <c r="SG1447"/>
      <c r="SH1447"/>
      <c r="SI1447"/>
      <c r="SJ1447"/>
      <c r="SK1447"/>
      <c r="SL1447"/>
      <c r="SM1447"/>
      <c r="SN1447"/>
      <c r="SO1447"/>
      <c r="SP1447"/>
      <c r="SQ1447"/>
      <c r="SR1447"/>
      <c r="SS1447"/>
      <c r="ST1447"/>
      <c r="SU1447"/>
      <c r="SV1447"/>
      <c r="SW1447"/>
      <c r="SX1447"/>
      <c r="SY1447"/>
      <c r="SZ1447"/>
      <c r="TA1447"/>
      <c r="TB1447"/>
      <c r="TC1447"/>
      <c r="TD1447"/>
      <c r="TE1447"/>
      <c r="TF1447"/>
      <c r="TG1447"/>
      <c r="TH1447"/>
      <c r="TI1447"/>
      <c r="TJ1447"/>
      <c r="TK1447"/>
      <c r="TL1447"/>
      <c r="TM1447"/>
      <c r="TN1447"/>
      <c r="TO1447"/>
      <c r="TP1447"/>
      <c r="TQ1447"/>
      <c r="TR1447"/>
      <c r="TS1447"/>
      <c r="TT1447"/>
      <c r="TU1447"/>
      <c r="TV1447"/>
      <c r="TW1447"/>
      <c r="TX1447"/>
      <c r="TY1447"/>
      <c r="TZ1447"/>
      <c r="UA1447"/>
      <c r="UB1447"/>
      <c r="UC1447"/>
      <c r="UD1447"/>
      <c r="UE1447"/>
      <c r="UF1447"/>
      <c r="UG1447"/>
      <c r="UH1447"/>
      <c r="UI1447"/>
      <c r="UJ1447"/>
      <c r="UK1447"/>
      <c r="UL1447"/>
      <c r="UM1447"/>
      <c r="UN1447"/>
      <c r="UO1447"/>
      <c r="UP1447"/>
      <c r="UQ1447"/>
      <c r="UR1447"/>
      <c r="US1447"/>
      <c r="UT1447"/>
      <c r="UU1447"/>
      <c r="UV1447"/>
      <c r="UW1447"/>
      <c r="UX1447"/>
      <c r="UY1447"/>
      <c r="UZ1447"/>
      <c r="VA1447"/>
      <c r="VB1447"/>
      <c r="VC1447"/>
      <c r="VD1447"/>
      <c r="VE1447"/>
      <c r="VF1447"/>
      <c r="VG1447"/>
      <c r="VH1447"/>
      <c r="VI1447"/>
      <c r="VJ1447"/>
      <c r="VK1447"/>
      <c r="VL1447"/>
      <c r="VM1447"/>
      <c r="VN1447"/>
      <c r="VO1447"/>
      <c r="VP1447"/>
      <c r="VQ1447"/>
      <c r="VR1447"/>
      <c r="VS1447"/>
      <c r="VT1447"/>
      <c r="VU1447"/>
      <c r="VV1447"/>
      <c r="VW1447"/>
      <c r="VX1447"/>
      <c r="VY1447"/>
      <c r="VZ1447"/>
      <c r="WA1447"/>
      <c r="WB1447"/>
      <c r="WC1447"/>
      <c r="WD1447"/>
      <c r="WE1447"/>
      <c r="WF1447"/>
      <c r="WG1447"/>
      <c r="WH1447"/>
      <c r="WI1447"/>
      <c r="WJ1447"/>
      <c r="WK1447"/>
      <c r="WL1447"/>
      <c r="WM1447"/>
      <c r="WN1447"/>
      <c r="WO1447"/>
      <c r="WP1447"/>
      <c r="WQ1447"/>
      <c r="WR1447"/>
      <c r="WS1447"/>
      <c r="WT1447"/>
      <c r="WU1447"/>
      <c r="WV1447"/>
      <c r="WW1447"/>
      <c r="WX1447"/>
      <c r="WY1447"/>
      <c r="WZ1447"/>
      <c r="XA1447"/>
      <c r="XB1447"/>
      <c r="XC1447"/>
      <c r="XD1447"/>
      <c r="XE1447"/>
      <c r="XF1447"/>
      <c r="XG1447"/>
      <c r="XH1447"/>
      <c r="XI1447"/>
      <c r="XJ1447"/>
      <c r="XK1447"/>
      <c r="XL1447"/>
      <c r="XM1447"/>
      <c r="XN1447"/>
      <c r="XO1447"/>
      <c r="XP1447"/>
      <c r="XQ1447"/>
      <c r="XR1447"/>
      <c r="XS1447"/>
      <c r="XT1447"/>
      <c r="XU1447"/>
      <c r="XV1447"/>
      <c r="XW1447"/>
      <c r="XX1447"/>
      <c r="XY1447"/>
      <c r="XZ1447"/>
      <c r="YA1447"/>
      <c r="YB1447"/>
      <c r="YC1447"/>
      <c r="YD1447"/>
      <c r="YE1447"/>
      <c r="YF1447"/>
      <c r="YG1447"/>
      <c r="YH1447"/>
      <c r="YI1447"/>
      <c r="YJ1447"/>
      <c r="YK1447"/>
      <c r="YL1447"/>
      <c r="YM1447"/>
      <c r="YN1447"/>
      <c r="YO1447"/>
      <c r="YP1447"/>
      <c r="YQ1447"/>
      <c r="YR1447"/>
      <c r="YS1447"/>
      <c r="YT1447"/>
      <c r="YU1447"/>
      <c r="YV1447"/>
      <c r="YW1447"/>
      <c r="YX1447"/>
      <c r="YY1447"/>
      <c r="YZ1447"/>
      <c r="ZA1447"/>
      <c r="ZB1447"/>
      <c r="ZC1447"/>
      <c r="ZD1447"/>
      <c r="ZE1447"/>
      <c r="ZF1447"/>
      <c r="ZG1447"/>
      <c r="ZH1447"/>
      <c r="ZI1447"/>
      <c r="ZJ1447"/>
      <c r="ZK1447"/>
      <c r="ZL1447"/>
      <c r="ZM1447"/>
      <c r="ZN1447"/>
      <c r="ZO1447"/>
      <c r="ZP1447"/>
      <c r="ZQ1447"/>
      <c r="ZR1447"/>
      <c r="ZS1447"/>
      <c r="ZT1447"/>
      <c r="ZU1447"/>
      <c r="ZV1447"/>
      <c r="ZW1447"/>
      <c r="ZX1447"/>
      <c r="ZY1447"/>
      <c r="ZZ1447"/>
      <c r="AAA1447"/>
      <c r="AAB1447"/>
      <c r="AAC1447"/>
      <c r="AAD1447"/>
      <c r="AAE1447"/>
      <c r="AAF1447"/>
      <c r="AAG1447"/>
      <c r="AAH1447"/>
      <c r="AAI1447"/>
      <c r="AAJ1447"/>
      <c r="AAK1447"/>
      <c r="AAL1447"/>
      <c r="AAM1447"/>
      <c r="AAN1447"/>
      <c r="AAO1447"/>
      <c r="AAP1447"/>
      <c r="AAQ1447"/>
      <c r="AAR1447"/>
      <c r="AAS1447"/>
      <c r="AAT1447"/>
      <c r="AAU1447"/>
      <c r="AAV1447"/>
      <c r="AAW1447"/>
      <c r="AAX1447"/>
      <c r="AAY1447"/>
      <c r="AAZ1447"/>
      <c r="ABA1447"/>
      <c r="ABB1447"/>
      <c r="ABC1447"/>
      <c r="ABD1447"/>
      <c r="ABE1447"/>
      <c r="ABF1447"/>
      <c r="ABG1447"/>
      <c r="ABH1447"/>
      <c r="ABI1447"/>
      <c r="ABJ1447"/>
      <c r="ABK1447"/>
      <c r="ABL1447"/>
      <c r="ABM1447"/>
      <c r="ABN1447"/>
      <c r="ABO1447"/>
      <c r="ABP1447"/>
      <c r="ABQ1447"/>
      <c r="ABR1447"/>
      <c r="ABS1447"/>
      <c r="ABT1447"/>
      <c r="ABU1447"/>
      <c r="ABV1447"/>
      <c r="ABW1447"/>
      <c r="ABX1447"/>
      <c r="ABY1447"/>
      <c r="ABZ1447"/>
      <c r="ACA1447"/>
      <c r="ACB1447"/>
      <c r="ACC1447"/>
      <c r="ACD1447"/>
      <c r="ACE1447"/>
      <c r="ACF1447"/>
      <c r="ACG1447"/>
      <c r="ACH1447"/>
      <c r="ACI1447"/>
      <c r="ACJ1447"/>
      <c r="ACK1447"/>
      <c r="ACL1447"/>
      <c r="ACM1447"/>
      <c r="ACN1447"/>
      <c r="ACO1447"/>
      <c r="ACP1447"/>
      <c r="ACQ1447"/>
      <c r="ACR1447"/>
      <c r="ACS1447"/>
      <c r="ACT1447"/>
      <c r="ACU1447"/>
      <c r="ACV1447"/>
      <c r="ACW1447"/>
      <c r="ACX1447"/>
      <c r="ACY1447"/>
      <c r="ACZ1447"/>
      <c r="ADA1447"/>
      <c r="ADB1447"/>
      <c r="ADC1447"/>
      <c r="ADD1447"/>
      <c r="ADE1447"/>
      <c r="ADF1447"/>
      <c r="ADG1447"/>
      <c r="ADH1447"/>
      <c r="ADI1447"/>
      <c r="ADJ1447"/>
      <c r="ADK1447"/>
      <c r="ADL1447"/>
      <c r="ADM1447"/>
      <c r="ADN1447"/>
      <c r="ADO1447"/>
      <c r="ADP1447"/>
      <c r="ADQ1447"/>
      <c r="ADR1447"/>
      <c r="ADS1447"/>
      <c r="ADT1447"/>
      <c r="ADU1447"/>
      <c r="ADV1447"/>
      <c r="ADW1447"/>
      <c r="ADX1447"/>
      <c r="ADY1447"/>
      <c r="ADZ1447"/>
      <c r="AEA1447"/>
      <c r="AEB1447"/>
      <c r="AEC1447"/>
      <c r="AED1447"/>
      <c r="AEE1447"/>
      <c r="AEF1447"/>
      <c r="AEG1447"/>
      <c r="AEH1447"/>
      <c r="AEI1447"/>
      <c r="AEJ1447"/>
      <c r="AEK1447"/>
      <c r="AEL1447"/>
      <c r="AEM1447"/>
      <c r="AEN1447"/>
      <c r="AEO1447"/>
      <c r="AEP1447"/>
      <c r="AEQ1447"/>
      <c r="AER1447"/>
      <c r="AES1447"/>
      <c r="AET1447"/>
      <c r="AEU1447"/>
      <c r="AEV1447"/>
      <c r="AEW1447"/>
      <c r="AEX1447"/>
      <c r="AEY1447"/>
      <c r="AEZ1447"/>
      <c r="AFA1447"/>
      <c r="AFB1447"/>
      <c r="AFC1447"/>
      <c r="AFD1447"/>
      <c r="AFE1447"/>
      <c r="AFF1447"/>
      <c r="AFG1447"/>
      <c r="AFH1447"/>
      <c r="AFI1447"/>
      <c r="AFJ1447"/>
      <c r="AFK1447"/>
      <c r="AFL1447"/>
      <c r="AFM1447"/>
      <c r="AFN1447"/>
      <c r="AFO1447"/>
      <c r="AFP1447"/>
      <c r="AFQ1447"/>
      <c r="AFR1447"/>
      <c r="AFS1447"/>
      <c r="AFT1447"/>
      <c r="AFU1447"/>
      <c r="AFV1447"/>
      <c r="AFW1447"/>
      <c r="AFX1447"/>
      <c r="AFY1447"/>
      <c r="AFZ1447"/>
      <c r="AGA1447"/>
      <c r="AGB1447"/>
      <c r="AGC1447"/>
      <c r="AGD1447"/>
      <c r="AGE1447"/>
      <c r="AGF1447"/>
      <c r="AGG1447"/>
      <c r="AGH1447"/>
      <c r="AGI1447"/>
      <c r="AGJ1447"/>
      <c r="AGK1447"/>
      <c r="AGL1447"/>
      <c r="AGM1447"/>
      <c r="AGN1447"/>
      <c r="AGO1447"/>
      <c r="AGP1447"/>
      <c r="AGQ1447"/>
      <c r="AGR1447"/>
      <c r="AGS1447"/>
      <c r="AGT1447"/>
      <c r="AGU1447"/>
      <c r="AGV1447"/>
      <c r="AGW1447"/>
      <c r="AGX1447"/>
      <c r="AGY1447"/>
      <c r="AGZ1447"/>
      <c r="AHA1447"/>
      <c r="AHB1447"/>
      <c r="AHC1447"/>
      <c r="AHD1447"/>
      <c r="AHE1447"/>
      <c r="AHF1447"/>
      <c r="AHG1447"/>
      <c r="AHH1447"/>
      <c r="AHI1447"/>
      <c r="AHJ1447"/>
      <c r="AHK1447"/>
      <c r="AHL1447"/>
      <c r="AHM1447"/>
      <c r="AHN1447"/>
      <c r="AHO1447"/>
      <c r="AHP1447"/>
      <c r="AHQ1447"/>
      <c r="AHR1447"/>
      <c r="AHS1447"/>
      <c r="AHT1447"/>
      <c r="AHU1447"/>
      <c r="AHV1447"/>
      <c r="AHW1447"/>
      <c r="AHX1447"/>
      <c r="AHY1447"/>
      <c r="AHZ1447"/>
      <c r="AIA1447"/>
      <c r="AIB1447"/>
      <c r="AIC1447"/>
      <c r="AID1447"/>
      <c r="AIE1447"/>
      <c r="AIF1447"/>
      <c r="AIG1447"/>
      <c r="AIH1447"/>
      <c r="AII1447"/>
      <c r="AIJ1447"/>
      <c r="AIK1447"/>
      <c r="AIL1447"/>
      <c r="AIM1447"/>
      <c r="AIN1447"/>
      <c r="AIO1447"/>
      <c r="AIP1447"/>
      <c r="AIQ1447"/>
      <c r="AIR1447"/>
      <c r="AIS1447"/>
      <c r="AIT1447"/>
      <c r="AIU1447"/>
      <c r="AIV1447"/>
      <c r="AIW1447"/>
      <c r="AIX1447"/>
      <c r="AIY1447"/>
      <c r="AIZ1447"/>
      <c r="AJA1447"/>
      <c r="AJB1447"/>
      <c r="AJC1447"/>
      <c r="AJD1447"/>
      <c r="AJE1447"/>
      <c r="AJF1447"/>
      <c r="AJG1447"/>
      <c r="AJH1447"/>
      <c r="AJI1447"/>
      <c r="AJJ1447"/>
      <c r="AJK1447"/>
      <c r="AJL1447"/>
      <c r="AJM1447"/>
      <c r="AJN1447"/>
      <c r="AJO1447"/>
      <c r="AJP1447"/>
      <c r="AJQ1447"/>
      <c r="AJR1447"/>
      <c r="AJS1447"/>
      <c r="AJT1447"/>
      <c r="AJU1447"/>
      <c r="AJV1447"/>
      <c r="AJW1447"/>
      <c r="AJX1447"/>
      <c r="AJY1447"/>
      <c r="AJZ1447"/>
      <c r="AKA1447"/>
      <c r="AKB1447"/>
      <c r="AKC1447"/>
      <c r="AKD1447"/>
      <c r="AKE1447"/>
      <c r="AKF1447"/>
      <c r="AKG1447"/>
      <c r="AKH1447"/>
      <c r="AKI1447"/>
      <c r="AKJ1447"/>
      <c r="AKK1447"/>
      <c r="AKL1447"/>
      <c r="AKM1447"/>
      <c r="AKN1447"/>
      <c r="AKO1447"/>
      <c r="AKP1447"/>
      <c r="AKQ1447"/>
      <c r="AKR1447"/>
      <c r="AKS1447"/>
      <c r="AKT1447"/>
      <c r="AKU1447"/>
      <c r="AKV1447"/>
      <c r="AKW1447"/>
      <c r="AKX1447"/>
      <c r="AKY1447"/>
      <c r="AKZ1447"/>
      <c r="ALA1447"/>
      <c r="ALB1447"/>
      <c r="ALC1447"/>
      <c r="ALD1447"/>
      <c r="ALE1447"/>
      <c r="ALF1447"/>
      <c r="ALG1447"/>
      <c r="ALH1447"/>
      <c r="ALI1447"/>
      <c r="ALJ1447"/>
      <c r="ALK1447"/>
      <c r="ALL1447"/>
      <c r="ALM1447"/>
      <c r="ALN1447"/>
      <c r="ALO1447"/>
      <c r="ALP1447"/>
      <c r="ALQ1447"/>
      <c r="ALR1447"/>
      <c r="ALS1447"/>
      <c r="ALT1447"/>
      <c r="ALU1447"/>
      <c r="ALV1447"/>
      <c r="ALW1447"/>
      <c r="ALX1447"/>
      <c r="ALY1447"/>
      <c r="ALZ1447"/>
      <c r="AMA1447"/>
      <c r="AMB1447"/>
      <c r="AMC1447"/>
      <c r="AMD1447"/>
      <c r="AME1447"/>
      <c r="AMF1447"/>
      <c r="AMG1447"/>
      <c r="AMH1447"/>
      <c r="AMI1447"/>
      <c r="AMJ1447"/>
      <c r="AMK1447"/>
      <c r="AML1447"/>
      <c r="AMM1447"/>
      <c r="AMN1447"/>
      <c r="AMO1447"/>
      <c r="AMP1447"/>
      <c r="AMQ1447"/>
      <c r="AMR1447"/>
      <c r="AMS1447"/>
      <c r="AMT1447"/>
      <c r="AMU1447"/>
      <c r="AMV1447"/>
      <c r="AMW1447"/>
      <c r="AMX1447"/>
      <c r="AMY1447"/>
      <c r="AMZ1447"/>
      <c r="ANA1447"/>
      <c r="ANB1447"/>
      <c r="ANC1447"/>
      <c r="AND1447"/>
      <c r="ANE1447"/>
      <c r="ANF1447"/>
      <c r="ANG1447"/>
      <c r="ANH1447"/>
      <c r="ANI1447"/>
      <c r="ANJ1447"/>
      <c r="ANK1447"/>
      <c r="ANL1447"/>
      <c r="ANM1447"/>
      <c r="ANN1447"/>
      <c r="ANO1447"/>
      <c r="ANP1447"/>
      <c r="ANQ1447"/>
      <c r="ANR1447"/>
      <c r="ANS1447"/>
      <c r="ANT1447"/>
      <c r="ANU1447"/>
      <c r="ANV1447"/>
      <c r="ANW1447"/>
      <c r="ANX1447"/>
      <c r="ANY1447"/>
      <c r="ANZ1447"/>
      <c r="AOA1447"/>
      <c r="AOB1447"/>
      <c r="AOC1447"/>
      <c r="AOD1447"/>
      <c r="AOE1447"/>
      <c r="AOF1447"/>
      <c r="AOG1447"/>
      <c r="AOH1447"/>
      <c r="AOI1447"/>
      <c r="AOJ1447"/>
      <c r="AOK1447"/>
      <c r="AOL1447"/>
      <c r="AOM1447"/>
      <c r="AON1447"/>
      <c r="AOO1447"/>
      <c r="AOP1447"/>
      <c r="AOQ1447"/>
      <c r="AOR1447"/>
      <c r="AOS1447"/>
      <c r="AOT1447"/>
      <c r="AOU1447"/>
      <c r="AOV1447"/>
      <c r="AOW1447"/>
      <c r="AOX1447"/>
      <c r="AOY1447"/>
      <c r="AOZ1447"/>
      <c r="APA1447"/>
      <c r="APB1447"/>
      <c r="APC1447"/>
      <c r="APD1447"/>
      <c r="APE1447"/>
      <c r="APF1447"/>
      <c r="APG1447"/>
      <c r="APH1447"/>
      <c r="API1447"/>
      <c r="APJ1447"/>
      <c r="APK1447"/>
      <c r="APL1447"/>
      <c r="APM1447"/>
      <c r="APN1447"/>
      <c r="APO1447"/>
      <c r="APP1447"/>
      <c r="APQ1447"/>
      <c r="APR1447"/>
      <c r="APS1447"/>
      <c r="APT1447"/>
      <c r="APU1447"/>
      <c r="APV1447"/>
      <c r="APW1447"/>
      <c r="APX1447"/>
      <c r="APY1447"/>
      <c r="APZ1447"/>
      <c r="AQA1447"/>
      <c r="AQB1447"/>
      <c r="AQC1447"/>
      <c r="AQD1447"/>
      <c r="AQE1447"/>
      <c r="AQF1447"/>
      <c r="AQG1447"/>
      <c r="AQH1447"/>
      <c r="AQI1447"/>
      <c r="AQJ1447"/>
      <c r="AQK1447"/>
      <c r="AQL1447"/>
      <c r="AQM1447"/>
      <c r="AQN1447"/>
      <c r="AQO1447"/>
      <c r="AQP1447"/>
      <c r="AQQ1447"/>
      <c r="AQR1447"/>
      <c r="AQS1447"/>
      <c r="AQT1447"/>
      <c r="AQU1447"/>
      <c r="AQV1447"/>
      <c r="AQW1447"/>
      <c r="AQX1447"/>
      <c r="AQY1447"/>
      <c r="AQZ1447"/>
      <c r="ARA1447"/>
      <c r="ARB1447"/>
      <c r="ARC1447"/>
      <c r="ARD1447"/>
      <c r="ARE1447"/>
      <c r="ARF1447"/>
      <c r="ARG1447"/>
      <c r="ARH1447"/>
      <c r="ARI1447"/>
      <c r="ARJ1447"/>
      <c r="ARK1447"/>
      <c r="ARL1447"/>
      <c r="ARM1447"/>
      <c r="ARN1447"/>
      <c r="ARO1447"/>
      <c r="ARP1447"/>
      <c r="ARQ1447"/>
      <c r="ARR1447"/>
      <c r="ARS1447"/>
      <c r="ART1447"/>
      <c r="ARU1447"/>
      <c r="ARV1447"/>
      <c r="ARW1447"/>
      <c r="ARX1447"/>
      <c r="ARY1447"/>
      <c r="ARZ1447"/>
      <c r="ASA1447"/>
      <c r="ASB1447"/>
      <c r="ASC1447"/>
      <c r="ASD1447"/>
      <c r="ASE1447"/>
      <c r="ASF1447"/>
      <c r="ASG1447"/>
      <c r="ASH1447"/>
      <c r="ASI1447"/>
      <c r="ASJ1447"/>
      <c r="ASK1447"/>
      <c r="ASL1447"/>
      <c r="ASM1447"/>
      <c r="ASN1447"/>
      <c r="ASO1447"/>
      <c r="ASP1447"/>
      <c r="ASQ1447"/>
      <c r="ASR1447"/>
      <c r="ASS1447"/>
      <c r="AST1447"/>
      <c r="ASU1447"/>
      <c r="ASV1447"/>
      <c r="ASW1447"/>
      <c r="ASX1447"/>
      <c r="ASY1447"/>
      <c r="ASZ1447"/>
      <c r="ATA1447"/>
      <c r="ATB1447"/>
      <c r="ATC1447"/>
      <c r="ATD1447"/>
      <c r="ATE1447"/>
      <c r="ATF1447"/>
      <c r="ATG1447"/>
      <c r="ATH1447"/>
      <c r="ATI1447"/>
      <c r="ATJ1447"/>
      <c r="ATK1447"/>
      <c r="ATL1447"/>
      <c r="ATM1447"/>
      <c r="ATN1447"/>
      <c r="ATO1447"/>
      <c r="ATP1447"/>
      <c r="ATQ1447"/>
      <c r="ATR1447"/>
      <c r="ATS1447"/>
      <c r="ATT1447"/>
      <c r="ATU1447"/>
      <c r="ATV1447"/>
      <c r="ATW1447"/>
      <c r="ATX1447"/>
      <c r="ATY1447"/>
      <c r="ATZ1447"/>
      <c r="AUA1447"/>
      <c r="AUB1447"/>
      <c r="AUC1447"/>
      <c r="AUD1447"/>
      <c r="AUE1447"/>
      <c r="AUF1447"/>
      <c r="AUG1447"/>
      <c r="AUH1447"/>
      <c r="AUI1447"/>
      <c r="AUJ1447"/>
      <c r="AUK1447"/>
      <c r="AUL1447"/>
      <c r="AUM1447"/>
      <c r="AUN1447"/>
      <c r="AUO1447"/>
      <c r="AUP1447"/>
      <c r="AUQ1447"/>
      <c r="AUR1447"/>
      <c r="AUS1447"/>
      <c r="AUT1447"/>
      <c r="AUU1447"/>
      <c r="AUV1447"/>
      <c r="AUW1447"/>
      <c r="AUX1447"/>
      <c r="AUY1447"/>
      <c r="AUZ1447"/>
      <c r="AVA1447"/>
      <c r="AVB1447"/>
      <c r="AVC1447"/>
      <c r="AVD1447"/>
      <c r="AVE1447"/>
      <c r="AVF1447"/>
      <c r="AVG1447"/>
      <c r="AVH1447"/>
      <c r="AVI1447"/>
      <c r="AVJ1447"/>
      <c r="AVK1447"/>
      <c r="AVL1447"/>
      <c r="AVM1447"/>
      <c r="AVN1447"/>
      <c r="AVO1447"/>
      <c r="AVP1447"/>
      <c r="AVQ1447"/>
      <c r="AVR1447"/>
      <c r="AVS1447"/>
      <c r="AVT1447"/>
      <c r="AVU1447"/>
      <c r="AVV1447"/>
      <c r="AVW1447"/>
      <c r="AVX1447"/>
      <c r="AVY1447"/>
      <c r="AVZ1447"/>
      <c r="AWA1447"/>
      <c r="AWB1447"/>
      <c r="AWC1447"/>
      <c r="AWD1447"/>
      <c r="AWE1447"/>
      <c r="AWF1447"/>
      <c r="AWG1447"/>
      <c r="AWH1447"/>
      <c r="AWI1447"/>
      <c r="AWJ1447"/>
      <c r="AWK1447"/>
      <c r="AWL1447"/>
      <c r="AWM1447"/>
      <c r="AWN1447"/>
      <c r="AWO1447"/>
      <c r="AWP1447"/>
      <c r="AWQ1447"/>
      <c r="AWR1447"/>
      <c r="AWS1447"/>
      <c r="AWT1447"/>
      <c r="AWU1447"/>
      <c r="AWV1447"/>
      <c r="AWW1447"/>
      <c r="AWX1447"/>
      <c r="AWY1447"/>
      <c r="AWZ1447"/>
      <c r="AXA1447"/>
      <c r="AXB1447"/>
      <c r="AXC1447"/>
      <c r="AXD1447"/>
      <c r="AXE1447"/>
      <c r="AXF1447"/>
      <c r="AXG1447"/>
      <c r="AXH1447"/>
      <c r="AXI1447"/>
      <c r="AXJ1447"/>
      <c r="AXK1447"/>
      <c r="AXL1447"/>
      <c r="AXM1447"/>
      <c r="AXN1447"/>
      <c r="AXO1447"/>
      <c r="AXP1447"/>
      <c r="AXQ1447"/>
      <c r="AXR1447"/>
      <c r="AXS1447"/>
      <c r="AXT1447"/>
      <c r="AXU1447"/>
      <c r="AXV1447"/>
      <c r="AXW1447"/>
      <c r="AXX1447"/>
      <c r="AXY1447"/>
      <c r="AXZ1447"/>
      <c r="AYA1447"/>
      <c r="AYB1447"/>
      <c r="AYC1447"/>
      <c r="AYD1447"/>
      <c r="AYE1447"/>
      <c r="AYF1447"/>
      <c r="AYG1447"/>
      <c r="AYH1447"/>
      <c r="AYI1447"/>
      <c r="AYJ1447"/>
      <c r="AYK1447"/>
      <c r="AYL1447"/>
      <c r="AYM1447"/>
      <c r="AYN1447"/>
      <c r="AYO1447"/>
      <c r="AYP1447"/>
      <c r="AYQ1447"/>
      <c r="AYR1447"/>
      <c r="AYS1447"/>
      <c r="AYT1447"/>
      <c r="AYU1447"/>
      <c r="AYV1447"/>
      <c r="AYW1447"/>
      <c r="AYX1447"/>
      <c r="AYY1447"/>
      <c r="AYZ1447"/>
      <c r="AZA1447"/>
      <c r="AZB1447"/>
      <c r="AZC1447"/>
      <c r="AZD1447"/>
      <c r="AZE1447"/>
      <c r="AZF1447"/>
      <c r="AZG1447"/>
      <c r="AZH1447"/>
      <c r="AZI1447"/>
      <c r="AZJ1447"/>
      <c r="AZK1447"/>
      <c r="AZL1447"/>
      <c r="AZM1447"/>
      <c r="AZN1447"/>
      <c r="AZO1447"/>
      <c r="AZP1447"/>
      <c r="AZQ1447"/>
      <c r="AZR1447"/>
      <c r="AZS1447"/>
      <c r="AZT1447"/>
      <c r="AZU1447"/>
      <c r="AZV1447"/>
      <c r="AZW1447"/>
      <c r="AZX1447"/>
      <c r="AZY1447"/>
      <c r="AZZ1447"/>
      <c r="BAA1447"/>
      <c r="BAB1447"/>
      <c r="BAC1447"/>
      <c r="BAD1447"/>
      <c r="BAE1447"/>
      <c r="BAF1447"/>
      <c r="BAG1447"/>
      <c r="BAH1447"/>
      <c r="BAI1447"/>
      <c r="BAJ1447"/>
      <c r="BAK1447"/>
      <c r="BAL1447"/>
      <c r="BAM1447"/>
      <c r="BAN1447"/>
      <c r="BAO1447"/>
      <c r="BAP1447"/>
      <c r="BAQ1447"/>
      <c r="BAR1447"/>
      <c r="BAS1447"/>
      <c r="BAT1447"/>
      <c r="BAU1447"/>
      <c r="BAV1447"/>
      <c r="BAW1447"/>
      <c r="BAX1447"/>
      <c r="BAY1447"/>
      <c r="BAZ1447"/>
      <c r="BBA1447"/>
      <c r="BBB1447"/>
      <c r="BBC1447"/>
      <c r="BBD1447"/>
      <c r="BBE1447"/>
      <c r="BBF1447"/>
      <c r="BBG1447"/>
      <c r="BBH1447"/>
      <c r="BBI1447"/>
      <c r="BBJ1447"/>
      <c r="BBK1447"/>
      <c r="BBL1447"/>
      <c r="BBM1447"/>
      <c r="BBN1447"/>
      <c r="BBO1447"/>
      <c r="BBP1447"/>
      <c r="BBQ1447"/>
      <c r="BBR1447"/>
      <c r="BBS1447"/>
      <c r="BBT1447"/>
      <c r="BBU1447"/>
      <c r="BBV1447"/>
      <c r="BBW1447"/>
      <c r="BBX1447"/>
      <c r="BBY1447"/>
      <c r="BBZ1447"/>
      <c r="BCA1447"/>
      <c r="BCB1447"/>
      <c r="BCC1447"/>
      <c r="BCD1447"/>
      <c r="BCE1447"/>
      <c r="BCF1447"/>
      <c r="BCG1447"/>
      <c r="BCH1447"/>
      <c r="BCI1447"/>
      <c r="BCJ1447"/>
      <c r="BCK1447"/>
      <c r="BCL1447"/>
      <c r="BCM1447"/>
      <c r="BCN1447"/>
      <c r="BCO1447"/>
      <c r="BCP1447"/>
      <c r="BCQ1447"/>
      <c r="BCR1447"/>
      <c r="BCS1447"/>
      <c r="BCT1447"/>
      <c r="BCU1447"/>
      <c r="BCV1447"/>
      <c r="BCW1447"/>
      <c r="BCX1447"/>
      <c r="BCY1447"/>
      <c r="BCZ1447"/>
      <c r="BDA1447"/>
      <c r="BDB1447"/>
      <c r="BDC1447"/>
      <c r="BDD1447"/>
      <c r="BDE1447"/>
      <c r="BDF1447"/>
      <c r="BDG1447"/>
      <c r="BDH1447"/>
      <c r="BDI1447"/>
      <c r="BDJ1447"/>
      <c r="BDK1447"/>
      <c r="BDL1447"/>
      <c r="BDM1447"/>
      <c r="BDN1447"/>
      <c r="BDO1447"/>
      <c r="BDP1447"/>
      <c r="BDQ1447"/>
      <c r="BDR1447"/>
      <c r="BDS1447"/>
      <c r="BDT1447"/>
      <c r="BDU1447"/>
      <c r="BDV1447"/>
      <c r="BDW1447"/>
      <c r="BDX1447"/>
      <c r="BDY1447"/>
      <c r="BDZ1447"/>
      <c r="BEA1447"/>
      <c r="BEB1447"/>
      <c r="BEC1447"/>
      <c r="BED1447"/>
      <c r="BEE1447"/>
      <c r="BEF1447"/>
      <c r="BEG1447"/>
      <c r="BEH1447"/>
      <c r="BEI1447"/>
      <c r="BEJ1447"/>
      <c r="BEK1447"/>
      <c r="BEL1447"/>
      <c r="BEM1447"/>
      <c r="BEN1447"/>
      <c r="BEO1447"/>
      <c r="BEP1447"/>
      <c r="BEQ1447"/>
      <c r="BER1447"/>
      <c r="BES1447"/>
      <c r="BET1447"/>
      <c r="BEU1447"/>
      <c r="BEV1447"/>
      <c r="BEW1447"/>
      <c r="BEX1447"/>
      <c r="BEY1447"/>
      <c r="BEZ1447"/>
      <c r="BFA1447"/>
      <c r="BFB1447"/>
      <c r="BFC1447"/>
      <c r="BFD1447"/>
      <c r="BFE1447"/>
      <c r="BFF1447"/>
      <c r="BFG1447"/>
      <c r="BFH1447"/>
      <c r="BFI1447"/>
      <c r="BFJ1447"/>
      <c r="BFK1447"/>
      <c r="BFL1447"/>
      <c r="BFM1447"/>
      <c r="BFN1447"/>
      <c r="BFO1447"/>
      <c r="BFP1447"/>
      <c r="BFQ1447"/>
      <c r="BFR1447"/>
      <c r="BFS1447"/>
      <c r="BFT1447"/>
      <c r="BFU1447"/>
      <c r="BFV1447"/>
      <c r="BFW1447"/>
      <c r="BFX1447"/>
      <c r="BFY1447"/>
      <c r="BFZ1447"/>
      <c r="BGA1447"/>
      <c r="BGB1447"/>
      <c r="BGC1447"/>
      <c r="BGD1447"/>
      <c r="BGE1447"/>
      <c r="BGF1447"/>
      <c r="BGG1447"/>
      <c r="BGH1447"/>
      <c r="BGI1447"/>
      <c r="BGJ1447"/>
      <c r="BGK1447"/>
      <c r="BGL1447"/>
      <c r="BGM1447"/>
      <c r="BGN1447"/>
      <c r="BGO1447"/>
      <c r="BGP1447"/>
      <c r="BGQ1447"/>
      <c r="BGR1447"/>
      <c r="BGS1447"/>
      <c r="BGT1447"/>
      <c r="BGU1447"/>
      <c r="BGV1447"/>
      <c r="BGW1447"/>
      <c r="BGX1447"/>
      <c r="BGY1447"/>
      <c r="BGZ1447"/>
      <c r="BHA1447"/>
      <c r="BHB1447"/>
      <c r="BHC1447"/>
      <c r="BHD1447"/>
      <c r="BHE1447"/>
      <c r="BHF1447"/>
      <c r="BHG1447"/>
      <c r="BHH1447"/>
      <c r="BHI1447"/>
      <c r="BHJ1447"/>
      <c r="BHK1447"/>
      <c r="BHL1447"/>
      <c r="BHM1447"/>
      <c r="BHN1447"/>
      <c r="BHO1447"/>
      <c r="BHP1447"/>
      <c r="BHQ1447"/>
      <c r="BHR1447"/>
      <c r="BHS1447"/>
      <c r="BHT1447"/>
      <c r="BHU1447"/>
      <c r="BHV1447"/>
      <c r="BHW1447"/>
      <c r="BHX1447"/>
      <c r="BHY1447"/>
      <c r="BHZ1447"/>
      <c r="BIA1447"/>
      <c r="BIB1447"/>
      <c r="BIC1447"/>
      <c r="BID1447"/>
      <c r="BIE1447"/>
      <c r="BIF1447"/>
      <c r="BIG1447"/>
      <c r="BIH1447"/>
      <c r="BII1447"/>
      <c r="BIJ1447"/>
      <c r="BIK1447"/>
      <c r="BIL1447"/>
      <c r="BIM1447"/>
      <c r="BIN1447"/>
      <c r="BIO1447"/>
      <c r="BIP1447"/>
      <c r="BIQ1447"/>
      <c r="BIR1447"/>
      <c r="BIS1447"/>
      <c r="BIT1447"/>
      <c r="BIU1447"/>
      <c r="BIV1447"/>
      <c r="BIW1447"/>
      <c r="BIX1447"/>
      <c r="BIY1447"/>
      <c r="BIZ1447"/>
      <c r="BJA1447"/>
      <c r="BJB1447"/>
      <c r="BJC1447"/>
      <c r="BJD1447"/>
      <c r="BJE1447"/>
      <c r="BJF1447"/>
      <c r="BJG1447"/>
      <c r="BJH1447"/>
      <c r="BJI1447"/>
      <c r="BJJ1447"/>
      <c r="BJK1447"/>
      <c r="BJL1447"/>
      <c r="BJM1447"/>
      <c r="BJN1447"/>
      <c r="BJO1447"/>
      <c r="BJP1447"/>
      <c r="BJQ1447"/>
      <c r="BJR1447"/>
      <c r="BJS1447"/>
      <c r="BJT1447"/>
      <c r="BJU1447"/>
      <c r="BJV1447"/>
      <c r="BJW1447"/>
      <c r="BJX1447"/>
      <c r="BJY1447"/>
      <c r="BJZ1447"/>
      <c r="BKA1447"/>
      <c r="BKB1447"/>
      <c r="BKC1447"/>
      <c r="BKD1447"/>
      <c r="BKE1447"/>
      <c r="BKF1447"/>
      <c r="BKG1447"/>
      <c r="BKH1447"/>
      <c r="BKI1447"/>
      <c r="BKJ1447"/>
      <c r="BKK1447"/>
      <c r="BKL1447"/>
      <c r="BKM1447"/>
      <c r="BKN1447"/>
      <c r="BKO1447"/>
      <c r="BKP1447"/>
      <c r="BKQ1447"/>
      <c r="BKR1447"/>
      <c r="BKS1447"/>
      <c r="BKT1447"/>
      <c r="BKU1447"/>
      <c r="BKV1447"/>
      <c r="BKW1447"/>
      <c r="BKX1447"/>
      <c r="BKY1447"/>
      <c r="BKZ1447"/>
      <c r="BLA1447"/>
      <c r="BLB1447"/>
      <c r="BLC1447"/>
      <c r="BLD1447"/>
      <c r="BLE1447"/>
      <c r="BLF1447"/>
      <c r="BLG1447"/>
      <c r="BLH1447"/>
      <c r="BLI1447"/>
      <c r="BLJ1447"/>
      <c r="BLK1447"/>
      <c r="BLL1447"/>
      <c r="BLM1447"/>
      <c r="BLN1447"/>
      <c r="BLO1447"/>
      <c r="BLP1447"/>
      <c r="BLQ1447"/>
      <c r="BLR1447"/>
      <c r="BLS1447"/>
      <c r="BLT1447"/>
      <c r="BLU1447"/>
      <c r="BLV1447"/>
      <c r="BLW1447"/>
      <c r="BLX1447"/>
      <c r="BLY1447"/>
      <c r="BLZ1447"/>
      <c r="BMA1447"/>
      <c r="BMB1447"/>
      <c r="BMC1447"/>
      <c r="BMD1447"/>
      <c r="BME1447"/>
      <c r="BMF1447"/>
      <c r="BMG1447"/>
      <c r="BMH1447"/>
      <c r="BMI1447"/>
      <c r="BMJ1447"/>
      <c r="BMK1447"/>
      <c r="BML1447"/>
      <c r="BMM1447"/>
      <c r="BMN1447"/>
      <c r="BMO1447"/>
      <c r="BMP1447"/>
      <c r="BMQ1447"/>
      <c r="BMR1447"/>
      <c r="BMS1447"/>
      <c r="BMT1447"/>
      <c r="BMU1447"/>
      <c r="BMV1447"/>
      <c r="BMW1447"/>
      <c r="BMX1447"/>
      <c r="BMY1447"/>
      <c r="BMZ1447"/>
      <c r="BNA1447"/>
      <c r="BNB1447"/>
      <c r="BNC1447"/>
      <c r="BND1447"/>
      <c r="BNE1447"/>
      <c r="BNF1447"/>
      <c r="BNG1447"/>
      <c r="BNH1447"/>
      <c r="BNI1447"/>
      <c r="BNJ1447"/>
      <c r="BNK1447"/>
      <c r="BNL1447"/>
      <c r="BNM1447"/>
      <c r="BNN1447"/>
      <c r="BNO1447"/>
      <c r="BNP1447"/>
      <c r="BNQ1447"/>
      <c r="BNR1447"/>
      <c r="BNS1447"/>
      <c r="BNT1447"/>
      <c r="BNU1447"/>
      <c r="BNV1447"/>
      <c r="BNW1447"/>
      <c r="BNX1447"/>
      <c r="BNY1447"/>
      <c r="BNZ1447"/>
      <c r="BOA1447"/>
      <c r="BOB1447"/>
      <c r="BOC1447"/>
      <c r="BOD1447"/>
      <c r="BOE1447"/>
      <c r="BOF1447"/>
      <c r="BOG1447"/>
      <c r="BOH1447"/>
      <c r="BOI1447"/>
      <c r="BOJ1447"/>
      <c r="BOK1447"/>
      <c r="BOL1447"/>
      <c r="BOM1447"/>
      <c r="BON1447"/>
      <c r="BOO1447"/>
      <c r="BOP1447"/>
      <c r="BOQ1447"/>
      <c r="BOR1447"/>
      <c r="BOS1447"/>
      <c r="BOT1447"/>
      <c r="BOU1447"/>
      <c r="BOV1447"/>
      <c r="BOW1447"/>
      <c r="BOX1447"/>
      <c r="BOY1447"/>
      <c r="BOZ1447"/>
      <c r="BPA1447"/>
      <c r="BPB1447"/>
      <c r="BPC1447"/>
      <c r="BPD1447"/>
      <c r="BPE1447"/>
      <c r="BPF1447"/>
      <c r="BPG1447"/>
      <c r="BPH1447"/>
      <c r="BPI1447"/>
      <c r="BPJ1447"/>
      <c r="BPK1447"/>
      <c r="BPL1447"/>
      <c r="BPM1447"/>
      <c r="BPN1447"/>
      <c r="BPO1447"/>
      <c r="BPP1447"/>
      <c r="BPQ1447"/>
      <c r="BPR1447"/>
      <c r="BPS1447"/>
      <c r="BPT1447"/>
      <c r="BPU1447"/>
      <c r="BPV1447"/>
      <c r="BPW1447"/>
      <c r="BPX1447"/>
      <c r="BPY1447"/>
      <c r="BPZ1447"/>
      <c r="BQA1447"/>
      <c r="BQB1447"/>
      <c r="BQC1447"/>
      <c r="BQD1447"/>
      <c r="BQE1447"/>
      <c r="BQF1447"/>
      <c r="BQG1447"/>
      <c r="BQH1447"/>
      <c r="BQI1447"/>
      <c r="BQJ1447"/>
      <c r="BQK1447"/>
      <c r="BQL1447"/>
      <c r="BQM1447"/>
      <c r="BQN1447"/>
      <c r="BQO1447"/>
      <c r="BQP1447"/>
      <c r="BQQ1447"/>
      <c r="BQR1447"/>
      <c r="BQS1447"/>
      <c r="BQT1447"/>
      <c r="BQU1447"/>
      <c r="BQV1447"/>
      <c r="BQW1447"/>
      <c r="BQX1447"/>
      <c r="BQY1447"/>
      <c r="BQZ1447"/>
      <c r="BRA1447"/>
      <c r="BRB1447"/>
      <c r="BRC1447"/>
      <c r="BRD1447"/>
      <c r="BRE1447"/>
      <c r="BRF1447"/>
      <c r="BRG1447"/>
      <c r="BRH1447"/>
      <c r="BRI1447"/>
      <c r="BRJ1447"/>
      <c r="BRK1447"/>
      <c r="BRL1447"/>
      <c r="BRM1447"/>
      <c r="BRN1447"/>
      <c r="BRO1447"/>
      <c r="BRP1447"/>
      <c r="BRQ1447"/>
      <c r="BRR1447"/>
      <c r="BRS1447"/>
      <c r="BRT1447"/>
      <c r="BRU1447"/>
      <c r="BRV1447"/>
      <c r="BRW1447"/>
      <c r="BRX1447"/>
      <c r="BRY1447"/>
      <c r="BRZ1447"/>
      <c r="BSA1447"/>
      <c r="BSB1447"/>
      <c r="BSC1447"/>
      <c r="BSD1447"/>
      <c r="BSE1447"/>
      <c r="BSF1447"/>
      <c r="BSG1447"/>
      <c r="BSH1447"/>
      <c r="BSI1447"/>
      <c r="BSJ1447"/>
      <c r="BSK1447"/>
      <c r="BSL1447"/>
      <c r="BSM1447"/>
      <c r="BSN1447"/>
      <c r="BSO1447"/>
      <c r="BSP1447"/>
      <c r="BSQ1447"/>
      <c r="BSR1447"/>
      <c r="BSS1447"/>
      <c r="BST1447"/>
      <c r="BSU1447"/>
      <c r="BSV1447"/>
      <c r="BSW1447"/>
      <c r="BSX1447"/>
      <c r="BSY1447"/>
      <c r="BSZ1447"/>
      <c r="BTA1447"/>
      <c r="BTB1447"/>
      <c r="BTC1447"/>
      <c r="BTD1447"/>
      <c r="BTE1447"/>
      <c r="BTF1447"/>
      <c r="BTG1447"/>
      <c r="BTH1447"/>
      <c r="BTI1447"/>
      <c r="BTJ1447"/>
      <c r="BTK1447"/>
      <c r="BTL1447"/>
      <c r="BTM1447"/>
      <c r="BTN1447"/>
      <c r="BTO1447"/>
      <c r="BTP1447"/>
      <c r="BTQ1447"/>
      <c r="BTR1447"/>
      <c r="BTS1447"/>
      <c r="BTT1447"/>
      <c r="BTU1447"/>
      <c r="BTV1447"/>
      <c r="BTW1447"/>
      <c r="BTX1447"/>
      <c r="BTY1447"/>
      <c r="BTZ1447"/>
      <c r="BUA1447"/>
      <c r="BUB1447"/>
      <c r="BUC1447"/>
      <c r="BUD1447"/>
      <c r="BUE1447"/>
      <c r="BUF1447"/>
      <c r="BUG1447"/>
      <c r="BUH1447"/>
      <c r="BUI1447"/>
      <c r="BUJ1447"/>
      <c r="BUK1447"/>
      <c r="BUL1447"/>
      <c r="BUM1447"/>
      <c r="BUN1447"/>
      <c r="BUO1447"/>
      <c r="BUP1447"/>
      <c r="BUQ1447"/>
      <c r="BUR1447"/>
      <c r="BUS1447"/>
      <c r="BUT1447"/>
      <c r="BUU1447"/>
      <c r="BUV1447"/>
      <c r="BUW1447"/>
      <c r="BUX1447"/>
      <c r="BUY1447"/>
      <c r="BUZ1447"/>
      <c r="BVA1447"/>
      <c r="BVB1447"/>
      <c r="BVC1447"/>
      <c r="BVD1447"/>
      <c r="BVE1447"/>
      <c r="BVF1447"/>
      <c r="BVG1447"/>
      <c r="BVH1447"/>
      <c r="BVI1447"/>
      <c r="BVJ1447"/>
      <c r="BVK1447"/>
      <c r="BVL1447"/>
      <c r="BVM1447"/>
      <c r="BVN1447"/>
      <c r="BVO1447"/>
      <c r="BVP1447"/>
      <c r="BVQ1447"/>
      <c r="BVR1447"/>
      <c r="BVS1447"/>
      <c r="BVT1447"/>
      <c r="BVU1447"/>
      <c r="BVV1447"/>
      <c r="BVW1447"/>
      <c r="BVX1447"/>
      <c r="BVY1447"/>
      <c r="BVZ1447"/>
      <c r="BWA1447"/>
      <c r="BWB1447"/>
      <c r="BWC1447"/>
      <c r="BWD1447"/>
      <c r="BWE1447"/>
      <c r="BWF1447"/>
      <c r="BWG1447"/>
      <c r="BWH1447"/>
      <c r="BWI1447"/>
      <c r="BWJ1447"/>
      <c r="BWK1447"/>
      <c r="BWL1447"/>
      <c r="BWM1447"/>
      <c r="BWN1447"/>
      <c r="BWO1447"/>
      <c r="BWP1447"/>
      <c r="BWQ1447"/>
      <c r="BWR1447"/>
      <c r="BWS1447"/>
      <c r="BWT1447"/>
      <c r="BWU1447"/>
      <c r="BWV1447"/>
      <c r="BWW1447"/>
      <c r="BWX1447"/>
      <c r="BWY1447"/>
      <c r="BWZ1447"/>
      <c r="BXA1447"/>
      <c r="BXB1447"/>
      <c r="BXC1447"/>
      <c r="BXD1447"/>
      <c r="BXE1447"/>
      <c r="BXF1447"/>
      <c r="BXG1447"/>
      <c r="BXH1447"/>
      <c r="BXI1447"/>
      <c r="BXJ1447"/>
      <c r="BXK1447"/>
      <c r="BXL1447"/>
      <c r="BXM1447"/>
      <c r="BXN1447"/>
      <c r="BXO1447"/>
      <c r="BXP1447"/>
      <c r="BXQ1447"/>
      <c r="BXR1447"/>
      <c r="BXS1447"/>
      <c r="BXT1447"/>
      <c r="BXU1447"/>
      <c r="BXV1447"/>
      <c r="BXW1447"/>
      <c r="BXX1447"/>
      <c r="BXY1447"/>
      <c r="BXZ1447"/>
      <c r="BYA1447"/>
      <c r="BYB1447"/>
      <c r="BYC1447"/>
      <c r="BYD1447"/>
      <c r="BYE1447"/>
      <c r="BYF1447"/>
      <c r="BYG1447"/>
      <c r="BYH1447"/>
      <c r="BYI1447"/>
      <c r="BYJ1447"/>
      <c r="BYK1447"/>
      <c r="BYL1447"/>
      <c r="BYM1447"/>
      <c r="BYN1447"/>
      <c r="BYO1447"/>
      <c r="BYP1447"/>
      <c r="BYQ1447"/>
      <c r="BYR1447"/>
      <c r="BYS1447"/>
      <c r="BYT1447"/>
      <c r="BYU1447"/>
      <c r="BYV1447"/>
      <c r="BYW1447"/>
      <c r="BYX1447"/>
      <c r="BYY1447"/>
      <c r="BYZ1447"/>
      <c r="BZA1447"/>
      <c r="BZB1447"/>
      <c r="BZC1447"/>
      <c r="BZD1447"/>
      <c r="BZE1447"/>
      <c r="BZF1447"/>
      <c r="BZG1447"/>
      <c r="BZH1447"/>
      <c r="BZI1447"/>
      <c r="BZJ1447"/>
      <c r="BZK1447"/>
      <c r="BZL1447"/>
      <c r="BZM1447"/>
      <c r="BZN1447"/>
      <c r="BZO1447"/>
      <c r="BZP1447"/>
      <c r="BZQ1447"/>
      <c r="BZR1447"/>
      <c r="BZS1447"/>
      <c r="BZT1447"/>
      <c r="BZU1447"/>
      <c r="BZV1447"/>
      <c r="BZW1447"/>
      <c r="BZX1447"/>
      <c r="BZY1447"/>
      <c r="BZZ1447"/>
      <c r="CAA1447"/>
      <c r="CAB1447"/>
      <c r="CAC1447"/>
      <c r="CAD1447"/>
      <c r="CAE1447"/>
      <c r="CAF1447"/>
      <c r="CAG1447"/>
      <c r="CAH1447"/>
      <c r="CAI1447"/>
      <c r="CAJ1447"/>
      <c r="CAK1447"/>
      <c r="CAL1447"/>
      <c r="CAM1447"/>
      <c r="CAN1447"/>
      <c r="CAO1447"/>
      <c r="CAP1447"/>
      <c r="CAQ1447"/>
      <c r="CAR1447"/>
      <c r="CAS1447"/>
      <c r="CAT1447"/>
      <c r="CAU1447"/>
      <c r="CAV1447"/>
      <c r="CAW1447"/>
      <c r="CAX1447"/>
      <c r="CAY1447"/>
      <c r="CAZ1447"/>
      <c r="CBA1447"/>
      <c r="CBB1447"/>
      <c r="CBC1447"/>
      <c r="CBD1447"/>
      <c r="CBE1447"/>
      <c r="CBF1447"/>
      <c r="CBG1447"/>
      <c r="CBH1447"/>
      <c r="CBI1447"/>
      <c r="CBJ1447"/>
      <c r="CBK1447"/>
      <c r="CBL1447"/>
      <c r="CBM1447"/>
      <c r="CBN1447"/>
      <c r="CBO1447"/>
      <c r="CBP1447"/>
      <c r="CBQ1447"/>
      <c r="CBR1447"/>
      <c r="CBS1447"/>
      <c r="CBT1447"/>
      <c r="CBU1447"/>
      <c r="CBV1447"/>
      <c r="CBW1447"/>
      <c r="CBX1447"/>
      <c r="CBY1447"/>
      <c r="CBZ1447"/>
      <c r="CCA1447"/>
      <c r="CCB1447"/>
      <c r="CCC1447"/>
      <c r="CCD1447"/>
      <c r="CCE1447"/>
      <c r="CCF1447"/>
      <c r="CCG1447"/>
      <c r="CCH1447"/>
      <c r="CCI1447"/>
      <c r="CCJ1447"/>
      <c r="CCK1447"/>
      <c r="CCL1447"/>
      <c r="CCM1447"/>
      <c r="CCN1447"/>
      <c r="CCO1447"/>
      <c r="CCP1447"/>
      <c r="CCQ1447"/>
      <c r="CCR1447"/>
      <c r="CCS1447"/>
      <c r="CCT1447"/>
      <c r="CCU1447"/>
      <c r="CCV1447"/>
      <c r="CCW1447"/>
      <c r="CCX1447"/>
      <c r="CCY1447"/>
      <c r="CCZ1447"/>
      <c r="CDA1447"/>
      <c r="CDB1447"/>
      <c r="CDC1447"/>
      <c r="CDD1447"/>
      <c r="CDE1447"/>
      <c r="CDF1447"/>
      <c r="CDG1447"/>
      <c r="CDH1447"/>
      <c r="CDI1447"/>
      <c r="CDJ1447"/>
      <c r="CDK1447"/>
      <c r="CDL1447"/>
      <c r="CDM1447"/>
      <c r="CDN1447"/>
      <c r="CDO1447"/>
      <c r="CDP1447"/>
      <c r="CDQ1447"/>
      <c r="CDR1447"/>
      <c r="CDS1447"/>
      <c r="CDT1447"/>
      <c r="CDU1447"/>
      <c r="CDV1447"/>
      <c r="CDW1447"/>
      <c r="CDX1447"/>
      <c r="CDY1447"/>
      <c r="CDZ1447"/>
      <c r="CEA1447"/>
      <c r="CEB1447"/>
      <c r="CEC1447"/>
      <c r="CED1447"/>
      <c r="CEE1447"/>
      <c r="CEF1447"/>
      <c r="CEG1447"/>
      <c r="CEH1447"/>
      <c r="CEI1447"/>
      <c r="CEJ1447"/>
      <c r="CEK1447"/>
      <c r="CEL1447"/>
      <c r="CEM1447"/>
      <c r="CEN1447"/>
      <c r="CEO1447"/>
      <c r="CEP1447"/>
      <c r="CEQ1447"/>
      <c r="CER1447"/>
      <c r="CES1447"/>
      <c r="CET1447"/>
      <c r="CEU1447"/>
      <c r="CEV1447"/>
      <c r="CEW1447"/>
      <c r="CEX1447"/>
      <c r="CEY1447"/>
      <c r="CEZ1447"/>
      <c r="CFA1447"/>
      <c r="CFB1447"/>
      <c r="CFC1447"/>
      <c r="CFD1447"/>
      <c r="CFE1447"/>
      <c r="CFF1447"/>
      <c r="CFG1447"/>
      <c r="CFH1447"/>
      <c r="CFI1447"/>
      <c r="CFJ1447"/>
      <c r="CFK1447"/>
      <c r="CFL1447"/>
      <c r="CFM1447"/>
      <c r="CFN1447"/>
      <c r="CFO1447"/>
      <c r="CFP1447"/>
      <c r="CFQ1447"/>
      <c r="CFR1447"/>
      <c r="CFS1447"/>
      <c r="CFT1447"/>
      <c r="CFU1447"/>
      <c r="CFV1447"/>
      <c r="CFW1447"/>
      <c r="CFX1447"/>
      <c r="CFY1447"/>
      <c r="CFZ1447"/>
      <c r="CGA1447"/>
      <c r="CGB1447"/>
      <c r="CGC1447"/>
      <c r="CGD1447"/>
      <c r="CGE1447"/>
      <c r="CGF1447"/>
      <c r="CGG1447"/>
      <c r="CGH1447"/>
      <c r="CGI1447"/>
      <c r="CGJ1447"/>
      <c r="CGK1447"/>
      <c r="CGL1447"/>
      <c r="CGM1447"/>
      <c r="CGN1447"/>
      <c r="CGO1447"/>
      <c r="CGP1447"/>
      <c r="CGQ1447"/>
      <c r="CGR1447"/>
      <c r="CGS1447"/>
      <c r="CGT1447"/>
      <c r="CGU1447"/>
      <c r="CGV1447"/>
      <c r="CGW1447"/>
      <c r="CGX1447"/>
      <c r="CGY1447"/>
      <c r="CGZ1447"/>
      <c r="CHA1447"/>
      <c r="CHB1447"/>
      <c r="CHC1447"/>
      <c r="CHD1447"/>
      <c r="CHE1447"/>
      <c r="CHF1447"/>
      <c r="CHG1447"/>
      <c r="CHH1447"/>
      <c r="CHI1447"/>
      <c r="CHJ1447"/>
      <c r="CHK1447"/>
      <c r="CHL1447"/>
      <c r="CHM1447"/>
      <c r="CHN1447"/>
      <c r="CHO1447"/>
      <c r="CHP1447"/>
      <c r="CHQ1447"/>
      <c r="CHR1447"/>
      <c r="CHS1447"/>
      <c r="CHT1447"/>
      <c r="CHU1447"/>
      <c r="CHV1447"/>
      <c r="CHW1447"/>
      <c r="CHX1447"/>
      <c r="CHY1447"/>
      <c r="CHZ1447"/>
      <c r="CIA1447"/>
      <c r="CIB1447"/>
      <c r="CIC1447"/>
      <c r="CID1447"/>
      <c r="CIE1447"/>
      <c r="CIF1447"/>
      <c r="CIG1447"/>
      <c r="CIH1447"/>
      <c r="CII1447"/>
      <c r="CIJ1447"/>
      <c r="CIK1447"/>
      <c r="CIL1447"/>
      <c r="CIM1447"/>
      <c r="CIN1447"/>
      <c r="CIO1447"/>
      <c r="CIP1447"/>
      <c r="CIQ1447"/>
      <c r="CIR1447"/>
      <c r="CIS1447"/>
      <c r="CIT1447"/>
      <c r="CIU1447"/>
      <c r="CIV1447"/>
      <c r="CIW1447"/>
      <c r="CIX1447"/>
      <c r="CIY1447"/>
      <c r="CIZ1447"/>
      <c r="CJA1447"/>
      <c r="CJB1447"/>
      <c r="CJC1447"/>
      <c r="CJD1447"/>
      <c r="CJE1447"/>
      <c r="CJF1447"/>
      <c r="CJG1447"/>
      <c r="CJH1447"/>
      <c r="CJI1447"/>
      <c r="CJJ1447"/>
      <c r="CJK1447"/>
      <c r="CJL1447"/>
      <c r="CJM1447"/>
      <c r="CJN1447"/>
      <c r="CJO1447"/>
      <c r="CJP1447"/>
      <c r="CJQ1447"/>
      <c r="CJR1447"/>
      <c r="CJS1447"/>
      <c r="CJT1447"/>
      <c r="CJU1447"/>
      <c r="CJV1447"/>
      <c r="CJW1447"/>
      <c r="CJX1447"/>
      <c r="CJY1447"/>
      <c r="CJZ1447"/>
      <c r="CKA1447"/>
      <c r="CKB1447"/>
      <c r="CKC1447"/>
      <c r="CKD1447"/>
      <c r="CKE1447"/>
      <c r="CKF1447"/>
      <c r="CKG1447"/>
      <c r="CKH1447"/>
      <c r="CKI1447"/>
      <c r="CKJ1447"/>
      <c r="CKK1447"/>
      <c r="CKL1447"/>
      <c r="CKM1447"/>
      <c r="CKN1447"/>
      <c r="CKO1447"/>
      <c r="CKP1447"/>
      <c r="CKQ1447"/>
      <c r="CKR1447"/>
      <c r="CKS1447"/>
      <c r="CKT1447"/>
      <c r="CKU1447"/>
      <c r="CKV1447"/>
      <c r="CKW1447"/>
      <c r="CKX1447"/>
      <c r="CKY1447"/>
      <c r="CKZ1447"/>
      <c r="CLA1447"/>
      <c r="CLB1447"/>
      <c r="CLC1447"/>
      <c r="CLD1447"/>
      <c r="CLE1447"/>
      <c r="CLF1447"/>
      <c r="CLG1447"/>
      <c r="CLH1447"/>
      <c r="CLI1447"/>
      <c r="CLJ1447"/>
      <c r="CLK1447"/>
      <c r="CLL1447"/>
      <c r="CLM1447"/>
      <c r="CLN1447"/>
      <c r="CLO1447"/>
      <c r="CLP1447"/>
      <c r="CLQ1447"/>
      <c r="CLR1447"/>
      <c r="CLS1447"/>
      <c r="CLT1447"/>
      <c r="CLU1447"/>
      <c r="CLV1447"/>
      <c r="CLW1447"/>
      <c r="CLX1447"/>
      <c r="CLY1447"/>
      <c r="CLZ1447"/>
      <c r="CMA1447"/>
      <c r="CMB1447"/>
      <c r="CMC1447"/>
      <c r="CMD1447"/>
      <c r="CME1447"/>
      <c r="CMF1447"/>
      <c r="CMG1447"/>
      <c r="CMH1447"/>
      <c r="CMI1447"/>
      <c r="CMJ1447"/>
      <c r="CMK1447"/>
      <c r="CML1447"/>
      <c r="CMM1447"/>
      <c r="CMN1447"/>
      <c r="CMO1447"/>
      <c r="CMP1447"/>
      <c r="CMQ1447"/>
      <c r="CMR1447"/>
      <c r="CMS1447"/>
      <c r="CMT1447"/>
      <c r="CMU1447"/>
      <c r="CMV1447"/>
      <c r="CMW1447"/>
      <c r="CMX1447"/>
      <c r="CMY1447"/>
      <c r="CMZ1447"/>
      <c r="CNA1447"/>
      <c r="CNB1447"/>
      <c r="CNC1447"/>
      <c r="CND1447"/>
      <c r="CNE1447"/>
      <c r="CNF1447"/>
      <c r="CNG1447"/>
      <c r="CNH1447"/>
      <c r="CNI1447"/>
      <c r="CNJ1447"/>
      <c r="CNK1447"/>
      <c r="CNL1447"/>
      <c r="CNM1447"/>
      <c r="CNN1447"/>
      <c r="CNO1447"/>
      <c r="CNP1447"/>
      <c r="CNQ1447"/>
      <c r="CNR1447"/>
      <c r="CNS1447"/>
      <c r="CNT1447"/>
      <c r="CNU1447"/>
      <c r="CNV1447"/>
      <c r="CNW1447"/>
      <c r="CNX1447"/>
      <c r="CNY1447"/>
      <c r="CNZ1447"/>
      <c r="COA1447"/>
      <c r="COB1447"/>
      <c r="COC1447"/>
      <c r="COD1447"/>
      <c r="COE1447"/>
      <c r="COF1447"/>
      <c r="COG1447"/>
      <c r="COH1447"/>
      <c r="COI1447"/>
      <c r="COJ1447"/>
      <c r="COK1447"/>
      <c r="COL1447"/>
      <c r="COM1447"/>
      <c r="CON1447"/>
      <c r="COO1447"/>
      <c r="COP1447"/>
      <c r="COQ1447"/>
      <c r="COR1447"/>
      <c r="COS1447"/>
      <c r="COT1447"/>
      <c r="COU1447"/>
      <c r="COV1447"/>
      <c r="COW1447"/>
      <c r="COX1447"/>
      <c r="COY1447"/>
      <c r="COZ1447"/>
      <c r="CPA1447"/>
      <c r="CPB1447"/>
      <c r="CPC1447"/>
      <c r="CPD1447"/>
      <c r="CPE1447"/>
      <c r="CPF1447"/>
      <c r="CPG1447"/>
      <c r="CPH1447"/>
      <c r="CPI1447"/>
      <c r="CPJ1447"/>
      <c r="CPK1447"/>
      <c r="CPL1447"/>
      <c r="CPM1447"/>
      <c r="CPN1447"/>
      <c r="CPO1447"/>
      <c r="CPP1447"/>
      <c r="CPQ1447"/>
      <c r="CPR1447"/>
      <c r="CPS1447"/>
      <c r="CPT1447"/>
      <c r="CPU1447"/>
      <c r="CPV1447"/>
      <c r="CPW1447"/>
      <c r="CPX1447"/>
      <c r="CPY1447"/>
      <c r="CPZ1447"/>
      <c r="CQA1447"/>
      <c r="CQB1447"/>
      <c r="CQC1447"/>
      <c r="CQD1447"/>
      <c r="CQE1447"/>
      <c r="CQF1447"/>
      <c r="CQG1447"/>
      <c r="CQH1447"/>
      <c r="CQI1447"/>
      <c r="CQJ1447"/>
      <c r="CQK1447"/>
      <c r="CQL1447"/>
      <c r="CQM1447"/>
      <c r="CQN1447"/>
      <c r="CQO1447"/>
      <c r="CQP1447"/>
      <c r="CQQ1447"/>
      <c r="CQR1447"/>
      <c r="CQS1447"/>
      <c r="CQT1447"/>
      <c r="CQU1447"/>
      <c r="CQV1447"/>
      <c r="CQW1447"/>
      <c r="CQX1447"/>
      <c r="CQY1447"/>
      <c r="CQZ1447"/>
      <c r="CRA1447"/>
      <c r="CRB1447"/>
      <c r="CRC1447"/>
      <c r="CRD1447"/>
      <c r="CRE1447"/>
      <c r="CRF1447"/>
      <c r="CRG1447"/>
      <c r="CRH1447"/>
      <c r="CRI1447"/>
      <c r="CRJ1447"/>
      <c r="CRK1447"/>
      <c r="CRL1447"/>
      <c r="CRM1447"/>
      <c r="CRN1447"/>
      <c r="CRO1447"/>
      <c r="CRP1447"/>
      <c r="CRQ1447"/>
      <c r="CRR1447"/>
      <c r="CRS1447"/>
      <c r="CRT1447"/>
      <c r="CRU1447"/>
      <c r="CRV1447"/>
      <c r="CRW1447"/>
      <c r="CRX1447"/>
      <c r="CRY1447"/>
      <c r="CRZ1447"/>
      <c r="CSA1447"/>
      <c r="CSB1447"/>
      <c r="CSC1447"/>
      <c r="CSD1447"/>
      <c r="CSE1447"/>
      <c r="CSF1447"/>
      <c r="CSG1447"/>
      <c r="CSH1447"/>
      <c r="CSI1447"/>
      <c r="CSJ1447"/>
      <c r="CSK1447"/>
      <c r="CSL1447"/>
      <c r="CSM1447"/>
      <c r="CSN1447"/>
      <c r="CSO1447"/>
      <c r="CSP1447"/>
      <c r="CSQ1447"/>
      <c r="CSR1447"/>
      <c r="CSS1447"/>
      <c r="CST1447"/>
      <c r="CSU1447"/>
      <c r="CSV1447"/>
      <c r="CSW1447"/>
      <c r="CSX1447"/>
      <c r="CSY1447"/>
      <c r="CSZ1447"/>
      <c r="CTA1447"/>
      <c r="CTB1447"/>
      <c r="CTC1447"/>
      <c r="CTD1447"/>
      <c r="CTE1447"/>
      <c r="CTF1447"/>
      <c r="CTG1447"/>
      <c r="CTH1447"/>
      <c r="CTI1447"/>
      <c r="CTJ1447"/>
      <c r="CTK1447"/>
      <c r="CTL1447"/>
      <c r="CTM1447"/>
      <c r="CTN1447"/>
      <c r="CTO1447"/>
      <c r="CTP1447"/>
      <c r="CTQ1447"/>
      <c r="CTR1447"/>
      <c r="CTS1447"/>
      <c r="CTT1447"/>
      <c r="CTU1447"/>
      <c r="CTV1447"/>
      <c r="CTW1447"/>
      <c r="CTX1447"/>
      <c r="CTY1447"/>
      <c r="CTZ1447"/>
      <c r="CUA1447"/>
      <c r="CUB1447"/>
      <c r="CUC1447"/>
      <c r="CUD1447"/>
      <c r="CUE1447"/>
      <c r="CUF1447"/>
      <c r="CUG1447"/>
      <c r="CUH1447"/>
      <c r="CUI1447"/>
      <c r="CUJ1447"/>
      <c r="CUK1447"/>
      <c r="CUL1447"/>
      <c r="CUM1447"/>
      <c r="CUN1447"/>
      <c r="CUO1447"/>
      <c r="CUP1447"/>
      <c r="CUQ1447"/>
      <c r="CUR1447"/>
      <c r="CUS1447"/>
      <c r="CUT1447"/>
      <c r="CUU1447"/>
      <c r="CUV1447"/>
      <c r="CUW1447"/>
      <c r="CUX1447"/>
      <c r="CUY1447"/>
      <c r="CUZ1447"/>
      <c r="CVA1447"/>
      <c r="CVB1447"/>
      <c r="CVC1447"/>
      <c r="CVD1447"/>
      <c r="CVE1447"/>
      <c r="CVF1447"/>
      <c r="CVG1447"/>
      <c r="CVH1447"/>
      <c r="CVI1447"/>
      <c r="CVJ1447"/>
      <c r="CVK1447"/>
      <c r="CVL1447"/>
      <c r="CVM1447"/>
      <c r="CVN1447"/>
      <c r="CVO1447"/>
      <c r="CVP1447"/>
      <c r="CVQ1447"/>
      <c r="CVR1447"/>
      <c r="CVS1447"/>
      <c r="CVT1447"/>
      <c r="CVU1447"/>
      <c r="CVV1447"/>
      <c r="CVW1447"/>
      <c r="CVX1447"/>
      <c r="CVY1447"/>
      <c r="CVZ1447"/>
      <c r="CWA1447"/>
      <c r="CWB1447"/>
      <c r="CWC1447"/>
      <c r="CWD1447"/>
      <c r="CWE1447"/>
      <c r="CWF1447"/>
      <c r="CWG1447"/>
      <c r="CWH1447"/>
      <c r="CWI1447"/>
      <c r="CWJ1447"/>
      <c r="CWK1447"/>
      <c r="CWL1447"/>
      <c r="CWM1447"/>
      <c r="CWN1447"/>
      <c r="CWO1447"/>
      <c r="CWP1447"/>
      <c r="CWQ1447"/>
      <c r="CWR1447"/>
      <c r="CWS1447"/>
      <c r="CWT1447"/>
      <c r="CWU1447"/>
      <c r="CWV1447"/>
      <c r="CWW1447"/>
      <c r="CWX1447"/>
      <c r="CWY1447"/>
      <c r="CWZ1447"/>
      <c r="CXA1447"/>
      <c r="CXB1447"/>
      <c r="CXC1447"/>
      <c r="CXD1447"/>
      <c r="CXE1447"/>
      <c r="CXF1447"/>
      <c r="CXG1447"/>
      <c r="CXH1447"/>
      <c r="CXI1447"/>
      <c r="CXJ1447"/>
      <c r="CXK1447"/>
      <c r="CXL1447"/>
      <c r="CXM1447"/>
      <c r="CXN1447"/>
      <c r="CXO1447"/>
      <c r="CXP1447"/>
      <c r="CXQ1447"/>
      <c r="CXR1447"/>
      <c r="CXS1447"/>
      <c r="CXT1447"/>
      <c r="CXU1447"/>
      <c r="CXV1447"/>
      <c r="CXW1447"/>
      <c r="CXX1447"/>
      <c r="CXY1447"/>
      <c r="CXZ1447"/>
      <c r="CYA1447"/>
      <c r="CYB1447"/>
      <c r="CYC1447"/>
      <c r="CYD1447"/>
      <c r="CYE1447"/>
      <c r="CYF1447"/>
      <c r="CYG1447"/>
      <c r="CYH1447"/>
      <c r="CYI1447"/>
      <c r="CYJ1447"/>
      <c r="CYK1447"/>
      <c r="CYL1447"/>
      <c r="CYM1447"/>
      <c r="CYN1447"/>
      <c r="CYO1447"/>
      <c r="CYP1447"/>
      <c r="CYQ1447"/>
      <c r="CYR1447"/>
      <c r="CYS1447"/>
      <c r="CYT1447"/>
      <c r="CYU1447"/>
      <c r="CYV1447"/>
      <c r="CYW1447"/>
      <c r="CYX1447"/>
      <c r="CYY1447"/>
      <c r="CYZ1447"/>
      <c r="CZA1447"/>
      <c r="CZB1447"/>
      <c r="CZC1447"/>
      <c r="CZD1447"/>
      <c r="CZE1447"/>
      <c r="CZF1447"/>
      <c r="CZG1447"/>
      <c r="CZH1447"/>
      <c r="CZI1447"/>
      <c r="CZJ1447"/>
      <c r="CZK1447"/>
      <c r="CZL1447"/>
      <c r="CZM1447"/>
      <c r="CZN1447"/>
      <c r="CZO1447"/>
      <c r="CZP1447"/>
      <c r="CZQ1447"/>
      <c r="CZR1447"/>
      <c r="CZS1447"/>
      <c r="CZT1447"/>
      <c r="CZU1447"/>
      <c r="CZV1447"/>
      <c r="CZW1447"/>
      <c r="CZX1447"/>
      <c r="CZY1447"/>
      <c r="CZZ1447"/>
      <c r="DAA1447"/>
      <c r="DAB1447"/>
      <c r="DAC1447"/>
      <c r="DAD1447"/>
      <c r="DAE1447"/>
      <c r="DAF1447"/>
      <c r="DAG1447"/>
      <c r="DAH1447"/>
      <c r="DAI1447"/>
      <c r="DAJ1447"/>
      <c r="DAK1447"/>
      <c r="DAL1447"/>
      <c r="DAM1447"/>
      <c r="DAN1447"/>
      <c r="DAO1447"/>
      <c r="DAP1447"/>
      <c r="DAQ1447"/>
      <c r="DAR1447"/>
      <c r="DAS1447"/>
      <c r="DAT1447"/>
      <c r="DAU1447"/>
      <c r="DAV1447"/>
      <c r="DAW1447"/>
      <c r="DAX1447"/>
      <c r="DAY1447"/>
      <c r="DAZ1447"/>
      <c r="DBA1447"/>
      <c r="DBB1447"/>
      <c r="DBC1447"/>
      <c r="DBD1447"/>
      <c r="DBE1447"/>
      <c r="DBF1447"/>
      <c r="DBG1447"/>
      <c r="DBH1447"/>
      <c r="DBI1447"/>
      <c r="DBJ1447"/>
      <c r="DBK1447"/>
      <c r="DBL1447"/>
      <c r="DBM1447"/>
      <c r="DBN1447"/>
      <c r="DBO1447"/>
      <c r="DBP1447"/>
      <c r="DBQ1447"/>
      <c r="DBR1447"/>
      <c r="DBS1447"/>
      <c r="DBT1447"/>
      <c r="DBU1447"/>
      <c r="DBV1447"/>
      <c r="DBW1447"/>
      <c r="DBX1447"/>
      <c r="DBY1447"/>
      <c r="DBZ1447"/>
      <c r="DCA1447"/>
      <c r="DCB1447"/>
      <c r="DCC1447"/>
      <c r="DCD1447"/>
      <c r="DCE1447"/>
      <c r="DCF1447"/>
      <c r="DCG1447"/>
      <c r="DCH1447"/>
      <c r="DCI1447"/>
      <c r="DCJ1447"/>
      <c r="DCK1447"/>
      <c r="DCL1447"/>
      <c r="DCM1447"/>
      <c r="DCN1447"/>
      <c r="DCO1447"/>
      <c r="DCP1447"/>
      <c r="DCQ1447"/>
      <c r="DCR1447"/>
      <c r="DCS1447"/>
      <c r="DCT1447"/>
      <c r="DCU1447"/>
      <c r="DCV1447"/>
      <c r="DCW1447"/>
      <c r="DCX1447"/>
      <c r="DCY1447"/>
      <c r="DCZ1447"/>
      <c r="DDA1447"/>
      <c r="DDB1447"/>
      <c r="DDC1447"/>
      <c r="DDD1447"/>
      <c r="DDE1447"/>
      <c r="DDF1447"/>
      <c r="DDG1447"/>
      <c r="DDH1447"/>
      <c r="DDI1447"/>
      <c r="DDJ1447"/>
      <c r="DDK1447"/>
      <c r="DDL1447"/>
      <c r="DDM1447"/>
      <c r="DDN1447"/>
      <c r="DDO1447"/>
      <c r="DDP1447"/>
      <c r="DDQ1447"/>
      <c r="DDR1447"/>
      <c r="DDS1447"/>
      <c r="DDT1447"/>
      <c r="DDU1447"/>
      <c r="DDV1447"/>
      <c r="DDW1447"/>
      <c r="DDX1447"/>
      <c r="DDY1447"/>
      <c r="DDZ1447"/>
      <c r="DEA1447"/>
      <c r="DEB1447"/>
      <c r="DEC1447"/>
      <c r="DED1447"/>
      <c r="DEE1447"/>
      <c r="DEF1447"/>
      <c r="DEG1447"/>
      <c r="DEH1447"/>
      <c r="DEI1447"/>
      <c r="DEJ1447"/>
      <c r="DEK1447"/>
      <c r="DEL1447"/>
      <c r="DEM1447"/>
      <c r="DEN1447"/>
      <c r="DEO1447"/>
      <c r="DEP1447"/>
      <c r="DEQ1447"/>
      <c r="DER1447"/>
      <c r="DES1447"/>
      <c r="DET1447"/>
      <c r="DEU1447"/>
      <c r="DEV1447"/>
      <c r="DEW1447"/>
      <c r="DEX1447"/>
      <c r="DEY1447"/>
      <c r="DEZ1447"/>
      <c r="DFA1447"/>
      <c r="DFB1447"/>
      <c r="DFC1447"/>
      <c r="DFD1447"/>
      <c r="DFE1447"/>
      <c r="DFF1447"/>
      <c r="DFG1447"/>
      <c r="DFH1447"/>
      <c r="DFI1447"/>
      <c r="DFJ1447"/>
      <c r="DFK1447"/>
      <c r="DFL1447"/>
      <c r="DFM1447"/>
      <c r="DFN1447"/>
      <c r="DFO1447"/>
      <c r="DFP1447"/>
      <c r="DFQ1447"/>
      <c r="DFR1447"/>
      <c r="DFS1447"/>
      <c r="DFT1447"/>
      <c r="DFU1447"/>
      <c r="DFV1447"/>
      <c r="DFW1447"/>
      <c r="DFX1447"/>
      <c r="DFY1447"/>
      <c r="DFZ1447"/>
      <c r="DGA1447"/>
      <c r="DGB1447"/>
      <c r="DGC1447"/>
      <c r="DGD1447"/>
      <c r="DGE1447"/>
      <c r="DGF1447"/>
      <c r="DGG1447"/>
      <c r="DGH1447"/>
      <c r="DGI1447"/>
      <c r="DGJ1447"/>
      <c r="DGK1447"/>
      <c r="DGL1447"/>
      <c r="DGM1447"/>
      <c r="DGN1447"/>
      <c r="DGO1447"/>
      <c r="DGP1447"/>
      <c r="DGQ1447"/>
      <c r="DGR1447"/>
      <c r="DGS1447"/>
      <c r="DGT1447"/>
      <c r="DGU1447"/>
      <c r="DGV1447"/>
      <c r="DGW1447"/>
      <c r="DGX1447"/>
      <c r="DGY1447"/>
      <c r="DGZ1447"/>
      <c r="DHA1447"/>
      <c r="DHB1447"/>
      <c r="DHC1447"/>
      <c r="DHD1447"/>
      <c r="DHE1447"/>
      <c r="DHF1447"/>
      <c r="DHG1447"/>
      <c r="DHH1447"/>
      <c r="DHI1447"/>
      <c r="DHJ1447"/>
      <c r="DHK1447"/>
      <c r="DHL1447"/>
      <c r="DHM1447"/>
      <c r="DHN1447"/>
      <c r="DHO1447"/>
      <c r="DHP1447"/>
      <c r="DHQ1447"/>
      <c r="DHR1447"/>
      <c r="DHS1447"/>
      <c r="DHT1447"/>
      <c r="DHU1447"/>
      <c r="DHV1447"/>
      <c r="DHW1447"/>
      <c r="DHX1447"/>
      <c r="DHY1447"/>
      <c r="DHZ1447"/>
      <c r="DIA1447"/>
      <c r="DIB1447"/>
      <c r="DIC1447"/>
      <c r="DID1447"/>
      <c r="DIE1447"/>
      <c r="DIF1447"/>
      <c r="DIG1447"/>
      <c r="DIH1447"/>
      <c r="DII1447"/>
      <c r="DIJ1447"/>
      <c r="DIK1447"/>
      <c r="DIL1447"/>
      <c r="DIM1447"/>
      <c r="DIN1447"/>
      <c r="DIO1447"/>
      <c r="DIP1447"/>
      <c r="DIQ1447"/>
      <c r="DIR1447"/>
      <c r="DIS1447"/>
      <c r="DIT1447"/>
      <c r="DIU1447"/>
      <c r="DIV1447"/>
      <c r="DIW1447"/>
      <c r="DIX1447"/>
      <c r="DIY1447"/>
      <c r="DIZ1447"/>
      <c r="DJA1447"/>
      <c r="DJB1447"/>
      <c r="DJC1447"/>
      <c r="DJD1447"/>
      <c r="DJE1447"/>
      <c r="DJF1447"/>
      <c r="DJG1447"/>
      <c r="DJH1447"/>
      <c r="DJI1447"/>
      <c r="DJJ1447"/>
      <c r="DJK1447"/>
      <c r="DJL1447"/>
      <c r="DJM1447"/>
      <c r="DJN1447"/>
      <c r="DJO1447"/>
      <c r="DJP1447"/>
      <c r="DJQ1447"/>
      <c r="DJR1447"/>
      <c r="DJS1447"/>
      <c r="DJT1447"/>
      <c r="DJU1447"/>
      <c r="DJV1447"/>
      <c r="DJW1447"/>
      <c r="DJX1447"/>
      <c r="DJY1447"/>
      <c r="DJZ1447"/>
      <c r="DKA1447"/>
      <c r="DKB1447"/>
      <c r="DKC1447"/>
      <c r="DKD1447"/>
      <c r="DKE1447"/>
      <c r="DKF1447"/>
      <c r="DKG1447"/>
      <c r="DKH1447"/>
      <c r="DKI1447"/>
      <c r="DKJ1447"/>
      <c r="DKK1447"/>
      <c r="DKL1447"/>
      <c r="DKM1447"/>
      <c r="DKN1447"/>
      <c r="DKO1447"/>
      <c r="DKP1447"/>
      <c r="DKQ1447"/>
      <c r="DKR1447"/>
      <c r="DKS1447"/>
      <c r="DKT1447"/>
      <c r="DKU1447"/>
      <c r="DKV1447"/>
      <c r="DKW1447"/>
      <c r="DKX1447"/>
      <c r="DKY1447"/>
      <c r="DKZ1447"/>
      <c r="DLA1447"/>
      <c r="DLB1447"/>
      <c r="DLC1447"/>
      <c r="DLD1447"/>
      <c r="DLE1447"/>
      <c r="DLF1447"/>
      <c r="DLG1447"/>
      <c r="DLH1447"/>
      <c r="DLI1447"/>
      <c r="DLJ1447"/>
      <c r="DLK1447"/>
      <c r="DLL1447"/>
      <c r="DLM1447"/>
      <c r="DLN1447"/>
      <c r="DLO1447"/>
      <c r="DLP1447"/>
      <c r="DLQ1447"/>
      <c r="DLR1447"/>
      <c r="DLS1447"/>
      <c r="DLT1447"/>
      <c r="DLU1447"/>
      <c r="DLV1447"/>
      <c r="DLW1447"/>
      <c r="DLX1447"/>
      <c r="DLY1447"/>
      <c r="DLZ1447"/>
      <c r="DMA1447"/>
      <c r="DMB1447"/>
      <c r="DMC1447"/>
      <c r="DMD1447"/>
      <c r="DME1447"/>
      <c r="DMF1447"/>
      <c r="DMG1447"/>
      <c r="DMH1447"/>
      <c r="DMI1447"/>
      <c r="DMJ1447"/>
      <c r="DMK1447"/>
      <c r="DML1447"/>
      <c r="DMM1447"/>
      <c r="DMN1447"/>
      <c r="DMO1447"/>
      <c r="DMP1447"/>
      <c r="DMQ1447"/>
      <c r="DMR1447"/>
      <c r="DMS1447"/>
      <c r="DMT1447"/>
      <c r="DMU1447"/>
      <c r="DMV1447"/>
      <c r="DMW1447"/>
      <c r="DMX1447"/>
      <c r="DMY1447"/>
      <c r="DMZ1447"/>
      <c r="DNA1447"/>
      <c r="DNB1447"/>
      <c r="DNC1447"/>
      <c r="DND1447"/>
      <c r="DNE1447"/>
      <c r="DNF1447"/>
      <c r="DNG1447"/>
      <c r="DNH1447"/>
      <c r="DNI1447"/>
      <c r="DNJ1447"/>
      <c r="DNK1447"/>
      <c r="DNL1447"/>
      <c r="DNM1447"/>
      <c r="DNN1447"/>
      <c r="DNO1447"/>
      <c r="DNP1447"/>
      <c r="DNQ1447"/>
      <c r="DNR1447"/>
      <c r="DNS1447"/>
      <c r="DNT1447"/>
      <c r="DNU1447"/>
      <c r="DNV1447"/>
      <c r="DNW1447"/>
      <c r="DNX1447"/>
      <c r="DNY1447"/>
      <c r="DNZ1447"/>
      <c r="DOA1447"/>
      <c r="DOB1447"/>
      <c r="DOC1447"/>
      <c r="DOD1447"/>
      <c r="DOE1447"/>
      <c r="DOF1447"/>
      <c r="DOG1447"/>
      <c r="DOH1447"/>
      <c r="DOI1447"/>
      <c r="DOJ1447"/>
      <c r="DOK1447"/>
      <c r="DOL1447"/>
      <c r="DOM1447"/>
      <c r="DON1447"/>
      <c r="DOO1447"/>
      <c r="DOP1447"/>
      <c r="DOQ1447"/>
      <c r="DOR1447"/>
      <c r="DOS1447"/>
      <c r="DOT1447"/>
      <c r="DOU1447"/>
      <c r="DOV1447"/>
      <c r="DOW1447"/>
      <c r="DOX1447"/>
      <c r="DOY1447"/>
      <c r="DOZ1447"/>
      <c r="DPA1447"/>
      <c r="DPB1447"/>
      <c r="DPC1447"/>
      <c r="DPD1447"/>
      <c r="DPE1447"/>
      <c r="DPF1447"/>
      <c r="DPG1447"/>
      <c r="DPH1447"/>
      <c r="DPI1447"/>
      <c r="DPJ1447"/>
      <c r="DPK1447"/>
      <c r="DPL1447"/>
      <c r="DPM1447"/>
      <c r="DPN1447"/>
      <c r="DPO1447"/>
      <c r="DPP1447"/>
      <c r="DPQ1447"/>
      <c r="DPR1447"/>
      <c r="DPS1447"/>
      <c r="DPT1447"/>
      <c r="DPU1447"/>
      <c r="DPV1447"/>
      <c r="DPW1447"/>
      <c r="DPX1447"/>
      <c r="DPY1447"/>
      <c r="DPZ1447"/>
      <c r="DQA1447"/>
      <c r="DQB1447"/>
      <c r="DQC1447"/>
      <c r="DQD1447"/>
      <c r="DQE1447"/>
      <c r="DQF1447"/>
      <c r="DQG1447"/>
      <c r="DQH1447"/>
      <c r="DQI1447"/>
      <c r="DQJ1447"/>
      <c r="DQK1447"/>
      <c r="DQL1447"/>
      <c r="DQM1447"/>
      <c r="DQN1447"/>
      <c r="DQO1447"/>
      <c r="DQP1447"/>
      <c r="DQQ1447"/>
      <c r="DQR1447"/>
      <c r="DQS1447"/>
      <c r="DQT1447"/>
      <c r="DQU1447"/>
      <c r="DQV1447"/>
      <c r="DQW1447"/>
      <c r="DQX1447"/>
      <c r="DQY1447"/>
      <c r="DQZ1447"/>
      <c r="DRA1447"/>
      <c r="DRB1447"/>
      <c r="DRC1447"/>
      <c r="DRD1447"/>
      <c r="DRE1447"/>
      <c r="DRF1447"/>
      <c r="DRG1447"/>
      <c r="DRH1447"/>
      <c r="DRI1447"/>
      <c r="DRJ1447"/>
      <c r="DRK1447"/>
      <c r="DRL1447"/>
      <c r="DRM1447"/>
      <c r="DRN1447"/>
      <c r="DRO1447"/>
      <c r="DRP1447"/>
      <c r="DRQ1447"/>
      <c r="DRR1447"/>
      <c r="DRS1447"/>
      <c r="DRT1447"/>
      <c r="DRU1447"/>
      <c r="DRV1447"/>
      <c r="DRW1447"/>
      <c r="DRX1447"/>
      <c r="DRY1447"/>
      <c r="DRZ1447"/>
      <c r="DSA1447"/>
      <c r="DSB1447"/>
      <c r="DSC1447"/>
      <c r="DSD1447"/>
      <c r="DSE1447"/>
      <c r="DSF1447"/>
      <c r="DSG1447"/>
      <c r="DSH1447"/>
      <c r="DSI1447"/>
      <c r="DSJ1447"/>
      <c r="DSK1447"/>
      <c r="DSL1447"/>
      <c r="DSM1447"/>
      <c r="DSN1447"/>
      <c r="DSO1447"/>
      <c r="DSP1447"/>
      <c r="DSQ1447"/>
      <c r="DSR1447"/>
      <c r="DSS1447"/>
      <c r="DST1447"/>
      <c r="DSU1447"/>
      <c r="DSV1447"/>
      <c r="DSW1447"/>
      <c r="DSX1447"/>
      <c r="DSY1447"/>
      <c r="DSZ1447"/>
      <c r="DTA1447"/>
      <c r="DTB1447"/>
      <c r="DTC1447"/>
      <c r="DTD1447"/>
      <c r="DTE1447"/>
      <c r="DTF1447"/>
      <c r="DTG1447"/>
      <c r="DTH1447"/>
      <c r="DTI1447"/>
      <c r="DTJ1447"/>
      <c r="DTK1447"/>
      <c r="DTL1447"/>
      <c r="DTM1447"/>
      <c r="DTN1447"/>
      <c r="DTO1447"/>
      <c r="DTP1447"/>
      <c r="DTQ1447"/>
      <c r="DTR1447"/>
      <c r="DTS1447"/>
      <c r="DTT1447"/>
      <c r="DTU1447"/>
      <c r="DTV1447"/>
      <c r="DTW1447"/>
      <c r="DTX1447"/>
      <c r="DTY1447"/>
      <c r="DTZ1447"/>
      <c r="DUA1447"/>
      <c r="DUB1447"/>
      <c r="DUC1447"/>
      <c r="DUD1447"/>
      <c r="DUE1447"/>
      <c r="DUF1447"/>
      <c r="DUG1447"/>
      <c r="DUH1447"/>
      <c r="DUI1447"/>
      <c r="DUJ1447"/>
      <c r="DUK1447"/>
      <c r="DUL1447"/>
      <c r="DUM1447"/>
      <c r="DUN1447"/>
      <c r="DUO1447"/>
      <c r="DUP1447"/>
      <c r="DUQ1447"/>
      <c r="DUR1447"/>
      <c r="DUS1447"/>
      <c r="DUT1447"/>
      <c r="DUU1447"/>
      <c r="DUV1447"/>
      <c r="DUW1447"/>
      <c r="DUX1447"/>
      <c r="DUY1447"/>
      <c r="DUZ1447"/>
      <c r="DVA1447"/>
      <c r="DVB1447"/>
      <c r="DVC1447"/>
      <c r="DVD1447"/>
      <c r="DVE1447"/>
      <c r="DVF1447"/>
      <c r="DVG1447"/>
      <c r="DVH1447"/>
      <c r="DVI1447"/>
      <c r="DVJ1447"/>
      <c r="DVK1447"/>
      <c r="DVL1447"/>
      <c r="DVM1447"/>
      <c r="DVN1447"/>
      <c r="DVO1447"/>
      <c r="DVP1447"/>
      <c r="DVQ1447"/>
      <c r="DVR1447"/>
      <c r="DVS1447"/>
      <c r="DVT1447"/>
      <c r="DVU1447"/>
      <c r="DVV1447"/>
      <c r="DVW1447"/>
      <c r="DVX1447"/>
      <c r="DVY1447"/>
      <c r="DVZ1447"/>
      <c r="DWA1447"/>
      <c r="DWB1447"/>
      <c r="DWC1447"/>
      <c r="DWD1447"/>
      <c r="DWE1447"/>
      <c r="DWF1447"/>
      <c r="DWG1447"/>
      <c r="DWH1447"/>
      <c r="DWI1447"/>
      <c r="DWJ1447"/>
      <c r="DWK1447"/>
      <c r="DWL1447"/>
      <c r="DWM1447"/>
      <c r="DWN1447"/>
      <c r="DWO1447"/>
      <c r="DWP1447"/>
      <c r="DWQ1447"/>
      <c r="DWR1447"/>
      <c r="DWS1447"/>
      <c r="DWT1447"/>
      <c r="DWU1447"/>
      <c r="DWV1447"/>
      <c r="DWW1447"/>
      <c r="DWX1447"/>
      <c r="DWY1447"/>
      <c r="DWZ1447"/>
      <c r="DXA1447"/>
      <c r="DXB1447"/>
      <c r="DXC1447"/>
      <c r="DXD1447"/>
      <c r="DXE1447"/>
      <c r="DXF1447"/>
      <c r="DXG1447"/>
      <c r="DXH1447"/>
      <c r="DXI1447"/>
      <c r="DXJ1447"/>
      <c r="DXK1447"/>
      <c r="DXL1447"/>
      <c r="DXM1447"/>
      <c r="DXN1447"/>
      <c r="DXO1447"/>
      <c r="DXP1447"/>
      <c r="DXQ1447"/>
      <c r="DXR1447"/>
      <c r="DXS1447"/>
      <c r="DXT1447"/>
      <c r="DXU1447"/>
      <c r="DXV1447"/>
      <c r="DXW1447"/>
      <c r="DXX1447"/>
      <c r="DXY1447"/>
      <c r="DXZ1447"/>
      <c r="DYA1447"/>
      <c r="DYB1447"/>
      <c r="DYC1447"/>
      <c r="DYD1447"/>
      <c r="DYE1447"/>
      <c r="DYF1447"/>
      <c r="DYG1447"/>
      <c r="DYH1447"/>
      <c r="DYI1447"/>
      <c r="DYJ1447"/>
      <c r="DYK1447"/>
      <c r="DYL1447"/>
      <c r="DYM1447"/>
      <c r="DYN1447"/>
      <c r="DYO1447"/>
      <c r="DYP1447"/>
      <c r="DYQ1447"/>
      <c r="DYR1447"/>
      <c r="DYS1447"/>
      <c r="DYT1447"/>
      <c r="DYU1447"/>
      <c r="DYV1447"/>
      <c r="DYW1447"/>
      <c r="DYX1447"/>
      <c r="DYY1447"/>
      <c r="DYZ1447"/>
      <c r="DZA1447"/>
      <c r="DZB1447"/>
      <c r="DZC1447"/>
      <c r="DZD1447"/>
      <c r="DZE1447"/>
      <c r="DZF1447"/>
      <c r="DZG1447"/>
      <c r="DZH1447"/>
      <c r="DZI1447"/>
      <c r="DZJ1447"/>
      <c r="DZK1447"/>
      <c r="DZL1447"/>
      <c r="DZM1447"/>
      <c r="DZN1447"/>
      <c r="DZO1447"/>
      <c r="DZP1447"/>
      <c r="DZQ1447"/>
      <c r="DZR1447"/>
      <c r="DZS1447"/>
      <c r="DZT1447"/>
      <c r="DZU1447"/>
      <c r="DZV1447"/>
      <c r="DZW1447"/>
      <c r="DZX1447"/>
      <c r="DZY1447"/>
      <c r="DZZ1447"/>
      <c r="EAA1447"/>
      <c r="EAB1447"/>
      <c r="EAC1447"/>
      <c r="EAD1447"/>
      <c r="EAE1447"/>
      <c r="EAF1447"/>
      <c r="EAG1447"/>
      <c r="EAH1447"/>
      <c r="EAI1447"/>
      <c r="EAJ1447"/>
      <c r="EAK1447"/>
      <c r="EAL1447"/>
      <c r="EAM1447"/>
      <c r="EAN1447"/>
      <c r="EAO1447"/>
      <c r="EAP1447"/>
      <c r="EAQ1447"/>
      <c r="EAR1447"/>
      <c r="EAS1447"/>
      <c r="EAT1447"/>
      <c r="EAU1447"/>
      <c r="EAV1447"/>
      <c r="EAW1447"/>
      <c r="EAX1447"/>
      <c r="EAY1447"/>
      <c r="EAZ1447"/>
      <c r="EBA1447"/>
      <c r="EBB1447"/>
      <c r="EBC1447"/>
      <c r="EBD1447"/>
      <c r="EBE1447"/>
      <c r="EBF1447"/>
      <c r="EBG1447"/>
      <c r="EBH1447"/>
      <c r="EBI1447"/>
      <c r="EBJ1447"/>
      <c r="EBK1447"/>
      <c r="EBL1447"/>
      <c r="EBM1447"/>
      <c r="EBN1447"/>
      <c r="EBO1447"/>
      <c r="EBP1447"/>
      <c r="EBQ1447"/>
      <c r="EBR1447"/>
      <c r="EBS1447"/>
      <c r="EBT1447"/>
      <c r="EBU1447"/>
      <c r="EBV1447"/>
      <c r="EBW1447"/>
      <c r="EBX1447"/>
      <c r="EBY1447"/>
      <c r="EBZ1447"/>
      <c r="ECA1447"/>
      <c r="ECB1447"/>
      <c r="ECC1447"/>
      <c r="ECD1447"/>
      <c r="ECE1447"/>
      <c r="ECF1447"/>
      <c r="ECG1447"/>
      <c r="ECH1447"/>
      <c r="ECI1447"/>
      <c r="ECJ1447"/>
      <c r="ECK1447"/>
      <c r="ECL1447"/>
      <c r="ECM1447"/>
      <c r="ECN1447"/>
      <c r="ECO1447"/>
      <c r="ECP1447"/>
      <c r="ECQ1447"/>
      <c r="ECR1447"/>
      <c r="ECS1447"/>
      <c r="ECT1447"/>
      <c r="ECU1447"/>
      <c r="ECV1447"/>
      <c r="ECW1447"/>
      <c r="ECX1447"/>
      <c r="ECY1447"/>
      <c r="ECZ1447"/>
      <c r="EDA1447"/>
      <c r="EDB1447"/>
      <c r="EDC1447"/>
      <c r="EDD1447"/>
      <c r="EDE1447"/>
      <c r="EDF1447"/>
      <c r="EDG1447"/>
      <c r="EDH1447"/>
      <c r="EDI1447"/>
      <c r="EDJ1447"/>
      <c r="EDK1447"/>
      <c r="EDL1447"/>
      <c r="EDM1447"/>
      <c r="EDN1447"/>
      <c r="EDO1447"/>
      <c r="EDP1447"/>
      <c r="EDQ1447"/>
      <c r="EDR1447"/>
      <c r="EDS1447"/>
      <c r="EDT1447"/>
      <c r="EDU1447"/>
      <c r="EDV1447"/>
      <c r="EDW1447"/>
      <c r="EDX1447"/>
      <c r="EDY1447"/>
      <c r="EDZ1447"/>
      <c r="EEA1447"/>
      <c r="EEB1447"/>
      <c r="EEC1447"/>
      <c r="EED1447"/>
      <c r="EEE1447"/>
      <c r="EEF1447"/>
      <c r="EEG1447"/>
      <c r="EEH1447"/>
      <c r="EEI1447"/>
      <c r="EEJ1447"/>
      <c r="EEK1447"/>
      <c r="EEL1447"/>
      <c r="EEM1447"/>
      <c r="EEN1447"/>
      <c r="EEO1447"/>
      <c r="EEP1447"/>
      <c r="EEQ1447"/>
      <c r="EER1447"/>
      <c r="EES1447"/>
      <c r="EET1447"/>
      <c r="EEU1447"/>
      <c r="EEV1447"/>
      <c r="EEW1447"/>
      <c r="EEX1447"/>
      <c r="EEY1447"/>
      <c r="EEZ1447"/>
      <c r="EFA1447"/>
      <c r="EFB1447"/>
      <c r="EFC1447"/>
      <c r="EFD1447"/>
      <c r="EFE1447"/>
      <c r="EFF1447"/>
      <c r="EFG1447"/>
      <c r="EFH1447"/>
      <c r="EFI1447"/>
      <c r="EFJ1447"/>
      <c r="EFK1447"/>
      <c r="EFL1447"/>
      <c r="EFM1447"/>
      <c r="EFN1447"/>
      <c r="EFO1447"/>
      <c r="EFP1447"/>
      <c r="EFQ1447"/>
      <c r="EFR1447"/>
      <c r="EFS1447"/>
      <c r="EFT1447"/>
      <c r="EFU1447"/>
      <c r="EFV1447"/>
      <c r="EFW1447"/>
      <c r="EFX1447"/>
      <c r="EFY1447"/>
      <c r="EFZ1447"/>
      <c r="EGA1447"/>
      <c r="EGB1447"/>
      <c r="EGC1447"/>
      <c r="EGD1447"/>
      <c r="EGE1447"/>
      <c r="EGF1447"/>
      <c r="EGG1447"/>
      <c r="EGH1447"/>
      <c r="EGI1447"/>
      <c r="EGJ1447"/>
      <c r="EGK1447"/>
      <c r="EGL1447"/>
      <c r="EGM1447"/>
      <c r="EGN1447"/>
      <c r="EGO1447"/>
      <c r="EGP1447"/>
      <c r="EGQ1447"/>
      <c r="EGR1447"/>
      <c r="EGS1447"/>
      <c r="EGT1447"/>
      <c r="EGU1447"/>
      <c r="EGV1447"/>
      <c r="EGW1447"/>
      <c r="EGX1447"/>
      <c r="EGY1447"/>
      <c r="EGZ1447"/>
      <c r="EHA1447"/>
      <c r="EHB1447"/>
      <c r="EHC1447"/>
      <c r="EHD1447"/>
      <c r="EHE1447"/>
      <c r="EHF1447"/>
      <c r="EHG1447"/>
      <c r="EHH1447"/>
      <c r="EHI1447"/>
      <c r="EHJ1447"/>
      <c r="EHK1447"/>
      <c r="EHL1447"/>
      <c r="EHM1447"/>
      <c r="EHN1447"/>
      <c r="EHO1447"/>
      <c r="EHP1447"/>
      <c r="EHQ1447"/>
      <c r="EHR1447"/>
      <c r="EHS1447"/>
      <c r="EHT1447"/>
      <c r="EHU1447"/>
      <c r="EHV1447"/>
      <c r="EHW1447"/>
      <c r="EHX1447"/>
      <c r="EHY1447"/>
      <c r="EHZ1447"/>
      <c r="EIA1447"/>
      <c r="EIB1447"/>
      <c r="EIC1447"/>
      <c r="EID1447"/>
      <c r="EIE1447"/>
      <c r="EIF1447"/>
      <c r="EIG1447"/>
      <c r="EIH1447"/>
      <c r="EII1447"/>
      <c r="EIJ1447"/>
      <c r="EIK1447"/>
      <c r="EIL1447"/>
      <c r="EIM1447"/>
      <c r="EIN1447"/>
      <c r="EIO1447"/>
      <c r="EIP1447"/>
      <c r="EIQ1447"/>
      <c r="EIR1447"/>
      <c r="EIS1447"/>
      <c r="EIT1447"/>
      <c r="EIU1447"/>
      <c r="EIV1447"/>
      <c r="EIW1447"/>
      <c r="EIX1447"/>
      <c r="EIY1447"/>
      <c r="EIZ1447"/>
      <c r="EJA1447"/>
      <c r="EJB1447"/>
      <c r="EJC1447"/>
      <c r="EJD1447"/>
      <c r="EJE1447"/>
      <c r="EJF1447"/>
      <c r="EJG1447"/>
      <c r="EJH1447"/>
      <c r="EJI1447"/>
      <c r="EJJ1447"/>
      <c r="EJK1447"/>
      <c r="EJL1447"/>
      <c r="EJM1447"/>
      <c r="EJN1447"/>
      <c r="EJO1447"/>
      <c r="EJP1447"/>
      <c r="EJQ1447"/>
      <c r="EJR1447"/>
      <c r="EJS1447"/>
      <c r="EJT1447"/>
      <c r="EJU1447"/>
      <c r="EJV1447"/>
      <c r="EJW1447"/>
      <c r="EJX1447"/>
      <c r="EJY1447"/>
      <c r="EJZ1447"/>
      <c r="EKA1447"/>
      <c r="EKB1447"/>
      <c r="EKC1447"/>
      <c r="EKD1447"/>
      <c r="EKE1447"/>
      <c r="EKF1447"/>
      <c r="EKG1447"/>
      <c r="EKH1447"/>
      <c r="EKI1447"/>
      <c r="EKJ1447"/>
      <c r="EKK1447"/>
      <c r="EKL1447"/>
      <c r="EKM1447"/>
      <c r="EKN1447"/>
      <c r="EKO1447"/>
      <c r="EKP1447"/>
      <c r="EKQ1447"/>
      <c r="EKR1447"/>
      <c r="EKS1447"/>
      <c r="EKT1447"/>
      <c r="EKU1447"/>
      <c r="EKV1447"/>
      <c r="EKW1447"/>
      <c r="EKX1447"/>
      <c r="EKY1447"/>
      <c r="EKZ1447"/>
      <c r="ELA1447"/>
      <c r="ELB1447"/>
      <c r="ELC1447"/>
      <c r="ELD1447"/>
      <c r="ELE1447"/>
      <c r="ELF1447"/>
      <c r="ELG1447"/>
      <c r="ELH1447"/>
      <c r="ELI1447"/>
      <c r="ELJ1447"/>
      <c r="ELK1447"/>
      <c r="ELL1447"/>
      <c r="ELM1447"/>
      <c r="ELN1447"/>
      <c r="ELO1447"/>
      <c r="ELP1447"/>
      <c r="ELQ1447"/>
      <c r="ELR1447"/>
      <c r="ELS1447"/>
      <c r="ELT1447"/>
      <c r="ELU1447"/>
      <c r="ELV1447"/>
      <c r="ELW1447"/>
      <c r="ELX1447"/>
      <c r="ELY1447"/>
      <c r="ELZ1447"/>
      <c r="EMA1447"/>
      <c r="EMB1447"/>
      <c r="EMC1447"/>
      <c r="EMD1447"/>
      <c r="EME1447"/>
      <c r="EMF1447"/>
      <c r="EMG1447"/>
      <c r="EMH1447"/>
      <c r="EMI1447"/>
      <c r="EMJ1447"/>
      <c r="EMK1447"/>
      <c r="EML1447"/>
      <c r="EMM1447"/>
      <c r="EMN1447"/>
      <c r="EMO1447"/>
      <c r="EMP1447"/>
      <c r="EMQ1447"/>
      <c r="EMR1447"/>
      <c r="EMS1447"/>
      <c r="EMT1447"/>
      <c r="EMU1447"/>
      <c r="EMV1447"/>
      <c r="EMW1447"/>
      <c r="EMX1447"/>
      <c r="EMY1447"/>
      <c r="EMZ1447"/>
      <c r="ENA1447"/>
      <c r="ENB1447"/>
      <c r="ENC1447"/>
      <c r="END1447"/>
      <c r="ENE1447"/>
      <c r="ENF1447"/>
      <c r="ENG1447"/>
      <c r="ENH1447"/>
      <c r="ENI1447"/>
      <c r="ENJ1447"/>
      <c r="ENK1447"/>
      <c r="ENL1447"/>
      <c r="ENM1447"/>
      <c r="ENN1447"/>
      <c r="ENO1447"/>
      <c r="ENP1447"/>
      <c r="ENQ1447"/>
      <c r="ENR1447"/>
      <c r="ENS1447"/>
      <c r="ENT1447"/>
      <c r="ENU1447"/>
      <c r="ENV1447"/>
      <c r="ENW1447"/>
      <c r="ENX1447"/>
      <c r="ENY1447"/>
      <c r="ENZ1447"/>
      <c r="EOA1447"/>
      <c r="EOB1447"/>
      <c r="EOC1447"/>
      <c r="EOD1447"/>
      <c r="EOE1447"/>
      <c r="EOF1447"/>
      <c r="EOG1447"/>
      <c r="EOH1447"/>
      <c r="EOI1447"/>
      <c r="EOJ1447"/>
      <c r="EOK1447"/>
      <c r="EOL1447"/>
      <c r="EOM1447"/>
      <c r="EON1447"/>
      <c r="EOO1447"/>
      <c r="EOP1447"/>
      <c r="EOQ1447"/>
      <c r="EOR1447"/>
      <c r="EOS1447"/>
      <c r="EOT1447"/>
      <c r="EOU1447"/>
      <c r="EOV1447"/>
      <c r="EOW1447"/>
      <c r="EOX1447"/>
      <c r="EOY1447"/>
      <c r="EOZ1447"/>
      <c r="EPA1447"/>
      <c r="EPB1447"/>
      <c r="EPC1447"/>
      <c r="EPD1447"/>
      <c r="EPE1447"/>
      <c r="EPF1447"/>
      <c r="EPG1447"/>
      <c r="EPH1447"/>
      <c r="EPI1447"/>
      <c r="EPJ1447"/>
      <c r="EPK1447"/>
      <c r="EPL1447"/>
      <c r="EPM1447"/>
      <c r="EPN1447"/>
      <c r="EPO1447"/>
      <c r="EPP1447"/>
      <c r="EPQ1447"/>
      <c r="EPR1447"/>
      <c r="EPS1447"/>
      <c r="EPT1447"/>
      <c r="EPU1447"/>
      <c r="EPV1447"/>
      <c r="EPW1447"/>
      <c r="EPX1447"/>
      <c r="EPY1447"/>
      <c r="EPZ1447"/>
      <c r="EQA1447"/>
      <c r="EQB1447"/>
      <c r="EQC1447"/>
      <c r="EQD1447"/>
      <c r="EQE1447"/>
      <c r="EQF1447"/>
      <c r="EQG1447"/>
      <c r="EQH1447"/>
      <c r="EQI1447"/>
      <c r="EQJ1447"/>
      <c r="EQK1447"/>
      <c r="EQL1447"/>
      <c r="EQM1447"/>
      <c r="EQN1447"/>
      <c r="EQO1447"/>
      <c r="EQP1447"/>
      <c r="EQQ1447"/>
      <c r="EQR1447"/>
      <c r="EQS1447"/>
      <c r="EQT1447"/>
      <c r="EQU1447"/>
      <c r="EQV1447"/>
      <c r="EQW1447"/>
      <c r="EQX1447"/>
      <c r="EQY1447"/>
      <c r="EQZ1447"/>
      <c r="ERA1447"/>
      <c r="ERB1447"/>
      <c r="ERC1447"/>
      <c r="ERD1447"/>
      <c r="ERE1447"/>
      <c r="ERF1447"/>
      <c r="ERG1447"/>
      <c r="ERH1447"/>
      <c r="ERI1447"/>
      <c r="ERJ1447"/>
      <c r="ERK1447"/>
      <c r="ERL1447"/>
      <c r="ERM1447"/>
      <c r="ERN1447"/>
      <c r="ERO1447"/>
      <c r="ERP1447"/>
      <c r="ERQ1447"/>
      <c r="ERR1447"/>
      <c r="ERS1447"/>
      <c r="ERT1447"/>
      <c r="ERU1447"/>
      <c r="ERV1447"/>
      <c r="ERW1447"/>
      <c r="ERX1447"/>
      <c r="ERY1447"/>
      <c r="ERZ1447"/>
      <c r="ESA1447"/>
      <c r="ESB1447"/>
      <c r="ESC1447"/>
      <c r="ESD1447"/>
      <c r="ESE1447"/>
      <c r="ESF1447"/>
      <c r="ESG1447"/>
      <c r="ESH1447"/>
      <c r="ESI1447"/>
      <c r="ESJ1447"/>
      <c r="ESK1447"/>
      <c r="ESL1447"/>
      <c r="ESM1447"/>
      <c r="ESN1447"/>
      <c r="ESO1447"/>
      <c r="ESP1447"/>
      <c r="ESQ1447"/>
      <c r="ESR1447"/>
      <c r="ESS1447"/>
      <c r="EST1447"/>
      <c r="ESU1447"/>
      <c r="ESV1447"/>
      <c r="ESW1447"/>
      <c r="ESX1447"/>
      <c r="ESY1447"/>
      <c r="ESZ1447"/>
      <c r="ETA1447"/>
      <c r="ETB1447"/>
      <c r="ETC1447"/>
      <c r="ETD1447"/>
      <c r="ETE1447"/>
      <c r="ETF1447"/>
      <c r="ETG1447"/>
      <c r="ETH1447"/>
      <c r="ETI1447"/>
      <c r="ETJ1447"/>
      <c r="ETK1447"/>
      <c r="ETL1447"/>
      <c r="ETM1447"/>
      <c r="ETN1447"/>
      <c r="ETO1447"/>
      <c r="ETP1447"/>
      <c r="ETQ1447"/>
      <c r="ETR1447"/>
      <c r="ETS1447"/>
      <c r="ETT1447"/>
      <c r="ETU1447"/>
      <c r="ETV1447"/>
      <c r="ETW1447"/>
      <c r="ETX1447"/>
      <c r="ETY1447"/>
      <c r="ETZ1447"/>
      <c r="EUA1447"/>
      <c r="EUB1447"/>
      <c r="EUC1447"/>
      <c r="EUD1447"/>
      <c r="EUE1447"/>
      <c r="EUF1447"/>
      <c r="EUG1447"/>
      <c r="EUH1447"/>
      <c r="EUI1447"/>
      <c r="EUJ1447"/>
      <c r="EUK1447"/>
      <c r="EUL1447"/>
      <c r="EUM1447"/>
      <c r="EUN1447"/>
      <c r="EUO1447"/>
      <c r="EUP1447"/>
      <c r="EUQ1447"/>
      <c r="EUR1447"/>
      <c r="EUS1447"/>
      <c r="EUT1447"/>
      <c r="EUU1447"/>
      <c r="EUV1447"/>
      <c r="EUW1447"/>
      <c r="EUX1447"/>
      <c r="EUY1447"/>
      <c r="EUZ1447"/>
      <c r="EVA1447"/>
      <c r="EVB1447"/>
      <c r="EVC1447"/>
      <c r="EVD1447"/>
      <c r="EVE1447"/>
      <c r="EVF1447"/>
      <c r="EVG1447"/>
      <c r="EVH1447"/>
      <c r="EVI1447"/>
      <c r="EVJ1447"/>
      <c r="EVK1447"/>
      <c r="EVL1447"/>
      <c r="EVM1447"/>
      <c r="EVN1447"/>
      <c r="EVO1447"/>
      <c r="EVP1447"/>
      <c r="EVQ1447"/>
      <c r="EVR1447"/>
      <c r="EVS1447"/>
      <c r="EVT1447"/>
      <c r="EVU1447"/>
      <c r="EVV1447"/>
      <c r="EVW1447"/>
      <c r="EVX1447"/>
      <c r="EVY1447"/>
      <c r="EVZ1447"/>
      <c r="EWA1447"/>
      <c r="EWB1447"/>
      <c r="EWC1447"/>
      <c r="EWD1447"/>
      <c r="EWE1447"/>
      <c r="EWF1447"/>
      <c r="EWG1447"/>
      <c r="EWH1447"/>
      <c r="EWI1447"/>
      <c r="EWJ1447"/>
      <c r="EWK1447"/>
      <c r="EWL1447"/>
      <c r="EWM1447"/>
      <c r="EWN1447"/>
      <c r="EWO1447"/>
      <c r="EWP1447"/>
      <c r="EWQ1447"/>
      <c r="EWR1447"/>
      <c r="EWS1447"/>
      <c r="EWT1447"/>
      <c r="EWU1447"/>
      <c r="EWV1447"/>
      <c r="EWW1447"/>
      <c r="EWX1447"/>
      <c r="EWY1447"/>
      <c r="EWZ1447"/>
      <c r="EXA1447"/>
      <c r="EXB1447"/>
      <c r="EXC1447"/>
      <c r="EXD1447"/>
      <c r="EXE1447"/>
      <c r="EXF1447"/>
      <c r="EXG1447"/>
      <c r="EXH1447"/>
      <c r="EXI1447"/>
      <c r="EXJ1447"/>
      <c r="EXK1447"/>
      <c r="EXL1447"/>
      <c r="EXM1447"/>
      <c r="EXN1447"/>
      <c r="EXO1447"/>
      <c r="EXP1447"/>
      <c r="EXQ1447"/>
      <c r="EXR1447"/>
      <c r="EXS1447"/>
      <c r="EXT1447"/>
      <c r="EXU1447"/>
      <c r="EXV1447"/>
      <c r="EXW1447"/>
      <c r="EXX1447"/>
      <c r="EXY1447"/>
      <c r="EXZ1447"/>
      <c r="EYA1447"/>
      <c r="EYB1447"/>
      <c r="EYC1447"/>
      <c r="EYD1447"/>
      <c r="EYE1447"/>
      <c r="EYF1447"/>
      <c r="EYG1447"/>
      <c r="EYH1447"/>
      <c r="EYI1447"/>
      <c r="EYJ1447"/>
      <c r="EYK1447"/>
      <c r="EYL1447"/>
      <c r="EYM1447"/>
      <c r="EYN1447"/>
      <c r="EYO1447"/>
      <c r="EYP1447"/>
      <c r="EYQ1447"/>
      <c r="EYR1447"/>
      <c r="EYS1447"/>
      <c r="EYT1447"/>
      <c r="EYU1447"/>
      <c r="EYV1447"/>
      <c r="EYW1447"/>
      <c r="EYX1447"/>
      <c r="EYY1447"/>
      <c r="EYZ1447"/>
      <c r="EZA1447"/>
      <c r="EZB1447"/>
      <c r="EZC1447"/>
      <c r="EZD1447"/>
      <c r="EZE1447"/>
      <c r="EZF1447"/>
      <c r="EZG1447"/>
      <c r="EZH1447"/>
      <c r="EZI1447"/>
      <c r="EZJ1447"/>
      <c r="EZK1447"/>
      <c r="EZL1447"/>
      <c r="EZM1447"/>
      <c r="EZN1447"/>
      <c r="EZO1447"/>
      <c r="EZP1447"/>
      <c r="EZQ1447"/>
      <c r="EZR1447"/>
      <c r="EZS1447"/>
      <c r="EZT1447"/>
      <c r="EZU1447"/>
      <c r="EZV1447"/>
      <c r="EZW1447"/>
      <c r="EZX1447"/>
      <c r="EZY1447"/>
      <c r="EZZ1447"/>
      <c r="FAA1447"/>
      <c r="FAB1447"/>
      <c r="FAC1447"/>
      <c r="FAD1447"/>
      <c r="FAE1447"/>
      <c r="FAF1447"/>
      <c r="FAG1447"/>
      <c r="FAH1447"/>
      <c r="FAI1447"/>
      <c r="FAJ1447"/>
      <c r="FAK1447"/>
      <c r="FAL1447"/>
      <c r="FAM1447"/>
      <c r="FAN1447"/>
      <c r="FAO1447"/>
      <c r="FAP1447"/>
      <c r="FAQ1447"/>
      <c r="FAR1447"/>
      <c r="FAS1447"/>
      <c r="FAT1447"/>
      <c r="FAU1447"/>
      <c r="FAV1447"/>
      <c r="FAW1447"/>
      <c r="FAX1447"/>
      <c r="FAY1447"/>
      <c r="FAZ1447"/>
      <c r="FBA1447"/>
      <c r="FBB1447"/>
      <c r="FBC1447"/>
      <c r="FBD1447"/>
      <c r="FBE1447"/>
      <c r="FBF1447"/>
      <c r="FBG1447"/>
      <c r="FBH1447"/>
      <c r="FBI1447"/>
      <c r="FBJ1447"/>
      <c r="FBK1447"/>
      <c r="FBL1447"/>
      <c r="FBM1447"/>
      <c r="FBN1447"/>
      <c r="FBO1447"/>
      <c r="FBP1447"/>
      <c r="FBQ1447"/>
      <c r="FBR1447"/>
      <c r="FBS1447"/>
      <c r="FBT1447"/>
      <c r="FBU1447"/>
      <c r="FBV1447"/>
      <c r="FBW1447"/>
      <c r="FBX1447"/>
      <c r="FBY1447"/>
      <c r="FBZ1447"/>
      <c r="FCA1447"/>
      <c r="FCB1447"/>
      <c r="FCC1447"/>
      <c r="FCD1447"/>
      <c r="FCE1447"/>
      <c r="FCF1447"/>
      <c r="FCG1447"/>
      <c r="FCH1447"/>
      <c r="FCI1447"/>
      <c r="FCJ1447"/>
      <c r="FCK1447"/>
      <c r="FCL1447"/>
      <c r="FCM1447"/>
      <c r="FCN1447"/>
      <c r="FCO1447"/>
      <c r="FCP1447"/>
      <c r="FCQ1447"/>
      <c r="FCR1447"/>
      <c r="FCS1447"/>
      <c r="FCT1447"/>
      <c r="FCU1447"/>
      <c r="FCV1447"/>
      <c r="FCW1447"/>
      <c r="FCX1447"/>
      <c r="FCY1447"/>
      <c r="FCZ1447"/>
      <c r="FDA1447"/>
      <c r="FDB1447"/>
      <c r="FDC1447"/>
      <c r="FDD1447"/>
      <c r="FDE1447"/>
      <c r="FDF1447"/>
      <c r="FDG1447"/>
      <c r="FDH1447"/>
      <c r="FDI1447"/>
      <c r="FDJ1447"/>
      <c r="FDK1447"/>
      <c r="FDL1447"/>
      <c r="FDM1447"/>
      <c r="FDN1447"/>
      <c r="FDO1447"/>
      <c r="FDP1447"/>
      <c r="FDQ1447"/>
      <c r="FDR1447"/>
      <c r="FDS1447"/>
      <c r="FDT1447"/>
      <c r="FDU1447"/>
      <c r="FDV1447"/>
      <c r="FDW1447"/>
      <c r="FDX1447"/>
      <c r="FDY1447"/>
      <c r="FDZ1447"/>
      <c r="FEA1447"/>
      <c r="FEB1447"/>
      <c r="FEC1447"/>
      <c r="FED1447"/>
      <c r="FEE1447"/>
      <c r="FEF1447"/>
      <c r="FEG1447"/>
      <c r="FEH1447"/>
      <c r="FEI1447"/>
      <c r="FEJ1447"/>
      <c r="FEK1447"/>
      <c r="FEL1447"/>
      <c r="FEM1447"/>
      <c r="FEN1447"/>
      <c r="FEO1447"/>
      <c r="FEP1447"/>
      <c r="FEQ1447"/>
      <c r="FER1447"/>
      <c r="FES1447"/>
      <c r="FET1447"/>
      <c r="FEU1447"/>
      <c r="FEV1447"/>
      <c r="FEW1447"/>
      <c r="FEX1447"/>
      <c r="FEY1447"/>
      <c r="FEZ1447"/>
      <c r="FFA1447"/>
      <c r="FFB1447"/>
      <c r="FFC1447"/>
      <c r="FFD1447"/>
      <c r="FFE1447"/>
      <c r="FFF1447"/>
      <c r="FFG1447"/>
      <c r="FFH1447"/>
      <c r="FFI1447"/>
      <c r="FFJ1447"/>
      <c r="FFK1447"/>
      <c r="FFL1447"/>
      <c r="FFM1447"/>
      <c r="FFN1447"/>
      <c r="FFO1447"/>
      <c r="FFP1447"/>
      <c r="FFQ1447"/>
      <c r="FFR1447"/>
      <c r="FFS1447"/>
      <c r="FFT1447"/>
      <c r="FFU1447"/>
      <c r="FFV1447"/>
      <c r="FFW1447"/>
      <c r="FFX1447"/>
      <c r="FFY1447"/>
      <c r="FFZ1447"/>
      <c r="FGA1447"/>
      <c r="FGB1447"/>
      <c r="FGC1447"/>
      <c r="FGD1447"/>
      <c r="FGE1447"/>
      <c r="FGF1447"/>
      <c r="FGG1447"/>
      <c r="FGH1447"/>
      <c r="FGI1447"/>
      <c r="FGJ1447"/>
      <c r="FGK1447"/>
      <c r="FGL1447"/>
      <c r="FGM1447"/>
      <c r="FGN1447"/>
      <c r="FGO1447"/>
      <c r="FGP1447"/>
      <c r="FGQ1447"/>
      <c r="FGR1447"/>
      <c r="FGS1447"/>
      <c r="FGT1447"/>
      <c r="FGU1447"/>
      <c r="FGV1447"/>
      <c r="FGW1447"/>
      <c r="FGX1447"/>
      <c r="FGY1447"/>
      <c r="FGZ1447"/>
      <c r="FHA1447"/>
      <c r="FHB1447"/>
      <c r="FHC1447"/>
      <c r="FHD1447"/>
      <c r="FHE1447"/>
      <c r="FHF1447"/>
      <c r="FHG1447"/>
      <c r="FHH1447"/>
      <c r="FHI1447"/>
      <c r="FHJ1447"/>
      <c r="FHK1447"/>
      <c r="FHL1447"/>
      <c r="FHM1447"/>
      <c r="FHN1447"/>
      <c r="FHO1447"/>
      <c r="FHP1447"/>
      <c r="FHQ1447"/>
      <c r="FHR1447"/>
      <c r="FHS1447"/>
      <c r="FHT1447"/>
      <c r="FHU1447"/>
      <c r="FHV1447"/>
      <c r="FHW1447"/>
      <c r="FHX1447"/>
      <c r="FHY1447"/>
      <c r="FHZ1447"/>
      <c r="FIA1447"/>
      <c r="FIB1447"/>
      <c r="FIC1447"/>
      <c r="FID1447"/>
      <c r="FIE1447"/>
      <c r="FIF1447"/>
      <c r="FIG1447"/>
      <c r="FIH1447"/>
      <c r="FII1447"/>
      <c r="FIJ1447"/>
      <c r="FIK1447"/>
      <c r="FIL1447"/>
      <c r="FIM1447"/>
      <c r="FIN1447"/>
      <c r="FIO1447"/>
      <c r="FIP1447"/>
      <c r="FIQ1447"/>
      <c r="FIR1447"/>
      <c r="FIS1447"/>
      <c r="FIT1447"/>
      <c r="FIU1447"/>
      <c r="FIV1447"/>
      <c r="FIW1447"/>
      <c r="FIX1447"/>
      <c r="FIY1447"/>
      <c r="FIZ1447"/>
      <c r="FJA1447"/>
      <c r="FJB1447"/>
      <c r="FJC1447"/>
      <c r="FJD1447"/>
      <c r="FJE1447"/>
      <c r="FJF1447"/>
      <c r="FJG1447"/>
      <c r="FJH1447"/>
      <c r="FJI1447"/>
      <c r="FJJ1447"/>
      <c r="FJK1447"/>
      <c r="FJL1447"/>
      <c r="FJM1447"/>
      <c r="FJN1447"/>
      <c r="FJO1447"/>
      <c r="FJP1447"/>
      <c r="FJQ1447"/>
      <c r="FJR1447"/>
      <c r="FJS1447"/>
      <c r="FJT1447"/>
      <c r="FJU1447"/>
      <c r="FJV1447"/>
      <c r="FJW1447"/>
      <c r="FJX1447"/>
      <c r="FJY1447"/>
      <c r="FJZ1447"/>
      <c r="FKA1447"/>
      <c r="FKB1447"/>
      <c r="FKC1447"/>
      <c r="FKD1447"/>
      <c r="FKE1447"/>
      <c r="FKF1447"/>
      <c r="FKG1447"/>
      <c r="FKH1447"/>
      <c r="FKI1447"/>
      <c r="FKJ1447"/>
      <c r="FKK1447"/>
      <c r="FKL1447"/>
      <c r="FKM1447"/>
      <c r="FKN1447"/>
      <c r="FKO1447"/>
      <c r="FKP1447"/>
      <c r="FKQ1447"/>
      <c r="FKR1447"/>
      <c r="FKS1447"/>
      <c r="FKT1447"/>
      <c r="FKU1447"/>
      <c r="FKV1447"/>
      <c r="FKW1447"/>
      <c r="FKX1447"/>
      <c r="FKY1447"/>
      <c r="FKZ1447"/>
      <c r="FLA1447"/>
      <c r="FLB1447"/>
      <c r="FLC1447"/>
      <c r="FLD1447"/>
      <c r="FLE1447"/>
      <c r="FLF1447"/>
      <c r="FLG1447"/>
      <c r="FLH1447"/>
      <c r="FLI1447"/>
      <c r="FLJ1447"/>
      <c r="FLK1447"/>
      <c r="FLL1447"/>
      <c r="FLM1447"/>
      <c r="FLN1447"/>
      <c r="FLO1447"/>
      <c r="FLP1447"/>
      <c r="FLQ1447"/>
      <c r="FLR1447"/>
      <c r="FLS1447"/>
      <c r="FLT1447"/>
      <c r="FLU1447"/>
      <c r="FLV1447"/>
      <c r="FLW1447"/>
      <c r="FLX1447"/>
      <c r="FLY1447"/>
      <c r="FLZ1447"/>
      <c r="FMA1447"/>
      <c r="FMB1447"/>
      <c r="FMC1447"/>
      <c r="FMD1447"/>
      <c r="FME1447"/>
      <c r="FMF1447"/>
      <c r="FMG1447"/>
      <c r="FMH1447"/>
      <c r="FMI1447"/>
      <c r="FMJ1447"/>
      <c r="FMK1447"/>
      <c r="FML1447"/>
      <c r="FMM1447"/>
      <c r="FMN1447"/>
      <c r="FMO1447"/>
      <c r="FMP1447"/>
      <c r="FMQ1447"/>
      <c r="FMR1447"/>
      <c r="FMS1447"/>
      <c r="FMT1447"/>
      <c r="FMU1447"/>
      <c r="FMV1447"/>
      <c r="FMW1447"/>
      <c r="FMX1447"/>
      <c r="FMY1447"/>
      <c r="FMZ1447"/>
      <c r="FNA1447"/>
      <c r="FNB1447"/>
      <c r="FNC1447"/>
      <c r="FND1447"/>
      <c r="FNE1447"/>
      <c r="FNF1447"/>
      <c r="FNG1447"/>
      <c r="FNH1447"/>
      <c r="FNI1447"/>
      <c r="FNJ1447"/>
      <c r="FNK1447"/>
      <c r="FNL1447"/>
      <c r="FNM1447"/>
      <c r="FNN1447"/>
      <c r="FNO1447"/>
      <c r="FNP1447"/>
      <c r="FNQ1447"/>
      <c r="FNR1447"/>
      <c r="FNS1447"/>
      <c r="FNT1447"/>
      <c r="FNU1447"/>
      <c r="FNV1447"/>
      <c r="FNW1447"/>
      <c r="FNX1447"/>
      <c r="FNY1447"/>
      <c r="FNZ1447"/>
      <c r="FOA1447"/>
      <c r="FOB1447"/>
      <c r="FOC1447"/>
      <c r="FOD1447"/>
      <c r="FOE1447"/>
      <c r="FOF1447"/>
      <c r="FOG1447"/>
      <c r="FOH1447"/>
      <c r="FOI1447"/>
      <c r="FOJ1447"/>
      <c r="FOK1447"/>
      <c r="FOL1447"/>
      <c r="FOM1447"/>
      <c r="FON1447"/>
      <c r="FOO1447"/>
      <c r="FOP1447"/>
      <c r="FOQ1447"/>
      <c r="FOR1447"/>
      <c r="FOS1447"/>
      <c r="FOT1447"/>
      <c r="FOU1447"/>
      <c r="FOV1447"/>
      <c r="FOW1447"/>
      <c r="FOX1447"/>
      <c r="FOY1447"/>
      <c r="FOZ1447"/>
      <c r="FPA1447"/>
      <c r="FPB1447"/>
      <c r="FPC1447"/>
      <c r="FPD1447"/>
      <c r="FPE1447"/>
      <c r="FPF1447"/>
      <c r="FPG1447"/>
      <c r="FPH1447"/>
      <c r="FPI1447"/>
      <c r="FPJ1447"/>
      <c r="FPK1447"/>
      <c r="FPL1447"/>
      <c r="FPM1447"/>
      <c r="FPN1447"/>
      <c r="FPO1447"/>
      <c r="FPP1447"/>
      <c r="FPQ1447"/>
      <c r="FPR1447"/>
      <c r="FPS1447"/>
      <c r="FPT1447"/>
      <c r="FPU1447"/>
      <c r="FPV1447"/>
      <c r="FPW1447"/>
      <c r="FPX1447"/>
      <c r="FPY1447"/>
      <c r="FPZ1447"/>
      <c r="FQA1447"/>
      <c r="FQB1447"/>
      <c r="FQC1447"/>
      <c r="FQD1447"/>
      <c r="FQE1447"/>
      <c r="FQF1447"/>
      <c r="FQG1447"/>
      <c r="FQH1447"/>
      <c r="FQI1447"/>
      <c r="FQJ1447"/>
      <c r="FQK1447"/>
      <c r="FQL1447"/>
      <c r="FQM1447"/>
      <c r="FQN1447"/>
      <c r="FQO1447"/>
      <c r="FQP1447"/>
      <c r="FQQ1447"/>
      <c r="FQR1447"/>
      <c r="FQS1447"/>
      <c r="FQT1447"/>
      <c r="FQU1447"/>
      <c r="FQV1447"/>
      <c r="FQW1447"/>
      <c r="FQX1447"/>
      <c r="FQY1447"/>
      <c r="FQZ1447"/>
      <c r="FRA1447"/>
      <c r="FRB1447"/>
      <c r="FRC1447"/>
      <c r="FRD1447"/>
      <c r="FRE1447"/>
      <c r="FRF1447"/>
      <c r="FRG1447"/>
      <c r="FRH1447"/>
      <c r="FRI1447"/>
      <c r="FRJ1447"/>
      <c r="FRK1447"/>
      <c r="FRL1447"/>
      <c r="FRM1447"/>
      <c r="FRN1447"/>
      <c r="FRO1447"/>
      <c r="FRP1447"/>
      <c r="FRQ1447"/>
      <c r="FRR1447"/>
      <c r="FRS1447"/>
      <c r="FRT1447"/>
      <c r="FRU1447"/>
      <c r="FRV1447"/>
      <c r="FRW1447"/>
      <c r="FRX1447"/>
      <c r="FRY1447"/>
      <c r="FRZ1447"/>
      <c r="FSA1447"/>
      <c r="FSB1447"/>
      <c r="FSC1447"/>
      <c r="FSD1447"/>
      <c r="FSE1447"/>
      <c r="FSF1447"/>
      <c r="FSG1447"/>
      <c r="FSH1447"/>
      <c r="FSI1447"/>
      <c r="FSJ1447"/>
      <c r="FSK1447"/>
      <c r="FSL1447"/>
      <c r="FSM1447"/>
      <c r="FSN1447"/>
      <c r="FSO1447"/>
      <c r="FSP1447"/>
      <c r="FSQ1447"/>
      <c r="FSR1447"/>
      <c r="FSS1447"/>
      <c r="FST1447"/>
      <c r="FSU1447"/>
      <c r="FSV1447"/>
      <c r="FSW1447"/>
      <c r="FSX1447"/>
      <c r="FSY1447"/>
      <c r="FSZ1447"/>
      <c r="FTA1447"/>
      <c r="FTB1447"/>
      <c r="FTC1447"/>
      <c r="FTD1447"/>
      <c r="FTE1447"/>
      <c r="FTF1447"/>
      <c r="FTG1447"/>
      <c r="FTH1447"/>
      <c r="FTI1447"/>
      <c r="FTJ1447"/>
      <c r="FTK1447"/>
      <c r="FTL1447"/>
      <c r="FTM1447"/>
      <c r="FTN1447"/>
      <c r="FTO1447"/>
      <c r="FTP1447"/>
      <c r="FTQ1447"/>
      <c r="FTR1447"/>
      <c r="FTS1447"/>
      <c r="FTT1447"/>
      <c r="FTU1447"/>
      <c r="FTV1447"/>
      <c r="FTW1447"/>
      <c r="FTX1447"/>
      <c r="FTY1447"/>
      <c r="FTZ1447"/>
      <c r="FUA1447"/>
      <c r="FUB1447"/>
      <c r="FUC1447"/>
      <c r="FUD1447"/>
      <c r="FUE1447"/>
      <c r="FUF1447"/>
      <c r="FUG1447"/>
      <c r="FUH1447"/>
      <c r="FUI1447"/>
      <c r="FUJ1447"/>
      <c r="FUK1447"/>
      <c r="FUL1447"/>
      <c r="FUM1447"/>
      <c r="FUN1447"/>
      <c r="FUO1447"/>
      <c r="FUP1447"/>
      <c r="FUQ1447"/>
      <c r="FUR1447"/>
      <c r="FUS1447"/>
      <c r="FUT1447"/>
      <c r="FUU1447"/>
      <c r="FUV1447"/>
      <c r="FUW1447"/>
      <c r="FUX1447"/>
      <c r="FUY1447"/>
      <c r="FUZ1447"/>
      <c r="FVA1447"/>
      <c r="FVB1447"/>
      <c r="FVC1447"/>
      <c r="FVD1447"/>
      <c r="FVE1447"/>
      <c r="FVF1447"/>
      <c r="FVG1447"/>
      <c r="FVH1447"/>
      <c r="FVI1447"/>
      <c r="FVJ1447"/>
      <c r="FVK1447"/>
      <c r="FVL1447"/>
      <c r="FVM1447"/>
      <c r="FVN1447"/>
      <c r="FVO1447"/>
      <c r="FVP1447"/>
      <c r="FVQ1447"/>
      <c r="FVR1447"/>
      <c r="FVS1447"/>
      <c r="FVT1447"/>
      <c r="FVU1447"/>
      <c r="FVV1447"/>
      <c r="FVW1447"/>
      <c r="FVX1447"/>
      <c r="FVY1447"/>
      <c r="FVZ1447"/>
      <c r="FWA1447"/>
      <c r="FWB1447"/>
      <c r="FWC1447"/>
      <c r="FWD1447"/>
      <c r="FWE1447"/>
      <c r="FWF1447"/>
      <c r="FWG1447"/>
      <c r="FWH1447"/>
      <c r="FWI1447"/>
      <c r="FWJ1447"/>
      <c r="FWK1447"/>
      <c r="FWL1447"/>
      <c r="FWM1447"/>
      <c r="FWN1447"/>
      <c r="FWO1447"/>
      <c r="FWP1447"/>
      <c r="FWQ1447"/>
      <c r="FWR1447"/>
      <c r="FWS1447"/>
      <c r="FWT1447"/>
      <c r="FWU1447"/>
      <c r="FWV1447"/>
      <c r="FWW1447"/>
      <c r="FWX1447"/>
      <c r="FWY1447"/>
      <c r="FWZ1447"/>
      <c r="FXA1447"/>
      <c r="FXB1447"/>
      <c r="FXC1447"/>
      <c r="FXD1447"/>
      <c r="FXE1447"/>
      <c r="FXF1447"/>
      <c r="FXG1447"/>
      <c r="FXH1447"/>
      <c r="FXI1447"/>
      <c r="FXJ1447"/>
      <c r="FXK1447"/>
      <c r="FXL1447"/>
      <c r="FXM1447"/>
      <c r="FXN1447"/>
      <c r="FXO1447"/>
      <c r="FXP1447"/>
      <c r="FXQ1447"/>
      <c r="FXR1447"/>
      <c r="FXS1447"/>
      <c r="FXT1447"/>
      <c r="FXU1447"/>
      <c r="FXV1447"/>
      <c r="FXW1447"/>
      <c r="FXX1447"/>
      <c r="FXY1447"/>
      <c r="FXZ1447"/>
      <c r="FYA1447"/>
      <c r="FYB1447"/>
      <c r="FYC1447"/>
      <c r="FYD1447"/>
      <c r="FYE1447"/>
      <c r="FYF1447"/>
      <c r="FYG1447"/>
      <c r="FYH1447"/>
      <c r="FYI1447"/>
      <c r="FYJ1447"/>
      <c r="FYK1447"/>
      <c r="FYL1447"/>
      <c r="FYM1447"/>
      <c r="FYN1447"/>
      <c r="FYO1447"/>
      <c r="FYP1447"/>
      <c r="FYQ1447"/>
      <c r="FYR1447"/>
      <c r="FYS1447"/>
      <c r="FYT1447"/>
      <c r="FYU1447"/>
      <c r="FYV1447"/>
      <c r="FYW1447"/>
      <c r="FYX1447"/>
      <c r="FYY1447"/>
      <c r="FYZ1447"/>
      <c r="FZA1447"/>
      <c r="FZB1447"/>
      <c r="FZC1447"/>
      <c r="FZD1447"/>
      <c r="FZE1447"/>
      <c r="FZF1447"/>
      <c r="FZG1447"/>
      <c r="FZH1447"/>
      <c r="FZI1447"/>
      <c r="FZJ1447"/>
      <c r="FZK1447"/>
      <c r="FZL1447"/>
      <c r="FZM1447"/>
      <c r="FZN1447"/>
      <c r="FZO1447"/>
      <c r="FZP1447"/>
      <c r="FZQ1447"/>
      <c r="FZR1447"/>
      <c r="FZS1447"/>
      <c r="FZT1447"/>
      <c r="FZU1447"/>
      <c r="FZV1447"/>
      <c r="FZW1447"/>
      <c r="FZX1447"/>
      <c r="FZY1447"/>
      <c r="FZZ1447"/>
      <c r="GAA1447"/>
      <c r="GAB1447"/>
      <c r="GAC1447"/>
      <c r="GAD1447"/>
      <c r="GAE1447"/>
      <c r="GAF1447"/>
      <c r="GAG1447"/>
      <c r="GAH1447"/>
      <c r="GAI1447"/>
      <c r="GAJ1447"/>
      <c r="GAK1447"/>
      <c r="GAL1447"/>
      <c r="GAM1447"/>
      <c r="GAN1447"/>
      <c r="GAO1447"/>
      <c r="GAP1447"/>
      <c r="GAQ1447"/>
      <c r="GAR1447"/>
      <c r="GAS1447"/>
      <c r="GAT1447"/>
      <c r="GAU1447"/>
      <c r="GAV1447"/>
      <c r="GAW1447"/>
      <c r="GAX1447"/>
      <c r="GAY1447"/>
      <c r="GAZ1447"/>
      <c r="GBA1447"/>
      <c r="GBB1447"/>
      <c r="GBC1447"/>
      <c r="GBD1447"/>
      <c r="GBE1447"/>
      <c r="GBF1447"/>
      <c r="GBG1447"/>
      <c r="GBH1447"/>
      <c r="GBI1447"/>
      <c r="GBJ1447"/>
      <c r="GBK1447"/>
      <c r="GBL1447"/>
      <c r="GBM1447"/>
      <c r="GBN1447"/>
      <c r="GBO1447"/>
      <c r="GBP1447"/>
      <c r="GBQ1447"/>
      <c r="GBR1447"/>
      <c r="GBS1447"/>
      <c r="GBT1447"/>
      <c r="GBU1447"/>
      <c r="GBV1447"/>
      <c r="GBW1447"/>
      <c r="GBX1447"/>
      <c r="GBY1447"/>
      <c r="GBZ1447"/>
      <c r="GCA1447"/>
      <c r="GCB1447"/>
      <c r="GCC1447"/>
      <c r="GCD1447"/>
      <c r="GCE1447"/>
      <c r="GCF1447"/>
      <c r="GCG1447"/>
      <c r="GCH1447"/>
      <c r="GCI1447"/>
      <c r="GCJ1447"/>
      <c r="GCK1447"/>
      <c r="GCL1447"/>
      <c r="GCM1447"/>
      <c r="GCN1447"/>
      <c r="GCO1447"/>
      <c r="GCP1447"/>
      <c r="GCQ1447"/>
      <c r="GCR1447"/>
      <c r="GCS1447"/>
      <c r="GCT1447"/>
      <c r="GCU1447"/>
      <c r="GCV1447"/>
      <c r="GCW1447"/>
      <c r="GCX1447"/>
      <c r="GCY1447"/>
      <c r="GCZ1447"/>
      <c r="GDA1447"/>
      <c r="GDB1447"/>
      <c r="GDC1447"/>
      <c r="GDD1447"/>
      <c r="GDE1447"/>
      <c r="GDF1447"/>
      <c r="GDG1447"/>
      <c r="GDH1447"/>
      <c r="GDI1447"/>
      <c r="GDJ1447"/>
      <c r="GDK1447"/>
      <c r="GDL1447"/>
      <c r="GDM1447"/>
      <c r="GDN1447"/>
      <c r="GDO1447"/>
      <c r="GDP1447"/>
      <c r="GDQ1447"/>
      <c r="GDR1447"/>
      <c r="GDS1447"/>
      <c r="GDT1447"/>
      <c r="GDU1447"/>
      <c r="GDV1447"/>
      <c r="GDW1447"/>
      <c r="GDX1447"/>
      <c r="GDY1447"/>
      <c r="GDZ1447"/>
      <c r="GEA1447"/>
      <c r="GEB1447"/>
      <c r="GEC1447"/>
      <c r="GED1447"/>
      <c r="GEE1447"/>
      <c r="GEF1447"/>
      <c r="GEG1447"/>
      <c r="GEH1447"/>
      <c r="GEI1447"/>
      <c r="GEJ1447"/>
      <c r="GEK1447"/>
      <c r="GEL1447"/>
      <c r="GEM1447"/>
      <c r="GEN1447"/>
      <c r="GEO1447"/>
      <c r="GEP1447"/>
      <c r="GEQ1447"/>
      <c r="GER1447"/>
      <c r="GES1447"/>
      <c r="GET1447"/>
      <c r="GEU1447"/>
      <c r="GEV1447"/>
      <c r="GEW1447"/>
      <c r="GEX1447"/>
      <c r="GEY1447"/>
      <c r="GEZ1447"/>
      <c r="GFA1447"/>
      <c r="GFB1447"/>
      <c r="GFC1447"/>
      <c r="GFD1447"/>
      <c r="GFE1447"/>
      <c r="GFF1447"/>
      <c r="GFG1447"/>
      <c r="GFH1447"/>
      <c r="GFI1447"/>
      <c r="GFJ1447"/>
      <c r="GFK1447"/>
      <c r="GFL1447"/>
      <c r="GFM1447"/>
      <c r="GFN1447"/>
      <c r="GFO1447"/>
      <c r="GFP1447"/>
      <c r="GFQ1447"/>
      <c r="GFR1447"/>
      <c r="GFS1447"/>
      <c r="GFT1447"/>
      <c r="GFU1447"/>
      <c r="GFV1447"/>
      <c r="GFW1447"/>
      <c r="GFX1447"/>
      <c r="GFY1447"/>
      <c r="GFZ1447"/>
      <c r="GGA1447"/>
      <c r="GGB1447"/>
      <c r="GGC1447"/>
      <c r="GGD1447"/>
      <c r="GGE1447"/>
      <c r="GGF1447"/>
      <c r="GGG1447"/>
      <c r="GGH1447"/>
      <c r="GGI1447"/>
      <c r="GGJ1447"/>
      <c r="GGK1447"/>
      <c r="GGL1447"/>
      <c r="GGM1447"/>
      <c r="GGN1447"/>
      <c r="GGO1447"/>
      <c r="GGP1447"/>
      <c r="GGQ1447"/>
      <c r="GGR1447"/>
      <c r="GGS1447"/>
      <c r="GGT1447"/>
      <c r="GGU1447"/>
      <c r="GGV1447"/>
      <c r="GGW1447"/>
      <c r="GGX1447"/>
      <c r="GGY1447"/>
      <c r="GGZ1447"/>
      <c r="GHA1447"/>
      <c r="GHB1447"/>
      <c r="GHC1447"/>
      <c r="GHD1447"/>
      <c r="GHE1447"/>
      <c r="GHF1447"/>
      <c r="GHG1447"/>
      <c r="GHH1447"/>
      <c r="GHI1447"/>
      <c r="GHJ1447"/>
      <c r="GHK1447"/>
      <c r="GHL1447"/>
      <c r="GHM1447"/>
      <c r="GHN1447"/>
      <c r="GHO1447"/>
      <c r="GHP1447"/>
      <c r="GHQ1447"/>
      <c r="GHR1447"/>
      <c r="GHS1447"/>
      <c r="GHT1447"/>
      <c r="GHU1447"/>
      <c r="GHV1447"/>
      <c r="GHW1447"/>
      <c r="GHX1447"/>
      <c r="GHY1447"/>
      <c r="GHZ1447"/>
      <c r="GIA1447"/>
      <c r="GIB1447"/>
      <c r="GIC1447"/>
      <c r="GID1447"/>
      <c r="GIE1447"/>
      <c r="GIF1447"/>
      <c r="GIG1447"/>
      <c r="GIH1447"/>
      <c r="GII1447"/>
      <c r="GIJ1447"/>
      <c r="GIK1447"/>
      <c r="GIL1447"/>
      <c r="GIM1447"/>
      <c r="GIN1447"/>
      <c r="GIO1447"/>
      <c r="GIP1447"/>
      <c r="GIQ1447"/>
      <c r="GIR1447"/>
      <c r="GIS1447"/>
      <c r="GIT1447"/>
      <c r="GIU1447"/>
      <c r="GIV1447"/>
      <c r="GIW1447"/>
      <c r="GIX1447"/>
      <c r="GIY1447"/>
      <c r="GIZ1447"/>
      <c r="GJA1447"/>
      <c r="GJB1447"/>
      <c r="GJC1447"/>
      <c r="GJD1447"/>
      <c r="GJE1447"/>
      <c r="GJF1447"/>
      <c r="GJG1447"/>
      <c r="GJH1447"/>
      <c r="GJI1447"/>
      <c r="GJJ1447"/>
      <c r="GJK1447"/>
      <c r="GJL1447"/>
      <c r="GJM1447"/>
      <c r="GJN1447"/>
      <c r="GJO1447"/>
      <c r="GJP1447"/>
      <c r="GJQ1447"/>
      <c r="GJR1447"/>
      <c r="GJS1447"/>
      <c r="GJT1447"/>
      <c r="GJU1447"/>
      <c r="GJV1447"/>
      <c r="GJW1447"/>
      <c r="GJX1447"/>
      <c r="GJY1447"/>
      <c r="GJZ1447"/>
      <c r="GKA1447"/>
      <c r="GKB1447"/>
      <c r="GKC1447"/>
      <c r="GKD1447"/>
      <c r="GKE1447"/>
      <c r="GKF1447"/>
      <c r="GKG1447"/>
      <c r="GKH1447"/>
      <c r="GKI1447"/>
      <c r="GKJ1447"/>
      <c r="GKK1447"/>
      <c r="GKL1447"/>
      <c r="GKM1447"/>
      <c r="GKN1447"/>
      <c r="GKO1447"/>
      <c r="GKP1447"/>
      <c r="GKQ1447"/>
      <c r="GKR1447"/>
      <c r="GKS1447"/>
      <c r="GKT1447"/>
      <c r="GKU1447"/>
      <c r="GKV1447"/>
      <c r="GKW1447"/>
      <c r="GKX1447"/>
      <c r="GKY1447"/>
      <c r="GKZ1447"/>
      <c r="GLA1447"/>
      <c r="GLB1447"/>
      <c r="GLC1447"/>
      <c r="GLD1447"/>
      <c r="GLE1447"/>
      <c r="GLF1447"/>
      <c r="GLG1447"/>
      <c r="GLH1447"/>
      <c r="GLI1447"/>
      <c r="GLJ1447"/>
      <c r="GLK1447"/>
      <c r="GLL1447"/>
      <c r="GLM1447"/>
      <c r="GLN1447"/>
      <c r="GLO1447"/>
      <c r="GLP1447"/>
      <c r="GLQ1447"/>
      <c r="GLR1447"/>
      <c r="GLS1447"/>
      <c r="GLT1447"/>
      <c r="GLU1447"/>
      <c r="GLV1447"/>
      <c r="GLW1447"/>
      <c r="GLX1447"/>
      <c r="GLY1447"/>
      <c r="GLZ1447"/>
      <c r="GMA1447"/>
      <c r="GMB1447"/>
      <c r="GMC1447"/>
      <c r="GMD1447"/>
      <c r="GME1447"/>
      <c r="GMF1447"/>
      <c r="GMG1447"/>
      <c r="GMH1447"/>
      <c r="GMI1447"/>
      <c r="GMJ1447"/>
      <c r="GMK1447"/>
      <c r="GML1447"/>
      <c r="GMM1447"/>
      <c r="GMN1447"/>
      <c r="GMO1447"/>
      <c r="GMP1447"/>
      <c r="GMQ1447"/>
      <c r="GMR1447"/>
      <c r="GMS1447"/>
      <c r="GMT1447"/>
      <c r="GMU1447"/>
      <c r="GMV1447"/>
      <c r="GMW1447"/>
      <c r="GMX1447"/>
      <c r="GMY1447"/>
      <c r="GMZ1447"/>
      <c r="GNA1447"/>
      <c r="GNB1447"/>
      <c r="GNC1447"/>
      <c r="GND1447"/>
      <c r="GNE1447"/>
      <c r="GNF1447"/>
      <c r="GNG1447"/>
      <c r="GNH1447"/>
      <c r="GNI1447"/>
      <c r="GNJ1447"/>
      <c r="GNK1447"/>
      <c r="GNL1447"/>
      <c r="GNM1447"/>
      <c r="GNN1447"/>
      <c r="GNO1447"/>
      <c r="GNP1447"/>
      <c r="GNQ1447"/>
      <c r="GNR1447"/>
      <c r="GNS1447"/>
      <c r="GNT1447"/>
      <c r="GNU1447"/>
      <c r="GNV1447"/>
      <c r="GNW1447"/>
      <c r="GNX1447"/>
      <c r="GNY1447"/>
      <c r="GNZ1447"/>
      <c r="GOA1447"/>
      <c r="GOB1447"/>
      <c r="GOC1447"/>
      <c r="GOD1447"/>
      <c r="GOE1447"/>
      <c r="GOF1447"/>
      <c r="GOG1447"/>
      <c r="GOH1447"/>
      <c r="GOI1447"/>
      <c r="GOJ1447"/>
      <c r="GOK1447"/>
      <c r="GOL1447"/>
      <c r="GOM1447"/>
      <c r="GON1447"/>
      <c r="GOO1447"/>
      <c r="GOP1447"/>
      <c r="GOQ1447"/>
      <c r="GOR1447"/>
      <c r="GOS1447"/>
      <c r="GOT1447"/>
      <c r="GOU1447"/>
      <c r="GOV1447"/>
      <c r="GOW1447"/>
      <c r="GOX1447"/>
      <c r="GOY1447"/>
      <c r="GOZ1447"/>
      <c r="GPA1447"/>
      <c r="GPB1447"/>
      <c r="GPC1447"/>
      <c r="GPD1447"/>
      <c r="GPE1447"/>
      <c r="GPF1447"/>
      <c r="GPG1447"/>
      <c r="GPH1447"/>
      <c r="GPI1447"/>
      <c r="GPJ1447"/>
      <c r="GPK1447"/>
      <c r="GPL1447"/>
      <c r="GPM1447"/>
      <c r="GPN1447"/>
      <c r="GPO1447"/>
      <c r="GPP1447"/>
      <c r="GPQ1447"/>
      <c r="GPR1447"/>
      <c r="GPS1447"/>
      <c r="GPT1447"/>
      <c r="GPU1447"/>
      <c r="GPV1447"/>
      <c r="GPW1447"/>
      <c r="GPX1447"/>
      <c r="GPY1447"/>
      <c r="GPZ1447"/>
      <c r="GQA1447"/>
      <c r="GQB1447"/>
      <c r="GQC1447"/>
      <c r="GQD1447"/>
      <c r="GQE1447"/>
      <c r="GQF1447"/>
      <c r="GQG1447"/>
      <c r="GQH1447"/>
      <c r="GQI1447"/>
      <c r="GQJ1447"/>
      <c r="GQK1447"/>
      <c r="GQL1447"/>
      <c r="GQM1447"/>
      <c r="GQN1447"/>
      <c r="GQO1447"/>
      <c r="GQP1447"/>
      <c r="GQQ1447"/>
      <c r="GQR1447"/>
      <c r="GQS1447"/>
      <c r="GQT1447"/>
      <c r="GQU1447"/>
      <c r="GQV1447"/>
      <c r="GQW1447"/>
      <c r="GQX1447"/>
      <c r="GQY1447"/>
      <c r="GQZ1447"/>
      <c r="GRA1447"/>
      <c r="GRB1447"/>
      <c r="GRC1447"/>
      <c r="GRD1447"/>
      <c r="GRE1447"/>
      <c r="GRF1447"/>
      <c r="GRG1447"/>
      <c r="GRH1447"/>
      <c r="GRI1447"/>
      <c r="GRJ1447"/>
      <c r="GRK1447"/>
      <c r="GRL1447"/>
      <c r="GRM1447"/>
      <c r="GRN1447"/>
      <c r="GRO1447"/>
      <c r="GRP1447"/>
      <c r="GRQ1447"/>
      <c r="GRR1447"/>
      <c r="GRS1447"/>
      <c r="GRT1447"/>
      <c r="GRU1447"/>
      <c r="GRV1447"/>
      <c r="GRW1447"/>
      <c r="GRX1447"/>
      <c r="GRY1447"/>
      <c r="GRZ1447"/>
      <c r="GSA1447"/>
      <c r="GSB1447"/>
      <c r="GSC1447"/>
      <c r="GSD1447"/>
      <c r="GSE1447"/>
      <c r="GSF1447"/>
      <c r="GSG1447"/>
      <c r="GSH1447"/>
      <c r="GSI1447"/>
      <c r="GSJ1447"/>
      <c r="GSK1447"/>
      <c r="GSL1447"/>
      <c r="GSM1447"/>
      <c r="GSN1447"/>
      <c r="GSO1447"/>
      <c r="GSP1447"/>
      <c r="GSQ1447"/>
      <c r="GSR1447"/>
      <c r="GSS1447"/>
      <c r="GST1447"/>
      <c r="GSU1447"/>
      <c r="GSV1447"/>
      <c r="GSW1447"/>
      <c r="GSX1447"/>
      <c r="GSY1447"/>
      <c r="GSZ1447"/>
      <c r="GTA1447"/>
      <c r="GTB1447"/>
      <c r="GTC1447"/>
      <c r="GTD1447"/>
      <c r="GTE1447"/>
      <c r="GTF1447"/>
      <c r="GTG1447"/>
      <c r="GTH1447"/>
      <c r="GTI1447"/>
      <c r="GTJ1447"/>
      <c r="GTK1447"/>
      <c r="GTL1447"/>
      <c r="GTM1447"/>
      <c r="GTN1447"/>
      <c r="GTO1447"/>
      <c r="GTP1447"/>
      <c r="GTQ1447"/>
      <c r="GTR1447"/>
      <c r="GTS1447"/>
      <c r="GTT1447"/>
      <c r="GTU1447"/>
      <c r="GTV1447"/>
      <c r="GTW1447"/>
      <c r="GTX1447"/>
      <c r="GTY1447"/>
      <c r="GTZ1447"/>
      <c r="GUA1447"/>
      <c r="GUB1447"/>
      <c r="GUC1447"/>
      <c r="GUD1447"/>
      <c r="GUE1447"/>
      <c r="GUF1447"/>
      <c r="GUG1447"/>
      <c r="GUH1447"/>
      <c r="GUI1447"/>
      <c r="GUJ1447"/>
      <c r="GUK1447"/>
      <c r="GUL1447"/>
      <c r="GUM1447"/>
      <c r="GUN1447"/>
      <c r="GUO1447"/>
      <c r="GUP1447"/>
      <c r="GUQ1447"/>
      <c r="GUR1447"/>
      <c r="GUS1447"/>
      <c r="GUT1447"/>
      <c r="GUU1447"/>
      <c r="GUV1447"/>
      <c r="GUW1447"/>
      <c r="GUX1447"/>
      <c r="GUY1447"/>
      <c r="GUZ1447"/>
      <c r="GVA1447"/>
      <c r="GVB1447"/>
      <c r="GVC1447"/>
      <c r="GVD1447"/>
      <c r="GVE1447"/>
      <c r="GVF1447"/>
      <c r="GVG1447"/>
      <c r="GVH1447"/>
      <c r="GVI1447"/>
      <c r="GVJ1447"/>
      <c r="GVK1447"/>
      <c r="GVL1447"/>
      <c r="GVM1447"/>
      <c r="GVN1447"/>
      <c r="GVO1447"/>
      <c r="GVP1447"/>
      <c r="GVQ1447"/>
      <c r="GVR1447"/>
      <c r="GVS1447"/>
      <c r="GVT1447"/>
      <c r="GVU1447"/>
      <c r="GVV1447"/>
      <c r="GVW1447"/>
      <c r="GVX1447"/>
      <c r="GVY1447"/>
      <c r="GVZ1447"/>
      <c r="GWA1447"/>
      <c r="GWB1447"/>
      <c r="GWC1447"/>
      <c r="GWD1447"/>
      <c r="GWE1447"/>
      <c r="GWF1447"/>
      <c r="GWG1447"/>
      <c r="GWH1447"/>
      <c r="GWI1447"/>
      <c r="GWJ1447"/>
      <c r="GWK1447"/>
      <c r="GWL1447"/>
      <c r="GWM1447"/>
      <c r="GWN1447"/>
      <c r="GWO1447"/>
      <c r="GWP1447"/>
      <c r="GWQ1447"/>
      <c r="GWR1447"/>
      <c r="GWS1447"/>
      <c r="GWT1447"/>
      <c r="GWU1447"/>
      <c r="GWV1447"/>
      <c r="GWW1447"/>
      <c r="GWX1447"/>
      <c r="GWY1447"/>
      <c r="GWZ1447"/>
      <c r="GXA1447"/>
      <c r="GXB1447"/>
      <c r="GXC1447"/>
      <c r="GXD1447"/>
      <c r="GXE1447"/>
      <c r="GXF1447"/>
      <c r="GXG1447"/>
      <c r="GXH1447"/>
      <c r="GXI1447"/>
      <c r="GXJ1447"/>
      <c r="GXK1447"/>
      <c r="GXL1447"/>
      <c r="GXM1447"/>
      <c r="GXN1447"/>
      <c r="GXO1447"/>
      <c r="GXP1447"/>
      <c r="GXQ1447"/>
      <c r="GXR1447"/>
      <c r="GXS1447"/>
      <c r="GXT1447"/>
      <c r="GXU1447"/>
      <c r="GXV1447"/>
      <c r="GXW1447"/>
      <c r="GXX1447"/>
      <c r="GXY1447"/>
      <c r="GXZ1447"/>
      <c r="GYA1447"/>
      <c r="GYB1447"/>
      <c r="GYC1447"/>
      <c r="GYD1447"/>
      <c r="GYE1447"/>
      <c r="GYF1447"/>
      <c r="GYG1447"/>
      <c r="GYH1447"/>
      <c r="GYI1447"/>
      <c r="GYJ1447"/>
      <c r="GYK1447"/>
      <c r="GYL1447"/>
      <c r="GYM1447"/>
      <c r="GYN1447"/>
      <c r="GYO1447"/>
      <c r="GYP1447"/>
      <c r="GYQ1447"/>
      <c r="GYR1447"/>
      <c r="GYS1447"/>
      <c r="GYT1447"/>
      <c r="GYU1447"/>
      <c r="GYV1447"/>
      <c r="GYW1447"/>
      <c r="GYX1447"/>
      <c r="GYY1447"/>
      <c r="GYZ1447"/>
      <c r="GZA1447"/>
      <c r="GZB1447"/>
      <c r="GZC1447"/>
      <c r="GZD1447"/>
      <c r="GZE1447"/>
      <c r="GZF1447"/>
      <c r="GZG1447"/>
      <c r="GZH1447"/>
      <c r="GZI1447"/>
      <c r="GZJ1447"/>
      <c r="GZK1447"/>
      <c r="GZL1447"/>
      <c r="GZM1447"/>
      <c r="GZN1447"/>
      <c r="GZO1447"/>
      <c r="GZP1447"/>
      <c r="GZQ1447"/>
      <c r="GZR1447"/>
      <c r="GZS1447"/>
      <c r="GZT1447"/>
      <c r="GZU1447"/>
      <c r="GZV1447"/>
      <c r="GZW1447"/>
      <c r="GZX1447"/>
      <c r="GZY1447"/>
      <c r="GZZ1447"/>
      <c r="HAA1447"/>
      <c r="HAB1447"/>
      <c r="HAC1447"/>
      <c r="HAD1447"/>
      <c r="HAE1447"/>
      <c r="HAF1447"/>
      <c r="HAG1447"/>
      <c r="HAH1447"/>
      <c r="HAI1447"/>
      <c r="HAJ1447"/>
      <c r="HAK1447"/>
      <c r="HAL1447"/>
      <c r="HAM1447"/>
      <c r="HAN1447"/>
      <c r="HAO1447"/>
      <c r="HAP1447"/>
      <c r="HAQ1447"/>
      <c r="HAR1447"/>
      <c r="HAS1447"/>
      <c r="HAT1447"/>
      <c r="HAU1447"/>
      <c r="HAV1447"/>
      <c r="HAW1447"/>
      <c r="HAX1447"/>
      <c r="HAY1447"/>
      <c r="HAZ1447"/>
      <c r="HBA1447"/>
      <c r="HBB1447"/>
      <c r="HBC1447"/>
      <c r="HBD1447"/>
      <c r="HBE1447"/>
      <c r="HBF1447"/>
      <c r="HBG1447"/>
      <c r="HBH1447"/>
      <c r="HBI1447"/>
      <c r="HBJ1447"/>
      <c r="HBK1447"/>
      <c r="HBL1447"/>
      <c r="HBM1447"/>
      <c r="HBN1447"/>
      <c r="HBO1447"/>
      <c r="HBP1447"/>
      <c r="HBQ1447"/>
      <c r="HBR1447"/>
      <c r="HBS1447"/>
      <c r="HBT1447"/>
      <c r="HBU1447"/>
      <c r="HBV1447"/>
      <c r="HBW1447"/>
      <c r="HBX1447"/>
      <c r="HBY1447"/>
      <c r="HBZ1447"/>
      <c r="HCA1447"/>
      <c r="HCB1447"/>
      <c r="HCC1447"/>
      <c r="HCD1447"/>
      <c r="HCE1447"/>
      <c r="HCF1447"/>
      <c r="HCG1447"/>
      <c r="HCH1447"/>
      <c r="HCI1447"/>
      <c r="HCJ1447"/>
      <c r="HCK1447"/>
      <c r="HCL1447"/>
      <c r="HCM1447"/>
      <c r="HCN1447"/>
      <c r="HCO1447"/>
      <c r="HCP1447"/>
      <c r="HCQ1447"/>
      <c r="HCR1447"/>
      <c r="HCS1447"/>
      <c r="HCT1447"/>
      <c r="HCU1447"/>
      <c r="HCV1447"/>
      <c r="HCW1447"/>
      <c r="HCX1447"/>
      <c r="HCY1447"/>
      <c r="HCZ1447"/>
      <c r="HDA1447"/>
      <c r="HDB1447"/>
      <c r="HDC1447"/>
      <c r="HDD1447"/>
      <c r="HDE1447"/>
      <c r="HDF1447"/>
      <c r="HDG1447"/>
      <c r="HDH1447"/>
      <c r="HDI1447"/>
      <c r="HDJ1447"/>
      <c r="HDK1447"/>
      <c r="HDL1447"/>
      <c r="HDM1447"/>
      <c r="HDN1447"/>
      <c r="HDO1447"/>
      <c r="HDP1447"/>
      <c r="HDQ1447"/>
      <c r="HDR1447"/>
      <c r="HDS1447"/>
      <c r="HDT1447"/>
      <c r="HDU1447"/>
      <c r="HDV1447"/>
      <c r="HDW1447"/>
      <c r="HDX1447"/>
      <c r="HDY1447"/>
      <c r="HDZ1447"/>
      <c r="HEA1447"/>
      <c r="HEB1447"/>
      <c r="HEC1447"/>
      <c r="HED1447"/>
      <c r="HEE1447"/>
      <c r="HEF1447"/>
      <c r="HEG1447"/>
      <c r="HEH1447"/>
      <c r="HEI1447"/>
      <c r="HEJ1447"/>
      <c r="HEK1447"/>
      <c r="HEL1447"/>
      <c r="HEM1447"/>
      <c r="HEN1447"/>
      <c r="HEO1447"/>
      <c r="HEP1447"/>
      <c r="HEQ1447"/>
      <c r="HER1447"/>
      <c r="HES1447"/>
      <c r="HET1447"/>
      <c r="HEU1447"/>
      <c r="HEV1447"/>
      <c r="HEW1447"/>
      <c r="HEX1447"/>
      <c r="HEY1447"/>
      <c r="HEZ1447"/>
      <c r="HFA1447"/>
      <c r="HFB1447"/>
      <c r="HFC1447"/>
      <c r="HFD1447"/>
      <c r="HFE1447"/>
      <c r="HFF1447"/>
      <c r="HFG1447"/>
      <c r="HFH1447"/>
      <c r="HFI1447"/>
      <c r="HFJ1447"/>
      <c r="HFK1447"/>
      <c r="HFL1447"/>
      <c r="HFM1447"/>
      <c r="HFN1447"/>
      <c r="HFO1447"/>
      <c r="HFP1447"/>
      <c r="HFQ1447"/>
      <c r="HFR1447"/>
      <c r="HFS1447"/>
      <c r="HFT1447"/>
      <c r="HFU1447"/>
      <c r="HFV1447"/>
      <c r="HFW1447"/>
      <c r="HFX1447"/>
      <c r="HFY1447"/>
      <c r="HFZ1447"/>
      <c r="HGA1447"/>
      <c r="HGB1447"/>
      <c r="HGC1447"/>
      <c r="HGD1447"/>
      <c r="HGE1447"/>
      <c r="HGF1447"/>
      <c r="HGG1447"/>
      <c r="HGH1447"/>
      <c r="HGI1447"/>
      <c r="HGJ1447"/>
      <c r="HGK1447"/>
      <c r="HGL1447"/>
      <c r="HGM1447"/>
      <c r="HGN1447"/>
      <c r="HGO1447"/>
      <c r="HGP1447"/>
      <c r="HGQ1447"/>
      <c r="HGR1447"/>
      <c r="HGS1447"/>
      <c r="HGT1447"/>
      <c r="HGU1447"/>
      <c r="HGV1447"/>
      <c r="HGW1447"/>
      <c r="HGX1447"/>
      <c r="HGY1447"/>
      <c r="HGZ1447"/>
      <c r="HHA1447"/>
      <c r="HHB1447"/>
      <c r="HHC1447"/>
      <c r="HHD1447"/>
      <c r="HHE1447"/>
      <c r="HHF1447"/>
      <c r="HHG1447"/>
      <c r="HHH1447"/>
      <c r="HHI1447"/>
      <c r="HHJ1447"/>
      <c r="HHK1447"/>
      <c r="HHL1447"/>
      <c r="HHM1447"/>
      <c r="HHN1447"/>
      <c r="HHO1447"/>
      <c r="HHP1447"/>
      <c r="HHQ1447"/>
      <c r="HHR1447"/>
      <c r="HHS1447"/>
      <c r="HHT1447"/>
      <c r="HHU1447"/>
      <c r="HHV1447"/>
      <c r="HHW1447"/>
      <c r="HHX1447"/>
      <c r="HHY1447"/>
      <c r="HHZ1447"/>
      <c r="HIA1447"/>
      <c r="HIB1447"/>
      <c r="HIC1447"/>
      <c r="HID1447"/>
      <c r="HIE1447"/>
      <c r="HIF1447"/>
      <c r="HIG1447"/>
      <c r="HIH1447"/>
      <c r="HII1447"/>
      <c r="HIJ1447"/>
      <c r="HIK1447"/>
      <c r="HIL1447"/>
      <c r="HIM1447"/>
      <c r="HIN1447"/>
      <c r="HIO1447"/>
      <c r="HIP1447"/>
      <c r="HIQ1447"/>
      <c r="HIR1447"/>
      <c r="HIS1447"/>
      <c r="HIT1447"/>
      <c r="HIU1447"/>
      <c r="HIV1447"/>
      <c r="HIW1447"/>
      <c r="HIX1447"/>
      <c r="HIY1447"/>
      <c r="HIZ1447"/>
      <c r="HJA1447"/>
      <c r="HJB1447"/>
      <c r="HJC1447"/>
      <c r="HJD1447"/>
      <c r="HJE1447"/>
      <c r="HJF1447"/>
      <c r="HJG1447"/>
      <c r="HJH1447"/>
      <c r="HJI1447"/>
      <c r="HJJ1447"/>
      <c r="HJK1447"/>
      <c r="HJL1447"/>
      <c r="HJM1447"/>
      <c r="HJN1447"/>
      <c r="HJO1447"/>
      <c r="HJP1447"/>
      <c r="HJQ1447"/>
      <c r="HJR1447"/>
      <c r="HJS1447"/>
      <c r="HJT1447"/>
      <c r="HJU1447"/>
      <c r="HJV1447"/>
      <c r="HJW1447"/>
      <c r="HJX1447"/>
      <c r="HJY1447"/>
      <c r="HJZ1447"/>
      <c r="HKA1447"/>
      <c r="HKB1447"/>
      <c r="HKC1447"/>
      <c r="HKD1447"/>
      <c r="HKE1447"/>
      <c r="HKF1447"/>
      <c r="HKG1447"/>
      <c r="HKH1447"/>
      <c r="HKI1447"/>
      <c r="HKJ1447"/>
      <c r="HKK1447"/>
      <c r="HKL1447"/>
      <c r="HKM1447"/>
      <c r="HKN1447"/>
      <c r="HKO1447"/>
      <c r="HKP1447"/>
      <c r="HKQ1447"/>
      <c r="HKR1447"/>
      <c r="HKS1447"/>
      <c r="HKT1447"/>
      <c r="HKU1447"/>
      <c r="HKV1447"/>
      <c r="HKW1447"/>
      <c r="HKX1447"/>
      <c r="HKY1447"/>
      <c r="HKZ1447"/>
      <c r="HLA1447"/>
      <c r="HLB1447"/>
      <c r="HLC1447"/>
      <c r="HLD1447"/>
      <c r="HLE1447"/>
      <c r="HLF1447"/>
      <c r="HLG1447"/>
      <c r="HLH1447"/>
      <c r="HLI1447"/>
      <c r="HLJ1447"/>
      <c r="HLK1447"/>
      <c r="HLL1447"/>
      <c r="HLM1447"/>
      <c r="HLN1447"/>
      <c r="HLO1447"/>
      <c r="HLP1447"/>
      <c r="HLQ1447"/>
      <c r="HLR1447"/>
      <c r="HLS1447"/>
      <c r="HLT1447"/>
      <c r="HLU1447"/>
      <c r="HLV1447"/>
      <c r="HLW1447"/>
      <c r="HLX1447"/>
      <c r="HLY1447"/>
      <c r="HLZ1447"/>
      <c r="HMA1447"/>
      <c r="HMB1447"/>
      <c r="HMC1447"/>
      <c r="HMD1447"/>
      <c r="HME1447"/>
      <c r="HMF1447"/>
      <c r="HMG1447"/>
      <c r="HMH1447"/>
      <c r="HMI1447"/>
      <c r="HMJ1447"/>
      <c r="HMK1447"/>
      <c r="HML1447"/>
      <c r="HMM1447"/>
      <c r="HMN1447"/>
      <c r="HMO1447"/>
      <c r="HMP1447"/>
      <c r="HMQ1447"/>
      <c r="HMR1447"/>
      <c r="HMS1447"/>
      <c r="HMT1447"/>
      <c r="HMU1447"/>
      <c r="HMV1447"/>
      <c r="HMW1447"/>
      <c r="HMX1447"/>
      <c r="HMY1447"/>
      <c r="HMZ1447"/>
      <c r="HNA1447"/>
      <c r="HNB1447"/>
      <c r="HNC1447"/>
      <c r="HND1447"/>
      <c r="HNE1447"/>
      <c r="HNF1447"/>
      <c r="HNG1447"/>
      <c r="HNH1447"/>
      <c r="HNI1447"/>
      <c r="HNJ1447"/>
      <c r="HNK1447"/>
      <c r="HNL1447"/>
      <c r="HNM1447"/>
      <c r="HNN1447"/>
      <c r="HNO1447"/>
      <c r="HNP1447"/>
      <c r="HNQ1447"/>
      <c r="HNR1447"/>
      <c r="HNS1447"/>
      <c r="HNT1447"/>
      <c r="HNU1447"/>
      <c r="HNV1447"/>
      <c r="HNW1447"/>
      <c r="HNX1447"/>
      <c r="HNY1447"/>
      <c r="HNZ1447"/>
      <c r="HOA1447"/>
      <c r="HOB1447"/>
      <c r="HOC1447"/>
      <c r="HOD1447"/>
      <c r="HOE1447"/>
      <c r="HOF1447"/>
      <c r="HOG1447"/>
      <c r="HOH1447"/>
      <c r="HOI1447"/>
      <c r="HOJ1447"/>
      <c r="HOK1447"/>
      <c r="HOL1447"/>
      <c r="HOM1447"/>
      <c r="HON1447"/>
      <c r="HOO1447"/>
      <c r="HOP1447"/>
      <c r="HOQ1447"/>
      <c r="HOR1447"/>
      <c r="HOS1447"/>
      <c r="HOT1447"/>
      <c r="HOU1447"/>
      <c r="HOV1447"/>
      <c r="HOW1447"/>
      <c r="HOX1447"/>
      <c r="HOY1447"/>
      <c r="HOZ1447"/>
      <c r="HPA1447"/>
      <c r="HPB1447"/>
      <c r="HPC1447"/>
      <c r="HPD1447"/>
      <c r="HPE1447"/>
      <c r="HPF1447"/>
      <c r="HPG1447"/>
      <c r="HPH1447"/>
      <c r="HPI1447"/>
      <c r="HPJ1447"/>
      <c r="HPK1447"/>
      <c r="HPL1447"/>
      <c r="HPM1447"/>
      <c r="HPN1447"/>
      <c r="HPO1447"/>
      <c r="HPP1447"/>
      <c r="HPQ1447"/>
      <c r="HPR1447"/>
      <c r="HPS1447"/>
      <c r="HPT1447"/>
      <c r="HPU1447"/>
      <c r="HPV1447"/>
      <c r="HPW1447"/>
      <c r="HPX1447"/>
      <c r="HPY1447"/>
      <c r="HPZ1447"/>
      <c r="HQA1447"/>
      <c r="HQB1447"/>
      <c r="HQC1447"/>
      <c r="HQD1447"/>
      <c r="HQE1447"/>
      <c r="HQF1447"/>
      <c r="HQG1447"/>
      <c r="HQH1447"/>
      <c r="HQI1447"/>
      <c r="HQJ1447"/>
      <c r="HQK1447"/>
      <c r="HQL1447"/>
      <c r="HQM1447"/>
      <c r="HQN1447"/>
      <c r="HQO1447"/>
      <c r="HQP1447"/>
      <c r="HQQ1447"/>
      <c r="HQR1447"/>
      <c r="HQS1447"/>
      <c r="HQT1447"/>
      <c r="HQU1447"/>
      <c r="HQV1447"/>
      <c r="HQW1447"/>
      <c r="HQX1447"/>
      <c r="HQY1447"/>
      <c r="HQZ1447"/>
      <c r="HRA1447"/>
      <c r="HRB1447"/>
      <c r="HRC1447"/>
      <c r="HRD1447"/>
      <c r="HRE1447"/>
      <c r="HRF1447"/>
      <c r="HRG1447"/>
      <c r="HRH1447"/>
      <c r="HRI1447"/>
      <c r="HRJ1447"/>
      <c r="HRK1447"/>
      <c r="HRL1447"/>
      <c r="HRM1447"/>
      <c r="HRN1447"/>
      <c r="HRO1447"/>
      <c r="HRP1447"/>
      <c r="HRQ1447"/>
      <c r="HRR1447"/>
      <c r="HRS1447"/>
      <c r="HRT1447"/>
      <c r="HRU1447"/>
      <c r="HRV1447"/>
      <c r="HRW1447"/>
      <c r="HRX1447"/>
      <c r="HRY1447"/>
      <c r="HRZ1447"/>
      <c r="HSA1447"/>
      <c r="HSB1447"/>
      <c r="HSC1447"/>
      <c r="HSD1447"/>
      <c r="HSE1447"/>
      <c r="HSF1447"/>
      <c r="HSG1447"/>
      <c r="HSH1447"/>
      <c r="HSI1447"/>
      <c r="HSJ1447"/>
      <c r="HSK1447"/>
      <c r="HSL1447"/>
      <c r="HSM1447"/>
      <c r="HSN1447"/>
      <c r="HSO1447"/>
      <c r="HSP1447"/>
      <c r="HSQ1447"/>
      <c r="HSR1447"/>
      <c r="HSS1447"/>
      <c r="HST1447"/>
      <c r="HSU1447"/>
      <c r="HSV1447"/>
      <c r="HSW1447"/>
      <c r="HSX1447"/>
      <c r="HSY1447"/>
      <c r="HSZ1447"/>
      <c r="HTA1447"/>
      <c r="HTB1447"/>
      <c r="HTC1447"/>
      <c r="HTD1447"/>
      <c r="HTE1447"/>
      <c r="HTF1447"/>
      <c r="HTG1447"/>
      <c r="HTH1447"/>
      <c r="HTI1447"/>
      <c r="HTJ1447"/>
      <c r="HTK1447"/>
      <c r="HTL1447"/>
      <c r="HTM1447"/>
      <c r="HTN1447"/>
      <c r="HTO1447"/>
      <c r="HTP1447"/>
      <c r="HTQ1447"/>
      <c r="HTR1447"/>
      <c r="HTS1447"/>
      <c r="HTT1447"/>
      <c r="HTU1447"/>
      <c r="HTV1447"/>
      <c r="HTW1447"/>
      <c r="HTX1447"/>
      <c r="HTY1447"/>
      <c r="HTZ1447"/>
      <c r="HUA1447"/>
      <c r="HUB1447"/>
      <c r="HUC1447"/>
      <c r="HUD1447"/>
      <c r="HUE1447"/>
      <c r="HUF1447"/>
      <c r="HUG1447"/>
      <c r="HUH1447"/>
      <c r="HUI1447"/>
      <c r="HUJ1447"/>
      <c r="HUK1447"/>
      <c r="HUL1447"/>
      <c r="HUM1447"/>
      <c r="HUN1447"/>
      <c r="HUO1447"/>
      <c r="HUP1447"/>
      <c r="HUQ1447"/>
      <c r="HUR1447"/>
      <c r="HUS1447"/>
      <c r="HUT1447"/>
      <c r="HUU1447"/>
      <c r="HUV1447"/>
      <c r="HUW1447"/>
      <c r="HUX1447"/>
      <c r="HUY1447"/>
      <c r="HUZ1447"/>
      <c r="HVA1447"/>
      <c r="HVB1447"/>
      <c r="HVC1447"/>
      <c r="HVD1447"/>
      <c r="HVE1447"/>
      <c r="HVF1447"/>
      <c r="HVG1447"/>
      <c r="HVH1447"/>
      <c r="HVI1447"/>
      <c r="HVJ1447"/>
      <c r="HVK1447"/>
      <c r="HVL1447"/>
      <c r="HVM1447"/>
      <c r="HVN1447"/>
      <c r="HVO1447"/>
      <c r="HVP1447"/>
      <c r="HVQ1447"/>
      <c r="HVR1447"/>
      <c r="HVS1447"/>
      <c r="HVT1447"/>
      <c r="HVU1447"/>
      <c r="HVV1447"/>
      <c r="HVW1447"/>
      <c r="HVX1447"/>
      <c r="HVY1447"/>
      <c r="HVZ1447"/>
      <c r="HWA1447"/>
      <c r="HWB1447"/>
      <c r="HWC1447"/>
      <c r="HWD1447"/>
      <c r="HWE1447"/>
      <c r="HWF1447"/>
      <c r="HWG1447"/>
      <c r="HWH1447"/>
      <c r="HWI1447"/>
      <c r="HWJ1447"/>
      <c r="HWK1447"/>
      <c r="HWL1447"/>
      <c r="HWM1447"/>
      <c r="HWN1447"/>
      <c r="HWO1447"/>
      <c r="HWP1447"/>
      <c r="HWQ1447"/>
      <c r="HWR1447"/>
      <c r="HWS1447"/>
      <c r="HWT1447"/>
      <c r="HWU1447"/>
      <c r="HWV1447"/>
      <c r="HWW1447"/>
      <c r="HWX1447"/>
      <c r="HWY1447"/>
      <c r="HWZ1447"/>
      <c r="HXA1447"/>
      <c r="HXB1447"/>
      <c r="HXC1447"/>
      <c r="HXD1447"/>
      <c r="HXE1447"/>
      <c r="HXF1447"/>
      <c r="HXG1447"/>
      <c r="HXH1447"/>
      <c r="HXI1447"/>
      <c r="HXJ1447"/>
      <c r="HXK1447"/>
      <c r="HXL1447"/>
      <c r="HXM1447"/>
      <c r="HXN1447"/>
      <c r="HXO1447"/>
      <c r="HXP1447"/>
      <c r="HXQ1447"/>
      <c r="HXR1447"/>
      <c r="HXS1447"/>
      <c r="HXT1447"/>
      <c r="HXU1447"/>
      <c r="HXV1447"/>
      <c r="HXW1447"/>
      <c r="HXX1447"/>
      <c r="HXY1447"/>
      <c r="HXZ1447"/>
      <c r="HYA1447"/>
      <c r="HYB1447"/>
      <c r="HYC1447"/>
      <c r="HYD1447"/>
      <c r="HYE1447"/>
      <c r="HYF1447"/>
      <c r="HYG1447"/>
      <c r="HYH1447"/>
      <c r="HYI1447"/>
      <c r="HYJ1447"/>
      <c r="HYK1447"/>
      <c r="HYL1447"/>
      <c r="HYM1447"/>
      <c r="HYN1447"/>
      <c r="HYO1447"/>
      <c r="HYP1447"/>
      <c r="HYQ1447"/>
      <c r="HYR1447"/>
      <c r="HYS1447"/>
      <c r="HYT1447"/>
      <c r="HYU1447"/>
      <c r="HYV1447"/>
      <c r="HYW1447"/>
      <c r="HYX1447"/>
      <c r="HYY1447"/>
      <c r="HYZ1447"/>
      <c r="HZA1447"/>
      <c r="HZB1447"/>
      <c r="HZC1447"/>
      <c r="HZD1447"/>
      <c r="HZE1447"/>
      <c r="HZF1447"/>
      <c r="HZG1447"/>
      <c r="HZH1447"/>
      <c r="HZI1447"/>
      <c r="HZJ1447"/>
      <c r="HZK1447"/>
      <c r="HZL1447"/>
      <c r="HZM1447"/>
      <c r="HZN1447"/>
      <c r="HZO1447"/>
      <c r="HZP1447"/>
      <c r="HZQ1447"/>
      <c r="HZR1447"/>
      <c r="HZS1447"/>
      <c r="HZT1447"/>
      <c r="HZU1447"/>
      <c r="HZV1447"/>
      <c r="HZW1447"/>
      <c r="HZX1447"/>
      <c r="HZY1447"/>
      <c r="HZZ1447"/>
      <c r="IAA1447"/>
      <c r="IAB1447"/>
      <c r="IAC1447"/>
      <c r="IAD1447"/>
      <c r="IAE1447"/>
      <c r="IAF1447"/>
      <c r="IAG1447"/>
      <c r="IAH1447"/>
      <c r="IAI1447"/>
      <c r="IAJ1447"/>
      <c r="IAK1447"/>
      <c r="IAL1447"/>
      <c r="IAM1447"/>
      <c r="IAN1447"/>
      <c r="IAO1447"/>
      <c r="IAP1447"/>
      <c r="IAQ1447"/>
      <c r="IAR1447"/>
      <c r="IAS1447"/>
      <c r="IAT1447"/>
      <c r="IAU1447"/>
      <c r="IAV1447"/>
      <c r="IAW1447"/>
      <c r="IAX1447"/>
      <c r="IAY1447"/>
      <c r="IAZ1447"/>
      <c r="IBA1447"/>
      <c r="IBB1447"/>
      <c r="IBC1447"/>
      <c r="IBD1447"/>
      <c r="IBE1447"/>
      <c r="IBF1447"/>
      <c r="IBG1447"/>
      <c r="IBH1447"/>
      <c r="IBI1447"/>
      <c r="IBJ1447"/>
      <c r="IBK1447"/>
      <c r="IBL1447"/>
      <c r="IBM1447"/>
      <c r="IBN1447"/>
      <c r="IBO1447"/>
      <c r="IBP1447"/>
      <c r="IBQ1447"/>
      <c r="IBR1447"/>
      <c r="IBS1447"/>
      <c r="IBT1447"/>
      <c r="IBU1447"/>
      <c r="IBV1447"/>
      <c r="IBW1447"/>
      <c r="IBX1447"/>
      <c r="IBY1447"/>
      <c r="IBZ1447"/>
      <c r="ICA1447"/>
      <c r="ICB1447"/>
      <c r="ICC1447"/>
      <c r="ICD1447"/>
      <c r="ICE1447"/>
      <c r="ICF1447"/>
      <c r="ICG1447"/>
      <c r="ICH1447"/>
      <c r="ICI1447"/>
      <c r="ICJ1447"/>
      <c r="ICK1447"/>
      <c r="ICL1447"/>
      <c r="ICM1447"/>
      <c r="ICN1447"/>
      <c r="ICO1447"/>
      <c r="ICP1447"/>
      <c r="ICQ1447"/>
      <c r="ICR1447"/>
      <c r="ICS1447"/>
      <c r="ICT1447"/>
      <c r="ICU1447"/>
      <c r="ICV1447"/>
      <c r="ICW1447"/>
      <c r="ICX1447"/>
      <c r="ICY1447"/>
      <c r="ICZ1447"/>
      <c r="IDA1447"/>
      <c r="IDB1447"/>
      <c r="IDC1447"/>
      <c r="IDD1447"/>
      <c r="IDE1447"/>
      <c r="IDF1447"/>
      <c r="IDG1447"/>
      <c r="IDH1447"/>
      <c r="IDI1447"/>
      <c r="IDJ1447"/>
      <c r="IDK1447"/>
      <c r="IDL1447"/>
      <c r="IDM1447"/>
      <c r="IDN1447"/>
      <c r="IDO1447"/>
      <c r="IDP1447"/>
      <c r="IDQ1447"/>
      <c r="IDR1447"/>
      <c r="IDS1447"/>
      <c r="IDT1447"/>
      <c r="IDU1447"/>
      <c r="IDV1447"/>
      <c r="IDW1447"/>
      <c r="IDX1447"/>
      <c r="IDY1447"/>
      <c r="IDZ1447"/>
      <c r="IEA1447"/>
      <c r="IEB1447"/>
      <c r="IEC1447"/>
      <c r="IED1447"/>
      <c r="IEE1447"/>
      <c r="IEF1447"/>
      <c r="IEG1447"/>
      <c r="IEH1447"/>
      <c r="IEI1447"/>
      <c r="IEJ1447"/>
      <c r="IEK1447"/>
      <c r="IEL1447"/>
      <c r="IEM1447"/>
      <c r="IEN1447"/>
      <c r="IEO1447"/>
      <c r="IEP1447"/>
      <c r="IEQ1447"/>
      <c r="IER1447"/>
      <c r="IES1447"/>
      <c r="IET1447"/>
      <c r="IEU1447"/>
      <c r="IEV1447"/>
      <c r="IEW1447"/>
      <c r="IEX1447"/>
      <c r="IEY1447"/>
      <c r="IEZ1447"/>
      <c r="IFA1447"/>
      <c r="IFB1447"/>
      <c r="IFC1447"/>
      <c r="IFD1447"/>
      <c r="IFE1447"/>
      <c r="IFF1447"/>
      <c r="IFG1447"/>
      <c r="IFH1447"/>
      <c r="IFI1447"/>
      <c r="IFJ1447"/>
      <c r="IFK1447"/>
      <c r="IFL1447"/>
      <c r="IFM1447"/>
      <c r="IFN1447"/>
      <c r="IFO1447"/>
      <c r="IFP1447"/>
      <c r="IFQ1447"/>
      <c r="IFR1447"/>
      <c r="IFS1447"/>
      <c r="IFT1447"/>
      <c r="IFU1447"/>
      <c r="IFV1447"/>
      <c r="IFW1447"/>
      <c r="IFX1447"/>
      <c r="IFY1447"/>
      <c r="IFZ1447"/>
      <c r="IGA1447"/>
      <c r="IGB1447"/>
      <c r="IGC1447"/>
      <c r="IGD1447"/>
      <c r="IGE1447"/>
      <c r="IGF1447"/>
      <c r="IGG1447"/>
      <c r="IGH1447"/>
      <c r="IGI1447"/>
      <c r="IGJ1447"/>
      <c r="IGK1447"/>
      <c r="IGL1447"/>
      <c r="IGM1447"/>
      <c r="IGN1447"/>
      <c r="IGO1447"/>
      <c r="IGP1447"/>
      <c r="IGQ1447"/>
      <c r="IGR1447"/>
      <c r="IGS1447"/>
      <c r="IGT1447"/>
      <c r="IGU1447"/>
      <c r="IGV1447"/>
      <c r="IGW1447"/>
      <c r="IGX1447"/>
      <c r="IGY1447"/>
      <c r="IGZ1447"/>
      <c r="IHA1447"/>
      <c r="IHB1447"/>
      <c r="IHC1447"/>
      <c r="IHD1447"/>
      <c r="IHE1447"/>
      <c r="IHF1447"/>
      <c r="IHG1447"/>
      <c r="IHH1447"/>
      <c r="IHI1447"/>
      <c r="IHJ1447"/>
      <c r="IHK1447"/>
      <c r="IHL1447"/>
      <c r="IHM1447"/>
      <c r="IHN1447"/>
      <c r="IHO1447"/>
      <c r="IHP1447"/>
      <c r="IHQ1447"/>
      <c r="IHR1447"/>
      <c r="IHS1447"/>
      <c r="IHT1447"/>
      <c r="IHU1447"/>
      <c r="IHV1447"/>
      <c r="IHW1447"/>
      <c r="IHX1447"/>
      <c r="IHY1447"/>
      <c r="IHZ1447"/>
      <c r="IIA1447"/>
      <c r="IIB1447"/>
      <c r="IIC1447"/>
      <c r="IID1447"/>
      <c r="IIE1447"/>
      <c r="IIF1447"/>
      <c r="IIG1447"/>
      <c r="IIH1447"/>
      <c r="III1447"/>
      <c r="IIJ1447"/>
      <c r="IIK1447"/>
      <c r="IIL1447"/>
      <c r="IIM1447"/>
      <c r="IIN1447"/>
      <c r="IIO1447"/>
      <c r="IIP1447"/>
      <c r="IIQ1447"/>
      <c r="IIR1447"/>
      <c r="IIS1447"/>
      <c r="IIT1447"/>
      <c r="IIU1447"/>
      <c r="IIV1447"/>
      <c r="IIW1447"/>
      <c r="IIX1447"/>
      <c r="IIY1447"/>
      <c r="IIZ1447"/>
      <c r="IJA1447"/>
      <c r="IJB1447"/>
      <c r="IJC1447"/>
      <c r="IJD1447"/>
      <c r="IJE1447"/>
      <c r="IJF1447"/>
      <c r="IJG1447"/>
      <c r="IJH1447"/>
      <c r="IJI1447"/>
      <c r="IJJ1447"/>
      <c r="IJK1447"/>
      <c r="IJL1447"/>
      <c r="IJM1447"/>
      <c r="IJN1447"/>
      <c r="IJO1447"/>
      <c r="IJP1447"/>
      <c r="IJQ1447"/>
      <c r="IJR1447"/>
      <c r="IJS1447"/>
      <c r="IJT1447"/>
      <c r="IJU1447"/>
      <c r="IJV1447"/>
      <c r="IJW1447"/>
      <c r="IJX1447"/>
      <c r="IJY1447"/>
      <c r="IJZ1447"/>
      <c r="IKA1447"/>
      <c r="IKB1447"/>
      <c r="IKC1447"/>
      <c r="IKD1447"/>
      <c r="IKE1447"/>
      <c r="IKF1447"/>
      <c r="IKG1447"/>
      <c r="IKH1447"/>
      <c r="IKI1447"/>
      <c r="IKJ1447"/>
      <c r="IKK1447"/>
      <c r="IKL1447"/>
      <c r="IKM1447"/>
      <c r="IKN1447"/>
      <c r="IKO1447"/>
      <c r="IKP1447"/>
      <c r="IKQ1447"/>
      <c r="IKR1447"/>
      <c r="IKS1447"/>
      <c r="IKT1447"/>
      <c r="IKU1447"/>
      <c r="IKV1447"/>
      <c r="IKW1447"/>
      <c r="IKX1447"/>
      <c r="IKY1447"/>
      <c r="IKZ1447"/>
      <c r="ILA1447"/>
      <c r="ILB1447"/>
      <c r="ILC1447"/>
      <c r="ILD1447"/>
      <c r="ILE1447"/>
      <c r="ILF1447"/>
      <c r="ILG1447"/>
      <c r="ILH1447"/>
      <c r="ILI1447"/>
      <c r="ILJ1447"/>
      <c r="ILK1447"/>
      <c r="ILL1447"/>
      <c r="ILM1447"/>
      <c r="ILN1447"/>
      <c r="ILO1447"/>
      <c r="ILP1447"/>
      <c r="ILQ1447"/>
      <c r="ILR1447"/>
      <c r="ILS1447"/>
      <c r="ILT1447"/>
      <c r="ILU1447"/>
      <c r="ILV1447"/>
      <c r="ILW1447"/>
      <c r="ILX1447"/>
      <c r="ILY1447"/>
      <c r="ILZ1447"/>
      <c r="IMA1447"/>
      <c r="IMB1447"/>
      <c r="IMC1447"/>
      <c r="IMD1447"/>
      <c r="IME1447"/>
      <c r="IMF1447"/>
      <c r="IMG1447"/>
      <c r="IMH1447"/>
      <c r="IMI1447"/>
      <c r="IMJ1447"/>
      <c r="IMK1447"/>
      <c r="IML1447"/>
      <c r="IMM1447"/>
      <c r="IMN1447"/>
      <c r="IMO1447"/>
      <c r="IMP1447"/>
      <c r="IMQ1447"/>
      <c r="IMR1447"/>
      <c r="IMS1447"/>
      <c r="IMT1447"/>
      <c r="IMU1447"/>
      <c r="IMV1447"/>
      <c r="IMW1447"/>
      <c r="IMX1447"/>
      <c r="IMY1447"/>
      <c r="IMZ1447"/>
      <c r="INA1447"/>
      <c r="INB1447"/>
      <c r="INC1447"/>
      <c r="IND1447"/>
      <c r="INE1447"/>
      <c r="INF1447"/>
      <c r="ING1447"/>
      <c r="INH1447"/>
      <c r="INI1447"/>
      <c r="INJ1447"/>
      <c r="INK1447"/>
      <c r="INL1447"/>
      <c r="INM1447"/>
      <c r="INN1447"/>
      <c r="INO1447"/>
      <c r="INP1447"/>
      <c r="INQ1447"/>
      <c r="INR1447"/>
      <c r="INS1447"/>
      <c r="INT1447"/>
      <c r="INU1447"/>
      <c r="INV1447"/>
      <c r="INW1447"/>
      <c r="INX1447"/>
      <c r="INY1447"/>
      <c r="INZ1447"/>
      <c r="IOA1447"/>
      <c r="IOB1447"/>
      <c r="IOC1447"/>
      <c r="IOD1447"/>
      <c r="IOE1447"/>
      <c r="IOF1447"/>
      <c r="IOG1447"/>
      <c r="IOH1447"/>
      <c r="IOI1447"/>
      <c r="IOJ1447"/>
      <c r="IOK1447"/>
      <c r="IOL1447"/>
      <c r="IOM1447"/>
      <c r="ION1447"/>
      <c r="IOO1447"/>
      <c r="IOP1447"/>
      <c r="IOQ1447"/>
      <c r="IOR1447"/>
      <c r="IOS1447"/>
      <c r="IOT1447"/>
      <c r="IOU1447"/>
      <c r="IOV1447"/>
      <c r="IOW1447"/>
      <c r="IOX1447"/>
      <c r="IOY1447"/>
      <c r="IOZ1447"/>
      <c r="IPA1447"/>
      <c r="IPB1447"/>
      <c r="IPC1447"/>
      <c r="IPD1447"/>
      <c r="IPE1447"/>
      <c r="IPF1447"/>
      <c r="IPG1447"/>
      <c r="IPH1447"/>
      <c r="IPI1447"/>
      <c r="IPJ1447"/>
      <c r="IPK1447"/>
      <c r="IPL1447"/>
      <c r="IPM1447"/>
      <c r="IPN1447"/>
      <c r="IPO1447"/>
      <c r="IPP1447"/>
      <c r="IPQ1447"/>
      <c r="IPR1447"/>
      <c r="IPS1447"/>
      <c r="IPT1447"/>
      <c r="IPU1447"/>
      <c r="IPV1447"/>
      <c r="IPW1447"/>
      <c r="IPX1447"/>
      <c r="IPY1447"/>
      <c r="IPZ1447"/>
      <c r="IQA1447"/>
      <c r="IQB1447"/>
      <c r="IQC1447"/>
      <c r="IQD1447"/>
      <c r="IQE1447"/>
      <c r="IQF1447"/>
      <c r="IQG1447"/>
      <c r="IQH1447"/>
      <c r="IQI1447"/>
      <c r="IQJ1447"/>
      <c r="IQK1447"/>
      <c r="IQL1447"/>
      <c r="IQM1447"/>
      <c r="IQN1447"/>
      <c r="IQO1447"/>
      <c r="IQP1447"/>
      <c r="IQQ1447"/>
      <c r="IQR1447"/>
      <c r="IQS1447"/>
      <c r="IQT1447"/>
      <c r="IQU1447"/>
      <c r="IQV1447"/>
      <c r="IQW1447"/>
      <c r="IQX1447"/>
      <c r="IQY1447"/>
      <c r="IQZ1447"/>
      <c r="IRA1447"/>
      <c r="IRB1447"/>
      <c r="IRC1447"/>
      <c r="IRD1447"/>
      <c r="IRE1447"/>
      <c r="IRF1447"/>
      <c r="IRG1447"/>
      <c r="IRH1447"/>
      <c r="IRI1447"/>
      <c r="IRJ1447"/>
      <c r="IRK1447"/>
      <c r="IRL1447"/>
      <c r="IRM1447"/>
      <c r="IRN1447"/>
      <c r="IRO1447"/>
      <c r="IRP1447"/>
      <c r="IRQ1447"/>
      <c r="IRR1447"/>
      <c r="IRS1447"/>
      <c r="IRT1447"/>
      <c r="IRU1447"/>
      <c r="IRV1447"/>
      <c r="IRW1447"/>
      <c r="IRX1447"/>
      <c r="IRY1447"/>
      <c r="IRZ1447"/>
      <c r="ISA1447"/>
      <c r="ISB1447"/>
      <c r="ISC1447"/>
      <c r="ISD1447"/>
      <c r="ISE1447"/>
      <c r="ISF1447"/>
      <c r="ISG1447"/>
      <c r="ISH1447"/>
      <c r="ISI1447"/>
      <c r="ISJ1447"/>
      <c r="ISK1447"/>
      <c r="ISL1447"/>
      <c r="ISM1447"/>
      <c r="ISN1447"/>
      <c r="ISO1447"/>
      <c r="ISP1447"/>
      <c r="ISQ1447"/>
      <c r="ISR1447"/>
      <c r="ISS1447"/>
      <c r="IST1447"/>
      <c r="ISU1447"/>
      <c r="ISV1447"/>
      <c r="ISW1447"/>
      <c r="ISX1447"/>
      <c r="ISY1447"/>
      <c r="ISZ1447"/>
      <c r="ITA1447"/>
      <c r="ITB1447"/>
      <c r="ITC1447"/>
      <c r="ITD1447"/>
      <c r="ITE1447"/>
      <c r="ITF1447"/>
      <c r="ITG1447"/>
      <c r="ITH1447"/>
      <c r="ITI1447"/>
      <c r="ITJ1447"/>
      <c r="ITK1447"/>
      <c r="ITL1447"/>
      <c r="ITM1447"/>
      <c r="ITN1447"/>
      <c r="ITO1447"/>
      <c r="ITP1447"/>
      <c r="ITQ1447"/>
      <c r="ITR1447"/>
      <c r="ITS1447"/>
      <c r="ITT1447"/>
      <c r="ITU1447"/>
      <c r="ITV1447"/>
      <c r="ITW1447"/>
      <c r="ITX1447"/>
      <c r="ITY1447"/>
      <c r="ITZ1447"/>
      <c r="IUA1447"/>
      <c r="IUB1447"/>
      <c r="IUC1447"/>
      <c r="IUD1447"/>
      <c r="IUE1447"/>
      <c r="IUF1447"/>
      <c r="IUG1447"/>
      <c r="IUH1447"/>
      <c r="IUI1447"/>
      <c r="IUJ1447"/>
      <c r="IUK1447"/>
      <c r="IUL1447"/>
      <c r="IUM1447"/>
      <c r="IUN1447"/>
      <c r="IUO1447"/>
      <c r="IUP1447"/>
      <c r="IUQ1447"/>
      <c r="IUR1447"/>
      <c r="IUS1447"/>
      <c r="IUT1447"/>
      <c r="IUU1447"/>
      <c r="IUV1447"/>
      <c r="IUW1447"/>
      <c r="IUX1447"/>
      <c r="IUY1447"/>
      <c r="IUZ1447"/>
      <c r="IVA1447"/>
      <c r="IVB1447"/>
      <c r="IVC1447"/>
      <c r="IVD1447"/>
      <c r="IVE1447"/>
      <c r="IVF1447"/>
      <c r="IVG1447"/>
      <c r="IVH1447"/>
      <c r="IVI1447"/>
      <c r="IVJ1447"/>
      <c r="IVK1447"/>
      <c r="IVL1447"/>
      <c r="IVM1447"/>
      <c r="IVN1447"/>
      <c r="IVO1447"/>
      <c r="IVP1447"/>
      <c r="IVQ1447"/>
      <c r="IVR1447"/>
      <c r="IVS1447"/>
      <c r="IVT1447"/>
      <c r="IVU1447"/>
      <c r="IVV1447"/>
      <c r="IVW1447"/>
      <c r="IVX1447"/>
      <c r="IVY1447"/>
      <c r="IVZ1447"/>
      <c r="IWA1447"/>
      <c r="IWB1447"/>
      <c r="IWC1447"/>
      <c r="IWD1447"/>
      <c r="IWE1447"/>
      <c r="IWF1447"/>
      <c r="IWG1447"/>
      <c r="IWH1447"/>
      <c r="IWI1447"/>
      <c r="IWJ1447"/>
      <c r="IWK1447"/>
      <c r="IWL1447"/>
      <c r="IWM1447"/>
      <c r="IWN1447"/>
      <c r="IWO1447"/>
      <c r="IWP1447"/>
      <c r="IWQ1447"/>
      <c r="IWR1447"/>
      <c r="IWS1447"/>
      <c r="IWT1447"/>
      <c r="IWU1447"/>
      <c r="IWV1447"/>
      <c r="IWW1447"/>
      <c r="IWX1447"/>
      <c r="IWY1447"/>
      <c r="IWZ1447"/>
      <c r="IXA1447"/>
      <c r="IXB1447"/>
      <c r="IXC1447"/>
      <c r="IXD1447"/>
      <c r="IXE1447"/>
      <c r="IXF1447"/>
      <c r="IXG1447"/>
      <c r="IXH1447"/>
      <c r="IXI1447"/>
      <c r="IXJ1447"/>
      <c r="IXK1447"/>
      <c r="IXL1447"/>
      <c r="IXM1447"/>
      <c r="IXN1447"/>
      <c r="IXO1447"/>
      <c r="IXP1447"/>
      <c r="IXQ1447"/>
      <c r="IXR1447"/>
      <c r="IXS1447"/>
      <c r="IXT1447"/>
      <c r="IXU1447"/>
      <c r="IXV1447"/>
      <c r="IXW1447"/>
      <c r="IXX1447"/>
      <c r="IXY1447"/>
      <c r="IXZ1447"/>
      <c r="IYA1447"/>
      <c r="IYB1447"/>
      <c r="IYC1447"/>
      <c r="IYD1447"/>
      <c r="IYE1447"/>
      <c r="IYF1447"/>
      <c r="IYG1447"/>
      <c r="IYH1447"/>
      <c r="IYI1447"/>
      <c r="IYJ1447"/>
      <c r="IYK1447"/>
      <c r="IYL1447"/>
      <c r="IYM1447"/>
      <c r="IYN1447"/>
      <c r="IYO1447"/>
      <c r="IYP1447"/>
      <c r="IYQ1447"/>
      <c r="IYR1447"/>
      <c r="IYS1447"/>
      <c r="IYT1447"/>
      <c r="IYU1447"/>
      <c r="IYV1447"/>
      <c r="IYW1447"/>
      <c r="IYX1447"/>
      <c r="IYY1447"/>
      <c r="IYZ1447"/>
      <c r="IZA1447"/>
      <c r="IZB1447"/>
      <c r="IZC1447"/>
      <c r="IZD1447"/>
      <c r="IZE1447"/>
      <c r="IZF1447"/>
      <c r="IZG1447"/>
      <c r="IZH1447"/>
      <c r="IZI1447"/>
      <c r="IZJ1447"/>
      <c r="IZK1447"/>
      <c r="IZL1447"/>
      <c r="IZM1447"/>
      <c r="IZN1447"/>
      <c r="IZO1447"/>
      <c r="IZP1447"/>
      <c r="IZQ1447"/>
      <c r="IZR1447"/>
      <c r="IZS1447"/>
      <c r="IZT1447"/>
      <c r="IZU1447"/>
      <c r="IZV1447"/>
      <c r="IZW1447"/>
      <c r="IZX1447"/>
      <c r="IZY1447"/>
      <c r="IZZ1447"/>
      <c r="JAA1447"/>
      <c r="JAB1447"/>
      <c r="JAC1447"/>
      <c r="JAD1447"/>
      <c r="JAE1447"/>
      <c r="JAF1447"/>
      <c r="JAG1447"/>
      <c r="JAH1447"/>
      <c r="JAI1447"/>
      <c r="JAJ1447"/>
      <c r="JAK1447"/>
      <c r="JAL1447"/>
      <c r="JAM1447"/>
      <c r="JAN1447"/>
      <c r="JAO1447"/>
      <c r="JAP1447"/>
      <c r="JAQ1447"/>
      <c r="JAR1447"/>
      <c r="JAS1447"/>
      <c r="JAT1447"/>
      <c r="JAU1447"/>
      <c r="JAV1447"/>
      <c r="JAW1447"/>
      <c r="JAX1447"/>
      <c r="JAY1447"/>
      <c r="JAZ1447"/>
      <c r="JBA1447"/>
      <c r="JBB1447"/>
      <c r="JBC1447"/>
      <c r="JBD1447"/>
      <c r="JBE1447"/>
      <c r="JBF1447"/>
      <c r="JBG1447"/>
      <c r="JBH1447"/>
      <c r="JBI1447"/>
      <c r="JBJ1447"/>
      <c r="JBK1447"/>
      <c r="JBL1447"/>
      <c r="JBM1447"/>
      <c r="JBN1447"/>
      <c r="JBO1447"/>
      <c r="JBP1447"/>
      <c r="JBQ1447"/>
      <c r="JBR1447"/>
      <c r="JBS1447"/>
      <c r="JBT1447"/>
      <c r="JBU1447"/>
      <c r="JBV1447"/>
      <c r="JBW1447"/>
      <c r="JBX1447"/>
      <c r="JBY1447"/>
      <c r="JBZ1447"/>
      <c r="JCA1447"/>
      <c r="JCB1447"/>
      <c r="JCC1447"/>
      <c r="JCD1447"/>
      <c r="JCE1447"/>
      <c r="JCF1447"/>
      <c r="JCG1447"/>
      <c r="JCH1447"/>
      <c r="JCI1447"/>
      <c r="JCJ1447"/>
      <c r="JCK1447"/>
      <c r="JCL1447"/>
      <c r="JCM1447"/>
      <c r="JCN1447"/>
      <c r="JCO1447"/>
      <c r="JCP1447"/>
      <c r="JCQ1447"/>
      <c r="JCR1447"/>
      <c r="JCS1447"/>
      <c r="JCT1447"/>
      <c r="JCU1447"/>
      <c r="JCV1447"/>
      <c r="JCW1447"/>
      <c r="JCX1447"/>
      <c r="JCY1447"/>
      <c r="JCZ1447"/>
      <c r="JDA1447"/>
      <c r="JDB1447"/>
      <c r="JDC1447"/>
      <c r="JDD1447"/>
      <c r="JDE1447"/>
      <c r="JDF1447"/>
      <c r="JDG1447"/>
      <c r="JDH1447"/>
      <c r="JDI1447"/>
      <c r="JDJ1447"/>
      <c r="JDK1447"/>
      <c r="JDL1447"/>
      <c r="JDM1447"/>
      <c r="JDN1447"/>
      <c r="JDO1447"/>
      <c r="JDP1447"/>
      <c r="JDQ1447"/>
      <c r="JDR1447"/>
      <c r="JDS1447"/>
      <c r="JDT1447"/>
      <c r="JDU1447"/>
      <c r="JDV1447"/>
      <c r="JDW1447"/>
      <c r="JDX1447"/>
      <c r="JDY1447"/>
      <c r="JDZ1447"/>
      <c r="JEA1447"/>
      <c r="JEB1447"/>
      <c r="JEC1447"/>
      <c r="JED1447"/>
      <c r="JEE1447"/>
      <c r="JEF1447"/>
      <c r="JEG1447"/>
      <c r="JEH1447"/>
      <c r="JEI1447"/>
      <c r="JEJ1447"/>
      <c r="JEK1447"/>
      <c r="JEL1447"/>
      <c r="JEM1447"/>
      <c r="JEN1447"/>
      <c r="JEO1447"/>
      <c r="JEP1447"/>
      <c r="JEQ1447"/>
      <c r="JER1447"/>
      <c r="JES1447"/>
      <c r="JET1447"/>
      <c r="JEU1447"/>
      <c r="JEV1447"/>
      <c r="JEW1447"/>
      <c r="JEX1447"/>
      <c r="JEY1447"/>
      <c r="JEZ1447"/>
      <c r="JFA1447"/>
      <c r="JFB1447"/>
      <c r="JFC1447"/>
      <c r="JFD1447"/>
      <c r="JFE1447"/>
      <c r="JFF1447"/>
      <c r="JFG1447"/>
      <c r="JFH1447"/>
      <c r="JFI1447"/>
      <c r="JFJ1447"/>
      <c r="JFK1447"/>
      <c r="JFL1447"/>
      <c r="JFM1447"/>
      <c r="JFN1447"/>
      <c r="JFO1447"/>
      <c r="JFP1447"/>
      <c r="JFQ1447"/>
      <c r="JFR1447"/>
      <c r="JFS1447"/>
      <c r="JFT1447"/>
      <c r="JFU1447"/>
      <c r="JFV1447"/>
      <c r="JFW1447"/>
      <c r="JFX1447"/>
      <c r="JFY1447"/>
      <c r="JFZ1447"/>
      <c r="JGA1447"/>
      <c r="JGB1447"/>
      <c r="JGC1447"/>
      <c r="JGD1447"/>
      <c r="JGE1447"/>
      <c r="JGF1447"/>
      <c r="JGG1447"/>
      <c r="JGH1447"/>
      <c r="JGI1447"/>
      <c r="JGJ1447"/>
      <c r="JGK1447"/>
      <c r="JGL1447"/>
      <c r="JGM1447"/>
      <c r="JGN1447"/>
      <c r="JGO1447"/>
      <c r="JGP1447"/>
      <c r="JGQ1447"/>
      <c r="JGR1447"/>
      <c r="JGS1447"/>
      <c r="JGT1447"/>
      <c r="JGU1447"/>
      <c r="JGV1447"/>
      <c r="JGW1447"/>
      <c r="JGX1447"/>
      <c r="JGY1447"/>
      <c r="JGZ1447"/>
      <c r="JHA1447"/>
      <c r="JHB1447"/>
      <c r="JHC1447"/>
      <c r="JHD1447"/>
      <c r="JHE1447"/>
      <c r="JHF1447"/>
      <c r="JHG1447"/>
      <c r="JHH1447"/>
      <c r="JHI1447"/>
      <c r="JHJ1447"/>
      <c r="JHK1447"/>
      <c r="JHL1447"/>
      <c r="JHM1447"/>
      <c r="JHN1447"/>
      <c r="JHO1447"/>
      <c r="JHP1447"/>
      <c r="JHQ1447"/>
      <c r="JHR1447"/>
      <c r="JHS1447"/>
      <c r="JHT1447"/>
      <c r="JHU1447"/>
      <c r="JHV1447"/>
      <c r="JHW1447"/>
      <c r="JHX1447"/>
      <c r="JHY1447"/>
      <c r="JHZ1447"/>
      <c r="JIA1447"/>
      <c r="JIB1447"/>
      <c r="JIC1447"/>
      <c r="JID1447"/>
      <c r="JIE1447"/>
      <c r="JIF1447"/>
      <c r="JIG1447"/>
      <c r="JIH1447"/>
      <c r="JII1447"/>
      <c r="JIJ1447"/>
      <c r="JIK1447"/>
      <c r="JIL1447"/>
      <c r="JIM1447"/>
      <c r="JIN1447"/>
      <c r="JIO1447"/>
      <c r="JIP1447"/>
      <c r="JIQ1447"/>
      <c r="JIR1447"/>
      <c r="JIS1447"/>
      <c r="JIT1447"/>
      <c r="JIU1447"/>
      <c r="JIV1447"/>
      <c r="JIW1447"/>
      <c r="JIX1447"/>
      <c r="JIY1447"/>
      <c r="JIZ1447"/>
      <c r="JJA1447"/>
      <c r="JJB1447"/>
      <c r="JJC1447"/>
      <c r="JJD1447"/>
      <c r="JJE1447"/>
      <c r="JJF1447"/>
      <c r="JJG1447"/>
      <c r="JJH1447"/>
      <c r="JJI1447"/>
      <c r="JJJ1447"/>
      <c r="JJK1447"/>
      <c r="JJL1447"/>
      <c r="JJM1447"/>
      <c r="JJN1447"/>
      <c r="JJO1447"/>
      <c r="JJP1447"/>
      <c r="JJQ1447"/>
      <c r="JJR1447"/>
      <c r="JJS1447"/>
      <c r="JJT1447"/>
      <c r="JJU1447"/>
      <c r="JJV1447"/>
      <c r="JJW1447"/>
      <c r="JJX1447"/>
      <c r="JJY1447"/>
      <c r="JJZ1447"/>
      <c r="JKA1447"/>
      <c r="JKB1447"/>
      <c r="JKC1447"/>
      <c r="JKD1447"/>
      <c r="JKE1447"/>
      <c r="JKF1447"/>
      <c r="JKG1447"/>
      <c r="JKH1447"/>
      <c r="JKI1447"/>
      <c r="JKJ1447"/>
      <c r="JKK1447"/>
      <c r="JKL1447"/>
      <c r="JKM1447"/>
      <c r="JKN1447"/>
      <c r="JKO1447"/>
      <c r="JKP1447"/>
      <c r="JKQ1447"/>
      <c r="JKR1447"/>
      <c r="JKS1447"/>
      <c r="JKT1447"/>
      <c r="JKU1447"/>
      <c r="JKV1447"/>
      <c r="JKW1447"/>
      <c r="JKX1447"/>
      <c r="JKY1447"/>
      <c r="JKZ1447"/>
      <c r="JLA1447"/>
      <c r="JLB1447"/>
      <c r="JLC1447"/>
      <c r="JLD1447"/>
      <c r="JLE1447"/>
      <c r="JLF1447"/>
      <c r="JLG1447"/>
      <c r="JLH1447"/>
      <c r="JLI1447"/>
      <c r="JLJ1447"/>
      <c r="JLK1447"/>
      <c r="JLL1447"/>
      <c r="JLM1447"/>
      <c r="JLN1447"/>
      <c r="JLO1447"/>
      <c r="JLP1447"/>
      <c r="JLQ1447"/>
      <c r="JLR1447"/>
      <c r="JLS1447"/>
      <c r="JLT1447"/>
      <c r="JLU1447"/>
      <c r="JLV1447"/>
      <c r="JLW1447"/>
      <c r="JLX1447"/>
      <c r="JLY1447"/>
      <c r="JLZ1447"/>
      <c r="JMA1447"/>
      <c r="JMB1447"/>
      <c r="JMC1447"/>
      <c r="JMD1447"/>
      <c r="JME1447"/>
      <c r="JMF1447"/>
      <c r="JMG1447"/>
      <c r="JMH1447"/>
      <c r="JMI1447"/>
      <c r="JMJ1447"/>
      <c r="JMK1447"/>
      <c r="JML1447"/>
      <c r="JMM1447"/>
      <c r="JMN1447"/>
      <c r="JMO1447"/>
      <c r="JMP1447"/>
      <c r="JMQ1447"/>
      <c r="JMR1447"/>
      <c r="JMS1447"/>
      <c r="JMT1447"/>
      <c r="JMU1447"/>
      <c r="JMV1447"/>
      <c r="JMW1447"/>
      <c r="JMX1447"/>
      <c r="JMY1447"/>
      <c r="JMZ1447"/>
      <c r="JNA1447"/>
      <c r="JNB1447"/>
      <c r="JNC1447"/>
      <c r="JND1447"/>
      <c r="JNE1447"/>
      <c r="JNF1447"/>
      <c r="JNG1447"/>
      <c r="JNH1447"/>
      <c r="JNI1447"/>
      <c r="JNJ1447"/>
      <c r="JNK1447"/>
      <c r="JNL1447"/>
      <c r="JNM1447"/>
      <c r="JNN1447"/>
      <c r="JNO1447"/>
      <c r="JNP1447"/>
      <c r="JNQ1447"/>
      <c r="JNR1447"/>
      <c r="JNS1447"/>
      <c r="JNT1447"/>
      <c r="JNU1447"/>
      <c r="JNV1447"/>
      <c r="JNW1447"/>
      <c r="JNX1447"/>
      <c r="JNY1447"/>
      <c r="JNZ1447"/>
      <c r="JOA1447"/>
      <c r="JOB1447"/>
      <c r="JOC1447"/>
      <c r="JOD1447"/>
      <c r="JOE1447"/>
      <c r="JOF1447"/>
      <c r="JOG1447"/>
      <c r="JOH1447"/>
      <c r="JOI1447"/>
      <c r="JOJ1447"/>
      <c r="JOK1447"/>
      <c r="JOL1447"/>
      <c r="JOM1447"/>
      <c r="JON1447"/>
      <c r="JOO1447"/>
      <c r="JOP1447"/>
      <c r="JOQ1447"/>
      <c r="JOR1447"/>
      <c r="JOS1447"/>
      <c r="JOT1447"/>
      <c r="JOU1447"/>
      <c r="JOV1447"/>
      <c r="JOW1447"/>
      <c r="JOX1447"/>
      <c r="JOY1447"/>
      <c r="JOZ1447"/>
      <c r="JPA1447"/>
      <c r="JPB1447"/>
      <c r="JPC1447"/>
      <c r="JPD1447"/>
      <c r="JPE1447"/>
      <c r="JPF1447"/>
      <c r="JPG1447"/>
      <c r="JPH1447"/>
      <c r="JPI1447"/>
      <c r="JPJ1447"/>
      <c r="JPK1447"/>
      <c r="JPL1447"/>
      <c r="JPM1447"/>
      <c r="JPN1447"/>
      <c r="JPO1447"/>
      <c r="JPP1447"/>
      <c r="JPQ1447"/>
      <c r="JPR1447"/>
      <c r="JPS1447"/>
      <c r="JPT1447"/>
      <c r="JPU1447"/>
      <c r="JPV1447"/>
      <c r="JPW1447"/>
      <c r="JPX1447"/>
      <c r="JPY1447"/>
      <c r="JPZ1447"/>
      <c r="JQA1447"/>
      <c r="JQB1447"/>
      <c r="JQC1447"/>
      <c r="JQD1447"/>
      <c r="JQE1447"/>
      <c r="JQF1447"/>
      <c r="JQG1447"/>
      <c r="JQH1447"/>
      <c r="JQI1447"/>
      <c r="JQJ1447"/>
      <c r="JQK1447"/>
      <c r="JQL1447"/>
      <c r="JQM1447"/>
      <c r="JQN1447"/>
      <c r="JQO1447"/>
      <c r="JQP1447"/>
      <c r="JQQ1447"/>
      <c r="JQR1447"/>
      <c r="JQS1447"/>
      <c r="JQT1447"/>
      <c r="JQU1447"/>
      <c r="JQV1447"/>
      <c r="JQW1447"/>
      <c r="JQX1447"/>
      <c r="JQY1447"/>
      <c r="JQZ1447"/>
      <c r="JRA1447"/>
      <c r="JRB1447"/>
      <c r="JRC1447"/>
      <c r="JRD1447"/>
      <c r="JRE1447"/>
      <c r="JRF1447"/>
      <c r="JRG1447"/>
      <c r="JRH1447"/>
      <c r="JRI1447"/>
      <c r="JRJ1447"/>
      <c r="JRK1447"/>
      <c r="JRL1447"/>
      <c r="JRM1447"/>
      <c r="JRN1447"/>
      <c r="JRO1447"/>
      <c r="JRP1447"/>
      <c r="JRQ1447"/>
      <c r="JRR1447"/>
      <c r="JRS1447"/>
      <c r="JRT1447"/>
      <c r="JRU1447"/>
      <c r="JRV1447"/>
      <c r="JRW1447"/>
      <c r="JRX1447"/>
      <c r="JRY1447"/>
      <c r="JRZ1447"/>
      <c r="JSA1447"/>
      <c r="JSB1447"/>
      <c r="JSC1447"/>
      <c r="JSD1447"/>
      <c r="JSE1447"/>
      <c r="JSF1447"/>
      <c r="JSG1447"/>
      <c r="JSH1447"/>
      <c r="JSI1447"/>
      <c r="JSJ1447"/>
      <c r="JSK1447"/>
      <c r="JSL1447"/>
      <c r="JSM1447"/>
      <c r="JSN1447"/>
      <c r="JSO1447"/>
      <c r="JSP1447"/>
      <c r="JSQ1447"/>
      <c r="JSR1447"/>
      <c r="JSS1447"/>
      <c r="JST1447"/>
      <c r="JSU1447"/>
      <c r="JSV1447"/>
      <c r="JSW1447"/>
      <c r="JSX1447"/>
      <c r="JSY1447"/>
      <c r="JSZ1447"/>
      <c r="JTA1447"/>
      <c r="JTB1447"/>
      <c r="JTC1447"/>
      <c r="JTD1447"/>
      <c r="JTE1447"/>
      <c r="JTF1447"/>
      <c r="JTG1447"/>
      <c r="JTH1447"/>
      <c r="JTI1447"/>
      <c r="JTJ1447"/>
      <c r="JTK1447"/>
      <c r="JTL1447"/>
      <c r="JTM1447"/>
      <c r="JTN1447"/>
      <c r="JTO1447"/>
      <c r="JTP1447"/>
      <c r="JTQ1447"/>
      <c r="JTR1447"/>
      <c r="JTS1447"/>
      <c r="JTT1447"/>
      <c r="JTU1447"/>
      <c r="JTV1447"/>
      <c r="JTW1447"/>
      <c r="JTX1447"/>
      <c r="JTY1447"/>
      <c r="JTZ1447"/>
      <c r="JUA1447"/>
      <c r="JUB1447"/>
      <c r="JUC1447"/>
      <c r="JUD1447"/>
      <c r="JUE1447"/>
      <c r="JUF1447"/>
      <c r="JUG1447"/>
      <c r="JUH1447"/>
      <c r="JUI1447"/>
      <c r="JUJ1447"/>
      <c r="JUK1447"/>
      <c r="JUL1447"/>
      <c r="JUM1447"/>
      <c r="JUN1447"/>
      <c r="JUO1447"/>
      <c r="JUP1447"/>
      <c r="JUQ1447"/>
      <c r="JUR1447"/>
      <c r="JUS1447"/>
      <c r="JUT1447"/>
      <c r="JUU1447"/>
      <c r="JUV1447"/>
      <c r="JUW1447"/>
      <c r="JUX1447"/>
      <c r="JUY1447"/>
      <c r="JUZ1447"/>
      <c r="JVA1447"/>
      <c r="JVB1447"/>
      <c r="JVC1447"/>
      <c r="JVD1447"/>
      <c r="JVE1447"/>
      <c r="JVF1447"/>
      <c r="JVG1447"/>
      <c r="JVH1447"/>
      <c r="JVI1447"/>
      <c r="JVJ1447"/>
      <c r="JVK1447"/>
      <c r="JVL1447"/>
      <c r="JVM1447"/>
      <c r="JVN1447"/>
      <c r="JVO1447"/>
      <c r="JVP1447"/>
      <c r="JVQ1447"/>
      <c r="JVR1447"/>
      <c r="JVS1447"/>
      <c r="JVT1447"/>
      <c r="JVU1447"/>
      <c r="JVV1447"/>
      <c r="JVW1447"/>
      <c r="JVX1447"/>
      <c r="JVY1447"/>
      <c r="JVZ1447"/>
      <c r="JWA1447"/>
      <c r="JWB1447"/>
      <c r="JWC1447"/>
      <c r="JWD1447"/>
      <c r="JWE1447"/>
      <c r="JWF1447"/>
      <c r="JWG1447"/>
      <c r="JWH1447"/>
      <c r="JWI1447"/>
      <c r="JWJ1447"/>
      <c r="JWK1447"/>
      <c r="JWL1447"/>
      <c r="JWM1447"/>
      <c r="JWN1447"/>
      <c r="JWO1447"/>
      <c r="JWP1447"/>
      <c r="JWQ1447"/>
      <c r="JWR1447"/>
      <c r="JWS1447"/>
      <c r="JWT1447"/>
      <c r="JWU1447"/>
      <c r="JWV1447"/>
      <c r="JWW1447"/>
      <c r="JWX1447"/>
      <c r="JWY1447"/>
      <c r="JWZ1447"/>
      <c r="JXA1447"/>
      <c r="JXB1447"/>
      <c r="JXC1447"/>
      <c r="JXD1447"/>
      <c r="JXE1447"/>
      <c r="JXF1447"/>
      <c r="JXG1447"/>
      <c r="JXH1447"/>
      <c r="JXI1447"/>
      <c r="JXJ1447"/>
      <c r="JXK1447"/>
      <c r="JXL1447"/>
      <c r="JXM1447"/>
      <c r="JXN1447"/>
      <c r="JXO1447"/>
      <c r="JXP1447"/>
      <c r="JXQ1447"/>
      <c r="JXR1447"/>
      <c r="JXS1447"/>
      <c r="JXT1447"/>
      <c r="JXU1447"/>
      <c r="JXV1447"/>
      <c r="JXW1447"/>
      <c r="JXX1447"/>
      <c r="JXY1447"/>
      <c r="JXZ1447"/>
      <c r="JYA1447"/>
      <c r="JYB1447"/>
      <c r="JYC1447"/>
      <c r="JYD1447"/>
      <c r="JYE1447"/>
      <c r="JYF1447"/>
      <c r="JYG1447"/>
      <c r="JYH1447"/>
      <c r="JYI1447"/>
      <c r="JYJ1447"/>
      <c r="JYK1447"/>
      <c r="JYL1447"/>
      <c r="JYM1447"/>
      <c r="JYN1447"/>
      <c r="JYO1447"/>
      <c r="JYP1447"/>
      <c r="JYQ1447"/>
      <c r="JYR1447"/>
      <c r="JYS1447"/>
      <c r="JYT1447"/>
      <c r="JYU1447"/>
      <c r="JYV1447"/>
      <c r="JYW1447"/>
      <c r="JYX1447"/>
      <c r="JYY1447"/>
      <c r="JYZ1447"/>
      <c r="JZA1447"/>
      <c r="JZB1447"/>
      <c r="JZC1447"/>
      <c r="JZD1447"/>
      <c r="JZE1447"/>
      <c r="JZF1447"/>
      <c r="JZG1447"/>
      <c r="JZH1447"/>
      <c r="JZI1447"/>
      <c r="JZJ1447"/>
      <c r="JZK1447"/>
      <c r="JZL1447"/>
      <c r="JZM1447"/>
      <c r="JZN1447"/>
      <c r="JZO1447"/>
      <c r="JZP1447"/>
      <c r="JZQ1447"/>
      <c r="JZR1447"/>
      <c r="JZS1447"/>
      <c r="JZT1447"/>
      <c r="JZU1447"/>
      <c r="JZV1447"/>
      <c r="JZW1447"/>
      <c r="JZX1447"/>
      <c r="JZY1447"/>
      <c r="JZZ1447"/>
      <c r="KAA1447"/>
      <c r="KAB1447"/>
      <c r="KAC1447"/>
      <c r="KAD1447"/>
      <c r="KAE1447"/>
      <c r="KAF1447"/>
      <c r="KAG1447"/>
      <c r="KAH1447"/>
      <c r="KAI1447"/>
      <c r="KAJ1447"/>
      <c r="KAK1447"/>
      <c r="KAL1447"/>
      <c r="KAM1447"/>
      <c r="KAN1447"/>
      <c r="KAO1447"/>
      <c r="KAP1447"/>
      <c r="KAQ1447"/>
      <c r="KAR1447"/>
      <c r="KAS1447"/>
      <c r="KAT1447"/>
      <c r="KAU1447"/>
      <c r="KAV1447"/>
      <c r="KAW1447"/>
      <c r="KAX1447"/>
      <c r="KAY1447"/>
      <c r="KAZ1447"/>
      <c r="KBA1447"/>
      <c r="KBB1447"/>
      <c r="KBC1447"/>
      <c r="KBD1447"/>
      <c r="KBE1447"/>
      <c r="KBF1447"/>
      <c r="KBG1447"/>
      <c r="KBH1447"/>
      <c r="KBI1447"/>
      <c r="KBJ1447"/>
      <c r="KBK1447"/>
      <c r="KBL1447"/>
      <c r="KBM1447"/>
      <c r="KBN1447"/>
      <c r="KBO1447"/>
      <c r="KBP1447"/>
      <c r="KBQ1447"/>
      <c r="KBR1447"/>
      <c r="KBS1447"/>
      <c r="KBT1447"/>
      <c r="KBU1447"/>
      <c r="KBV1447"/>
      <c r="KBW1447"/>
      <c r="KBX1447"/>
      <c r="KBY1447"/>
      <c r="KBZ1447"/>
      <c r="KCA1447"/>
      <c r="KCB1447"/>
      <c r="KCC1447"/>
      <c r="KCD1447"/>
      <c r="KCE1447"/>
      <c r="KCF1447"/>
      <c r="KCG1447"/>
      <c r="KCH1447"/>
      <c r="KCI1447"/>
      <c r="KCJ1447"/>
      <c r="KCK1447"/>
      <c r="KCL1447"/>
      <c r="KCM1447"/>
      <c r="KCN1447"/>
      <c r="KCO1447"/>
      <c r="KCP1447"/>
      <c r="KCQ1447"/>
      <c r="KCR1447"/>
      <c r="KCS1447"/>
      <c r="KCT1447"/>
      <c r="KCU1447"/>
      <c r="KCV1447"/>
      <c r="KCW1447"/>
      <c r="KCX1447"/>
      <c r="KCY1447"/>
      <c r="KCZ1447"/>
      <c r="KDA1447"/>
      <c r="KDB1447"/>
      <c r="KDC1447"/>
      <c r="KDD1447"/>
      <c r="KDE1447"/>
      <c r="KDF1447"/>
      <c r="KDG1447"/>
      <c r="KDH1447"/>
      <c r="KDI1447"/>
      <c r="KDJ1447"/>
      <c r="KDK1447"/>
      <c r="KDL1447"/>
      <c r="KDM1447"/>
      <c r="KDN1447"/>
      <c r="KDO1447"/>
      <c r="KDP1447"/>
      <c r="KDQ1447"/>
      <c r="KDR1447"/>
      <c r="KDS1447"/>
      <c r="KDT1447"/>
      <c r="KDU1447"/>
      <c r="KDV1447"/>
      <c r="KDW1447"/>
      <c r="KDX1447"/>
      <c r="KDY1447"/>
      <c r="KDZ1447"/>
      <c r="KEA1447"/>
      <c r="KEB1447"/>
      <c r="KEC1447"/>
      <c r="KED1447"/>
      <c r="KEE1447"/>
      <c r="KEF1447"/>
      <c r="KEG1447"/>
      <c r="KEH1447"/>
      <c r="KEI1447"/>
      <c r="KEJ1447"/>
      <c r="KEK1447"/>
      <c r="KEL1447"/>
      <c r="KEM1447"/>
      <c r="KEN1447"/>
      <c r="KEO1447"/>
      <c r="KEP1447"/>
      <c r="KEQ1447"/>
      <c r="KER1447"/>
      <c r="KES1447"/>
      <c r="KET1447"/>
      <c r="KEU1447"/>
      <c r="KEV1447"/>
      <c r="KEW1447"/>
      <c r="KEX1447"/>
      <c r="KEY1447"/>
      <c r="KEZ1447"/>
      <c r="KFA1447"/>
      <c r="KFB1447"/>
      <c r="KFC1447"/>
      <c r="KFD1447"/>
      <c r="KFE1447"/>
      <c r="KFF1447"/>
      <c r="KFG1447"/>
      <c r="KFH1447"/>
      <c r="KFI1447"/>
      <c r="KFJ1447"/>
      <c r="KFK1447"/>
      <c r="KFL1447"/>
      <c r="KFM1447"/>
      <c r="KFN1447"/>
      <c r="KFO1447"/>
      <c r="KFP1447"/>
      <c r="KFQ1447"/>
      <c r="KFR1447"/>
      <c r="KFS1447"/>
      <c r="KFT1447"/>
      <c r="KFU1447"/>
      <c r="KFV1447"/>
      <c r="KFW1447"/>
      <c r="KFX1447"/>
      <c r="KFY1447"/>
      <c r="KFZ1447"/>
      <c r="KGA1447"/>
      <c r="KGB1447"/>
      <c r="KGC1447"/>
      <c r="KGD1447"/>
      <c r="KGE1447"/>
      <c r="KGF1447"/>
      <c r="KGG1447"/>
      <c r="KGH1447"/>
      <c r="KGI1447"/>
      <c r="KGJ1447"/>
      <c r="KGK1447"/>
      <c r="KGL1447"/>
      <c r="KGM1447"/>
      <c r="KGN1447"/>
      <c r="KGO1447"/>
      <c r="KGP1447"/>
      <c r="KGQ1447"/>
      <c r="KGR1447"/>
      <c r="KGS1447"/>
      <c r="KGT1447"/>
      <c r="KGU1447"/>
      <c r="KGV1447"/>
      <c r="KGW1447"/>
      <c r="KGX1447"/>
      <c r="KGY1447"/>
      <c r="KGZ1447"/>
      <c r="KHA1447"/>
      <c r="KHB1447"/>
      <c r="KHC1447"/>
      <c r="KHD1447"/>
      <c r="KHE1447"/>
      <c r="KHF1447"/>
      <c r="KHG1447"/>
      <c r="KHH1447"/>
      <c r="KHI1447"/>
      <c r="KHJ1447"/>
      <c r="KHK1447"/>
      <c r="KHL1447"/>
      <c r="KHM1447"/>
      <c r="KHN1447"/>
      <c r="KHO1447"/>
      <c r="KHP1447"/>
      <c r="KHQ1447"/>
      <c r="KHR1447"/>
      <c r="KHS1447"/>
      <c r="KHT1447"/>
      <c r="KHU1447"/>
      <c r="KHV1447"/>
      <c r="KHW1447"/>
      <c r="KHX1447"/>
      <c r="KHY1447"/>
      <c r="KHZ1447"/>
      <c r="KIA1447"/>
      <c r="KIB1447"/>
      <c r="KIC1447"/>
      <c r="KID1447"/>
      <c r="KIE1447"/>
      <c r="KIF1447"/>
      <c r="KIG1447"/>
      <c r="KIH1447"/>
      <c r="KII1447"/>
      <c r="KIJ1447"/>
      <c r="KIK1447"/>
      <c r="KIL1447"/>
      <c r="KIM1447"/>
      <c r="KIN1447"/>
      <c r="KIO1447"/>
      <c r="KIP1447"/>
      <c r="KIQ1447"/>
      <c r="KIR1447"/>
      <c r="KIS1447"/>
      <c r="KIT1447"/>
      <c r="KIU1447"/>
      <c r="KIV1447"/>
      <c r="KIW1447"/>
      <c r="KIX1447"/>
      <c r="KIY1447"/>
      <c r="KIZ1447"/>
      <c r="KJA1447"/>
      <c r="KJB1447"/>
      <c r="KJC1447"/>
      <c r="KJD1447"/>
      <c r="KJE1447"/>
      <c r="KJF1447"/>
      <c r="KJG1447"/>
      <c r="KJH1447"/>
      <c r="KJI1447"/>
      <c r="KJJ1447"/>
      <c r="KJK1447"/>
      <c r="KJL1447"/>
      <c r="KJM1447"/>
      <c r="KJN1447"/>
      <c r="KJO1447"/>
      <c r="KJP1447"/>
      <c r="KJQ1447"/>
      <c r="KJR1447"/>
      <c r="KJS1447"/>
      <c r="KJT1447"/>
      <c r="KJU1447"/>
      <c r="KJV1447"/>
      <c r="KJW1447"/>
      <c r="KJX1447"/>
      <c r="KJY1447"/>
      <c r="KJZ1447"/>
      <c r="KKA1447"/>
      <c r="KKB1447"/>
      <c r="KKC1447"/>
      <c r="KKD1447"/>
      <c r="KKE1447"/>
      <c r="KKF1447"/>
      <c r="KKG1447"/>
      <c r="KKH1447"/>
      <c r="KKI1447"/>
      <c r="KKJ1447"/>
      <c r="KKK1447"/>
      <c r="KKL1447"/>
      <c r="KKM1447"/>
      <c r="KKN1447"/>
      <c r="KKO1447"/>
      <c r="KKP1447"/>
      <c r="KKQ1447"/>
      <c r="KKR1447"/>
      <c r="KKS1447"/>
      <c r="KKT1447"/>
      <c r="KKU1447"/>
      <c r="KKV1447"/>
      <c r="KKW1447"/>
      <c r="KKX1447"/>
      <c r="KKY1447"/>
      <c r="KKZ1447"/>
      <c r="KLA1447"/>
      <c r="KLB1447"/>
      <c r="KLC1447"/>
      <c r="KLD1447"/>
      <c r="KLE1447"/>
      <c r="KLF1447"/>
      <c r="KLG1447"/>
      <c r="KLH1447"/>
      <c r="KLI1447"/>
      <c r="KLJ1447"/>
      <c r="KLK1447"/>
      <c r="KLL1447"/>
      <c r="KLM1447"/>
      <c r="KLN1447"/>
      <c r="KLO1447"/>
      <c r="KLP1447"/>
      <c r="KLQ1447"/>
      <c r="KLR1447"/>
      <c r="KLS1447"/>
      <c r="KLT1447"/>
      <c r="KLU1447"/>
      <c r="KLV1447"/>
      <c r="KLW1447"/>
      <c r="KLX1447"/>
      <c r="KLY1447"/>
      <c r="KLZ1447"/>
      <c r="KMA1447"/>
      <c r="KMB1447"/>
      <c r="KMC1447"/>
      <c r="KMD1447"/>
      <c r="KME1447"/>
      <c r="KMF1447"/>
      <c r="KMG1447"/>
      <c r="KMH1447"/>
      <c r="KMI1447"/>
      <c r="KMJ1447"/>
      <c r="KMK1447"/>
      <c r="KML1447"/>
      <c r="KMM1447"/>
      <c r="KMN1447"/>
      <c r="KMO1447"/>
      <c r="KMP1447"/>
      <c r="KMQ1447"/>
      <c r="KMR1447"/>
      <c r="KMS1447"/>
      <c r="KMT1447"/>
      <c r="KMU1447"/>
      <c r="KMV1447"/>
      <c r="KMW1447"/>
      <c r="KMX1447"/>
      <c r="KMY1447"/>
      <c r="KMZ1447"/>
      <c r="KNA1447"/>
      <c r="KNB1447"/>
      <c r="KNC1447"/>
      <c r="KND1447"/>
      <c r="KNE1447"/>
      <c r="KNF1447"/>
      <c r="KNG1447"/>
      <c r="KNH1447"/>
      <c r="KNI1447"/>
      <c r="KNJ1447"/>
      <c r="KNK1447"/>
      <c r="KNL1447"/>
      <c r="KNM1447"/>
      <c r="KNN1447"/>
      <c r="KNO1447"/>
      <c r="KNP1447"/>
      <c r="KNQ1447"/>
      <c r="KNR1447"/>
      <c r="KNS1447"/>
      <c r="KNT1447"/>
      <c r="KNU1447"/>
      <c r="KNV1447"/>
      <c r="KNW1447"/>
      <c r="KNX1447"/>
      <c r="KNY1447"/>
      <c r="KNZ1447"/>
      <c r="KOA1447"/>
      <c r="KOB1447"/>
      <c r="KOC1447"/>
      <c r="KOD1447"/>
      <c r="KOE1447"/>
      <c r="KOF1447"/>
      <c r="KOG1447"/>
      <c r="KOH1447"/>
      <c r="KOI1447"/>
      <c r="KOJ1447"/>
      <c r="KOK1447"/>
      <c r="KOL1447"/>
      <c r="KOM1447"/>
      <c r="KON1447"/>
      <c r="KOO1447"/>
      <c r="KOP1447"/>
      <c r="KOQ1447"/>
      <c r="KOR1447"/>
      <c r="KOS1447"/>
      <c r="KOT1447"/>
      <c r="KOU1447"/>
      <c r="KOV1447"/>
      <c r="KOW1447"/>
      <c r="KOX1447"/>
      <c r="KOY1447"/>
      <c r="KOZ1447"/>
      <c r="KPA1447"/>
      <c r="KPB1447"/>
      <c r="KPC1447"/>
      <c r="KPD1447"/>
      <c r="KPE1447"/>
      <c r="KPF1447"/>
      <c r="KPG1447"/>
      <c r="KPH1447"/>
      <c r="KPI1447"/>
      <c r="KPJ1447"/>
      <c r="KPK1447"/>
      <c r="KPL1447"/>
      <c r="KPM1447"/>
      <c r="KPN1447"/>
      <c r="KPO1447"/>
      <c r="KPP1447"/>
      <c r="KPQ1447"/>
      <c r="KPR1447"/>
      <c r="KPS1447"/>
      <c r="KPT1447"/>
      <c r="KPU1447"/>
      <c r="KPV1447"/>
      <c r="KPW1447"/>
      <c r="KPX1447"/>
      <c r="KPY1447"/>
      <c r="KPZ1447"/>
      <c r="KQA1447"/>
      <c r="KQB1447"/>
      <c r="KQC1447"/>
      <c r="KQD1447"/>
      <c r="KQE1447"/>
      <c r="KQF1447"/>
      <c r="KQG1447"/>
      <c r="KQH1447"/>
      <c r="KQI1447"/>
      <c r="KQJ1447"/>
      <c r="KQK1447"/>
      <c r="KQL1447"/>
      <c r="KQM1447"/>
      <c r="KQN1447"/>
      <c r="KQO1447"/>
      <c r="KQP1447"/>
      <c r="KQQ1447"/>
      <c r="KQR1447"/>
      <c r="KQS1447"/>
      <c r="KQT1447"/>
      <c r="KQU1447"/>
      <c r="KQV1447"/>
      <c r="KQW1447"/>
      <c r="KQX1447"/>
      <c r="KQY1447"/>
      <c r="KQZ1447"/>
      <c r="KRA1447"/>
      <c r="KRB1447"/>
      <c r="KRC1447"/>
      <c r="KRD1447"/>
      <c r="KRE1447"/>
      <c r="KRF1447"/>
      <c r="KRG1447"/>
      <c r="KRH1447"/>
      <c r="KRI1447"/>
      <c r="KRJ1447"/>
      <c r="KRK1447"/>
      <c r="KRL1447"/>
      <c r="KRM1447"/>
      <c r="KRN1447"/>
      <c r="KRO1447"/>
      <c r="KRP1447"/>
      <c r="KRQ1447"/>
      <c r="KRR1447"/>
      <c r="KRS1447"/>
      <c r="KRT1447"/>
      <c r="KRU1447"/>
      <c r="KRV1447"/>
      <c r="KRW1447"/>
      <c r="KRX1447"/>
      <c r="KRY1447"/>
      <c r="KRZ1447"/>
      <c r="KSA1447"/>
      <c r="KSB1447"/>
      <c r="KSC1447"/>
      <c r="KSD1447"/>
      <c r="KSE1447"/>
      <c r="KSF1447"/>
      <c r="KSG1447"/>
      <c r="KSH1447"/>
      <c r="KSI1447"/>
      <c r="KSJ1447"/>
      <c r="KSK1447"/>
      <c r="KSL1447"/>
      <c r="KSM1447"/>
      <c r="KSN1447"/>
      <c r="KSO1447"/>
      <c r="KSP1447"/>
      <c r="KSQ1447"/>
      <c r="KSR1447"/>
      <c r="KSS1447"/>
      <c r="KST1447"/>
      <c r="KSU1447"/>
      <c r="KSV1447"/>
      <c r="KSW1447"/>
      <c r="KSX1447"/>
      <c r="KSY1447"/>
      <c r="KSZ1447"/>
      <c r="KTA1447"/>
      <c r="KTB1447"/>
      <c r="KTC1447"/>
      <c r="KTD1447"/>
      <c r="KTE1447"/>
      <c r="KTF1447"/>
      <c r="KTG1447"/>
      <c r="KTH1447"/>
      <c r="KTI1447"/>
      <c r="KTJ1447"/>
      <c r="KTK1447"/>
      <c r="KTL1447"/>
      <c r="KTM1447"/>
      <c r="KTN1447"/>
      <c r="KTO1447"/>
      <c r="KTP1447"/>
      <c r="KTQ1447"/>
      <c r="KTR1447"/>
      <c r="KTS1447"/>
      <c r="KTT1447"/>
      <c r="KTU1447"/>
      <c r="KTV1447"/>
      <c r="KTW1447"/>
      <c r="KTX1447"/>
      <c r="KTY1447"/>
      <c r="KTZ1447"/>
      <c r="KUA1447"/>
      <c r="KUB1447"/>
      <c r="KUC1447"/>
      <c r="KUD1447"/>
      <c r="KUE1447"/>
      <c r="KUF1447"/>
      <c r="KUG1447"/>
      <c r="KUH1447"/>
      <c r="KUI1447"/>
      <c r="KUJ1447"/>
      <c r="KUK1447"/>
      <c r="KUL1447"/>
      <c r="KUM1447"/>
      <c r="KUN1447"/>
      <c r="KUO1447"/>
      <c r="KUP1447"/>
      <c r="KUQ1447"/>
      <c r="KUR1447"/>
      <c r="KUS1447"/>
      <c r="KUT1447"/>
      <c r="KUU1447"/>
      <c r="KUV1447"/>
      <c r="KUW1447"/>
      <c r="KUX1447"/>
      <c r="KUY1447"/>
      <c r="KUZ1447"/>
      <c r="KVA1447"/>
      <c r="KVB1447"/>
      <c r="KVC1447"/>
      <c r="KVD1447"/>
      <c r="KVE1447"/>
      <c r="KVF1447"/>
      <c r="KVG1447"/>
      <c r="KVH1447"/>
      <c r="KVI1447"/>
      <c r="KVJ1447"/>
      <c r="KVK1447"/>
      <c r="KVL1447"/>
      <c r="KVM1447"/>
      <c r="KVN1447"/>
      <c r="KVO1447"/>
      <c r="KVP1447"/>
      <c r="KVQ1447"/>
      <c r="KVR1447"/>
      <c r="KVS1447"/>
      <c r="KVT1447"/>
      <c r="KVU1447"/>
      <c r="KVV1447"/>
      <c r="KVW1447"/>
      <c r="KVX1447"/>
      <c r="KVY1447"/>
      <c r="KVZ1447"/>
      <c r="KWA1447"/>
      <c r="KWB1447"/>
      <c r="KWC1447"/>
      <c r="KWD1447"/>
      <c r="KWE1447"/>
      <c r="KWF1447"/>
      <c r="KWG1447"/>
      <c r="KWH1447"/>
      <c r="KWI1447"/>
      <c r="KWJ1447"/>
      <c r="KWK1447"/>
      <c r="KWL1447"/>
      <c r="KWM1447"/>
      <c r="KWN1447"/>
      <c r="KWO1447"/>
      <c r="KWP1447"/>
      <c r="KWQ1447"/>
      <c r="KWR1447"/>
      <c r="KWS1447"/>
      <c r="KWT1447"/>
      <c r="KWU1447"/>
      <c r="KWV1447"/>
      <c r="KWW1447"/>
      <c r="KWX1447"/>
      <c r="KWY1447"/>
      <c r="KWZ1447"/>
      <c r="KXA1447"/>
      <c r="KXB1447"/>
      <c r="KXC1447"/>
      <c r="KXD1447"/>
      <c r="KXE1447"/>
      <c r="KXF1447"/>
      <c r="KXG1447"/>
      <c r="KXH1447"/>
      <c r="KXI1447"/>
      <c r="KXJ1447"/>
      <c r="KXK1447"/>
      <c r="KXL1447"/>
      <c r="KXM1447"/>
      <c r="KXN1447"/>
      <c r="KXO1447"/>
      <c r="KXP1447"/>
      <c r="KXQ1447"/>
      <c r="KXR1447"/>
      <c r="KXS1447"/>
      <c r="KXT1447"/>
      <c r="KXU1447"/>
      <c r="KXV1447"/>
      <c r="KXW1447"/>
      <c r="KXX1447"/>
      <c r="KXY1447"/>
      <c r="KXZ1447"/>
      <c r="KYA1447"/>
      <c r="KYB1447"/>
      <c r="KYC1447"/>
      <c r="KYD1447"/>
      <c r="KYE1447"/>
      <c r="KYF1447"/>
      <c r="KYG1447"/>
      <c r="KYH1447"/>
      <c r="KYI1447"/>
      <c r="KYJ1447"/>
      <c r="KYK1447"/>
      <c r="KYL1447"/>
      <c r="KYM1447"/>
      <c r="KYN1447"/>
      <c r="KYO1447"/>
      <c r="KYP1447"/>
      <c r="KYQ1447"/>
      <c r="KYR1447"/>
      <c r="KYS1447"/>
      <c r="KYT1447"/>
      <c r="KYU1447"/>
      <c r="KYV1447"/>
      <c r="KYW1447"/>
      <c r="KYX1447"/>
      <c r="KYY1447"/>
      <c r="KYZ1447"/>
      <c r="KZA1447"/>
      <c r="KZB1447"/>
      <c r="KZC1447"/>
      <c r="KZD1447"/>
      <c r="KZE1447"/>
      <c r="KZF1447"/>
      <c r="KZG1447"/>
      <c r="KZH1447"/>
      <c r="KZI1447"/>
      <c r="KZJ1447"/>
      <c r="KZK1447"/>
      <c r="KZL1447"/>
      <c r="KZM1447"/>
      <c r="KZN1447"/>
      <c r="KZO1447"/>
      <c r="KZP1447"/>
      <c r="KZQ1447"/>
      <c r="KZR1447"/>
      <c r="KZS1447"/>
      <c r="KZT1447"/>
      <c r="KZU1447"/>
      <c r="KZV1447"/>
      <c r="KZW1447"/>
      <c r="KZX1447"/>
      <c r="KZY1447"/>
      <c r="KZZ1447"/>
      <c r="LAA1447"/>
      <c r="LAB1447"/>
      <c r="LAC1447"/>
      <c r="LAD1447"/>
      <c r="LAE1447"/>
      <c r="LAF1447"/>
      <c r="LAG1447"/>
      <c r="LAH1447"/>
      <c r="LAI1447"/>
      <c r="LAJ1447"/>
      <c r="LAK1447"/>
      <c r="LAL1447"/>
      <c r="LAM1447"/>
      <c r="LAN1447"/>
      <c r="LAO1447"/>
      <c r="LAP1447"/>
      <c r="LAQ1447"/>
      <c r="LAR1447"/>
      <c r="LAS1447"/>
      <c r="LAT1447"/>
      <c r="LAU1447"/>
      <c r="LAV1447"/>
      <c r="LAW1447"/>
      <c r="LAX1447"/>
      <c r="LAY1447"/>
      <c r="LAZ1447"/>
      <c r="LBA1447"/>
      <c r="LBB1447"/>
      <c r="LBC1447"/>
      <c r="LBD1447"/>
      <c r="LBE1447"/>
      <c r="LBF1447"/>
      <c r="LBG1447"/>
      <c r="LBH1447"/>
      <c r="LBI1447"/>
      <c r="LBJ1447"/>
      <c r="LBK1447"/>
      <c r="LBL1447"/>
      <c r="LBM1447"/>
      <c r="LBN1447"/>
      <c r="LBO1447"/>
      <c r="LBP1447"/>
      <c r="LBQ1447"/>
      <c r="LBR1447"/>
      <c r="LBS1447"/>
      <c r="LBT1447"/>
      <c r="LBU1447"/>
      <c r="LBV1447"/>
      <c r="LBW1447"/>
      <c r="LBX1447"/>
      <c r="LBY1447"/>
      <c r="LBZ1447"/>
      <c r="LCA1447"/>
      <c r="LCB1447"/>
      <c r="LCC1447"/>
      <c r="LCD1447"/>
      <c r="LCE1447"/>
      <c r="LCF1447"/>
      <c r="LCG1447"/>
      <c r="LCH1447"/>
      <c r="LCI1447"/>
      <c r="LCJ1447"/>
      <c r="LCK1447"/>
      <c r="LCL1447"/>
      <c r="LCM1447"/>
      <c r="LCN1447"/>
      <c r="LCO1447"/>
      <c r="LCP1447"/>
      <c r="LCQ1447"/>
      <c r="LCR1447"/>
      <c r="LCS1447"/>
      <c r="LCT1447"/>
      <c r="LCU1447"/>
      <c r="LCV1447"/>
      <c r="LCW1447"/>
      <c r="LCX1447"/>
      <c r="LCY1447"/>
      <c r="LCZ1447"/>
      <c r="LDA1447"/>
      <c r="LDB1447"/>
      <c r="LDC1447"/>
      <c r="LDD1447"/>
      <c r="LDE1447"/>
      <c r="LDF1447"/>
      <c r="LDG1447"/>
      <c r="LDH1447"/>
      <c r="LDI1447"/>
      <c r="LDJ1447"/>
      <c r="LDK1447"/>
      <c r="LDL1447"/>
      <c r="LDM1447"/>
      <c r="LDN1447"/>
      <c r="LDO1447"/>
      <c r="LDP1447"/>
      <c r="LDQ1447"/>
      <c r="LDR1447"/>
      <c r="LDS1447"/>
      <c r="LDT1447"/>
      <c r="LDU1447"/>
      <c r="LDV1447"/>
      <c r="LDW1447"/>
      <c r="LDX1447"/>
      <c r="LDY1447"/>
      <c r="LDZ1447"/>
      <c r="LEA1447"/>
      <c r="LEB1447"/>
      <c r="LEC1447"/>
      <c r="LED1447"/>
      <c r="LEE1447"/>
      <c r="LEF1447"/>
      <c r="LEG1447"/>
      <c r="LEH1447"/>
      <c r="LEI1447"/>
      <c r="LEJ1447"/>
      <c r="LEK1447"/>
      <c r="LEL1447"/>
      <c r="LEM1447"/>
      <c r="LEN1447"/>
      <c r="LEO1447"/>
      <c r="LEP1447"/>
      <c r="LEQ1447"/>
      <c r="LER1447"/>
      <c r="LES1447"/>
      <c r="LET1447"/>
      <c r="LEU1447"/>
      <c r="LEV1447"/>
      <c r="LEW1447"/>
      <c r="LEX1447"/>
      <c r="LEY1447"/>
      <c r="LEZ1447"/>
      <c r="LFA1447"/>
      <c r="LFB1447"/>
      <c r="LFC1447"/>
      <c r="LFD1447"/>
      <c r="LFE1447"/>
      <c r="LFF1447"/>
      <c r="LFG1447"/>
      <c r="LFH1447"/>
      <c r="LFI1447"/>
      <c r="LFJ1447"/>
      <c r="LFK1447"/>
      <c r="LFL1447"/>
      <c r="LFM1447"/>
      <c r="LFN1447"/>
      <c r="LFO1447"/>
      <c r="LFP1447"/>
      <c r="LFQ1447"/>
      <c r="LFR1447"/>
      <c r="LFS1447"/>
      <c r="LFT1447"/>
      <c r="LFU1447"/>
      <c r="LFV1447"/>
      <c r="LFW1447"/>
      <c r="LFX1447"/>
      <c r="LFY1447"/>
      <c r="LFZ1447"/>
      <c r="LGA1447"/>
      <c r="LGB1447"/>
      <c r="LGC1447"/>
      <c r="LGD1447"/>
      <c r="LGE1447"/>
      <c r="LGF1447"/>
      <c r="LGG1447"/>
      <c r="LGH1447"/>
      <c r="LGI1447"/>
      <c r="LGJ1447"/>
      <c r="LGK1447"/>
      <c r="LGL1447"/>
      <c r="LGM1447"/>
      <c r="LGN1447"/>
      <c r="LGO1447"/>
      <c r="LGP1447"/>
      <c r="LGQ1447"/>
      <c r="LGR1447"/>
      <c r="LGS1447"/>
      <c r="LGT1447"/>
      <c r="LGU1447"/>
      <c r="LGV1447"/>
      <c r="LGW1447"/>
      <c r="LGX1447"/>
      <c r="LGY1447"/>
      <c r="LGZ1447"/>
      <c r="LHA1447"/>
      <c r="LHB1447"/>
      <c r="LHC1447"/>
      <c r="LHD1447"/>
      <c r="LHE1447"/>
      <c r="LHF1447"/>
      <c r="LHG1447"/>
      <c r="LHH1447"/>
      <c r="LHI1447"/>
      <c r="LHJ1447"/>
      <c r="LHK1447"/>
      <c r="LHL1447"/>
      <c r="LHM1447"/>
      <c r="LHN1447"/>
      <c r="LHO1447"/>
      <c r="LHP1447"/>
      <c r="LHQ1447"/>
      <c r="LHR1447"/>
      <c r="LHS1447"/>
      <c r="LHT1447"/>
      <c r="LHU1447"/>
      <c r="LHV1447"/>
      <c r="LHW1447"/>
      <c r="LHX1447"/>
      <c r="LHY1447"/>
      <c r="LHZ1447"/>
      <c r="LIA1447"/>
      <c r="LIB1447"/>
      <c r="LIC1447"/>
      <c r="LID1447"/>
      <c r="LIE1447"/>
      <c r="LIF1447"/>
      <c r="LIG1447"/>
      <c r="LIH1447"/>
      <c r="LII1447"/>
      <c r="LIJ1447"/>
      <c r="LIK1447"/>
      <c r="LIL1447"/>
      <c r="LIM1447"/>
      <c r="LIN1447"/>
      <c r="LIO1447"/>
      <c r="LIP1447"/>
      <c r="LIQ1447"/>
      <c r="LIR1447"/>
      <c r="LIS1447"/>
      <c r="LIT1447"/>
      <c r="LIU1447"/>
      <c r="LIV1447"/>
      <c r="LIW1447"/>
      <c r="LIX1447"/>
      <c r="LIY1447"/>
      <c r="LIZ1447"/>
      <c r="LJA1447"/>
      <c r="LJB1447"/>
      <c r="LJC1447"/>
      <c r="LJD1447"/>
      <c r="LJE1447"/>
      <c r="LJF1447"/>
      <c r="LJG1447"/>
      <c r="LJH1447"/>
      <c r="LJI1447"/>
      <c r="LJJ1447"/>
      <c r="LJK1447"/>
      <c r="LJL1447"/>
      <c r="LJM1447"/>
      <c r="LJN1447"/>
      <c r="LJO1447"/>
      <c r="LJP1447"/>
      <c r="LJQ1447"/>
      <c r="LJR1447"/>
      <c r="LJS1447"/>
      <c r="LJT1447"/>
      <c r="LJU1447"/>
      <c r="LJV1447"/>
      <c r="LJW1447"/>
      <c r="LJX1447"/>
      <c r="LJY1447"/>
      <c r="LJZ1447"/>
      <c r="LKA1447"/>
      <c r="LKB1447"/>
      <c r="LKC1447"/>
      <c r="LKD1447"/>
      <c r="LKE1447"/>
      <c r="LKF1447"/>
      <c r="LKG1447"/>
      <c r="LKH1447"/>
      <c r="LKI1447"/>
      <c r="LKJ1447"/>
      <c r="LKK1447"/>
      <c r="LKL1447"/>
      <c r="LKM1447"/>
      <c r="LKN1447"/>
      <c r="LKO1447"/>
      <c r="LKP1447"/>
      <c r="LKQ1447"/>
      <c r="LKR1447"/>
      <c r="LKS1447"/>
      <c r="LKT1447"/>
      <c r="LKU1447"/>
      <c r="LKV1447"/>
      <c r="LKW1447"/>
      <c r="LKX1447"/>
      <c r="LKY1447"/>
      <c r="LKZ1447"/>
      <c r="LLA1447"/>
      <c r="LLB1447"/>
      <c r="LLC1447"/>
      <c r="LLD1447"/>
      <c r="LLE1447"/>
      <c r="LLF1447"/>
      <c r="LLG1447"/>
      <c r="LLH1447"/>
      <c r="LLI1447"/>
      <c r="LLJ1447"/>
      <c r="LLK1447"/>
      <c r="LLL1447"/>
      <c r="LLM1447"/>
      <c r="LLN1447"/>
      <c r="LLO1447"/>
      <c r="LLP1447"/>
      <c r="LLQ1447"/>
      <c r="LLR1447"/>
      <c r="LLS1447"/>
      <c r="LLT1447"/>
      <c r="LLU1447"/>
      <c r="LLV1447"/>
      <c r="LLW1447"/>
      <c r="LLX1447"/>
      <c r="LLY1447"/>
      <c r="LLZ1447"/>
      <c r="LMA1447"/>
      <c r="LMB1447"/>
      <c r="LMC1447"/>
      <c r="LMD1447"/>
      <c r="LME1447"/>
      <c r="LMF1447"/>
      <c r="LMG1447"/>
      <c r="LMH1447"/>
      <c r="LMI1447"/>
      <c r="LMJ1447"/>
      <c r="LMK1447"/>
      <c r="LML1447"/>
      <c r="LMM1447"/>
      <c r="LMN1447"/>
      <c r="LMO1447"/>
      <c r="LMP1447"/>
      <c r="LMQ1447"/>
      <c r="LMR1447"/>
      <c r="LMS1447"/>
      <c r="LMT1447"/>
      <c r="LMU1447"/>
      <c r="LMV1447"/>
      <c r="LMW1447"/>
      <c r="LMX1447"/>
      <c r="LMY1447"/>
      <c r="LMZ1447"/>
      <c r="LNA1447"/>
      <c r="LNB1447"/>
      <c r="LNC1447"/>
      <c r="LND1447"/>
      <c r="LNE1447"/>
      <c r="LNF1447"/>
      <c r="LNG1447"/>
      <c r="LNH1447"/>
      <c r="LNI1447"/>
      <c r="LNJ1447"/>
      <c r="LNK1447"/>
      <c r="LNL1447"/>
      <c r="LNM1447"/>
      <c r="LNN1447"/>
      <c r="LNO1447"/>
      <c r="LNP1447"/>
      <c r="LNQ1447"/>
      <c r="LNR1447"/>
      <c r="LNS1447"/>
      <c r="LNT1447"/>
      <c r="LNU1447"/>
      <c r="LNV1447"/>
      <c r="LNW1447"/>
      <c r="LNX1447"/>
      <c r="LNY1447"/>
      <c r="LNZ1447"/>
      <c r="LOA1447"/>
      <c r="LOB1447"/>
      <c r="LOC1447"/>
      <c r="LOD1447"/>
      <c r="LOE1447"/>
      <c r="LOF1447"/>
      <c r="LOG1447"/>
      <c r="LOH1447"/>
      <c r="LOI1447"/>
      <c r="LOJ1447"/>
      <c r="LOK1447"/>
      <c r="LOL1447"/>
      <c r="LOM1447"/>
      <c r="LON1447"/>
      <c r="LOO1447"/>
      <c r="LOP1447"/>
      <c r="LOQ1447"/>
      <c r="LOR1447"/>
      <c r="LOS1447"/>
      <c r="LOT1447"/>
      <c r="LOU1447"/>
      <c r="LOV1447"/>
      <c r="LOW1447"/>
      <c r="LOX1447"/>
      <c r="LOY1447"/>
      <c r="LOZ1447"/>
      <c r="LPA1447"/>
      <c r="LPB1447"/>
      <c r="LPC1447"/>
      <c r="LPD1447"/>
      <c r="LPE1447"/>
      <c r="LPF1447"/>
      <c r="LPG1447"/>
      <c r="LPH1447"/>
      <c r="LPI1447"/>
      <c r="LPJ1447"/>
      <c r="LPK1447"/>
      <c r="LPL1447"/>
      <c r="LPM1447"/>
      <c r="LPN1447"/>
      <c r="LPO1447"/>
      <c r="LPP1447"/>
      <c r="LPQ1447"/>
      <c r="LPR1447"/>
      <c r="LPS1447"/>
      <c r="LPT1447"/>
      <c r="LPU1447"/>
      <c r="LPV1447"/>
      <c r="LPW1447"/>
      <c r="LPX1447"/>
      <c r="LPY1447"/>
      <c r="LPZ1447"/>
      <c r="LQA1447"/>
      <c r="LQB1447"/>
      <c r="LQC1447"/>
      <c r="LQD1447"/>
      <c r="LQE1447"/>
      <c r="LQF1447"/>
      <c r="LQG1447"/>
      <c r="LQH1447"/>
      <c r="LQI1447"/>
      <c r="LQJ1447"/>
      <c r="LQK1447"/>
      <c r="LQL1447"/>
      <c r="LQM1447"/>
      <c r="LQN1447"/>
      <c r="LQO1447"/>
      <c r="LQP1447"/>
      <c r="LQQ1447"/>
      <c r="LQR1447"/>
      <c r="LQS1447"/>
      <c r="LQT1447"/>
      <c r="LQU1447"/>
      <c r="LQV1447"/>
      <c r="LQW1447"/>
      <c r="LQX1447"/>
      <c r="LQY1447"/>
      <c r="LQZ1447"/>
      <c r="LRA1447"/>
      <c r="LRB1447"/>
      <c r="LRC1447"/>
      <c r="LRD1447"/>
      <c r="LRE1447"/>
      <c r="LRF1447"/>
      <c r="LRG1447"/>
      <c r="LRH1447"/>
      <c r="LRI1447"/>
      <c r="LRJ1447"/>
      <c r="LRK1447"/>
      <c r="LRL1447"/>
      <c r="LRM1447"/>
      <c r="LRN1447"/>
      <c r="LRO1447"/>
      <c r="LRP1447"/>
      <c r="LRQ1447"/>
      <c r="LRR1447"/>
      <c r="LRS1447"/>
      <c r="LRT1447"/>
      <c r="LRU1447"/>
      <c r="LRV1447"/>
      <c r="LRW1447"/>
      <c r="LRX1447"/>
      <c r="LRY1447"/>
      <c r="LRZ1447"/>
      <c r="LSA1447"/>
      <c r="LSB1447"/>
      <c r="LSC1447"/>
      <c r="LSD1447"/>
      <c r="LSE1447"/>
      <c r="LSF1447"/>
      <c r="LSG1447"/>
      <c r="LSH1447"/>
      <c r="LSI1447"/>
      <c r="LSJ1447"/>
      <c r="LSK1447"/>
      <c r="LSL1447"/>
      <c r="LSM1447"/>
      <c r="LSN1447"/>
      <c r="LSO1447"/>
      <c r="LSP1447"/>
      <c r="LSQ1447"/>
      <c r="LSR1447"/>
      <c r="LSS1447"/>
      <c r="LST1447"/>
      <c r="LSU1447"/>
      <c r="LSV1447"/>
      <c r="LSW1447"/>
      <c r="LSX1447"/>
      <c r="LSY1447"/>
      <c r="LSZ1447"/>
      <c r="LTA1447"/>
      <c r="LTB1447"/>
      <c r="LTC1447"/>
      <c r="LTD1447"/>
      <c r="LTE1447"/>
      <c r="LTF1447"/>
      <c r="LTG1447"/>
      <c r="LTH1447"/>
      <c r="LTI1447"/>
      <c r="LTJ1447"/>
      <c r="LTK1447"/>
      <c r="LTL1447"/>
      <c r="LTM1447"/>
      <c r="LTN1447"/>
      <c r="LTO1447"/>
      <c r="LTP1447"/>
      <c r="LTQ1447"/>
      <c r="LTR1447"/>
      <c r="LTS1447"/>
      <c r="LTT1447"/>
      <c r="LTU1447"/>
      <c r="LTV1447"/>
      <c r="LTW1447"/>
      <c r="LTX1447"/>
      <c r="LTY1447"/>
      <c r="LTZ1447"/>
      <c r="LUA1447"/>
      <c r="LUB1447"/>
      <c r="LUC1447"/>
      <c r="LUD1447"/>
      <c r="LUE1447"/>
      <c r="LUF1447"/>
      <c r="LUG1447"/>
      <c r="LUH1447"/>
      <c r="LUI1447"/>
      <c r="LUJ1447"/>
      <c r="LUK1447"/>
      <c r="LUL1447"/>
      <c r="LUM1447"/>
      <c r="LUN1447"/>
      <c r="LUO1447"/>
      <c r="LUP1447"/>
      <c r="LUQ1447"/>
      <c r="LUR1447"/>
      <c r="LUS1447"/>
      <c r="LUT1447"/>
      <c r="LUU1447"/>
      <c r="LUV1447"/>
      <c r="LUW1447"/>
      <c r="LUX1447"/>
      <c r="LUY1447"/>
      <c r="LUZ1447"/>
      <c r="LVA1447"/>
      <c r="LVB1447"/>
      <c r="LVC1447"/>
      <c r="LVD1447"/>
      <c r="LVE1447"/>
      <c r="LVF1447"/>
      <c r="LVG1447"/>
      <c r="LVH1447"/>
      <c r="LVI1447"/>
      <c r="LVJ1447"/>
      <c r="LVK1447"/>
      <c r="LVL1447"/>
      <c r="LVM1447"/>
      <c r="LVN1447"/>
      <c r="LVO1447"/>
      <c r="LVP1447"/>
      <c r="LVQ1447"/>
      <c r="LVR1447"/>
      <c r="LVS1447"/>
      <c r="LVT1447"/>
      <c r="LVU1447"/>
      <c r="LVV1447"/>
      <c r="LVW1447"/>
      <c r="LVX1447"/>
      <c r="LVY1447"/>
      <c r="LVZ1447"/>
      <c r="LWA1447"/>
      <c r="LWB1447"/>
      <c r="LWC1447"/>
      <c r="LWD1447"/>
      <c r="LWE1447"/>
      <c r="LWF1447"/>
      <c r="LWG1447"/>
      <c r="LWH1447"/>
      <c r="LWI1447"/>
      <c r="LWJ1447"/>
      <c r="LWK1447"/>
      <c r="LWL1447"/>
      <c r="LWM1447"/>
      <c r="LWN1447"/>
      <c r="LWO1447"/>
      <c r="LWP1447"/>
      <c r="LWQ1447"/>
      <c r="LWR1447"/>
      <c r="LWS1447"/>
      <c r="LWT1447"/>
      <c r="LWU1447"/>
      <c r="LWV1447"/>
      <c r="LWW1447"/>
      <c r="LWX1447"/>
      <c r="LWY1447"/>
      <c r="LWZ1447"/>
      <c r="LXA1447"/>
      <c r="LXB1447"/>
      <c r="LXC1447"/>
      <c r="LXD1447"/>
      <c r="LXE1447"/>
      <c r="LXF1447"/>
      <c r="LXG1447"/>
      <c r="LXH1447"/>
      <c r="LXI1447"/>
      <c r="LXJ1447"/>
      <c r="LXK1447"/>
      <c r="LXL1447"/>
      <c r="LXM1447"/>
      <c r="LXN1447"/>
      <c r="LXO1447"/>
      <c r="LXP1447"/>
      <c r="LXQ1447"/>
      <c r="LXR1447"/>
      <c r="LXS1447"/>
      <c r="LXT1447"/>
      <c r="LXU1447"/>
      <c r="LXV1447"/>
      <c r="LXW1447"/>
      <c r="LXX1447"/>
      <c r="LXY1447"/>
      <c r="LXZ1447"/>
      <c r="LYA1447"/>
      <c r="LYB1447"/>
      <c r="LYC1447"/>
      <c r="LYD1447"/>
      <c r="LYE1447"/>
      <c r="LYF1447"/>
      <c r="LYG1447"/>
      <c r="LYH1447"/>
      <c r="LYI1447"/>
      <c r="LYJ1447"/>
      <c r="LYK1447"/>
      <c r="LYL1447"/>
      <c r="LYM1447"/>
      <c r="LYN1447"/>
      <c r="LYO1447"/>
      <c r="LYP1447"/>
      <c r="LYQ1447"/>
      <c r="LYR1447"/>
      <c r="LYS1447"/>
      <c r="LYT1447"/>
      <c r="LYU1447"/>
      <c r="LYV1447"/>
      <c r="LYW1447"/>
      <c r="LYX1447"/>
      <c r="LYY1447"/>
      <c r="LYZ1447"/>
      <c r="LZA1447"/>
      <c r="LZB1447"/>
      <c r="LZC1447"/>
      <c r="LZD1447"/>
      <c r="LZE1447"/>
      <c r="LZF1447"/>
      <c r="LZG1447"/>
      <c r="LZH1447"/>
      <c r="LZI1447"/>
      <c r="LZJ1447"/>
      <c r="LZK1447"/>
      <c r="LZL1447"/>
      <c r="LZM1447"/>
      <c r="LZN1447"/>
      <c r="LZO1447"/>
      <c r="LZP1447"/>
      <c r="LZQ1447"/>
      <c r="LZR1447"/>
      <c r="LZS1447"/>
      <c r="LZT1447"/>
      <c r="LZU1447"/>
      <c r="LZV1447"/>
      <c r="LZW1447"/>
      <c r="LZX1447"/>
      <c r="LZY1447"/>
      <c r="LZZ1447"/>
      <c r="MAA1447"/>
      <c r="MAB1447"/>
      <c r="MAC1447"/>
      <c r="MAD1447"/>
      <c r="MAE1447"/>
      <c r="MAF1447"/>
      <c r="MAG1447"/>
      <c r="MAH1447"/>
      <c r="MAI1447"/>
      <c r="MAJ1447"/>
      <c r="MAK1447"/>
      <c r="MAL1447"/>
      <c r="MAM1447"/>
      <c r="MAN1447"/>
      <c r="MAO1447"/>
      <c r="MAP1447"/>
      <c r="MAQ1447"/>
      <c r="MAR1447"/>
      <c r="MAS1447"/>
      <c r="MAT1447"/>
      <c r="MAU1447"/>
      <c r="MAV1447"/>
      <c r="MAW1447"/>
      <c r="MAX1447"/>
      <c r="MAY1447"/>
      <c r="MAZ1447"/>
      <c r="MBA1447"/>
      <c r="MBB1447"/>
      <c r="MBC1447"/>
      <c r="MBD1447"/>
      <c r="MBE1447"/>
      <c r="MBF1447"/>
      <c r="MBG1447"/>
      <c r="MBH1447"/>
      <c r="MBI1447"/>
      <c r="MBJ1447"/>
      <c r="MBK1447"/>
      <c r="MBL1447"/>
      <c r="MBM1447"/>
      <c r="MBN1447"/>
      <c r="MBO1447"/>
      <c r="MBP1447"/>
      <c r="MBQ1447"/>
      <c r="MBR1447"/>
      <c r="MBS1447"/>
      <c r="MBT1447"/>
      <c r="MBU1447"/>
      <c r="MBV1447"/>
      <c r="MBW1447"/>
      <c r="MBX1447"/>
      <c r="MBY1447"/>
      <c r="MBZ1447"/>
      <c r="MCA1447"/>
      <c r="MCB1447"/>
      <c r="MCC1447"/>
      <c r="MCD1447"/>
      <c r="MCE1447"/>
      <c r="MCF1447"/>
      <c r="MCG1447"/>
      <c r="MCH1447"/>
      <c r="MCI1447"/>
      <c r="MCJ1447"/>
      <c r="MCK1447"/>
      <c r="MCL1447"/>
      <c r="MCM1447"/>
      <c r="MCN1447"/>
      <c r="MCO1447"/>
      <c r="MCP1447"/>
      <c r="MCQ1447"/>
      <c r="MCR1447"/>
      <c r="MCS1447"/>
      <c r="MCT1447"/>
      <c r="MCU1447"/>
      <c r="MCV1447"/>
      <c r="MCW1447"/>
      <c r="MCX1447"/>
      <c r="MCY1447"/>
      <c r="MCZ1447"/>
      <c r="MDA1447"/>
      <c r="MDB1447"/>
      <c r="MDC1447"/>
      <c r="MDD1447"/>
      <c r="MDE1447"/>
      <c r="MDF1447"/>
      <c r="MDG1447"/>
      <c r="MDH1447"/>
      <c r="MDI1447"/>
      <c r="MDJ1447"/>
      <c r="MDK1447"/>
      <c r="MDL1447"/>
      <c r="MDM1447"/>
      <c r="MDN1447"/>
      <c r="MDO1447"/>
      <c r="MDP1447"/>
      <c r="MDQ1447"/>
      <c r="MDR1447"/>
      <c r="MDS1447"/>
      <c r="MDT1447"/>
      <c r="MDU1447"/>
      <c r="MDV1447"/>
      <c r="MDW1447"/>
      <c r="MDX1447"/>
      <c r="MDY1447"/>
      <c r="MDZ1447"/>
      <c r="MEA1447"/>
      <c r="MEB1447"/>
      <c r="MEC1447"/>
      <c r="MED1447"/>
      <c r="MEE1447"/>
      <c r="MEF1447"/>
      <c r="MEG1447"/>
      <c r="MEH1447"/>
      <c r="MEI1447"/>
      <c r="MEJ1447"/>
      <c r="MEK1447"/>
      <c r="MEL1447"/>
      <c r="MEM1447"/>
      <c r="MEN1447"/>
      <c r="MEO1447"/>
      <c r="MEP1447"/>
      <c r="MEQ1447"/>
      <c r="MER1447"/>
      <c r="MES1447"/>
      <c r="MET1447"/>
      <c r="MEU1447"/>
      <c r="MEV1447"/>
      <c r="MEW1447"/>
      <c r="MEX1447"/>
      <c r="MEY1447"/>
      <c r="MEZ1447"/>
      <c r="MFA1447"/>
      <c r="MFB1447"/>
      <c r="MFC1447"/>
      <c r="MFD1447"/>
      <c r="MFE1447"/>
      <c r="MFF1447"/>
      <c r="MFG1447"/>
      <c r="MFH1447"/>
      <c r="MFI1447"/>
      <c r="MFJ1447"/>
      <c r="MFK1447"/>
      <c r="MFL1447"/>
      <c r="MFM1447"/>
      <c r="MFN1447"/>
      <c r="MFO1447"/>
      <c r="MFP1447"/>
      <c r="MFQ1447"/>
      <c r="MFR1447"/>
      <c r="MFS1447"/>
      <c r="MFT1447"/>
      <c r="MFU1447"/>
      <c r="MFV1447"/>
      <c r="MFW1447"/>
      <c r="MFX1447"/>
      <c r="MFY1447"/>
      <c r="MFZ1447"/>
      <c r="MGA1447"/>
      <c r="MGB1447"/>
      <c r="MGC1447"/>
      <c r="MGD1447"/>
      <c r="MGE1447"/>
      <c r="MGF1447"/>
      <c r="MGG1447"/>
      <c r="MGH1447"/>
      <c r="MGI1447"/>
      <c r="MGJ1447"/>
      <c r="MGK1447"/>
      <c r="MGL1447"/>
      <c r="MGM1447"/>
      <c r="MGN1447"/>
      <c r="MGO1447"/>
      <c r="MGP1447"/>
      <c r="MGQ1447"/>
      <c r="MGR1447"/>
      <c r="MGS1447"/>
      <c r="MGT1447"/>
      <c r="MGU1447"/>
      <c r="MGV1447"/>
      <c r="MGW1447"/>
      <c r="MGX1447"/>
      <c r="MGY1447"/>
      <c r="MGZ1447"/>
      <c r="MHA1447"/>
      <c r="MHB1447"/>
      <c r="MHC1447"/>
      <c r="MHD1447"/>
      <c r="MHE1447"/>
      <c r="MHF1447"/>
      <c r="MHG1447"/>
      <c r="MHH1447"/>
      <c r="MHI1447"/>
      <c r="MHJ1447"/>
      <c r="MHK1447"/>
      <c r="MHL1447"/>
      <c r="MHM1447"/>
      <c r="MHN1447"/>
      <c r="MHO1447"/>
      <c r="MHP1447"/>
      <c r="MHQ1447"/>
      <c r="MHR1447"/>
      <c r="MHS1447"/>
      <c r="MHT1447"/>
      <c r="MHU1447"/>
      <c r="MHV1447"/>
      <c r="MHW1447"/>
      <c r="MHX1447"/>
      <c r="MHY1447"/>
      <c r="MHZ1447"/>
      <c r="MIA1447"/>
      <c r="MIB1447"/>
      <c r="MIC1447"/>
      <c r="MID1447"/>
      <c r="MIE1447"/>
      <c r="MIF1447"/>
      <c r="MIG1447"/>
      <c r="MIH1447"/>
      <c r="MII1447"/>
      <c r="MIJ1447"/>
      <c r="MIK1447"/>
      <c r="MIL1447"/>
      <c r="MIM1447"/>
      <c r="MIN1447"/>
      <c r="MIO1447"/>
      <c r="MIP1447"/>
      <c r="MIQ1447"/>
      <c r="MIR1447"/>
      <c r="MIS1447"/>
      <c r="MIT1447"/>
      <c r="MIU1447"/>
      <c r="MIV1447"/>
      <c r="MIW1447"/>
      <c r="MIX1447"/>
      <c r="MIY1447"/>
      <c r="MIZ1447"/>
      <c r="MJA1447"/>
      <c r="MJB1447"/>
      <c r="MJC1447"/>
      <c r="MJD1447"/>
      <c r="MJE1447"/>
      <c r="MJF1447"/>
      <c r="MJG1447"/>
      <c r="MJH1447"/>
      <c r="MJI1447"/>
      <c r="MJJ1447"/>
      <c r="MJK1447"/>
      <c r="MJL1447"/>
      <c r="MJM1447"/>
      <c r="MJN1447"/>
      <c r="MJO1447"/>
      <c r="MJP1447"/>
      <c r="MJQ1447"/>
      <c r="MJR1447"/>
      <c r="MJS1447"/>
      <c r="MJT1447"/>
      <c r="MJU1447"/>
      <c r="MJV1447"/>
      <c r="MJW1447"/>
      <c r="MJX1447"/>
      <c r="MJY1447"/>
      <c r="MJZ1447"/>
      <c r="MKA1447"/>
      <c r="MKB1447"/>
      <c r="MKC1447"/>
      <c r="MKD1447"/>
      <c r="MKE1447"/>
      <c r="MKF1447"/>
      <c r="MKG1447"/>
      <c r="MKH1447"/>
      <c r="MKI1447"/>
      <c r="MKJ1447"/>
      <c r="MKK1447"/>
      <c r="MKL1447"/>
      <c r="MKM1447"/>
      <c r="MKN1447"/>
      <c r="MKO1447"/>
      <c r="MKP1447"/>
      <c r="MKQ1447"/>
      <c r="MKR1447"/>
      <c r="MKS1447"/>
      <c r="MKT1447"/>
      <c r="MKU1447"/>
      <c r="MKV1447"/>
      <c r="MKW1447"/>
      <c r="MKX1447"/>
      <c r="MKY1447"/>
      <c r="MKZ1447"/>
      <c r="MLA1447"/>
      <c r="MLB1447"/>
      <c r="MLC1447"/>
      <c r="MLD1447"/>
      <c r="MLE1447"/>
      <c r="MLF1447"/>
      <c r="MLG1447"/>
      <c r="MLH1447"/>
      <c r="MLI1447"/>
      <c r="MLJ1447"/>
      <c r="MLK1447"/>
      <c r="MLL1447"/>
      <c r="MLM1447"/>
      <c r="MLN1447"/>
      <c r="MLO1447"/>
      <c r="MLP1447"/>
      <c r="MLQ1447"/>
      <c r="MLR1447"/>
      <c r="MLS1447"/>
      <c r="MLT1447"/>
      <c r="MLU1447"/>
      <c r="MLV1447"/>
      <c r="MLW1447"/>
      <c r="MLX1447"/>
      <c r="MLY1447"/>
      <c r="MLZ1447"/>
      <c r="MMA1447"/>
      <c r="MMB1447"/>
      <c r="MMC1447"/>
      <c r="MMD1447"/>
      <c r="MME1447"/>
      <c r="MMF1447"/>
      <c r="MMG1447"/>
      <c r="MMH1447"/>
      <c r="MMI1447"/>
      <c r="MMJ1447"/>
      <c r="MMK1447"/>
      <c r="MML1447"/>
      <c r="MMM1447"/>
      <c r="MMN1447"/>
      <c r="MMO1447"/>
      <c r="MMP1447"/>
      <c r="MMQ1447"/>
      <c r="MMR1447"/>
      <c r="MMS1447"/>
      <c r="MMT1447"/>
      <c r="MMU1447"/>
      <c r="MMV1447"/>
      <c r="MMW1447"/>
      <c r="MMX1447"/>
      <c r="MMY1447"/>
      <c r="MMZ1447"/>
      <c r="MNA1447"/>
      <c r="MNB1447"/>
      <c r="MNC1447"/>
      <c r="MND1447"/>
      <c r="MNE1447"/>
      <c r="MNF1447"/>
      <c r="MNG1447"/>
      <c r="MNH1447"/>
      <c r="MNI1447"/>
      <c r="MNJ1447"/>
      <c r="MNK1447"/>
      <c r="MNL1447"/>
      <c r="MNM1447"/>
      <c r="MNN1447"/>
      <c r="MNO1447"/>
      <c r="MNP1447"/>
      <c r="MNQ1447"/>
      <c r="MNR1447"/>
      <c r="MNS1447"/>
      <c r="MNT1447"/>
      <c r="MNU1447"/>
      <c r="MNV1447"/>
      <c r="MNW1447"/>
      <c r="MNX1447"/>
      <c r="MNY1447"/>
      <c r="MNZ1447"/>
      <c r="MOA1447"/>
      <c r="MOB1447"/>
      <c r="MOC1447"/>
      <c r="MOD1447"/>
      <c r="MOE1447"/>
      <c r="MOF1447"/>
      <c r="MOG1447"/>
      <c r="MOH1447"/>
      <c r="MOI1447"/>
      <c r="MOJ1447"/>
      <c r="MOK1447"/>
      <c r="MOL1447"/>
      <c r="MOM1447"/>
      <c r="MON1447"/>
      <c r="MOO1447"/>
      <c r="MOP1447"/>
      <c r="MOQ1447"/>
      <c r="MOR1447"/>
      <c r="MOS1447"/>
      <c r="MOT1447"/>
      <c r="MOU1447"/>
      <c r="MOV1447"/>
      <c r="MOW1447"/>
      <c r="MOX1447"/>
      <c r="MOY1447"/>
      <c r="MOZ1447"/>
      <c r="MPA1447"/>
      <c r="MPB1447"/>
      <c r="MPC1447"/>
      <c r="MPD1447"/>
      <c r="MPE1447"/>
      <c r="MPF1447"/>
      <c r="MPG1447"/>
      <c r="MPH1447"/>
      <c r="MPI1447"/>
      <c r="MPJ1447"/>
      <c r="MPK1447"/>
      <c r="MPL1447"/>
      <c r="MPM1447"/>
      <c r="MPN1447"/>
      <c r="MPO1447"/>
      <c r="MPP1447"/>
      <c r="MPQ1447"/>
      <c r="MPR1447"/>
      <c r="MPS1447"/>
      <c r="MPT1447"/>
      <c r="MPU1447"/>
      <c r="MPV1447"/>
      <c r="MPW1447"/>
      <c r="MPX1447"/>
      <c r="MPY1447"/>
      <c r="MPZ1447"/>
      <c r="MQA1447"/>
      <c r="MQB1447"/>
      <c r="MQC1447"/>
      <c r="MQD1447"/>
      <c r="MQE1447"/>
      <c r="MQF1447"/>
      <c r="MQG1447"/>
      <c r="MQH1447"/>
      <c r="MQI1447"/>
      <c r="MQJ1447"/>
      <c r="MQK1447"/>
      <c r="MQL1447"/>
      <c r="MQM1447"/>
      <c r="MQN1447"/>
      <c r="MQO1447"/>
      <c r="MQP1447"/>
      <c r="MQQ1447"/>
      <c r="MQR1447"/>
      <c r="MQS1447"/>
      <c r="MQT1447"/>
      <c r="MQU1447"/>
      <c r="MQV1447"/>
      <c r="MQW1447"/>
      <c r="MQX1447"/>
      <c r="MQY1447"/>
      <c r="MQZ1447"/>
      <c r="MRA1447"/>
      <c r="MRB1447"/>
      <c r="MRC1447"/>
      <c r="MRD1447"/>
      <c r="MRE1447"/>
      <c r="MRF1447"/>
      <c r="MRG1447"/>
      <c r="MRH1447"/>
      <c r="MRI1447"/>
      <c r="MRJ1447"/>
      <c r="MRK1447"/>
      <c r="MRL1447"/>
      <c r="MRM1447"/>
      <c r="MRN1447"/>
      <c r="MRO1447"/>
      <c r="MRP1447"/>
      <c r="MRQ1447"/>
      <c r="MRR1447"/>
      <c r="MRS1447"/>
      <c r="MRT1447"/>
      <c r="MRU1447"/>
      <c r="MRV1447"/>
      <c r="MRW1447"/>
      <c r="MRX1447"/>
      <c r="MRY1447"/>
      <c r="MRZ1447"/>
      <c r="MSA1447"/>
      <c r="MSB1447"/>
      <c r="MSC1447"/>
      <c r="MSD1447"/>
      <c r="MSE1447"/>
      <c r="MSF1447"/>
      <c r="MSG1447"/>
      <c r="MSH1447"/>
      <c r="MSI1447"/>
      <c r="MSJ1447"/>
      <c r="MSK1447"/>
      <c r="MSL1447"/>
      <c r="MSM1447"/>
      <c r="MSN1447"/>
      <c r="MSO1447"/>
      <c r="MSP1447"/>
      <c r="MSQ1447"/>
      <c r="MSR1447"/>
      <c r="MSS1447"/>
      <c r="MST1447"/>
      <c r="MSU1447"/>
      <c r="MSV1447"/>
      <c r="MSW1447"/>
      <c r="MSX1447"/>
      <c r="MSY1447"/>
      <c r="MSZ1447"/>
      <c r="MTA1447"/>
      <c r="MTB1447"/>
      <c r="MTC1447"/>
      <c r="MTD1447"/>
      <c r="MTE1447"/>
      <c r="MTF1447"/>
      <c r="MTG1447"/>
      <c r="MTH1447"/>
      <c r="MTI1447"/>
      <c r="MTJ1447"/>
      <c r="MTK1447"/>
      <c r="MTL1447"/>
      <c r="MTM1447"/>
      <c r="MTN1447"/>
      <c r="MTO1447"/>
      <c r="MTP1447"/>
      <c r="MTQ1447"/>
      <c r="MTR1447"/>
      <c r="MTS1447"/>
      <c r="MTT1447"/>
      <c r="MTU1447"/>
      <c r="MTV1447"/>
      <c r="MTW1447"/>
      <c r="MTX1447"/>
      <c r="MTY1447"/>
      <c r="MTZ1447"/>
      <c r="MUA1447"/>
      <c r="MUB1447"/>
      <c r="MUC1447"/>
      <c r="MUD1447"/>
      <c r="MUE1447"/>
      <c r="MUF1447"/>
      <c r="MUG1447"/>
      <c r="MUH1447"/>
      <c r="MUI1447"/>
      <c r="MUJ1447"/>
      <c r="MUK1447"/>
      <c r="MUL1447"/>
      <c r="MUM1447"/>
      <c r="MUN1447"/>
      <c r="MUO1447"/>
      <c r="MUP1447"/>
      <c r="MUQ1447"/>
      <c r="MUR1447"/>
      <c r="MUS1447"/>
      <c r="MUT1447"/>
      <c r="MUU1447"/>
      <c r="MUV1447"/>
      <c r="MUW1447"/>
      <c r="MUX1447"/>
      <c r="MUY1447"/>
      <c r="MUZ1447"/>
      <c r="MVA1447"/>
      <c r="MVB1447"/>
      <c r="MVC1447"/>
      <c r="MVD1447"/>
      <c r="MVE1447"/>
      <c r="MVF1447"/>
      <c r="MVG1447"/>
      <c r="MVH1447"/>
      <c r="MVI1447"/>
      <c r="MVJ1447"/>
      <c r="MVK1447"/>
      <c r="MVL1447"/>
      <c r="MVM1447"/>
      <c r="MVN1447"/>
      <c r="MVO1447"/>
      <c r="MVP1447"/>
      <c r="MVQ1447"/>
      <c r="MVR1447"/>
      <c r="MVS1447"/>
      <c r="MVT1447"/>
      <c r="MVU1447"/>
      <c r="MVV1447"/>
      <c r="MVW1447"/>
      <c r="MVX1447"/>
      <c r="MVY1447"/>
      <c r="MVZ1447"/>
      <c r="MWA1447"/>
      <c r="MWB1447"/>
      <c r="MWC1447"/>
      <c r="MWD1447"/>
      <c r="MWE1447"/>
      <c r="MWF1447"/>
      <c r="MWG1447"/>
      <c r="MWH1447"/>
      <c r="MWI1447"/>
      <c r="MWJ1447"/>
      <c r="MWK1447"/>
      <c r="MWL1447"/>
      <c r="MWM1447"/>
      <c r="MWN1447"/>
      <c r="MWO1447"/>
      <c r="MWP1447"/>
      <c r="MWQ1447"/>
      <c r="MWR1447"/>
      <c r="MWS1447"/>
      <c r="MWT1447"/>
      <c r="MWU1447"/>
      <c r="MWV1447"/>
      <c r="MWW1447"/>
      <c r="MWX1447"/>
      <c r="MWY1447"/>
      <c r="MWZ1447"/>
      <c r="MXA1447"/>
      <c r="MXB1447"/>
      <c r="MXC1447"/>
      <c r="MXD1447"/>
      <c r="MXE1447"/>
      <c r="MXF1447"/>
      <c r="MXG1447"/>
      <c r="MXH1447"/>
      <c r="MXI1447"/>
      <c r="MXJ1447"/>
      <c r="MXK1447"/>
      <c r="MXL1447"/>
      <c r="MXM1447"/>
      <c r="MXN1447"/>
      <c r="MXO1447"/>
      <c r="MXP1447"/>
      <c r="MXQ1447"/>
      <c r="MXR1447"/>
      <c r="MXS1447"/>
      <c r="MXT1447"/>
      <c r="MXU1447"/>
      <c r="MXV1447"/>
      <c r="MXW1447"/>
      <c r="MXX1447"/>
      <c r="MXY1447"/>
      <c r="MXZ1447"/>
      <c r="MYA1447"/>
      <c r="MYB1447"/>
      <c r="MYC1447"/>
      <c r="MYD1447"/>
      <c r="MYE1447"/>
      <c r="MYF1447"/>
      <c r="MYG1447"/>
      <c r="MYH1447"/>
      <c r="MYI1447"/>
      <c r="MYJ1447"/>
      <c r="MYK1447"/>
      <c r="MYL1447"/>
      <c r="MYM1447"/>
      <c r="MYN1447"/>
      <c r="MYO1447"/>
      <c r="MYP1447"/>
      <c r="MYQ1447"/>
      <c r="MYR1447"/>
      <c r="MYS1447"/>
      <c r="MYT1447"/>
      <c r="MYU1447"/>
      <c r="MYV1447"/>
      <c r="MYW1447"/>
      <c r="MYX1447"/>
      <c r="MYY1447"/>
      <c r="MYZ1447"/>
      <c r="MZA1447"/>
      <c r="MZB1447"/>
      <c r="MZC1447"/>
      <c r="MZD1447"/>
      <c r="MZE1447"/>
      <c r="MZF1447"/>
      <c r="MZG1447"/>
      <c r="MZH1447"/>
      <c r="MZI1447"/>
      <c r="MZJ1447"/>
      <c r="MZK1447"/>
      <c r="MZL1447"/>
      <c r="MZM1447"/>
      <c r="MZN1447"/>
      <c r="MZO1447"/>
      <c r="MZP1447"/>
      <c r="MZQ1447"/>
      <c r="MZR1447"/>
      <c r="MZS1447"/>
      <c r="MZT1447"/>
      <c r="MZU1447"/>
      <c r="MZV1447"/>
      <c r="MZW1447"/>
      <c r="MZX1447"/>
      <c r="MZY1447"/>
      <c r="MZZ1447"/>
      <c r="NAA1447"/>
      <c r="NAB1447"/>
      <c r="NAC1447"/>
      <c r="NAD1447"/>
      <c r="NAE1447"/>
      <c r="NAF1447"/>
      <c r="NAG1447"/>
      <c r="NAH1447"/>
      <c r="NAI1447"/>
      <c r="NAJ1447"/>
      <c r="NAK1447"/>
      <c r="NAL1447"/>
      <c r="NAM1447"/>
      <c r="NAN1447"/>
      <c r="NAO1447"/>
      <c r="NAP1447"/>
      <c r="NAQ1447"/>
      <c r="NAR1447"/>
      <c r="NAS1447"/>
      <c r="NAT1447"/>
      <c r="NAU1447"/>
      <c r="NAV1447"/>
      <c r="NAW1447"/>
      <c r="NAX1447"/>
      <c r="NAY1447"/>
      <c r="NAZ1447"/>
      <c r="NBA1447"/>
      <c r="NBB1447"/>
      <c r="NBC1447"/>
      <c r="NBD1447"/>
      <c r="NBE1447"/>
      <c r="NBF1447"/>
      <c r="NBG1447"/>
      <c r="NBH1447"/>
      <c r="NBI1447"/>
      <c r="NBJ1447"/>
      <c r="NBK1447"/>
      <c r="NBL1447"/>
      <c r="NBM1447"/>
      <c r="NBN1447"/>
      <c r="NBO1447"/>
      <c r="NBP1447"/>
      <c r="NBQ1447"/>
      <c r="NBR1447"/>
      <c r="NBS1447"/>
      <c r="NBT1447"/>
      <c r="NBU1447"/>
      <c r="NBV1447"/>
      <c r="NBW1447"/>
      <c r="NBX1447"/>
      <c r="NBY1447"/>
      <c r="NBZ1447"/>
      <c r="NCA1447"/>
      <c r="NCB1447"/>
      <c r="NCC1447"/>
      <c r="NCD1447"/>
      <c r="NCE1447"/>
      <c r="NCF1447"/>
      <c r="NCG1447"/>
      <c r="NCH1447"/>
      <c r="NCI1447"/>
      <c r="NCJ1447"/>
      <c r="NCK1447"/>
      <c r="NCL1447"/>
      <c r="NCM1447"/>
      <c r="NCN1447"/>
      <c r="NCO1447"/>
      <c r="NCP1447"/>
      <c r="NCQ1447"/>
      <c r="NCR1447"/>
      <c r="NCS1447"/>
      <c r="NCT1447"/>
      <c r="NCU1447"/>
      <c r="NCV1447"/>
      <c r="NCW1447"/>
      <c r="NCX1447"/>
      <c r="NCY1447"/>
      <c r="NCZ1447"/>
      <c r="NDA1447"/>
      <c r="NDB1447"/>
      <c r="NDC1447"/>
      <c r="NDD1447"/>
      <c r="NDE1447"/>
      <c r="NDF1447"/>
      <c r="NDG1447"/>
      <c r="NDH1447"/>
      <c r="NDI1447"/>
      <c r="NDJ1447"/>
      <c r="NDK1447"/>
      <c r="NDL1447"/>
      <c r="NDM1447"/>
      <c r="NDN1447"/>
      <c r="NDO1447"/>
      <c r="NDP1447"/>
      <c r="NDQ1447"/>
      <c r="NDR1447"/>
      <c r="NDS1447"/>
      <c r="NDT1447"/>
      <c r="NDU1447"/>
      <c r="NDV1447"/>
      <c r="NDW1447"/>
      <c r="NDX1447"/>
      <c r="NDY1447"/>
      <c r="NDZ1447"/>
      <c r="NEA1447"/>
      <c r="NEB1447"/>
      <c r="NEC1447"/>
      <c r="NED1447"/>
      <c r="NEE1447"/>
      <c r="NEF1447"/>
      <c r="NEG1447"/>
      <c r="NEH1447"/>
      <c r="NEI1447"/>
      <c r="NEJ1447"/>
      <c r="NEK1447"/>
      <c r="NEL1447"/>
      <c r="NEM1447"/>
      <c r="NEN1447"/>
      <c r="NEO1447"/>
      <c r="NEP1447"/>
      <c r="NEQ1447"/>
      <c r="NER1447"/>
      <c r="NES1447"/>
      <c r="NET1447"/>
      <c r="NEU1447"/>
      <c r="NEV1447"/>
      <c r="NEW1447"/>
      <c r="NEX1447"/>
      <c r="NEY1447"/>
      <c r="NEZ1447"/>
      <c r="NFA1447"/>
      <c r="NFB1447"/>
      <c r="NFC1447"/>
      <c r="NFD1447"/>
      <c r="NFE1447"/>
      <c r="NFF1447"/>
      <c r="NFG1447"/>
      <c r="NFH1447"/>
      <c r="NFI1447"/>
      <c r="NFJ1447"/>
      <c r="NFK1447"/>
      <c r="NFL1447"/>
      <c r="NFM1447"/>
      <c r="NFN1447"/>
      <c r="NFO1447"/>
      <c r="NFP1447"/>
      <c r="NFQ1447"/>
      <c r="NFR1447"/>
      <c r="NFS1447"/>
      <c r="NFT1447"/>
      <c r="NFU1447"/>
      <c r="NFV1447"/>
      <c r="NFW1447"/>
      <c r="NFX1447"/>
      <c r="NFY1447"/>
      <c r="NFZ1447"/>
      <c r="NGA1447"/>
      <c r="NGB1447"/>
      <c r="NGC1447"/>
      <c r="NGD1447"/>
      <c r="NGE1447"/>
      <c r="NGF1447"/>
      <c r="NGG1447"/>
      <c r="NGH1447"/>
      <c r="NGI1447"/>
      <c r="NGJ1447"/>
      <c r="NGK1447"/>
      <c r="NGL1447"/>
      <c r="NGM1447"/>
      <c r="NGN1447"/>
      <c r="NGO1447"/>
      <c r="NGP1447"/>
      <c r="NGQ1447"/>
      <c r="NGR1447"/>
      <c r="NGS1447"/>
      <c r="NGT1447"/>
      <c r="NGU1447"/>
      <c r="NGV1447"/>
      <c r="NGW1447"/>
      <c r="NGX1447"/>
      <c r="NGY1447"/>
      <c r="NGZ1447"/>
      <c r="NHA1447"/>
      <c r="NHB1447"/>
      <c r="NHC1447"/>
      <c r="NHD1447"/>
      <c r="NHE1447"/>
      <c r="NHF1447"/>
      <c r="NHG1447"/>
      <c r="NHH1447"/>
      <c r="NHI1447"/>
      <c r="NHJ1447"/>
      <c r="NHK1447"/>
      <c r="NHL1447"/>
      <c r="NHM1447"/>
      <c r="NHN1447"/>
      <c r="NHO1447"/>
      <c r="NHP1447"/>
      <c r="NHQ1447"/>
      <c r="NHR1447"/>
      <c r="NHS1447"/>
      <c r="NHT1447"/>
      <c r="NHU1447"/>
      <c r="NHV1447"/>
      <c r="NHW1447"/>
      <c r="NHX1447"/>
      <c r="NHY1447"/>
      <c r="NHZ1447"/>
      <c r="NIA1447"/>
      <c r="NIB1447"/>
      <c r="NIC1447"/>
      <c r="NID1447"/>
      <c r="NIE1447"/>
      <c r="NIF1447"/>
      <c r="NIG1447"/>
      <c r="NIH1447"/>
      <c r="NII1447"/>
      <c r="NIJ1447"/>
      <c r="NIK1447"/>
      <c r="NIL1447"/>
      <c r="NIM1447"/>
      <c r="NIN1447"/>
      <c r="NIO1447"/>
      <c r="NIP1447"/>
      <c r="NIQ1447"/>
      <c r="NIR1447"/>
      <c r="NIS1447"/>
      <c r="NIT1447"/>
      <c r="NIU1447"/>
      <c r="NIV1447"/>
      <c r="NIW1447"/>
      <c r="NIX1447"/>
      <c r="NIY1447"/>
      <c r="NIZ1447"/>
      <c r="NJA1447"/>
      <c r="NJB1447"/>
      <c r="NJC1447"/>
      <c r="NJD1447"/>
      <c r="NJE1447"/>
      <c r="NJF1447"/>
      <c r="NJG1447"/>
      <c r="NJH1447"/>
      <c r="NJI1447"/>
      <c r="NJJ1447"/>
      <c r="NJK1447"/>
      <c r="NJL1447"/>
      <c r="NJM1447"/>
      <c r="NJN1447"/>
      <c r="NJO1447"/>
      <c r="NJP1447"/>
      <c r="NJQ1447"/>
      <c r="NJR1447"/>
      <c r="NJS1447"/>
      <c r="NJT1447"/>
      <c r="NJU1447"/>
      <c r="NJV1447"/>
      <c r="NJW1447"/>
      <c r="NJX1447"/>
      <c r="NJY1447"/>
      <c r="NJZ1447"/>
      <c r="NKA1447"/>
      <c r="NKB1447"/>
      <c r="NKC1447"/>
      <c r="NKD1447"/>
      <c r="NKE1447"/>
      <c r="NKF1447"/>
      <c r="NKG1447"/>
      <c r="NKH1447"/>
      <c r="NKI1447"/>
      <c r="NKJ1447"/>
      <c r="NKK1447"/>
      <c r="NKL1447"/>
      <c r="NKM1447"/>
      <c r="NKN1447"/>
      <c r="NKO1447"/>
      <c r="NKP1447"/>
      <c r="NKQ1447"/>
      <c r="NKR1447"/>
      <c r="NKS1447"/>
      <c r="NKT1447"/>
      <c r="NKU1447"/>
      <c r="NKV1447"/>
      <c r="NKW1447"/>
      <c r="NKX1447"/>
      <c r="NKY1447"/>
      <c r="NKZ1447"/>
      <c r="NLA1447"/>
      <c r="NLB1447"/>
      <c r="NLC1447"/>
      <c r="NLD1447"/>
      <c r="NLE1447"/>
      <c r="NLF1447"/>
      <c r="NLG1447"/>
      <c r="NLH1447"/>
      <c r="NLI1447"/>
      <c r="NLJ1447"/>
      <c r="NLK1447"/>
      <c r="NLL1447"/>
      <c r="NLM1447"/>
      <c r="NLN1447"/>
      <c r="NLO1447"/>
      <c r="NLP1447"/>
      <c r="NLQ1447"/>
      <c r="NLR1447"/>
      <c r="NLS1447"/>
      <c r="NLT1447"/>
      <c r="NLU1447"/>
      <c r="NLV1447"/>
      <c r="NLW1447"/>
      <c r="NLX1447"/>
      <c r="NLY1447"/>
      <c r="NLZ1447"/>
      <c r="NMA1447"/>
      <c r="NMB1447"/>
      <c r="NMC1447"/>
      <c r="NMD1447"/>
      <c r="NME1447"/>
      <c r="NMF1447"/>
      <c r="NMG1447"/>
      <c r="NMH1447"/>
      <c r="NMI1447"/>
      <c r="NMJ1447"/>
      <c r="NMK1447"/>
      <c r="NML1447"/>
      <c r="NMM1447"/>
      <c r="NMN1447"/>
      <c r="NMO1447"/>
      <c r="NMP1447"/>
      <c r="NMQ1447"/>
      <c r="NMR1447"/>
      <c r="NMS1447"/>
      <c r="NMT1447"/>
      <c r="NMU1447"/>
      <c r="NMV1447"/>
      <c r="NMW1447"/>
      <c r="NMX1447"/>
      <c r="NMY1447"/>
      <c r="NMZ1447"/>
      <c r="NNA1447"/>
      <c r="NNB1447"/>
      <c r="NNC1447"/>
      <c r="NND1447"/>
      <c r="NNE1447"/>
      <c r="NNF1447"/>
      <c r="NNG1447"/>
      <c r="NNH1447"/>
      <c r="NNI1447"/>
      <c r="NNJ1447"/>
      <c r="NNK1447"/>
      <c r="NNL1447"/>
      <c r="NNM1447"/>
      <c r="NNN1447"/>
      <c r="NNO1447"/>
      <c r="NNP1447"/>
      <c r="NNQ1447"/>
      <c r="NNR1447"/>
      <c r="NNS1447"/>
      <c r="NNT1447"/>
      <c r="NNU1447"/>
      <c r="NNV1447"/>
      <c r="NNW1447"/>
      <c r="NNX1447"/>
      <c r="NNY1447"/>
      <c r="NNZ1447"/>
      <c r="NOA1447"/>
      <c r="NOB1447"/>
      <c r="NOC1447"/>
      <c r="NOD1447"/>
      <c r="NOE1447"/>
      <c r="NOF1447"/>
      <c r="NOG1447"/>
      <c r="NOH1447"/>
      <c r="NOI1447"/>
      <c r="NOJ1447"/>
      <c r="NOK1447"/>
      <c r="NOL1447"/>
      <c r="NOM1447"/>
      <c r="NON1447"/>
      <c r="NOO1447"/>
      <c r="NOP1447"/>
      <c r="NOQ1447"/>
      <c r="NOR1447"/>
      <c r="NOS1447"/>
      <c r="NOT1447"/>
      <c r="NOU1447"/>
      <c r="NOV1447"/>
      <c r="NOW1447"/>
      <c r="NOX1447"/>
      <c r="NOY1447"/>
      <c r="NOZ1447"/>
      <c r="NPA1447"/>
      <c r="NPB1447"/>
      <c r="NPC1447"/>
      <c r="NPD1447"/>
      <c r="NPE1447"/>
      <c r="NPF1447"/>
      <c r="NPG1447"/>
      <c r="NPH1447"/>
      <c r="NPI1447"/>
      <c r="NPJ1447"/>
      <c r="NPK1447"/>
      <c r="NPL1447"/>
      <c r="NPM1447"/>
      <c r="NPN1447"/>
      <c r="NPO1447"/>
      <c r="NPP1447"/>
      <c r="NPQ1447"/>
      <c r="NPR1447"/>
      <c r="NPS1447"/>
      <c r="NPT1447"/>
      <c r="NPU1447"/>
      <c r="NPV1447"/>
      <c r="NPW1447"/>
      <c r="NPX1447"/>
      <c r="NPY1447"/>
      <c r="NPZ1447"/>
      <c r="NQA1447"/>
      <c r="NQB1447"/>
      <c r="NQC1447"/>
      <c r="NQD1447"/>
      <c r="NQE1447"/>
      <c r="NQF1447"/>
      <c r="NQG1447"/>
      <c r="NQH1447"/>
      <c r="NQI1447"/>
      <c r="NQJ1447"/>
      <c r="NQK1447"/>
      <c r="NQL1447"/>
      <c r="NQM1447"/>
      <c r="NQN1447"/>
      <c r="NQO1447"/>
      <c r="NQP1447"/>
      <c r="NQQ1447"/>
      <c r="NQR1447"/>
      <c r="NQS1447"/>
      <c r="NQT1447"/>
      <c r="NQU1447"/>
      <c r="NQV1447"/>
      <c r="NQW1447"/>
      <c r="NQX1447"/>
      <c r="NQY1447"/>
      <c r="NQZ1447"/>
      <c r="NRA1447"/>
      <c r="NRB1447"/>
      <c r="NRC1447"/>
      <c r="NRD1447"/>
      <c r="NRE1447"/>
      <c r="NRF1447"/>
      <c r="NRG1447"/>
      <c r="NRH1447"/>
      <c r="NRI1447"/>
      <c r="NRJ1447"/>
      <c r="NRK1447"/>
      <c r="NRL1447"/>
      <c r="NRM1447"/>
      <c r="NRN1447"/>
      <c r="NRO1447"/>
      <c r="NRP1447"/>
      <c r="NRQ1447"/>
      <c r="NRR1447"/>
      <c r="NRS1447"/>
      <c r="NRT1447"/>
      <c r="NRU1447"/>
      <c r="NRV1447"/>
      <c r="NRW1447"/>
      <c r="NRX1447"/>
      <c r="NRY1447"/>
      <c r="NRZ1447"/>
      <c r="NSA1447"/>
      <c r="NSB1447"/>
      <c r="NSC1447"/>
      <c r="NSD1447"/>
      <c r="NSE1447"/>
      <c r="NSF1447"/>
      <c r="NSG1447"/>
      <c r="NSH1447"/>
      <c r="NSI1447"/>
      <c r="NSJ1447"/>
      <c r="NSK1447"/>
      <c r="NSL1447"/>
      <c r="NSM1447"/>
      <c r="NSN1447"/>
      <c r="NSO1447"/>
      <c r="NSP1447"/>
      <c r="NSQ1447"/>
      <c r="NSR1447"/>
      <c r="NSS1447"/>
      <c r="NST1447"/>
      <c r="NSU1447"/>
      <c r="NSV1447"/>
      <c r="NSW1447"/>
      <c r="NSX1447"/>
      <c r="NSY1447"/>
      <c r="NSZ1447"/>
      <c r="NTA1447"/>
      <c r="NTB1447"/>
      <c r="NTC1447"/>
      <c r="NTD1447"/>
      <c r="NTE1447"/>
      <c r="NTF1447"/>
      <c r="NTG1447"/>
      <c r="NTH1447"/>
      <c r="NTI1447"/>
      <c r="NTJ1447"/>
      <c r="NTK1447"/>
      <c r="NTL1447"/>
      <c r="NTM1447"/>
      <c r="NTN1447"/>
      <c r="NTO1447"/>
      <c r="NTP1447"/>
      <c r="NTQ1447"/>
      <c r="NTR1447"/>
      <c r="NTS1447"/>
      <c r="NTT1447"/>
      <c r="NTU1447"/>
      <c r="NTV1447"/>
      <c r="NTW1447"/>
      <c r="NTX1447"/>
      <c r="NTY1447"/>
      <c r="NTZ1447"/>
      <c r="NUA1447"/>
      <c r="NUB1447"/>
      <c r="NUC1447"/>
      <c r="NUD1447"/>
      <c r="NUE1447"/>
      <c r="NUF1447"/>
      <c r="NUG1447"/>
      <c r="NUH1447"/>
      <c r="NUI1447"/>
      <c r="NUJ1447"/>
      <c r="NUK1447"/>
      <c r="NUL1447"/>
      <c r="NUM1447"/>
      <c r="NUN1447"/>
      <c r="NUO1447"/>
      <c r="NUP1447"/>
      <c r="NUQ1447"/>
      <c r="NUR1447"/>
      <c r="NUS1447"/>
      <c r="NUT1447"/>
      <c r="NUU1447"/>
      <c r="NUV1447"/>
      <c r="NUW1447"/>
      <c r="NUX1447"/>
      <c r="NUY1447"/>
      <c r="NUZ1447"/>
      <c r="NVA1447"/>
      <c r="NVB1447"/>
      <c r="NVC1447"/>
      <c r="NVD1447"/>
      <c r="NVE1447"/>
      <c r="NVF1447"/>
      <c r="NVG1447"/>
      <c r="NVH1447"/>
      <c r="NVI1447"/>
      <c r="NVJ1447"/>
      <c r="NVK1447"/>
      <c r="NVL1447"/>
      <c r="NVM1447"/>
      <c r="NVN1447"/>
      <c r="NVO1447"/>
      <c r="NVP1447"/>
      <c r="NVQ1447"/>
      <c r="NVR1447"/>
      <c r="NVS1447"/>
      <c r="NVT1447"/>
      <c r="NVU1447"/>
      <c r="NVV1447"/>
      <c r="NVW1447"/>
      <c r="NVX1447"/>
      <c r="NVY1447"/>
      <c r="NVZ1447"/>
      <c r="NWA1447"/>
      <c r="NWB1447"/>
      <c r="NWC1447"/>
      <c r="NWD1447"/>
      <c r="NWE1447"/>
      <c r="NWF1447"/>
      <c r="NWG1447"/>
      <c r="NWH1447"/>
      <c r="NWI1447"/>
      <c r="NWJ1447"/>
      <c r="NWK1447"/>
      <c r="NWL1447"/>
      <c r="NWM1447"/>
      <c r="NWN1447"/>
      <c r="NWO1447"/>
      <c r="NWP1447"/>
      <c r="NWQ1447"/>
      <c r="NWR1447"/>
      <c r="NWS1447"/>
      <c r="NWT1447"/>
      <c r="NWU1447"/>
      <c r="NWV1447"/>
      <c r="NWW1447"/>
      <c r="NWX1447"/>
      <c r="NWY1447"/>
      <c r="NWZ1447"/>
      <c r="NXA1447"/>
      <c r="NXB1447"/>
      <c r="NXC1447"/>
      <c r="NXD1447"/>
      <c r="NXE1447"/>
      <c r="NXF1447"/>
      <c r="NXG1447"/>
      <c r="NXH1447"/>
      <c r="NXI1447"/>
      <c r="NXJ1447"/>
      <c r="NXK1447"/>
      <c r="NXL1447"/>
      <c r="NXM1447"/>
      <c r="NXN1447"/>
      <c r="NXO1447"/>
      <c r="NXP1447"/>
      <c r="NXQ1447"/>
      <c r="NXR1447"/>
      <c r="NXS1447"/>
      <c r="NXT1447"/>
      <c r="NXU1447"/>
      <c r="NXV1447"/>
      <c r="NXW1447"/>
      <c r="NXX1447"/>
      <c r="NXY1447"/>
      <c r="NXZ1447"/>
      <c r="NYA1447"/>
      <c r="NYB1447"/>
      <c r="NYC1447"/>
      <c r="NYD1447"/>
      <c r="NYE1447"/>
      <c r="NYF1447"/>
      <c r="NYG1447"/>
      <c r="NYH1447"/>
      <c r="NYI1447"/>
      <c r="NYJ1447"/>
      <c r="NYK1447"/>
      <c r="NYL1447"/>
      <c r="NYM1447"/>
      <c r="NYN1447"/>
      <c r="NYO1447"/>
      <c r="NYP1447"/>
      <c r="NYQ1447"/>
      <c r="NYR1447"/>
      <c r="NYS1447"/>
      <c r="NYT1447"/>
      <c r="NYU1447"/>
      <c r="NYV1447"/>
      <c r="NYW1447"/>
      <c r="NYX1447"/>
      <c r="NYY1447"/>
      <c r="NYZ1447"/>
      <c r="NZA1447"/>
      <c r="NZB1447"/>
      <c r="NZC1447"/>
      <c r="NZD1447"/>
      <c r="NZE1447"/>
      <c r="NZF1447"/>
      <c r="NZG1447"/>
      <c r="NZH1447"/>
      <c r="NZI1447"/>
      <c r="NZJ1447"/>
      <c r="NZK1447"/>
      <c r="NZL1447"/>
      <c r="NZM1447"/>
      <c r="NZN1447"/>
      <c r="NZO1447"/>
      <c r="NZP1447"/>
      <c r="NZQ1447"/>
      <c r="NZR1447"/>
      <c r="NZS1447"/>
      <c r="NZT1447"/>
      <c r="NZU1447"/>
      <c r="NZV1447"/>
      <c r="NZW1447"/>
      <c r="NZX1447"/>
      <c r="NZY1447"/>
      <c r="NZZ1447"/>
      <c r="OAA1447"/>
      <c r="OAB1447"/>
      <c r="OAC1447"/>
      <c r="OAD1447"/>
      <c r="OAE1447"/>
      <c r="OAF1447"/>
      <c r="OAG1447"/>
      <c r="OAH1447"/>
      <c r="OAI1447"/>
      <c r="OAJ1447"/>
      <c r="OAK1447"/>
      <c r="OAL1447"/>
      <c r="OAM1447"/>
      <c r="OAN1447"/>
      <c r="OAO1447"/>
      <c r="OAP1447"/>
      <c r="OAQ1447"/>
      <c r="OAR1447"/>
      <c r="OAS1447"/>
      <c r="OAT1447"/>
      <c r="OAU1447"/>
      <c r="OAV1447"/>
      <c r="OAW1447"/>
      <c r="OAX1447"/>
      <c r="OAY1447"/>
      <c r="OAZ1447"/>
      <c r="OBA1447"/>
      <c r="OBB1447"/>
      <c r="OBC1447"/>
      <c r="OBD1447"/>
      <c r="OBE1447"/>
      <c r="OBF1447"/>
      <c r="OBG1447"/>
      <c r="OBH1447"/>
      <c r="OBI1447"/>
      <c r="OBJ1447"/>
      <c r="OBK1447"/>
      <c r="OBL1447"/>
      <c r="OBM1447"/>
      <c r="OBN1447"/>
      <c r="OBO1447"/>
      <c r="OBP1447"/>
      <c r="OBQ1447"/>
      <c r="OBR1447"/>
      <c r="OBS1447"/>
      <c r="OBT1447"/>
      <c r="OBU1447"/>
      <c r="OBV1447"/>
      <c r="OBW1447"/>
      <c r="OBX1447"/>
      <c r="OBY1447"/>
      <c r="OBZ1447"/>
      <c r="OCA1447"/>
      <c r="OCB1447"/>
      <c r="OCC1447"/>
      <c r="OCD1447"/>
      <c r="OCE1447"/>
      <c r="OCF1447"/>
      <c r="OCG1447"/>
      <c r="OCH1447"/>
      <c r="OCI1447"/>
      <c r="OCJ1447"/>
      <c r="OCK1447"/>
      <c r="OCL1447"/>
      <c r="OCM1447"/>
      <c r="OCN1447"/>
      <c r="OCO1447"/>
      <c r="OCP1447"/>
      <c r="OCQ1447"/>
      <c r="OCR1447"/>
      <c r="OCS1447"/>
      <c r="OCT1447"/>
      <c r="OCU1447"/>
      <c r="OCV1447"/>
      <c r="OCW1447"/>
      <c r="OCX1447"/>
      <c r="OCY1447"/>
      <c r="OCZ1447"/>
      <c r="ODA1447"/>
      <c r="ODB1447"/>
      <c r="ODC1447"/>
      <c r="ODD1447"/>
      <c r="ODE1447"/>
      <c r="ODF1447"/>
      <c r="ODG1447"/>
      <c r="ODH1447"/>
      <c r="ODI1447"/>
      <c r="ODJ1447"/>
      <c r="ODK1447"/>
      <c r="ODL1447"/>
      <c r="ODM1447"/>
      <c r="ODN1447"/>
      <c r="ODO1447"/>
      <c r="ODP1447"/>
      <c r="ODQ1447"/>
      <c r="ODR1447"/>
      <c r="ODS1447"/>
      <c r="ODT1447"/>
      <c r="ODU1447"/>
      <c r="ODV1447"/>
      <c r="ODW1447"/>
      <c r="ODX1447"/>
      <c r="ODY1447"/>
      <c r="ODZ1447"/>
      <c r="OEA1447"/>
      <c r="OEB1447"/>
      <c r="OEC1447"/>
      <c r="OED1447"/>
      <c r="OEE1447"/>
      <c r="OEF1447"/>
      <c r="OEG1447"/>
      <c r="OEH1447"/>
      <c r="OEI1447"/>
      <c r="OEJ1447"/>
      <c r="OEK1447"/>
      <c r="OEL1447"/>
      <c r="OEM1447"/>
      <c r="OEN1447"/>
      <c r="OEO1447"/>
      <c r="OEP1447"/>
      <c r="OEQ1447"/>
      <c r="OER1447"/>
      <c r="OES1447"/>
      <c r="OET1447"/>
      <c r="OEU1447"/>
      <c r="OEV1447"/>
      <c r="OEW1447"/>
      <c r="OEX1447"/>
      <c r="OEY1447"/>
      <c r="OEZ1447"/>
      <c r="OFA1447"/>
      <c r="OFB1447"/>
      <c r="OFC1447"/>
      <c r="OFD1447"/>
      <c r="OFE1447"/>
      <c r="OFF1447"/>
      <c r="OFG1447"/>
      <c r="OFH1447"/>
      <c r="OFI1447"/>
      <c r="OFJ1447"/>
      <c r="OFK1447"/>
      <c r="OFL1447"/>
      <c r="OFM1447"/>
      <c r="OFN1447"/>
      <c r="OFO1447"/>
      <c r="OFP1447"/>
      <c r="OFQ1447"/>
      <c r="OFR1447"/>
      <c r="OFS1447"/>
      <c r="OFT1447"/>
      <c r="OFU1447"/>
      <c r="OFV1447"/>
      <c r="OFW1447"/>
      <c r="OFX1447"/>
      <c r="OFY1447"/>
      <c r="OFZ1447"/>
      <c r="OGA1447"/>
      <c r="OGB1447"/>
      <c r="OGC1447"/>
      <c r="OGD1447"/>
      <c r="OGE1447"/>
      <c r="OGF1447"/>
      <c r="OGG1447"/>
      <c r="OGH1447"/>
      <c r="OGI1447"/>
      <c r="OGJ1447"/>
      <c r="OGK1447"/>
      <c r="OGL1447"/>
      <c r="OGM1447"/>
      <c r="OGN1447"/>
      <c r="OGO1447"/>
      <c r="OGP1447"/>
      <c r="OGQ1447"/>
      <c r="OGR1447"/>
      <c r="OGS1447"/>
      <c r="OGT1447"/>
      <c r="OGU1447"/>
      <c r="OGV1447"/>
      <c r="OGW1447"/>
      <c r="OGX1447"/>
      <c r="OGY1447"/>
      <c r="OGZ1447"/>
      <c r="OHA1447"/>
      <c r="OHB1447"/>
      <c r="OHC1447"/>
      <c r="OHD1447"/>
      <c r="OHE1447"/>
      <c r="OHF1447"/>
      <c r="OHG1447"/>
      <c r="OHH1447"/>
      <c r="OHI1447"/>
      <c r="OHJ1447"/>
      <c r="OHK1447"/>
      <c r="OHL1447"/>
      <c r="OHM1447"/>
      <c r="OHN1447"/>
      <c r="OHO1447"/>
      <c r="OHP1447"/>
      <c r="OHQ1447"/>
      <c r="OHR1447"/>
      <c r="OHS1447"/>
      <c r="OHT1447"/>
      <c r="OHU1447"/>
      <c r="OHV1447"/>
      <c r="OHW1447"/>
      <c r="OHX1447"/>
      <c r="OHY1447"/>
      <c r="OHZ1447"/>
      <c r="OIA1447"/>
      <c r="OIB1447"/>
      <c r="OIC1447"/>
      <c r="OID1447"/>
      <c r="OIE1447"/>
      <c r="OIF1447"/>
      <c r="OIG1447"/>
      <c r="OIH1447"/>
      <c r="OII1447"/>
      <c r="OIJ1447"/>
      <c r="OIK1447"/>
      <c r="OIL1447"/>
      <c r="OIM1447"/>
      <c r="OIN1447"/>
      <c r="OIO1447"/>
      <c r="OIP1447"/>
      <c r="OIQ1447"/>
      <c r="OIR1447"/>
      <c r="OIS1447"/>
      <c r="OIT1447"/>
      <c r="OIU1447"/>
      <c r="OIV1447"/>
      <c r="OIW1447"/>
      <c r="OIX1447"/>
      <c r="OIY1447"/>
      <c r="OIZ1447"/>
      <c r="OJA1447"/>
      <c r="OJB1447"/>
      <c r="OJC1447"/>
      <c r="OJD1447"/>
      <c r="OJE1447"/>
      <c r="OJF1447"/>
      <c r="OJG1447"/>
      <c r="OJH1447"/>
      <c r="OJI1447"/>
      <c r="OJJ1447"/>
      <c r="OJK1447"/>
      <c r="OJL1447"/>
      <c r="OJM1447"/>
      <c r="OJN1447"/>
      <c r="OJO1447"/>
      <c r="OJP1447"/>
      <c r="OJQ1447"/>
      <c r="OJR1447"/>
      <c r="OJS1447"/>
      <c r="OJT1447"/>
      <c r="OJU1447"/>
      <c r="OJV1447"/>
      <c r="OJW1447"/>
      <c r="OJX1447"/>
      <c r="OJY1447"/>
      <c r="OJZ1447"/>
      <c r="OKA1447"/>
      <c r="OKB1447"/>
      <c r="OKC1447"/>
      <c r="OKD1447"/>
      <c r="OKE1447"/>
      <c r="OKF1447"/>
      <c r="OKG1447"/>
      <c r="OKH1447"/>
      <c r="OKI1447"/>
      <c r="OKJ1447"/>
      <c r="OKK1447"/>
      <c r="OKL1447"/>
      <c r="OKM1447"/>
      <c r="OKN1447"/>
      <c r="OKO1447"/>
      <c r="OKP1447"/>
      <c r="OKQ1447"/>
      <c r="OKR1447"/>
      <c r="OKS1447"/>
      <c r="OKT1447"/>
      <c r="OKU1447"/>
      <c r="OKV1447"/>
      <c r="OKW1447"/>
      <c r="OKX1447"/>
      <c r="OKY1447"/>
      <c r="OKZ1447"/>
      <c r="OLA1447"/>
      <c r="OLB1447"/>
      <c r="OLC1447"/>
      <c r="OLD1447"/>
      <c r="OLE1447"/>
      <c r="OLF1447"/>
      <c r="OLG1447"/>
      <c r="OLH1447"/>
      <c r="OLI1447"/>
      <c r="OLJ1447"/>
      <c r="OLK1447"/>
      <c r="OLL1447"/>
      <c r="OLM1447"/>
      <c r="OLN1447"/>
      <c r="OLO1447"/>
      <c r="OLP1447"/>
      <c r="OLQ1447"/>
      <c r="OLR1447"/>
      <c r="OLS1447"/>
      <c r="OLT1447"/>
      <c r="OLU1447"/>
      <c r="OLV1447"/>
      <c r="OLW1447"/>
      <c r="OLX1447"/>
      <c r="OLY1447"/>
      <c r="OLZ1447"/>
      <c r="OMA1447"/>
      <c r="OMB1447"/>
      <c r="OMC1447"/>
      <c r="OMD1447"/>
      <c r="OME1447"/>
      <c r="OMF1447"/>
      <c r="OMG1447"/>
      <c r="OMH1447"/>
      <c r="OMI1447"/>
      <c r="OMJ1447"/>
      <c r="OMK1447"/>
      <c r="OML1447"/>
      <c r="OMM1447"/>
      <c r="OMN1447"/>
      <c r="OMO1447"/>
      <c r="OMP1447"/>
      <c r="OMQ1447"/>
      <c r="OMR1447"/>
      <c r="OMS1447"/>
      <c r="OMT1447"/>
      <c r="OMU1447"/>
      <c r="OMV1447"/>
      <c r="OMW1447"/>
      <c r="OMX1447"/>
      <c r="OMY1447"/>
      <c r="OMZ1447"/>
      <c r="ONA1447"/>
      <c r="ONB1447"/>
      <c r="ONC1447"/>
      <c r="OND1447"/>
      <c r="ONE1447"/>
      <c r="ONF1447"/>
      <c r="ONG1447"/>
      <c r="ONH1447"/>
      <c r="ONI1447"/>
      <c r="ONJ1447"/>
      <c r="ONK1447"/>
      <c r="ONL1447"/>
      <c r="ONM1447"/>
      <c r="ONN1447"/>
      <c r="ONO1447"/>
      <c r="ONP1447"/>
      <c r="ONQ1447"/>
      <c r="ONR1447"/>
      <c r="ONS1447"/>
      <c r="ONT1447"/>
      <c r="ONU1447"/>
      <c r="ONV1447"/>
      <c r="ONW1447"/>
      <c r="ONX1447"/>
      <c r="ONY1447"/>
      <c r="ONZ1447"/>
      <c r="OOA1447"/>
      <c r="OOB1447"/>
      <c r="OOC1447"/>
      <c r="OOD1447"/>
      <c r="OOE1447"/>
      <c r="OOF1447"/>
      <c r="OOG1447"/>
      <c r="OOH1447"/>
      <c r="OOI1447"/>
      <c r="OOJ1447"/>
      <c r="OOK1447"/>
      <c r="OOL1447"/>
      <c r="OOM1447"/>
      <c r="OON1447"/>
      <c r="OOO1447"/>
      <c r="OOP1447"/>
      <c r="OOQ1447"/>
      <c r="OOR1447"/>
      <c r="OOS1447"/>
      <c r="OOT1447"/>
      <c r="OOU1447"/>
      <c r="OOV1447"/>
      <c r="OOW1447"/>
      <c r="OOX1447"/>
      <c r="OOY1447"/>
      <c r="OOZ1447"/>
      <c r="OPA1447"/>
      <c r="OPB1447"/>
      <c r="OPC1447"/>
      <c r="OPD1447"/>
      <c r="OPE1447"/>
      <c r="OPF1447"/>
      <c r="OPG1447"/>
      <c r="OPH1447"/>
      <c r="OPI1447"/>
      <c r="OPJ1447"/>
      <c r="OPK1447"/>
      <c r="OPL1447"/>
      <c r="OPM1447"/>
      <c r="OPN1447"/>
      <c r="OPO1447"/>
      <c r="OPP1447"/>
      <c r="OPQ1447"/>
      <c r="OPR1447"/>
      <c r="OPS1447"/>
      <c r="OPT1447"/>
      <c r="OPU1447"/>
      <c r="OPV1447"/>
      <c r="OPW1447"/>
      <c r="OPX1447"/>
      <c r="OPY1447"/>
      <c r="OPZ1447"/>
      <c r="OQA1447"/>
      <c r="OQB1447"/>
      <c r="OQC1447"/>
      <c r="OQD1447"/>
      <c r="OQE1447"/>
      <c r="OQF1447"/>
      <c r="OQG1447"/>
      <c r="OQH1447"/>
      <c r="OQI1447"/>
      <c r="OQJ1447"/>
      <c r="OQK1447"/>
      <c r="OQL1447"/>
      <c r="OQM1447"/>
      <c r="OQN1447"/>
      <c r="OQO1447"/>
      <c r="OQP1447"/>
      <c r="OQQ1447"/>
      <c r="OQR1447"/>
      <c r="OQS1447"/>
      <c r="OQT1447"/>
      <c r="OQU1447"/>
      <c r="OQV1447"/>
      <c r="OQW1447"/>
      <c r="OQX1447"/>
      <c r="OQY1447"/>
      <c r="OQZ1447"/>
      <c r="ORA1447"/>
      <c r="ORB1447"/>
      <c r="ORC1447"/>
      <c r="ORD1447"/>
      <c r="ORE1447"/>
      <c r="ORF1447"/>
      <c r="ORG1447"/>
      <c r="ORH1447"/>
      <c r="ORI1447"/>
      <c r="ORJ1447"/>
      <c r="ORK1447"/>
      <c r="ORL1447"/>
      <c r="ORM1447"/>
      <c r="ORN1447"/>
      <c r="ORO1447"/>
      <c r="ORP1447"/>
      <c r="ORQ1447"/>
      <c r="ORR1447"/>
      <c r="ORS1447"/>
      <c r="ORT1447"/>
      <c r="ORU1447"/>
      <c r="ORV1447"/>
      <c r="ORW1447"/>
      <c r="ORX1447"/>
      <c r="ORY1447"/>
      <c r="ORZ1447"/>
      <c r="OSA1447"/>
      <c r="OSB1447"/>
      <c r="OSC1447"/>
      <c r="OSD1447"/>
      <c r="OSE1447"/>
      <c r="OSF1447"/>
      <c r="OSG1447"/>
      <c r="OSH1447"/>
      <c r="OSI1447"/>
      <c r="OSJ1447"/>
      <c r="OSK1447"/>
      <c r="OSL1447"/>
      <c r="OSM1447"/>
      <c r="OSN1447"/>
      <c r="OSO1447"/>
      <c r="OSP1447"/>
      <c r="OSQ1447"/>
      <c r="OSR1447"/>
      <c r="OSS1447"/>
      <c r="OST1447"/>
      <c r="OSU1447"/>
      <c r="OSV1447"/>
      <c r="OSW1447"/>
      <c r="OSX1447"/>
      <c r="OSY1447"/>
      <c r="OSZ1447"/>
      <c r="OTA1447"/>
      <c r="OTB1447"/>
      <c r="OTC1447"/>
      <c r="OTD1447"/>
      <c r="OTE1447"/>
      <c r="OTF1447"/>
      <c r="OTG1447"/>
      <c r="OTH1447"/>
      <c r="OTI1447"/>
      <c r="OTJ1447"/>
      <c r="OTK1447"/>
      <c r="OTL1447"/>
      <c r="OTM1447"/>
      <c r="OTN1447"/>
      <c r="OTO1447"/>
      <c r="OTP1447"/>
      <c r="OTQ1447"/>
      <c r="OTR1447"/>
      <c r="OTS1447"/>
      <c r="OTT1447"/>
      <c r="OTU1447"/>
      <c r="OTV1447"/>
      <c r="OTW1447"/>
      <c r="OTX1447"/>
      <c r="OTY1447"/>
      <c r="OTZ1447"/>
      <c r="OUA1447"/>
      <c r="OUB1447"/>
      <c r="OUC1447"/>
      <c r="OUD1447"/>
      <c r="OUE1447"/>
      <c r="OUF1447"/>
      <c r="OUG1447"/>
      <c r="OUH1447"/>
      <c r="OUI1447"/>
      <c r="OUJ1447"/>
      <c r="OUK1447"/>
      <c r="OUL1447"/>
      <c r="OUM1447"/>
      <c r="OUN1447"/>
      <c r="OUO1447"/>
      <c r="OUP1447"/>
      <c r="OUQ1447"/>
      <c r="OUR1447"/>
      <c r="OUS1447"/>
      <c r="OUT1447"/>
      <c r="OUU1447"/>
      <c r="OUV1447"/>
      <c r="OUW1447"/>
      <c r="OUX1447"/>
      <c r="OUY1447"/>
      <c r="OUZ1447"/>
      <c r="OVA1447"/>
      <c r="OVB1447"/>
      <c r="OVC1447"/>
      <c r="OVD1447"/>
      <c r="OVE1447"/>
      <c r="OVF1447"/>
      <c r="OVG1447"/>
      <c r="OVH1447"/>
      <c r="OVI1447"/>
      <c r="OVJ1447"/>
      <c r="OVK1447"/>
      <c r="OVL1447"/>
      <c r="OVM1447"/>
      <c r="OVN1447"/>
      <c r="OVO1447"/>
      <c r="OVP1447"/>
      <c r="OVQ1447"/>
      <c r="OVR1447"/>
      <c r="OVS1447"/>
      <c r="OVT1447"/>
      <c r="OVU1447"/>
      <c r="OVV1447"/>
      <c r="OVW1447"/>
      <c r="OVX1447"/>
      <c r="OVY1447"/>
      <c r="OVZ1447"/>
      <c r="OWA1447"/>
      <c r="OWB1447"/>
      <c r="OWC1447"/>
      <c r="OWD1447"/>
      <c r="OWE1447"/>
      <c r="OWF1447"/>
      <c r="OWG1447"/>
      <c r="OWH1447"/>
      <c r="OWI1447"/>
      <c r="OWJ1447"/>
      <c r="OWK1447"/>
      <c r="OWL1447"/>
      <c r="OWM1447"/>
      <c r="OWN1447"/>
      <c r="OWO1447"/>
      <c r="OWP1447"/>
      <c r="OWQ1447"/>
      <c r="OWR1447"/>
      <c r="OWS1447"/>
      <c r="OWT1447"/>
      <c r="OWU1447"/>
      <c r="OWV1447"/>
      <c r="OWW1447"/>
      <c r="OWX1447"/>
      <c r="OWY1447"/>
      <c r="OWZ1447"/>
      <c r="OXA1447"/>
      <c r="OXB1447"/>
      <c r="OXC1447"/>
      <c r="OXD1447"/>
      <c r="OXE1447"/>
      <c r="OXF1447"/>
      <c r="OXG1447"/>
      <c r="OXH1447"/>
      <c r="OXI1447"/>
      <c r="OXJ1447"/>
      <c r="OXK1447"/>
      <c r="OXL1447"/>
      <c r="OXM1447"/>
      <c r="OXN1447"/>
      <c r="OXO1447"/>
      <c r="OXP1447"/>
      <c r="OXQ1447"/>
      <c r="OXR1447"/>
      <c r="OXS1447"/>
      <c r="OXT1447"/>
      <c r="OXU1447"/>
      <c r="OXV1447"/>
      <c r="OXW1447"/>
      <c r="OXX1447"/>
      <c r="OXY1447"/>
      <c r="OXZ1447"/>
      <c r="OYA1447"/>
      <c r="OYB1447"/>
      <c r="OYC1447"/>
      <c r="OYD1447"/>
      <c r="OYE1447"/>
      <c r="OYF1447"/>
      <c r="OYG1447"/>
      <c r="OYH1447"/>
      <c r="OYI1447"/>
      <c r="OYJ1447"/>
      <c r="OYK1447"/>
      <c r="OYL1447"/>
      <c r="OYM1447"/>
      <c r="OYN1447"/>
      <c r="OYO1447"/>
      <c r="OYP1447"/>
      <c r="OYQ1447"/>
      <c r="OYR1447"/>
      <c r="OYS1447"/>
      <c r="OYT1447"/>
      <c r="OYU1447"/>
      <c r="OYV1447"/>
      <c r="OYW1447"/>
      <c r="OYX1447"/>
      <c r="OYY1447"/>
      <c r="OYZ1447"/>
      <c r="OZA1447"/>
      <c r="OZB1447"/>
      <c r="OZC1447"/>
      <c r="OZD1447"/>
      <c r="OZE1447"/>
      <c r="OZF1447"/>
      <c r="OZG1447"/>
      <c r="OZH1447"/>
      <c r="OZI1447"/>
      <c r="OZJ1447"/>
      <c r="OZK1447"/>
      <c r="OZL1447"/>
      <c r="OZM1447"/>
      <c r="OZN1447"/>
      <c r="OZO1447"/>
      <c r="OZP1447"/>
      <c r="OZQ1447"/>
      <c r="OZR1447"/>
      <c r="OZS1447"/>
      <c r="OZT1447"/>
      <c r="OZU1447"/>
      <c r="OZV1447"/>
      <c r="OZW1447"/>
      <c r="OZX1447"/>
      <c r="OZY1447"/>
      <c r="OZZ1447"/>
      <c r="PAA1447"/>
      <c r="PAB1447"/>
      <c r="PAC1447"/>
      <c r="PAD1447"/>
      <c r="PAE1447"/>
      <c r="PAF1447"/>
      <c r="PAG1447"/>
      <c r="PAH1447"/>
      <c r="PAI1447"/>
      <c r="PAJ1447"/>
      <c r="PAK1447"/>
      <c r="PAL1447"/>
      <c r="PAM1447"/>
      <c r="PAN1447"/>
      <c r="PAO1447"/>
      <c r="PAP1447"/>
      <c r="PAQ1447"/>
      <c r="PAR1447"/>
      <c r="PAS1447"/>
      <c r="PAT1447"/>
      <c r="PAU1447"/>
      <c r="PAV1447"/>
      <c r="PAW1447"/>
      <c r="PAX1447"/>
      <c r="PAY1447"/>
      <c r="PAZ1447"/>
      <c r="PBA1447"/>
      <c r="PBB1447"/>
      <c r="PBC1447"/>
      <c r="PBD1447"/>
      <c r="PBE1447"/>
      <c r="PBF1447"/>
      <c r="PBG1447"/>
      <c r="PBH1447"/>
      <c r="PBI1447"/>
      <c r="PBJ1447"/>
      <c r="PBK1447"/>
      <c r="PBL1447"/>
      <c r="PBM1447"/>
      <c r="PBN1447"/>
      <c r="PBO1447"/>
      <c r="PBP1447"/>
      <c r="PBQ1447"/>
      <c r="PBR1447"/>
      <c r="PBS1447"/>
      <c r="PBT1447"/>
      <c r="PBU1447"/>
      <c r="PBV1447"/>
      <c r="PBW1447"/>
      <c r="PBX1447"/>
      <c r="PBY1447"/>
      <c r="PBZ1447"/>
      <c r="PCA1447"/>
      <c r="PCB1447"/>
      <c r="PCC1447"/>
      <c r="PCD1447"/>
      <c r="PCE1447"/>
      <c r="PCF1447"/>
      <c r="PCG1447"/>
      <c r="PCH1447"/>
      <c r="PCI1447"/>
      <c r="PCJ1447"/>
      <c r="PCK1447"/>
      <c r="PCL1447"/>
      <c r="PCM1447"/>
      <c r="PCN1447"/>
      <c r="PCO1447"/>
      <c r="PCP1447"/>
      <c r="PCQ1447"/>
      <c r="PCR1447"/>
      <c r="PCS1447"/>
      <c r="PCT1447"/>
      <c r="PCU1447"/>
      <c r="PCV1447"/>
      <c r="PCW1447"/>
      <c r="PCX1447"/>
      <c r="PCY1447"/>
      <c r="PCZ1447"/>
      <c r="PDA1447"/>
      <c r="PDB1447"/>
      <c r="PDC1447"/>
      <c r="PDD1447"/>
      <c r="PDE1447"/>
      <c r="PDF1447"/>
      <c r="PDG1447"/>
      <c r="PDH1447"/>
      <c r="PDI1447"/>
      <c r="PDJ1447"/>
      <c r="PDK1447"/>
      <c r="PDL1447"/>
      <c r="PDM1447"/>
      <c r="PDN1447"/>
      <c r="PDO1447"/>
      <c r="PDP1447"/>
      <c r="PDQ1447"/>
      <c r="PDR1447"/>
      <c r="PDS1447"/>
      <c r="PDT1447"/>
      <c r="PDU1447"/>
      <c r="PDV1447"/>
      <c r="PDW1447"/>
      <c r="PDX1447"/>
      <c r="PDY1447"/>
      <c r="PDZ1447"/>
      <c r="PEA1447"/>
      <c r="PEB1447"/>
      <c r="PEC1447"/>
      <c r="PED1447"/>
      <c r="PEE1447"/>
      <c r="PEF1447"/>
      <c r="PEG1447"/>
      <c r="PEH1447"/>
      <c r="PEI1447"/>
      <c r="PEJ1447"/>
      <c r="PEK1447"/>
      <c r="PEL1447"/>
      <c r="PEM1447"/>
      <c r="PEN1447"/>
      <c r="PEO1447"/>
      <c r="PEP1447"/>
      <c r="PEQ1447"/>
      <c r="PER1447"/>
      <c r="PES1447"/>
      <c r="PET1447"/>
      <c r="PEU1447"/>
      <c r="PEV1447"/>
      <c r="PEW1447"/>
      <c r="PEX1447"/>
      <c r="PEY1447"/>
      <c r="PEZ1447"/>
      <c r="PFA1447"/>
      <c r="PFB1447"/>
      <c r="PFC1447"/>
      <c r="PFD1447"/>
      <c r="PFE1447"/>
      <c r="PFF1447"/>
      <c r="PFG1447"/>
      <c r="PFH1447"/>
      <c r="PFI1447"/>
      <c r="PFJ1447"/>
      <c r="PFK1447"/>
      <c r="PFL1447"/>
      <c r="PFM1447"/>
      <c r="PFN1447"/>
      <c r="PFO1447"/>
      <c r="PFP1447"/>
      <c r="PFQ1447"/>
      <c r="PFR1447"/>
      <c r="PFS1447"/>
      <c r="PFT1447"/>
      <c r="PFU1447"/>
      <c r="PFV1447"/>
      <c r="PFW1447"/>
      <c r="PFX1447"/>
      <c r="PFY1447"/>
      <c r="PFZ1447"/>
      <c r="PGA1447"/>
      <c r="PGB1447"/>
      <c r="PGC1447"/>
      <c r="PGD1447"/>
      <c r="PGE1447"/>
      <c r="PGF1447"/>
      <c r="PGG1447"/>
      <c r="PGH1447"/>
      <c r="PGI1447"/>
      <c r="PGJ1447"/>
      <c r="PGK1447"/>
      <c r="PGL1447"/>
      <c r="PGM1447"/>
      <c r="PGN1447"/>
      <c r="PGO1447"/>
      <c r="PGP1447"/>
      <c r="PGQ1447"/>
      <c r="PGR1447"/>
      <c r="PGS1447"/>
      <c r="PGT1447"/>
      <c r="PGU1447"/>
      <c r="PGV1447"/>
      <c r="PGW1447"/>
      <c r="PGX1447"/>
      <c r="PGY1447"/>
      <c r="PGZ1447"/>
      <c r="PHA1447"/>
      <c r="PHB1447"/>
      <c r="PHC1447"/>
      <c r="PHD1447"/>
      <c r="PHE1447"/>
      <c r="PHF1447"/>
      <c r="PHG1447"/>
      <c r="PHH1447"/>
      <c r="PHI1447"/>
      <c r="PHJ1447"/>
      <c r="PHK1447"/>
      <c r="PHL1447"/>
      <c r="PHM1447"/>
      <c r="PHN1447"/>
      <c r="PHO1447"/>
      <c r="PHP1447"/>
      <c r="PHQ1447"/>
      <c r="PHR1447"/>
      <c r="PHS1447"/>
      <c r="PHT1447"/>
      <c r="PHU1447"/>
      <c r="PHV1447"/>
      <c r="PHW1447"/>
      <c r="PHX1447"/>
      <c r="PHY1447"/>
      <c r="PHZ1447"/>
      <c r="PIA1447"/>
      <c r="PIB1447"/>
      <c r="PIC1447"/>
      <c r="PID1447"/>
      <c r="PIE1447"/>
      <c r="PIF1447"/>
      <c r="PIG1447"/>
      <c r="PIH1447"/>
      <c r="PII1447"/>
      <c r="PIJ1447"/>
      <c r="PIK1447"/>
      <c r="PIL1447"/>
      <c r="PIM1447"/>
      <c r="PIN1447"/>
      <c r="PIO1447"/>
      <c r="PIP1447"/>
      <c r="PIQ1447"/>
      <c r="PIR1447"/>
      <c r="PIS1447"/>
      <c r="PIT1447"/>
      <c r="PIU1447"/>
      <c r="PIV1447"/>
      <c r="PIW1447"/>
      <c r="PIX1447"/>
      <c r="PIY1447"/>
      <c r="PIZ1447"/>
      <c r="PJA1447"/>
      <c r="PJB1447"/>
      <c r="PJC1447"/>
      <c r="PJD1447"/>
      <c r="PJE1447"/>
      <c r="PJF1447"/>
      <c r="PJG1447"/>
      <c r="PJH1447"/>
      <c r="PJI1447"/>
      <c r="PJJ1447"/>
      <c r="PJK1447"/>
      <c r="PJL1447"/>
      <c r="PJM1447"/>
      <c r="PJN1447"/>
      <c r="PJO1447"/>
      <c r="PJP1447"/>
      <c r="PJQ1447"/>
      <c r="PJR1447"/>
      <c r="PJS1447"/>
      <c r="PJT1447"/>
      <c r="PJU1447"/>
      <c r="PJV1447"/>
      <c r="PJW1447"/>
      <c r="PJX1447"/>
      <c r="PJY1447"/>
      <c r="PJZ1447"/>
      <c r="PKA1447"/>
      <c r="PKB1447"/>
      <c r="PKC1447"/>
      <c r="PKD1447"/>
      <c r="PKE1447"/>
      <c r="PKF1447"/>
      <c r="PKG1447"/>
      <c r="PKH1447"/>
      <c r="PKI1447"/>
      <c r="PKJ1447"/>
      <c r="PKK1447"/>
      <c r="PKL1447"/>
      <c r="PKM1447"/>
      <c r="PKN1447"/>
      <c r="PKO1447"/>
      <c r="PKP1447"/>
      <c r="PKQ1447"/>
      <c r="PKR1447"/>
      <c r="PKS1447"/>
      <c r="PKT1447"/>
      <c r="PKU1447"/>
      <c r="PKV1447"/>
      <c r="PKW1447"/>
      <c r="PKX1447"/>
      <c r="PKY1447"/>
      <c r="PKZ1447"/>
      <c r="PLA1447"/>
      <c r="PLB1447"/>
      <c r="PLC1447"/>
      <c r="PLD1447"/>
      <c r="PLE1447"/>
      <c r="PLF1447"/>
      <c r="PLG1447"/>
      <c r="PLH1447"/>
      <c r="PLI1447"/>
      <c r="PLJ1447"/>
      <c r="PLK1447"/>
      <c r="PLL1447"/>
      <c r="PLM1447"/>
      <c r="PLN1447"/>
      <c r="PLO1447"/>
      <c r="PLP1447"/>
      <c r="PLQ1447"/>
      <c r="PLR1447"/>
      <c r="PLS1447"/>
      <c r="PLT1447"/>
      <c r="PLU1447"/>
      <c r="PLV1447"/>
      <c r="PLW1447"/>
      <c r="PLX1447"/>
      <c r="PLY1447"/>
      <c r="PLZ1447"/>
      <c r="PMA1447"/>
      <c r="PMB1447"/>
      <c r="PMC1447"/>
      <c r="PMD1447"/>
      <c r="PME1447"/>
      <c r="PMF1447"/>
      <c r="PMG1447"/>
      <c r="PMH1447"/>
      <c r="PMI1447"/>
      <c r="PMJ1447"/>
      <c r="PMK1447"/>
      <c r="PML1447"/>
      <c r="PMM1447"/>
      <c r="PMN1447"/>
      <c r="PMO1447"/>
      <c r="PMP1447"/>
      <c r="PMQ1447"/>
      <c r="PMR1447"/>
      <c r="PMS1447"/>
      <c r="PMT1447"/>
      <c r="PMU1447"/>
      <c r="PMV1447"/>
      <c r="PMW1447"/>
      <c r="PMX1447"/>
      <c r="PMY1447"/>
      <c r="PMZ1447"/>
      <c r="PNA1447"/>
      <c r="PNB1447"/>
      <c r="PNC1447"/>
      <c r="PND1447"/>
      <c r="PNE1447"/>
      <c r="PNF1447"/>
      <c r="PNG1447"/>
      <c r="PNH1447"/>
      <c r="PNI1447"/>
      <c r="PNJ1447"/>
      <c r="PNK1447"/>
      <c r="PNL1447"/>
      <c r="PNM1447"/>
      <c r="PNN1447"/>
      <c r="PNO1447"/>
      <c r="PNP1447"/>
      <c r="PNQ1447"/>
      <c r="PNR1447"/>
      <c r="PNS1447"/>
      <c r="PNT1447"/>
      <c r="PNU1447"/>
      <c r="PNV1447"/>
      <c r="PNW1447"/>
      <c r="PNX1447"/>
      <c r="PNY1447"/>
      <c r="PNZ1447"/>
      <c r="POA1447"/>
      <c r="POB1447"/>
      <c r="POC1447"/>
      <c r="POD1447"/>
      <c r="POE1447"/>
      <c r="POF1447"/>
      <c r="POG1447"/>
      <c r="POH1447"/>
      <c r="POI1447"/>
      <c r="POJ1447"/>
      <c r="POK1447"/>
      <c r="POL1447"/>
      <c r="POM1447"/>
      <c r="PON1447"/>
      <c r="POO1447"/>
      <c r="POP1447"/>
      <c r="POQ1447"/>
      <c r="POR1447"/>
      <c r="POS1447"/>
      <c r="POT1447"/>
      <c r="POU1447"/>
      <c r="POV1447"/>
      <c r="POW1447"/>
      <c r="POX1447"/>
      <c r="POY1447"/>
      <c r="POZ1447"/>
      <c r="PPA1447"/>
      <c r="PPB1447"/>
      <c r="PPC1447"/>
      <c r="PPD1447"/>
      <c r="PPE1447"/>
      <c r="PPF1447"/>
      <c r="PPG1447"/>
      <c r="PPH1447"/>
      <c r="PPI1447"/>
      <c r="PPJ1447"/>
      <c r="PPK1447"/>
      <c r="PPL1447"/>
      <c r="PPM1447"/>
      <c r="PPN1447"/>
      <c r="PPO1447"/>
      <c r="PPP1447"/>
      <c r="PPQ1447"/>
      <c r="PPR1447"/>
      <c r="PPS1447"/>
      <c r="PPT1447"/>
      <c r="PPU1447"/>
      <c r="PPV1447"/>
      <c r="PPW1447"/>
      <c r="PPX1447"/>
      <c r="PPY1447"/>
      <c r="PPZ1447"/>
      <c r="PQA1447"/>
      <c r="PQB1447"/>
      <c r="PQC1447"/>
      <c r="PQD1447"/>
      <c r="PQE1447"/>
      <c r="PQF1447"/>
      <c r="PQG1447"/>
      <c r="PQH1447"/>
      <c r="PQI1447"/>
      <c r="PQJ1447"/>
      <c r="PQK1447"/>
      <c r="PQL1447"/>
      <c r="PQM1447"/>
      <c r="PQN1447"/>
      <c r="PQO1447"/>
      <c r="PQP1447"/>
      <c r="PQQ1447"/>
      <c r="PQR1447"/>
      <c r="PQS1447"/>
      <c r="PQT1447"/>
      <c r="PQU1447"/>
      <c r="PQV1447"/>
      <c r="PQW1447"/>
      <c r="PQX1447"/>
      <c r="PQY1447"/>
      <c r="PQZ1447"/>
      <c r="PRA1447"/>
      <c r="PRB1447"/>
      <c r="PRC1447"/>
      <c r="PRD1447"/>
      <c r="PRE1447"/>
      <c r="PRF1447"/>
      <c r="PRG1447"/>
      <c r="PRH1447"/>
      <c r="PRI1447"/>
      <c r="PRJ1447"/>
      <c r="PRK1447"/>
      <c r="PRL1447"/>
      <c r="PRM1447"/>
      <c r="PRN1447"/>
      <c r="PRO1447"/>
      <c r="PRP1447"/>
      <c r="PRQ1447"/>
      <c r="PRR1447"/>
      <c r="PRS1447"/>
      <c r="PRT1447"/>
      <c r="PRU1447"/>
      <c r="PRV1447"/>
      <c r="PRW1447"/>
      <c r="PRX1447"/>
      <c r="PRY1447"/>
      <c r="PRZ1447"/>
      <c r="PSA1447"/>
      <c r="PSB1447"/>
      <c r="PSC1447"/>
      <c r="PSD1447"/>
      <c r="PSE1447"/>
      <c r="PSF1447"/>
      <c r="PSG1447"/>
      <c r="PSH1447"/>
      <c r="PSI1447"/>
      <c r="PSJ1447"/>
      <c r="PSK1447"/>
      <c r="PSL1447"/>
      <c r="PSM1447"/>
      <c r="PSN1447"/>
      <c r="PSO1447"/>
      <c r="PSP1447"/>
      <c r="PSQ1447"/>
      <c r="PSR1447"/>
      <c r="PSS1447"/>
      <c r="PST1447"/>
      <c r="PSU1447"/>
      <c r="PSV1447"/>
      <c r="PSW1447"/>
      <c r="PSX1447"/>
      <c r="PSY1447"/>
      <c r="PSZ1447"/>
      <c r="PTA1447"/>
      <c r="PTB1447"/>
      <c r="PTC1447"/>
      <c r="PTD1447"/>
      <c r="PTE1447"/>
      <c r="PTF1447"/>
      <c r="PTG1447"/>
      <c r="PTH1447"/>
      <c r="PTI1447"/>
      <c r="PTJ1447"/>
      <c r="PTK1447"/>
      <c r="PTL1447"/>
      <c r="PTM1447"/>
      <c r="PTN1447"/>
      <c r="PTO1447"/>
      <c r="PTP1447"/>
      <c r="PTQ1447"/>
      <c r="PTR1447"/>
      <c r="PTS1447"/>
      <c r="PTT1447"/>
      <c r="PTU1447"/>
      <c r="PTV1447"/>
      <c r="PTW1447"/>
      <c r="PTX1447"/>
      <c r="PTY1447"/>
      <c r="PTZ1447"/>
      <c r="PUA1447"/>
      <c r="PUB1447"/>
      <c r="PUC1447"/>
      <c r="PUD1447"/>
      <c r="PUE1447"/>
      <c r="PUF1447"/>
      <c r="PUG1447"/>
      <c r="PUH1447"/>
      <c r="PUI1447"/>
      <c r="PUJ1447"/>
      <c r="PUK1447"/>
      <c r="PUL1447"/>
      <c r="PUM1447"/>
      <c r="PUN1447"/>
      <c r="PUO1447"/>
      <c r="PUP1447"/>
      <c r="PUQ1447"/>
      <c r="PUR1447"/>
      <c r="PUS1447"/>
      <c r="PUT1447"/>
      <c r="PUU1447"/>
      <c r="PUV1447"/>
      <c r="PUW1447"/>
      <c r="PUX1447"/>
      <c r="PUY1447"/>
      <c r="PUZ1447"/>
      <c r="PVA1447"/>
      <c r="PVB1447"/>
      <c r="PVC1447"/>
      <c r="PVD1447"/>
      <c r="PVE1447"/>
      <c r="PVF1447"/>
      <c r="PVG1447"/>
      <c r="PVH1447"/>
      <c r="PVI1447"/>
      <c r="PVJ1447"/>
      <c r="PVK1447"/>
      <c r="PVL1447"/>
      <c r="PVM1447"/>
      <c r="PVN1447"/>
      <c r="PVO1447"/>
      <c r="PVP1447"/>
      <c r="PVQ1447"/>
      <c r="PVR1447"/>
      <c r="PVS1447"/>
      <c r="PVT1447"/>
      <c r="PVU1447"/>
      <c r="PVV1447"/>
      <c r="PVW1447"/>
      <c r="PVX1447"/>
      <c r="PVY1447"/>
      <c r="PVZ1447"/>
      <c r="PWA1447"/>
      <c r="PWB1447"/>
      <c r="PWC1447"/>
      <c r="PWD1447"/>
      <c r="PWE1447"/>
      <c r="PWF1447"/>
      <c r="PWG1447"/>
      <c r="PWH1447"/>
      <c r="PWI1447"/>
      <c r="PWJ1447"/>
      <c r="PWK1447"/>
      <c r="PWL1447"/>
      <c r="PWM1447"/>
      <c r="PWN1447"/>
      <c r="PWO1447"/>
      <c r="PWP1447"/>
      <c r="PWQ1447"/>
      <c r="PWR1447"/>
      <c r="PWS1447"/>
      <c r="PWT1447"/>
      <c r="PWU1447"/>
      <c r="PWV1447"/>
      <c r="PWW1447"/>
      <c r="PWX1447"/>
      <c r="PWY1447"/>
      <c r="PWZ1447"/>
      <c r="PXA1447"/>
      <c r="PXB1447"/>
      <c r="PXC1447"/>
      <c r="PXD1447"/>
      <c r="PXE1447"/>
      <c r="PXF1447"/>
      <c r="PXG1447"/>
      <c r="PXH1447"/>
      <c r="PXI1447"/>
      <c r="PXJ1447"/>
      <c r="PXK1447"/>
      <c r="PXL1447"/>
      <c r="PXM1447"/>
      <c r="PXN1447"/>
      <c r="PXO1447"/>
      <c r="PXP1447"/>
      <c r="PXQ1447"/>
      <c r="PXR1447"/>
      <c r="PXS1447"/>
      <c r="PXT1447"/>
      <c r="PXU1447"/>
      <c r="PXV1447"/>
      <c r="PXW1447"/>
      <c r="PXX1447"/>
      <c r="PXY1447"/>
      <c r="PXZ1447"/>
      <c r="PYA1447"/>
      <c r="PYB1447"/>
      <c r="PYC1447"/>
      <c r="PYD1447"/>
      <c r="PYE1447"/>
      <c r="PYF1447"/>
      <c r="PYG1447"/>
      <c r="PYH1447"/>
      <c r="PYI1447"/>
      <c r="PYJ1447"/>
      <c r="PYK1447"/>
      <c r="PYL1447"/>
      <c r="PYM1447"/>
      <c r="PYN1447"/>
      <c r="PYO1447"/>
      <c r="PYP1447"/>
      <c r="PYQ1447"/>
      <c r="PYR1447"/>
      <c r="PYS1447"/>
      <c r="PYT1447"/>
      <c r="PYU1447"/>
      <c r="PYV1447"/>
      <c r="PYW1447"/>
      <c r="PYX1447"/>
      <c r="PYY1447"/>
      <c r="PYZ1447"/>
      <c r="PZA1447"/>
      <c r="PZB1447"/>
      <c r="PZC1447"/>
      <c r="PZD1447"/>
      <c r="PZE1447"/>
      <c r="PZF1447"/>
      <c r="PZG1447"/>
      <c r="PZH1447"/>
      <c r="PZI1447"/>
      <c r="PZJ1447"/>
      <c r="PZK1447"/>
      <c r="PZL1447"/>
      <c r="PZM1447"/>
      <c r="PZN1447"/>
      <c r="PZO1447"/>
      <c r="PZP1447"/>
      <c r="PZQ1447"/>
      <c r="PZR1447"/>
      <c r="PZS1447"/>
      <c r="PZT1447"/>
      <c r="PZU1447"/>
      <c r="PZV1447"/>
      <c r="PZW1447"/>
      <c r="PZX1447"/>
      <c r="PZY1447"/>
      <c r="PZZ1447"/>
      <c r="QAA1447"/>
      <c r="QAB1447"/>
      <c r="QAC1447"/>
      <c r="QAD1447"/>
      <c r="QAE1447"/>
      <c r="QAF1447"/>
      <c r="QAG1447"/>
      <c r="QAH1447"/>
      <c r="QAI1447"/>
      <c r="QAJ1447"/>
      <c r="QAK1447"/>
      <c r="QAL1447"/>
      <c r="QAM1447"/>
      <c r="QAN1447"/>
      <c r="QAO1447"/>
      <c r="QAP1447"/>
      <c r="QAQ1447"/>
      <c r="QAR1447"/>
      <c r="QAS1447"/>
      <c r="QAT1447"/>
      <c r="QAU1447"/>
      <c r="QAV1447"/>
      <c r="QAW1447"/>
      <c r="QAX1447"/>
      <c r="QAY1447"/>
      <c r="QAZ1447"/>
      <c r="QBA1447"/>
      <c r="QBB1447"/>
      <c r="QBC1447"/>
      <c r="QBD1447"/>
      <c r="QBE1447"/>
      <c r="QBF1447"/>
      <c r="QBG1447"/>
      <c r="QBH1447"/>
      <c r="QBI1447"/>
      <c r="QBJ1447"/>
      <c r="QBK1447"/>
      <c r="QBL1447"/>
      <c r="QBM1447"/>
      <c r="QBN1447"/>
      <c r="QBO1447"/>
      <c r="QBP1447"/>
      <c r="QBQ1447"/>
      <c r="QBR1447"/>
      <c r="QBS1447"/>
      <c r="QBT1447"/>
      <c r="QBU1447"/>
      <c r="QBV1447"/>
      <c r="QBW1447"/>
      <c r="QBX1447"/>
      <c r="QBY1447"/>
      <c r="QBZ1447"/>
      <c r="QCA1447"/>
      <c r="QCB1447"/>
      <c r="QCC1447"/>
      <c r="QCD1447"/>
      <c r="QCE1447"/>
      <c r="QCF1447"/>
      <c r="QCG1447"/>
      <c r="QCH1447"/>
      <c r="QCI1447"/>
      <c r="QCJ1447"/>
      <c r="QCK1447"/>
      <c r="QCL1447"/>
      <c r="QCM1447"/>
      <c r="QCN1447"/>
      <c r="QCO1447"/>
      <c r="QCP1447"/>
      <c r="QCQ1447"/>
      <c r="QCR1447"/>
      <c r="QCS1447"/>
      <c r="QCT1447"/>
      <c r="QCU1447"/>
      <c r="QCV1447"/>
      <c r="QCW1447"/>
      <c r="QCX1447"/>
      <c r="QCY1447"/>
      <c r="QCZ1447"/>
      <c r="QDA1447"/>
      <c r="QDB1447"/>
      <c r="QDC1447"/>
      <c r="QDD1447"/>
      <c r="QDE1447"/>
      <c r="QDF1447"/>
      <c r="QDG1447"/>
      <c r="QDH1447"/>
      <c r="QDI1447"/>
      <c r="QDJ1447"/>
      <c r="QDK1447"/>
      <c r="QDL1447"/>
      <c r="QDM1447"/>
      <c r="QDN1447"/>
      <c r="QDO1447"/>
      <c r="QDP1447"/>
      <c r="QDQ1447"/>
      <c r="QDR1447"/>
      <c r="QDS1447"/>
      <c r="QDT1447"/>
      <c r="QDU1447"/>
      <c r="QDV1447"/>
      <c r="QDW1447"/>
      <c r="QDX1447"/>
      <c r="QDY1447"/>
      <c r="QDZ1447"/>
      <c r="QEA1447"/>
      <c r="QEB1447"/>
      <c r="QEC1447"/>
      <c r="QED1447"/>
      <c r="QEE1447"/>
      <c r="QEF1447"/>
      <c r="QEG1447"/>
      <c r="QEH1447"/>
      <c r="QEI1447"/>
      <c r="QEJ1447"/>
      <c r="QEK1447"/>
      <c r="QEL1447"/>
      <c r="QEM1447"/>
      <c r="QEN1447"/>
      <c r="QEO1447"/>
      <c r="QEP1447"/>
      <c r="QEQ1447"/>
      <c r="QER1447"/>
      <c r="QES1447"/>
      <c r="QET1447"/>
      <c r="QEU1447"/>
      <c r="QEV1447"/>
      <c r="QEW1447"/>
      <c r="QEX1447"/>
      <c r="QEY1447"/>
      <c r="QEZ1447"/>
      <c r="QFA1447"/>
      <c r="QFB1447"/>
      <c r="QFC1447"/>
      <c r="QFD1447"/>
      <c r="QFE1447"/>
      <c r="QFF1447"/>
      <c r="QFG1447"/>
      <c r="QFH1447"/>
      <c r="QFI1447"/>
      <c r="QFJ1447"/>
      <c r="QFK1447"/>
      <c r="QFL1447"/>
      <c r="QFM1447"/>
      <c r="QFN1447"/>
      <c r="QFO1447"/>
      <c r="QFP1447"/>
      <c r="QFQ1447"/>
      <c r="QFR1447"/>
      <c r="QFS1447"/>
      <c r="QFT1447"/>
      <c r="QFU1447"/>
      <c r="QFV1447"/>
      <c r="QFW1447"/>
      <c r="QFX1447"/>
      <c r="QFY1447"/>
      <c r="QFZ1447"/>
      <c r="QGA1447"/>
      <c r="QGB1447"/>
      <c r="QGC1447"/>
      <c r="QGD1447"/>
      <c r="QGE1447"/>
      <c r="QGF1447"/>
      <c r="QGG1447"/>
      <c r="QGH1447"/>
      <c r="QGI1447"/>
      <c r="QGJ1447"/>
      <c r="QGK1447"/>
      <c r="QGL1447"/>
      <c r="QGM1447"/>
      <c r="QGN1447"/>
      <c r="QGO1447"/>
      <c r="QGP1447"/>
      <c r="QGQ1447"/>
      <c r="QGR1447"/>
      <c r="QGS1447"/>
      <c r="QGT1447"/>
      <c r="QGU1447"/>
      <c r="QGV1447"/>
      <c r="QGW1447"/>
      <c r="QGX1447"/>
      <c r="QGY1447"/>
      <c r="QGZ1447"/>
      <c r="QHA1447"/>
      <c r="QHB1447"/>
      <c r="QHC1447"/>
      <c r="QHD1447"/>
      <c r="QHE1447"/>
      <c r="QHF1447"/>
      <c r="QHG1447"/>
      <c r="QHH1447"/>
      <c r="QHI1447"/>
      <c r="QHJ1447"/>
      <c r="QHK1447"/>
      <c r="QHL1447"/>
      <c r="QHM1447"/>
      <c r="QHN1447"/>
      <c r="QHO1447"/>
      <c r="QHP1447"/>
      <c r="QHQ1447"/>
      <c r="QHR1447"/>
      <c r="QHS1447"/>
      <c r="QHT1447"/>
      <c r="QHU1447"/>
      <c r="QHV1447"/>
      <c r="QHW1447"/>
      <c r="QHX1447"/>
      <c r="QHY1447"/>
      <c r="QHZ1447"/>
      <c r="QIA1447"/>
      <c r="QIB1447"/>
      <c r="QIC1447"/>
      <c r="QID1447"/>
      <c r="QIE1447"/>
      <c r="QIF1447"/>
      <c r="QIG1447"/>
      <c r="QIH1447"/>
      <c r="QII1447"/>
      <c r="QIJ1447"/>
      <c r="QIK1447"/>
      <c r="QIL1447"/>
      <c r="QIM1447"/>
      <c r="QIN1447"/>
      <c r="QIO1447"/>
      <c r="QIP1447"/>
      <c r="QIQ1447"/>
      <c r="QIR1447"/>
      <c r="QIS1447"/>
      <c r="QIT1447"/>
      <c r="QIU1447"/>
      <c r="QIV1447"/>
      <c r="QIW1447"/>
      <c r="QIX1447"/>
      <c r="QIY1447"/>
      <c r="QIZ1447"/>
      <c r="QJA1447"/>
      <c r="QJB1447"/>
      <c r="QJC1447"/>
      <c r="QJD1447"/>
      <c r="QJE1447"/>
      <c r="QJF1447"/>
      <c r="QJG1447"/>
      <c r="QJH1447"/>
      <c r="QJI1447"/>
      <c r="QJJ1447"/>
      <c r="QJK1447"/>
      <c r="QJL1447"/>
      <c r="QJM1447"/>
      <c r="QJN1447"/>
      <c r="QJO1447"/>
      <c r="QJP1447"/>
      <c r="QJQ1447"/>
      <c r="QJR1447"/>
      <c r="QJS1447"/>
      <c r="QJT1447"/>
      <c r="QJU1447"/>
      <c r="QJV1447"/>
      <c r="QJW1447"/>
      <c r="QJX1447"/>
      <c r="QJY1447"/>
      <c r="QJZ1447"/>
      <c r="QKA1447"/>
      <c r="QKB1447"/>
      <c r="QKC1447"/>
      <c r="QKD1447"/>
      <c r="QKE1447"/>
      <c r="QKF1447"/>
      <c r="QKG1447"/>
      <c r="QKH1447"/>
      <c r="QKI1447"/>
      <c r="QKJ1447"/>
      <c r="QKK1447"/>
      <c r="QKL1447"/>
      <c r="QKM1447"/>
      <c r="QKN1447"/>
      <c r="QKO1447"/>
      <c r="QKP1447"/>
      <c r="QKQ1447"/>
      <c r="QKR1447"/>
      <c r="QKS1447"/>
      <c r="QKT1447"/>
      <c r="QKU1447"/>
      <c r="QKV1447"/>
      <c r="QKW1447"/>
      <c r="QKX1447"/>
      <c r="QKY1447"/>
      <c r="QKZ1447"/>
      <c r="QLA1447"/>
      <c r="QLB1447"/>
      <c r="QLC1447"/>
      <c r="QLD1447"/>
      <c r="QLE1447"/>
      <c r="QLF1447"/>
      <c r="QLG1447"/>
      <c r="QLH1447"/>
      <c r="QLI1447"/>
      <c r="QLJ1447"/>
      <c r="QLK1447"/>
      <c r="QLL1447"/>
      <c r="QLM1447"/>
      <c r="QLN1447"/>
      <c r="QLO1447"/>
      <c r="QLP1447"/>
      <c r="QLQ1447"/>
      <c r="QLR1447"/>
      <c r="QLS1447"/>
      <c r="QLT1447"/>
      <c r="QLU1447"/>
      <c r="QLV1447"/>
      <c r="QLW1447"/>
      <c r="QLX1447"/>
      <c r="QLY1447"/>
      <c r="QLZ1447"/>
      <c r="QMA1447"/>
      <c r="QMB1447"/>
      <c r="QMC1447"/>
      <c r="QMD1447"/>
      <c r="QME1447"/>
      <c r="QMF1447"/>
      <c r="QMG1447"/>
      <c r="QMH1447"/>
      <c r="QMI1447"/>
      <c r="QMJ1447"/>
      <c r="QMK1447"/>
      <c r="QML1447"/>
      <c r="QMM1447"/>
      <c r="QMN1447"/>
      <c r="QMO1447"/>
      <c r="QMP1447"/>
      <c r="QMQ1447"/>
      <c r="QMR1447"/>
      <c r="QMS1447"/>
      <c r="QMT1447"/>
      <c r="QMU1447"/>
      <c r="QMV1447"/>
      <c r="QMW1447"/>
      <c r="QMX1447"/>
      <c r="QMY1447"/>
      <c r="QMZ1447"/>
      <c r="QNA1447"/>
      <c r="QNB1447"/>
      <c r="QNC1447"/>
      <c r="QND1447"/>
      <c r="QNE1447"/>
      <c r="QNF1447"/>
      <c r="QNG1447"/>
      <c r="QNH1447"/>
      <c r="QNI1447"/>
      <c r="QNJ1447"/>
      <c r="QNK1447"/>
      <c r="QNL1447"/>
      <c r="QNM1447"/>
      <c r="QNN1447"/>
      <c r="QNO1447"/>
      <c r="QNP1447"/>
      <c r="QNQ1447"/>
      <c r="QNR1447"/>
      <c r="QNS1447"/>
      <c r="QNT1447"/>
      <c r="QNU1447"/>
      <c r="QNV1447"/>
      <c r="QNW1447"/>
      <c r="QNX1447"/>
      <c r="QNY1447"/>
      <c r="QNZ1447"/>
      <c r="QOA1447"/>
      <c r="QOB1447"/>
      <c r="QOC1447"/>
      <c r="QOD1447"/>
      <c r="QOE1447"/>
      <c r="QOF1447"/>
      <c r="QOG1447"/>
      <c r="QOH1447"/>
      <c r="QOI1447"/>
      <c r="QOJ1447"/>
      <c r="QOK1447"/>
      <c r="QOL1447"/>
      <c r="QOM1447"/>
      <c r="QON1447"/>
      <c r="QOO1447"/>
      <c r="QOP1447"/>
      <c r="QOQ1447"/>
      <c r="QOR1447"/>
      <c r="QOS1447"/>
      <c r="QOT1447"/>
      <c r="QOU1447"/>
      <c r="QOV1447"/>
      <c r="QOW1447"/>
      <c r="QOX1447"/>
      <c r="QOY1447"/>
      <c r="QOZ1447"/>
      <c r="QPA1447"/>
      <c r="QPB1447"/>
      <c r="QPC1447"/>
      <c r="QPD1447"/>
      <c r="QPE1447"/>
      <c r="QPF1447"/>
      <c r="QPG1447"/>
      <c r="QPH1447"/>
      <c r="QPI1447"/>
      <c r="QPJ1447"/>
      <c r="QPK1447"/>
      <c r="QPL1447"/>
      <c r="QPM1447"/>
      <c r="QPN1447"/>
      <c r="QPO1447"/>
      <c r="QPP1447"/>
      <c r="QPQ1447"/>
      <c r="QPR1447"/>
      <c r="QPS1447"/>
      <c r="QPT1447"/>
      <c r="QPU1447"/>
      <c r="QPV1447"/>
      <c r="QPW1447"/>
      <c r="QPX1447"/>
      <c r="QPY1447"/>
      <c r="QPZ1447"/>
      <c r="QQA1447"/>
      <c r="QQB1447"/>
      <c r="QQC1447"/>
      <c r="QQD1447"/>
      <c r="QQE1447"/>
      <c r="QQF1447"/>
      <c r="QQG1447"/>
      <c r="QQH1447"/>
      <c r="QQI1447"/>
      <c r="QQJ1447"/>
      <c r="QQK1447"/>
      <c r="QQL1447"/>
      <c r="QQM1447"/>
      <c r="QQN1447"/>
      <c r="QQO1447"/>
      <c r="QQP1447"/>
      <c r="QQQ1447"/>
      <c r="QQR1447"/>
      <c r="QQS1447"/>
      <c r="QQT1447"/>
      <c r="QQU1447"/>
      <c r="QQV1447"/>
      <c r="QQW1447"/>
      <c r="QQX1447"/>
      <c r="QQY1447"/>
      <c r="QQZ1447"/>
      <c r="QRA1447"/>
      <c r="QRB1447"/>
      <c r="QRC1447"/>
      <c r="QRD1447"/>
      <c r="QRE1447"/>
      <c r="QRF1447"/>
      <c r="QRG1447"/>
      <c r="QRH1447"/>
      <c r="QRI1447"/>
      <c r="QRJ1447"/>
      <c r="QRK1447"/>
      <c r="QRL1447"/>
      <c r="QRM1447"/>
      <c r="QRN1447"/>
      <c r="QRO1447"/>
      <c r="QRP1447"/>
      <c r="QRQ1447"/>
      <c r="QRR1447"/>
      <c r="QRS1447"/>
      <c r="QRT1447"/>
      <c r="QRU1447"/>
      <c r="QRV1447"/>
      <c r="QRW1447"/>
      <c r="QRX1447"/>
      <c r="QRY1447"/>
      <c r="QRZ1447"/>
      <c r="QSA1447"/>
      <c r="QSB1447"/>
      <c r="QSC1447"/>
      <c r="QSD1447"/>
      <c r="QSE1447"/>
      <c r="QSF1447"/>
      <c r="QSG1447"/>
      <c r="QSH1447"/>
      <c r="QSI1447"/>
      <c r="QSJ1447"/>
      <c r="QSK1447"/>
      <c r="QSL1447"/>
      <c r="QSM1447"/>
      <c r="QSN1447"/>
      <c r="QSO1447"/>
      <c r="QSP1447"/>
      <c r="QSQ1447"/>
      <c r="QSR1447"/>
      <c r="QSS1447"/>
      <c r="QST1447"/>
      <c r="QSU1447"/>
      <c r="QSV1447"/>
      <c r="QSW1447"/>
      <c r="QSX1447"/>
      <c r="QSY1447"/>
      <c r="QSZ1447"/>
      <c r="QTA1447"/>
      <c r="QTB1447"/>
      <c r="QTC1447"/>
      <c r="QTD1447"/>
      <c r="QTE1447"/>
      <c r="QTF1447"/>
      <c r="QTG1447"/>
      <c r="QTH1447"/>
      <c r="QTI1447"/>
      <c r="QTJ1447"/>
      <c r="QTK1447"/>
      <c r="QTL1447"/>
      <c r="QTM1447"/>
      <c r="QTN1447"/>
      <c r="QTO1447"/>
      <c r="QTP1447"/>
      <c r="QTQ1447"/>
      <c r="QTR1447"/>
      <c r="QTS1447"/>
      <c r="QTT1447"/>
      <c r="QTU1447"/>
      <c r="QTV1447"/>
      <c r="QTW1447"/>
      <c r="QTX1447"/>
      <c r="QTY1447"/>
      <c r="QTZ1447"/>
      <c r="QUA1447"/>
      <c r="QUB1447"/>
      <c r="QUC1447"/>
      <c r="QUD1447"/>
      <c r="QUE1447"/>
      <c r="QUF1447"/>
      <c r="QUG1447"/>
      <c r="QUH1447"/>
      <c r="QUI1447"/>
      <c r="QUJ1447"/>
      <c r="QUK1447"/>
      <c r="QUL1447"/>
      <c r="QUM1447"/>
      <c r="QUN1447"/>
      <c r="QUO1447"/>
      <c r="QUP1447"/>
      <c r="QUQ1447"/>
      <c r="QUR1447"/>
      <c r="QUS1447"/>
      <c r="QUT1447"/>
      <c r="QUU1447"/>
      <c r="QUV1447"/>
      <c r="QUW1447"/>
      <c r="QUX1447"/>
      <c r="QUY1447"/>
      <c r="QUZ1447"/>
      <c r="QVA1447"/>
      <c r="QVB1447"/>
      <c r="QVC1447"/>
      <c r="QVD1447"/>
      <c r="QVE1447"/>
      <c r="QVF1447"/>
      <c r="QVG1447"/>
      <c r="QVH1447"/>
      <c r="QVI1447"/>
      <c r="QVJ1447"/>
      <c r="QVK1447"/>
      <c r="QVL1447"/>
      <c r="QVM1447"/>
      <c r="QVN1447"/>
      <c r="QVO1447"/>
      <c r="QVP1447"/>
      <c r="QVQ1447"/>
      <c r="QVR1447"/>
      <c r="QVS1447"/>
      <c r="QVT1447"/>
      <c r="QVU1447"/>
      <c r="QVV1447"/>
      <c r="QVW1447"/>
      <c r="QVX1447"/>
      <c r="QVY1447"/>
      <c r="QVZ1447"/>
      <c r="QWA1447"/>
      <c r="QWB1447"/>
      <c r="QWC1447"/>
      <c r="QWD1447"/>
      <c r="QWE1447"/>
      <c r="QWF1447"/>
      <c r="QWG1447"/>
      <c r="QWH1447"/>
      <c r="QWI1447"/>
      <c r="QWJ1447"/>
      <c r="QWK1447"/>
      <c r="QWL1447"/>
      <c r="QWM1447"/>
      <c r="QWN1447"/>
      <c r="QWO1447"/>
      <c r="QWP1447"/>
      <c r="QWQ1447"/>
      <c r="QWR1447"/>
      <c r="QWS1447"/>
      <c r="QWT1447"/>
      <c r="QWU1447"/>
      <c r="QWV1447"/>
      <c r="QWW1447"/>
      <c r="QWX1447"/>
      <c r="QWY1447"/>
      <c r="QWZ1447"/>
      <c r="QXA1447"/>
      <c r="QXB1447"/>
      <c r="QXC1447"/>
      <c r="QXD1447"/>
      <c r="QXE1447"/>
      <c r="QXF1447"/>
      <c r="QXG1447"/>
      <c r="QXH1447"/>
      <c r="QXI1447"/>
      <c r="QXJ1447"/>
      <c r="QXK1447"/>
      <c r="QXL1447"/>
      <c r="QXM1447"/>
      <c r="QXN1447"/>
      <c r="QXO1447"/>
      <c r="QXP1447"/>
      <c r="QXQ1447"/>
      <c r="QXR1447"/>
      <c r="QXS1447"/>
      <c r="QXT1447"/>
      <c r="QXU1447"/>
      <c r="QXV1447"/>
      <c r="QXW1447"/>
      <c r="QXX1447"/>
      <c r="QXY1447"/>
      <c r="QXZ1447"/>
      <c r="QYA1447"/>
      <c r="QYB1447"/>
      <c r="QYC1447"/>
      <c r="QYD1447"/>
      <c r="QYE1447"/>
      <c r="QYF1447"/>
      <c r="QYG1447"/>
      <c r="QYH1447"/>
      <c r="QYI1447"/>
      <c r="QYJ1447"/>
      <c r="QYK1447"/>
      <c r="QYL1447"/>
      <c r="QYM1447"/>
      <c r="QYN1447"/>
      <c r="QYO1447"/>
      <c r="QYP1447"/>
      <c r="QYQ1447"/>
      <c r="QYR1447"/>
      <c r="QYS1447"/>
      <c r="QYT1447"/>
      <c r="QYU1447"/>
      <c r="QYV1447"/>
      <c r="QYW1447"/>
      <c r="QYX1447"/>
      <c r="QYY1447"/>
      <c r="QYZ1447"/>
      <c r="QZA1447"/>
      <c r="QZB1447"/>
      <c r="QZC1447"/>
      <c r="QZD1447"/>
      <c r="QZE1447"/>
      <c r="QZF1447"/>
      <c r="QZG1447"/>
      <c r="QZH1447"/>
      <c r="QZI1447"/>
      <c r="QZJ1447"/>
      <c r="QZK1447"/>
      <c r="QZL1447"/>
      <c r="QZM1447"/>
      <c r="QZN1447"/>
      <c r="QZO1447"/>
      <c r="QZP1447"/>
      <c r="QZQ1447"/>
      <c r="QZR1447"/>
      <c r="QZS1447"/>
      <c r="QZT1447"/>
      <c r="QZU1447"/>
      <c r="QZV1447"/>
      <c r="QZW1447"/>
      <c r="QZX1447"/>
      <c r="QZY1447"/>
      <c r="QZZ1447"/>
      <c r="RAA1447"/>
      <c r="RAB1447"/>
      <c r="RAC1447"/>
      <c r="RAD1447"/>
      <c r="RAE1447"/>
      <c r="RAF1447"/>
      <c r="RAG1447"/>
      <c r="RAH1447"/>
      <c r="RAI1447"/>
      <c r="RAJ1447"/>
      <c r="RAK1447"/>
      <c r="RAL1447"/>
      <c r="RAM1447"/>
      <c r="RAN1447"/>
      <c r="RAO1447"/>
      <c r="RAP1447"/>
      <c r="RAQ1447"/>
      <c r="RAR1447"/>
      <c r="RAS1447"/>
      <c r="RAT1447"/>
      <c r="RAU1447"/>
      <c r="RAV1447"/>
      <c r="RAW1447"/>
      <c r="RAX1447"/>
      <c r="RAY1447"/>
      <c r="RAZ1447"/>
      <c r="RBA1447"/>
      <c r="RBB1447"/>
      <c r="RBC1447"/>
      <c r="RBD1447"/>
      <c r="RBE1447"/>
      <c r="RBF1447"/>
      <c r="RBG1447"/>
      <c r="RBH1447"/>
      <c r="RBI1447"/>
      <c r="RBJ1447"/>
      <c r="RBK1447"/>
      <c r="RBL1447"/>
      <c r="RBM1447"/>
      <c r="RBN1447"/>
      <c r="RBO1447"/>
      <c r="RBP1447"/>
      <c r="RBQ1447"/>
      <c r="RBR1447"/>
      <c r="RBS1447"/>
      <c r="RBT1447"/>
      <c r="RBU1447"/>
      <c r="RBV1447"/>
      <c r="RBW1447"/>
      <c r="RBX1447"/>
      <c r="RBY1447"/>
      <c r="RBZ1447"/>
      <c r="RCA1447"/>
      <c r="RCB1447"/>
      <c r="RCC1447"/>
      <c r="RCD1447"/>
      <c r="RCE1447"/>
      <c r="RCF1447"/>
      <c r="RCG1447"/>
      <c r="RCH1447"/>
      <c r="RCI1447"/>
      <c r="RCJ1447"/>
      <c r="RCK1447"/>
      <c r="RCL1447"/>
      <c r="RCM1447"/>
      <c r="RCN1447"/>
      <c r="RCO1447"/>
      <c r="RCP1447"/>
      <c r="RCQ1447"/>
      <c r="RCR1447"/>
      <c r="RCS1447"/>
      <c r="RCT1447"/>
      <c r="RCU1447"/>
      <c r="RCV1447"/>
      <c r="RCW1447"/>
      <c r="RCX1447"/>
      <c r="RCY1447"/>
      <c r="RCZ1447"/>
      <c r="RDA1447"/>
      <c r="RDB1447"/>
      <c r="RDC1447"/>
      <c r="RDD1447"/>
      <c r="RDE1447"/>
      <c r="RDF1447"/>
      <c r="RDG1447"/>
      <c r="RDH1447"/>
      <c r="RDI1447"/>
      <c r="RDJ1447"/>
      <c r="RDK1447"/>
      <c r="RDL1447"/>
      <c r="RDM1447"/>
      <c r="RDN1447"/>
      <c r="RDO1447"/>
      <c r="RDP1447"/>
      <c r="RDQ1447"/>
      <c r="RDR1447"/>
      <c r="RDS1447"/>
      <c r="RDT1447"/>
      <c r="RDU1447"/>
      <c r="RDV1447"/>
      <c r="RDW1447"/>
      <c r="RDX1447"/>
      <c r="RDY1447"/>
      <c r="RDZ1447"/>
      <c r="REA1447"/>
      <c r="REB1447"/>
      <c r="REC1447"/>
      <c r="RED1447"/>
      <c r="REE1447"/>
      <c r="REF1447"/>
      <c r="REG1447"/>
      <c r="REH1447"/>
      <c r="REI1447"/>
      <c r="REJ1447"/>
      <c r="REK1447"/>
      <c r="REL1447"/>
      <c r="REM1447"/>
      <c r="REN1447"/>
      <c r="REO1447"/>
      <c r="REP1447"/>
      <c r="REQ1447"/>
      <c r="RER1447"/>
      <c r="RES1447"/>
      <c r="RET1447"/>
      <c r="REU1447"/>
      <c r="REV1447"/>
      <c r="REW1447"/>
      <c r="REX1447"/>
      <c r="REY1447"/>
      <c r="REZ1447"/>
      <c r="RFA1447"/>
      <c r="RFB1447"/>
      <c r="RFC1447"/>
      <c r="RFD1447"/>
      <c r="RFE1447"/>
      <c r="RFF1447"/>
      <c r="RFG1447"/>
      <c r="RFH1447"/>
      <c r="RFI1447"/>
      <c r="RFJ1447"/>
      <c r="RFK1447"/>
      <c r="RFL1447"/>
      <c r="RFM1447"/>
      <c r="RFN1447"/>
      <c r="RFO1447"/>
      <c r="RFP1447"/>
      <c r="RFQ1447"/>
      <c r="RFR1447"/>
      <c r="RFS1447"/>
      <c r="RFT1447"/>
      <c r="RFU1447"/>
      <c r="RFV1447"/>
      <c r="RFW1447"/>
      <c r="RFX1447"/>
      <c r="RFY1447"/>
      <c r="RFZ1447"/>
      <c r="RGA1447"/>
      <c r="RGB1447"/>
      <c r="RGC1447"/>
      <c r="RGD1447"/>
      <c r="RGE1447"/>
      <c r="RGF1447"/>
      <c r="RGG1447"/>
      <c r="RGH1447"/>
      <c r="RGI1447"/>
      <c r="RGJ1447"/>
      <c r="RGK1447"/>
      <c r="RGL1447"/>
      <c r="RGM1447"/>
      <c r="RGN1447"/>
      <c r="RGO1447"/>
      <c r="RGP1447"/>
      <c r="RGQ1447"/>
      <c r="RGR1447"/>
      <c r="RGS1447"/>
      <c r="RGT1447"/>
      <c r="RGU1447"/>
      <c r="RGV1447"/>
      <c r="RGW1447"/>
      <c r="RGX1447"/>
      <c r="RGY1447"/>
      <c r="RGZ1447"/>
      <c r="RHA1447"/>
      <c r="RHB1447"/>
      <c r="RHC1447"/>
      <c r="RHD1447"/>
      <c r="RHE1447"/>
      <c r="RHF1447"/>
      <c r="RHG1447"/>
      <c r="RHH1447"/>
      <c r="RHI1447"/>
      <c r="RHJ1447"/>
      <c r="RHK1447"/>
      <c r="RHL1447"/>
      <c r="RHM1447"/>
      <c r="RHN1447"/>
      <c r="RHO1447"/>
      <c r="RHP1447"/>
      <c r="RHQ1447"/>
      <c r="RHR1447"/>
      <c r="RHS1447"/>
      <c r="RHT1447"/>
      <c r="RHU1447"/>
      <c r="RHV1447"/>
      <c r="RHW1447"/>
      <c r="RHX1447"/>
      <c r="RHY1447"/>
      <c r="RHZ1447"/>
      <c r="RIA1447"/>
      <c r="RIB1447"/>
      <c r="RIC1447"/>
      <c r="RID1447"/>
      <c r="RIE1447"/>
      <c r="RIF1447"/>
      <c r="RIG1447"/>
      <c r="RIH1447"/>
      <c r="RII1447"/>
      <c r="RIJ1447"/>
      <c r="RIK1447"/>
      <c r="RIL1447"/>
      <c r="RIM1447"/>
      <c r="RIN1447"/>
      <c r="RIO1447"/>
      <c r="RIP1447"/>
      <c r="RIQ1447"/>
      <c r="RIR1447"/>
      <c r="RIS1447"/>
      <c r="RIT1447"/>
      <c r="RIU1447"/>
      <c r="RIV1447"/>
      <c r="RIW1447"/>
      <c r="RIX1447"/>
      <c r="RIY1447"/>
      <c r="RIZ1447"/>
      <c r="RJA1447"/>
      <c r="RJB1447"/>
      <c r="RJC1447"/>
      <c r="RJD1447"/>
      <c r="RJE1447"/>
      <c r="RJF1447"/>
      <c r="RJG1447"/>
      <c r="RJH1447"/>
      <c r="RJI1447"/>
      <c r="RJJ1447"/>
      <c r="RJK1447"/>
      <c r="RJL1447"/>
      <c r="RJM1447"/>
      <c r="RJN1447"/>
      <c r="RJO1447"/>
      <c r="RJP1447"/>
      <c r="RJQ1447"/>
      <c r="RJR1447"/>
      <c r="RJS1447"/>
      <c r="RJT1447"/>
      <c r="RJU1447"/>
      <c r="RJV1447"/>
      <c r="RJW1447"/>
      <c r="RJX1447"/>
      <c r="RJY1447"/>
      <c r="RJZ1447"/>
      <c r="RKA1447"/>
      <c r="RKB1447"/>
      <c r="RKC1447"/>
      <c r="RKD1447"/>
      <c r="RKE1447"/>
      <c r="RKF1447"/>
      <c r="RKG1447"/>
      <c r="RKH1447"/>
      <c r="RKI1447"/>
      <c r="RKJ1447"/>
      <c r="RKK1447"/>
      <c r="RKL1447"/>
      <c r="RKM1447"/>
      <c r="RKN1447"/>
      <c r="RKO1447"/>
      <c r="RKP1447"/>
      <c r="RKQ1447"/>
      <c r="RKR1447"/>
      <c r="RKS1447"/>
      <c r="RKT1447"/>
      <c r="RKU1447"/>
      <c r="RKV1447"/>
      <c r="RKW1447"/>
      <c r="RKX1447"/>
      <c r="RKY1447"/>
      <c r="RKZ1447"/>
      <c r="RLA1447"/>
      <c r="RLB1447"/>
      <c r="RLC1447"/>
      <c r="RLD1447"/>
      <c r="RLE1447"/>
      <c r="RLF1447"/>
      <c r="RLG1447"/>
      <c r="RLH1447"/>
      <c r="RLI1447"/>
      <c r="RLJ1447"/>
      <c r="RLK1447"/>
      <c r="RLL1447"/>
      <c r="RLM1447"/>
      <c r="RLN1447"/>
      <c r="RLO1447"/>
      <c r="RLP1447"/>
      <c r="RLQ1447"/>
      <c r="RLR1447"/>
      <c r="RLS1447"/>
      <c r="RLT1447"/>
      <c r="RLU1447"/>
      <c r="RLV1447"/>
      <c r="RLW1447"/>
      <c r="RLX1447"/>
      <c r="RLY1447"/>
      <c r="RLZ1447"/>
      <c r="RMA1447"/>
      <c r="RMB1447"/>
      <c r="RMC1447"/>
      <c r="RMD1447"/>
      <c r="RME1447"/>
      <c r="RMF1447"/>
      <c r="RMG1447"/>
      <c r="RMH1447"/>
      <c r="RMI1447"/>
      <c r="RMJ1447"/>
      <c r="RMK1447"/>
      <c r="RML1447"/>
      <c r="RMM1447"/>
      <c r="RMN1447"/>
      <c r="RMO1447"/>
      <c r="RMP1447"/>
      <c r="RMQ1447"/>
      <c r="RMR1447"/>
      <c r="RMS1447"/>
      <c r="RMT1447"/>
      <c r="RMU1447"/>
      <c r="RMV1447"/>
      <c r="RMW1447"/>
      <c r="RMX1447"/>
      <c r="RMY1447"/>
      <c r="RMZ1447"/>
      <c r="RNA1447"/>
      <c r="RNB1447"/>
      <c r="RNC1447"/>
      <c r="RND1447"/>
      <c r="RNE1447"/>
      <c r="RNF1447"/>
      <c r="RNG1447"/>
      <c r="RNH1447"/>
      <c r="RNI1447"/>
      <c r="RNJ1447"/>
      <c r="RNK1447"/>
      <c r="RNL1447"/>
      <c r="RNM1447"/>
      <c r="RNN1447"/>
      <c r="RNO1447"/>
      <c r="RNP1447"/>
      <c r="RNQ1447"/>
      <c r="RNR1447"/>
      <c r="RNS1447"/>
      <c r="RNT1447"/>
      <c r="RNU1447"/>
      <c r="RNV1447"/>
      <c r="RNW1447"/>
      <c r="RNX1447"/>
      <c r="RNY1447"/>
      <c r="RNZ1447"/>
      <c r="ROA1447"/>
      <c r="ROB1447"/>
      <c r="ROC1447"/>
      <c r="ROD1447"/>
      <c r="ROE1447"/>
      <c r="ROF1447"/>
      <c r="ROG1447"/>
      <c r="ROH1447"/>
      <c r="ROI1447"/>
      <c r="ROJ1447"/>
      <c r="ROK1447"/>
      <c r="ROL1447"/>
      <c r="ROM1447"/>
      <c r="RON1447"/>
      <c r="ROO1447"/>
      <c r="ROP1447"/>
      <c r="ROQ1447"/>
      <c r="ROR1447"/>
      <c r="ROS1447"/>
      <c r="ROT1447"/>
      <c r="ROU1447"/>
      <c r="ROV1447"/>
      <c r="ROW1447"/>
      <c r="ROX1447"/>
      <c r="ROY1447"/>
      <c r="ROZ1447"/>
      <c r="RPA1447"/>
      <c r="RPB1447"/>
      <c r="RPC1447"/>
      <c r="RPD1447"/>
      <c r="RPE1447"/>
      <c r="RPF1447"/>
      <c r="RPG1447"/>
      <c r="RPH1447"/>
      <c r="RPI1447"/>
      <c r="RPJ1447"/>
      <c r="RPK1447"/>
      <c r="RPL1447"/>
      <c r="RPM1447"/>
      <c r="RPN1447"/>
      <c r="RPO1447"/>
      <c r="RPP1447"/>
      <c r="RPQ1447"/>
      <c r="RPR1447"/>
      <c r="RPS1447"/>
      <c r="RPT1447"/>
      <c r="RPU1447"/>
      <c r="RPV1447"/>
      <c r="RPW1447"/>
      <c r="RPX1447"/>
      <c r="RPY1447"/>
      <c r="RPZ1447"/>
      <c r="RQA1447"/>
      <c r="RQB1447"/>
      <c r="RQC1447"/>
      <c r="RQD1447"/>
      <c r="RQE1447"/>
      <c r="RQF1447"/>
      <c r="RQG1447"/>
      <c r="RQH1447"/>
      <c r="RQI1447"/>
      <c r="RQJ1447"/>
      <c r="RQK1447"/>
      <c r="RQL1447"/>
      <c r="RQM1447"/>
      <c r="RQN1447"/>
      <c r="RQO1447"/>
      <c r="RQP1447"/>
      <c r="RQQ1447"/>
      <c r="RQR1447"/>
      <c r="RQS1447"/>
      <c r="RQT1447"/>
      <c r="RQU1447"/>
      <c r="RQV1447"/>
      <c r="RQW1447"/>
      <c r="RQX1447"/>
      <c r="RQY1447"/>
      <c r="RQZ1447"/>
      <c r="RRA1447"/>
      <c r="RRB1447"/>
      <c r="RRC1447"/>
      <c r="RRD1447"/>
      <c r="RRE1447"/>
      <c r="RRF1447"/>
      <c r="RRG1447"/>
      <c r="RRH1447"/>
      <c r="RRI1447"/>
      <c r="RRJ1447"/>
      <c r="RRK1447"/>
      <c r="RRL1447"/>
      <c r="RRM1447"/>
      <c r="RRN1447"/>
      <c r="RRO1447"/>
      <c r="RRP1447"/>
      <c r="RRQ1447"/>
      <c r="RRR1447"/>
      <c r="RRS1447"/>
      <c r="RRT1447"/>
      <c r="RRU1447"/>
      <c r="RRV1447"/>
      <c r="RRW1447"/>
      <c r="RRX1447"/>
      <c r="RRY1447"/>
      <c r="RRZ1447"/>
      <c r="RSA1447"/>
      <c r="RSB1447"/>
      <c r="RSC1447"/>
      <c r="RSD1447"/>
      <c r="RSE1447"/>
      <c r="RSF1447"/>
      <c r="RSG1447"/>
      <c r="RSH1447"/>
      <c r="RSI1447"/>
      <c r="RSJ1447"/>
      <c r="RSK1447"/>
      <c r="RSL1447"/>
      <c r="RSM1447"/>
      <c r="RSN1447"/>
      <c r="RSO1447"/>
      <c r="RSP1447"/>
      <c r="RSQ1447"/>
      <c r="RSR1447"/>
      <c r="RSS1447"/>
      <c r="RST1447"/>
      <c r="RSU1447"/>
      <c r="RSV1447"/>
      <c r="RSW1447"/>
      <c r="RSX1447"/>
      <c r="RSY1447"/>
      <c r="RSZ1447"/>
      <c r="RTA1447"/>
      <c r="RTB1447"/>
      <c r="RTC1447"/>
      <c r="RTD1447"/>
      <c r="RTE1447"/>
      <c r="RTF1447"/>
      <c r="RTG1447"/>
      <c r="RTH1447"/>
      <c r="RTI1447"/>
      <c r="RTJ1447"/>
      <c r="RTK1447"/>
      <c r="RTL1447"/>
      <c r="RTM1447"/>
      <c r="RTN1447"/>
      <c r="RTO1447"/>
      <c r="RTP1447"/>
      <c r="RTQ1447"/>
      <c r="RTR1447"/>
      <c r="RTS1447"/>
      <c r="RTT1447"/>
      <c r="RTU1447"/>
      <c r="RTV1447"/>
      <c r="RTW1447"/>
      <c r="RTX1447"/>
      <c r="RTY1447"/>
      <c r="RTZ1447"/>
      <c r="RUA1447"/>
      <c r="RUB1447"/>
      <c r="RUC1447"/>
      <c r="RUD1447"/>
      <c r="RUE1447"/>
      <c r="RUF1447"/>
      <c r="RUG1447"/>
      <c r="RUH1447"/>
      <c r="RUI1447"/>
      <c r="RUJ1447"/>
      <c r="RUK1447"/>
      <c r="RUL1447"/>
      <c r="RUM1447"/>
      <c r="RUN1447"/>
      <c r="RUO1447"/>
      <c r="RUP1447"/>
      <c r="RUQ1447"/>
      <c r="RUR1447"/>
      <c r="RUS1447"/>
      <c r="RUT1447"/>
      <c r="RUU1447"/>
      <c r="RUV1447"/>
      <c r="RUW1447"/>
      <c r="RUX1447"/>
      <c r="RUY1447"/>
      <c r="RUZ1447"/>
      <c r="RVA1447"/>
      <c r="RVB1447"/>
      <c r="RVC1447"/>
      <c r="RVD1447"/>
      <c r="RVE1447"/>
      <c r="RVF1447"/>
      <c r="RVG1447"/>
      <c r="RVH1447"/>
      <c r="RVI1447"/>
      <c r="RVJ1447"/>
      <c r="RVK1447"/>
      <c r="RVL1447"/>
      <c r="RVM1447"/>
      <c r="RVN1447"/>
      <c r="RVO1447"/>
      <c r="RVP1447"/>
      <c r="RVQ1447"/>
      <c r="RVR1447"/>
      <c r="RVS1447"/>
      <c r="RVT1447"/>
      <c r="RVU1447"/>
      <c r="RVV1447"/>
      <c r="RVW1447"/>
      <c r="RVX1447"/>
      <c r="RVY1447"/>
      <c r="RVZ1447"/>
      <c r="RWA1447"/>
      <c r="RWB1447"/>
      <c r="RWC1447"/>
      <c r="RWD1447"/>
      <c r="RWE1447"/>
      <c r="RWF1447"/>
      <c r="RWG1447"/>
      <c r="RWH1447"/>
      <c r="RWI1447"/>
      <c r="RWJ1447"/>
      <c r="RWK1447"/>
      <c r="RWL1447"/>
      <c r="RWM1447"/>
      <c r="RWN1447"/>
      <c r="RWO1447"/>
      <c r="RWP1447"/>
      <c r="RWQ1447"/>
      <c r="RWR1447"/>
      <c r="RWS1447"/>
      <c r="RWT1447"/>
      <c r="RWU1447"/>
      <c r="RWV1447"/>
      <c r="RWW1447"/>
      <c r="RWX1447"/>
      <c r="RWY1447"/>
      <c r="RWZ1447"/>
      <c r="RXA1447"/>
      <c r="RXB1447"/>
      <c r="RXC1447"/>
      <c r="RXD1447"/>
      <c r="RXE1447"/>
      <c r="RXF1447"/>
      <c r="RXG1447"/>
      <c r="RXH1447"/>
      <c r="RXI1447"/>
      <c r="RXJ1447"/>
      <c r="RXK1447"/>
      <c r="RXL1447"/>
      <c r="RXM1447"/>
      <c r="RXN1447"/>
      <c r="RXO1447"/>
      <c r="RXP1447"/>
      <c r="RXQ1447"/>
      <c r="RXR1447"/>
      <c r="RXS1447"/>
      <c r="RXT1447"/>
      <c r="RXU1447"/>
      <c r="RXV1447"/>
      <c r="RXW1447"/>
      <c r="RXX1447"/>
      <c r="RXY1447"/>
      <c r="RXZ1447"/>
      <c r="RYA1447"/>
      <c r="RYB1447"/>
      <c r="RYC1447"/>
      <c r="RYD1447"/>
      <c r="RYE1447"/>
      <c r="RYF1447"/>
      <c r="RYG1447"/>
      <c r="RYH1447"/>
      <c r="RYI1447"/>
      <c r="RYJ1447"/>
      <c r="RYK1447"/>
      <c r="RYL1447"/>
      <c r="RYM1447"/>
      <c r="RYN1447"/>
      <c r="RYO1447"/>
      <c r="RYP1447"/>
      <c r="RYQ1447"/>
      <c r="RYR1447"/>
      <c r="RYS1447"/>
      <c r="RYT1447"/>
      <c r="RYU1447"/>
      <c r="RYV1447"/>
      <c r="RYW1447"/>
      <c r="RYX1447"/>
      <c r="RYY1447"/>
      <c r="RYZ1447"/>
      <c r="RZA1447"/>
      <c r="RZB1447"/>
      <c r="RZC1447"/>
      <c r="RZD1447"/>
      <c r="RZE1447"/>
      <c r="RZF1447"/>
      <c r="RZG1447"/>
      <c r="RZH1447"/>
      <c r="RZI1447"/>
      <c r="RZJ1447"/>
      <c r="RZK1447"/>
      <c r="RZL1447"/>
      <c r="RZM1447"/>
      <c r="RZN1447"/>
      <c r="RZO1447"/>
      <c r="RZP1447"/>
      <c r="RZQ1447"/>
      <c r="RZR1447"/>
      <c r="RZS1447"/>
      <c r="RZT1447"/>
      <c r="RZU1447"/>
      <c r="RZV1447"/>
      <c r="RZW1447"/>
      <c r="RZX1447"/>
      <c r="RZY1447"/>
      <c r="RZZ1447"/>
      <c r="SAA1447"/>
      <c r="SAB1447"/>
      <c r="SAC1447"/>
      <c r="SAD1447"/>
      <c r="SAE1447"/>
      <c r="SAF1447"/>
      <c r="SAG1447"/>
      <c r="SAH1447"/>
      <c r="SAI1447"/>
      <c r="SAJ1447"/>
      <c r="SAK1447"/>
      <c r="SAL1447"/>
      <c r="SAM1447"/>
      <c r="SAN1447"/>
      <c r="SAO1447"/>
      <c r="SAP1447"/>
      <c r="SAQ1447"/>
      <c r="SAR1447"/>
      <c r="SAS1447"/>
      <c r="SAT1447"/>
      <c r="SAU1447"/>
      <c r="SAV1447"/>
      <c r="SAW1447"/>
      <c r="SAX1447"/>
      <c r="SAY1447"/>
      <c r="SAZ1447"/>
      <c r="SBA1447"/>
      <c r="SBB1447"/>
      <c r="SBC1447"/>
      <c r="SBD1447"/>
      <c r="SBE1447"/>
      <c r="SBF1447"/>
      <c r="SBG1447"/>
      <c r="SBH1447"/>
      <c r="SBI1447"/>
      <c r="SBJ1447"/>
      <c r="SBK1447"/>
      <c r="SBL1447"/>
      <c r="SBM1447"/>
      <c r="SBN1447"/>
      <c r="SBO1447"/>
      <c r="SBP1447"/>
      <c r="SBQ1447"/>
      <c r="SBR1447"/>
      <c r="SBS1447"/>
      <c r="SBT1447"/>
      <c r="SBU1447"/>
      <c r="SBV1447"/>
      <c r="SBW1447"/>
      <c r="SBX1447"/>
      <c r="SBY1447"/>
      <c r="SBZ1447"/>
      <c r="SCA1447"/>
      <c r="SCB1447"/>
      <c r="SCC1447"/>
      <c r="SCD1447"/>
      <c r="SCE1447"/>
      <c r="SCF1447"/>
      <c r="SCG1447"/>
      <c r="SCH1447"/>
      <c r="SCI1447"/>
      <c r="SCJ1447"/>
      <c r="SCK1447"/>
      <c r="SCL1447"/>
      <c r="SCM1447"/>
      <c r="SCN1447"/>
      <c r="SCO1447"/>
      <c r="SCP1447"/>
      <c r="SCQ1447"/>
      <c r="SCR1447"/>
      <c r="SCS1447"/>
      <c r="SCT1447"/>
      <c r="SCU1447"/>
      <c r="SCV1447"/>
      <c r="SCW1447"/>
      <c r="SCX1447"/>
      <c r="SCY1447"/>
      <c r="SCZ1447"/>
      <c r="SDA1447"/>
      <c r="SDB1447"/>
      <c r="SDC1447"/>
      <c r="SDD1447"/>
      <c r="SDE1447"/>
      <c r="SDF1447"/>
      <c r="SDG1447"/>
      <c r="SDH1447"/>
      <c r="SDI1447"/>
      <c r="SDJ1447"/>
      <c r="SDK1447"/>
      <c r="SDL1447"/>
      <c r="SDM1447"/>
      <c r="SDN1447"/>
      <c r="SDO1447"/>
      <c r="SDP1447"/>
      <c r="SDQ1447"/>
      <c r="SDR1447"/>
      <c r="SDS1447"/>
      <c r="SDT1447"/>
      <c r="SDU1447"/>
      <c r="SDV1447"/>
      <c r="SDW1447"/>
      <c r="SDX1447"/>
      <c r="SDY1447"/>
      <c r="SDZ1447"/>
      <c r="SEA1447"/>
      <c r="SEB1447"/>
      <c r="SEC1447"/>
      <c r="SED1447"/>
      <c r="SEE1447"/>
      <c r="SEF1447"/>
      <c r="SEG1447"/>
      <c r="SEH1447"/>
      <c r="SEI1447"/>
      <c r="SEJ1447"/>
      <c r="SEK1447"/>
      <c r="SEL1447"/>
      <c r="SEM1447"/>
      <c r="SEN1447"/>
      <c r="SEO1447"/>
      <c r="SEP1447"/>
      <c r="SEQ1447"/>
      <c r="SER1447"/>
      <c r="SES1447"/>
      <c r="SET1447"/>
      <c r="SEU1447"/>
      <c r="SEV1447"/>
      <c r="SEW1447"/>
      <c r="SEX1447"/>
      <c r="SEY1447"/>
      <c r="SEZ1447"/>
      <c r="SFA1447"/>
      <c r="SFB1447"/>
      <c r="SFC1447"/>
      <c r="SFD1447"/>
      <c r="SFE1447"/>
      <c r="SFF1447"/>
      <c r="SFG1447"/>
      <c r="SFH1447"/>
      <c r="SFI1447"/>
      <c r="SFJ1447"/>
      <c r="SFK1447"/>
      <c r="SFL1447"/>
      <c r="SFM1447"/>
      <c r="SFN1447"/>
      <c r="SFO1447"/>
      <c r="SFP1447"/>
      <c r="SFQ1447"/>
      <c r="SFR1447"/>
      <c r="SFS1447"/>
      <c r="SFT1447"/>
      <c r="SFU1447"/>
      <c r="SFV1447"/>
      <c r="SFW1447"/>
      <c r="SFX1447"/>
      <c r="SFY1447"/>
      <c r="SFZ1447"/>
      <c r="SGA1447"/>
      <c r="SGB1447"/>
      <c r="SGC1447"/>
      <c r="SGD1447"/>
      <c r="SGE1447"/>
      <c r="SGF1447"/>
      <c r="SGG1447"/>
      <c r="SGH1447"/>
      <c r="SGI1447"/>
      <c r="SGJ1447"/>
      <c r="SGK1447"/>
      <c r="SGL1447"/>
      <c r="SGM1447"/>
      <c r="SGN1447"/>
      <c r="SGO1447"/>
      <c r="SGP1447"/>
      <c r="SGQ1447"/>
      <c r="SGR1447"/>
      <c r="SGS1447"/>
      <c r="SGT1447"/>
      <c r="SGU1447"/>
      <c r="SGV1447"/>
      <c r="SGW1447"/>
      <c r="SGX1447"/>
      <c r="SGY1447"/>
      <c r="SGZ1447"/>
      <c r="SHA1447"/>
      <c r="SHB1447"/>
      <c r="SHC1447"/>
      <c r="SHD1447"/>
      <c r="SHE1447"/>
      <c r="SHF1447"/>
      <c r="SHG1447"/>
      <c r="SHH1447"/>
      <c r="SHI1447"/>
      <c r="SHJ1447"/>
      <c r="SHK1447"/>
      <c r="SHL1447"/>
      <c r="SHM1447"/>
      <c r="SHN1447"/>
      <c r="SHO1447"/>
      <c r="SHP1447"/>
      <c r="SHQ1447"/>
      <c r="SHR1447"/>
      <c r="SHS1447"/>
      <c r="SHT1447"/>
      <c r="SHU1447"/>
      <c r="SHV1447"/>
      <c r="SHW1447"/>
      <c r="SHX1447"/>
      <c r="SHY1447"/>
      <c r="SHZ1447"/>
      <c r="SIA1447"/>
      <c r="SIB1447"/>
      <c r="SIC1447"/>
      <c r="SID1447"/>
      <c r="SIE1447"/>
      <c r="SIF1447"/>
      <c r="SIG1447"/>
      <c r="SIH1447"/>
      <c r="SII1447"/>
      <c r="SIJ1447"/>
      <c r="SIK1447"/>
      <c r="SIL1447"/>
      <c r="SIM1447"/>
      <c r="SIN1447"/>
      <c r="SIO1447"/>
      <c r="SIP1447"/>
      <c r="SIQ1447"/>
      <c r="SIR1447"/>
      <c r="SIS1447"/>
      <c r="SIT1447"/>
      <c r="SIU1447"/>
      <c r="SIV1447"/>
      <c r="SIW1447"/>
      <c r="SIX1447"/>
      <c r="SIY1447"/>
      <c r="SIZ1447"/>
      <c r="SJA1447"/>
      <c r="SJB1447"/>
      <c r="SJC1447"/>
      <c r="SJD1447"/>
      <c r="SJE1447"/>
      <c r="SJF1447"/>
      <c r="SJG1447"/>
      <c r="SJH1447"/>
      <c r="SJI1447"/>
      <c r="SJJ1447"/>
      <c r="SJK1447"/>
      <c r="SJL1447"/>
      <c r="SJM1447"/>
      <c r="SJN1447"/>
      <c r="SJO1447"/>
      <c r="SJP1447"/>
      <c r="SJQ1447"/>
      <c r="SJR1447"/>
      <c r="SJS1447"/>
      <c r="SJT1447"/>
      <c r="SJU1447"/>
      <c r="SJV1447"/>
      <c r="SJW1447"/>
      <c r="SJX1447"/>
      <c r="SJY1447"/>
      <c r="SJZ1447"/>
      <c r="SKA1447"/>
      <c r="SKB1447"/>
      <c r="SKC1447"/>
      <c r="SKD1447"/>
      <c r="SKE1447"/>
      <c r="SKF1447"/>
      <c r="SKG1447"/>
      <c r="SKH1447"/>
      <c r="SKI1447"/>
      <c r="SKJ1447"/>
      <c r="SKK1447"/>
      <c r="SKL1447"/>
      <c r="SKM1447"/>
      <c r="SKN1447"/>
      <c r="SKO1447"/>
      <c r="SKP1447"/>
      <c r="SKQ1447"/>
      <c r="SKR1447"/>
      <c r="SKS1447"/>
      <c r="SKT1447"/>
      <c r="SKU1447"/>
      <c r="SKV1447"/>
      <c r="SKW1447"/>
      <c r="SKX1447"/>
      <c r="SKY1447"/>
      <c r="SKZ1447"/>
      <c r="SLA1447"/>
      <c r="SLB1447"/>
      <c r="SLC1447"/>
      <c r="SLD1447"/>
      <c r="SLE1447"/>
      <c r="SLF1447"/>
      <c r="SLG1447"/>
      <c r="SLH1447"/>
      <c r="SLI1447"/>
      <c r="SLJ1447"/>
      <c r="SLK1447"/>
      <c r="SLL1447"/>
      <c r="SLM1447"/>
      <c r="SLN1447"/>
      <c r="SLO1447"/>
      <c r="SLP1447"/>
      <c r="SLQ1447"/>
      <c r="SLR1447"/>
      <c r="SLS1447"/>
      <c r="SLT1447"/>
      <c r="SLU1447"/>
      <c r="SLV1447"/>
      <c r="SLW1447"/>
      <c r="SLX1447"/>
      <c r="SLY1447"/>
      <c r="SLZ1447"/>
      <c r="SMA1447"/>
      <c r="SMB1447"/>
      <c r="SMC1447"/>
      <c r="SMD1447"/>
      <c r="SME1447"/>
      <c r="SMF1447"/>
      <c r="SMG1447"/>
      <c r="SMH1447"/>
      <c r="SMI1447"/>
      <c r="SMJ1447"/>
      <c r="SMK1447"/>
      <c r="SML1447"/>
      <c r="SMM1447"/>
      <c r="SMN1447"/>
      <c r="SMO1447"/>
      <c r="SMP1447"/>
      <c r="SMQ1447"/>
      <c r="SMR1447"/>
      <c r="SMS1447"/>
      <c r="SMT1447"/>
      <c r="SMU1447"/>
      <c r="SMV1447"/>
      <c r="SMW1447"/>
      <c r="SMX1447"/>
      <c r="SMY1447"/>
      <c r="SMZ1447"/>
      <c r="SNA1447"/>
      <c r="SNB1447"/>
      <c r="SNC1447"/>
      <c r="SND1447"/>
      <c r="SNE1447"/>
      <c r="SNF1447"/>
      <c r="SNG1447"/>
      <c r="SNH1447"/>
      <c r="SNI1447"/>
      <c r="SNJ1447"/>
      <c r="SNK1447"/>
      <c r="SNL1447"/>
      <c r="SNM1447"/>
      <c r="SNN1447"/>
      <c r="SNO1447"/>
      <c r="SNP1447"/>
      <c r="SNQ1447"/>
      <c r="SNR1447"/>
      <c r="SNS1447"/>
      <c r="SNT1447"/>
      <c r="SNU1447"/>
      <c r="SNV1447"/>
      <c r="SNW1447"/>
      <c r="SNX1447"/>
      <c r="SNY1447"/>
      <c r="SNZ1447"/>
      <c r="SOA1447"/>
      <c r="SOB1447"/>
      <c r="SOC1447"/>
      <c r="SOD1447"/>
      <c r="SOE1447"/>
      <c r="SOF1447"/>
      <c r="SOG1447"/>
      <c r="SOH1447"/>
      <c r="SOI1447"/>
      <c r="SOJ1447"/>
      <c r="SOK1447"/>
      <c r="SOL1447"/>
      <c r="SOM1447"/>
      <c r="SON1447"/>
      <c r="SOO1447"/>
      <c r="SOP1447"/>
      <c r="SOQ1447"/>
      <c r="SOR1447"/>
      <c r="SOS1447"/>
      <c r="SOT1447"/>
      <c r="SOU1447"/>
      <c r="SOV1447"/>
      <c r="SOW1447"/>
      <c r="SOX1447"/>
      <c r="SOY1447"/>
      <c r="SOZ1447"/>
      <c r="SPA1447"/>
      <c r="SPB1447"/>
      <c r="SPC1447"/>
      <c r="SPD1447"/>
      <c r="SPE1447"/>
      <c r="SPF1447"/>
      <c r="SPG1447"/>
      <c r="SPH1447"/>
      <c r="SPI1447"/>
      <c r="SPJ1447"/>
      <c r="SPK1447"/>
      <c r="SPL1447"/>
      <c r="SPM1447"/>
      <c r="SPN1447"/>
      <c r="SPO1447"/>
      <c r="SPP1447"/>
      <c r="SPQ1447"/>
      <c r="SPR1447"/>
      <c r="SPS1447"/>
      <c r="SPT1447"/>
      <c r="SPU1447"/>
      <c r="SPV1447"/>
      <c r="SPW1447"/>
      <c r="SPX1447"/>
      <c r="SPY1447"/>
      <c r="SPZ1447"/>
      <c r="SQA1447"/>
      <c r="SQB1447"/>
      <c r="SQC1447"/>
      <c r="SQD1447"/>
      <c r="SQE1447"/>
      <c r="SQF1447"/>
      <c r="SQG1447"/>
      <c r="SQH1447"/>
      <c r="SQI1447"/>
      <c r="SQJ1447"/>
      <c r="SQK1447"/>
      <c r="SQL1447"/>
      <c r="SQM1447"/>
      <c r="SQN1447"/>
      <c r="SQO1447"/>
      <c r="SQP1447"/>
      <c r="SQQ1447"/>
      <c r="SQR1447"/>
      <c r="SQS1447"/>
      <c r="SQT1447"/>
      <c r="SQU1447"/>
      <c r="SQV1447"/>
      <c r="SQW1447"/>
      <c r="SQX1447"/>
      <c r="SQY1447"/>
      <c r="SQZ1447"/>
      <c r="SRA1447"/>
      <c r="SRB1447"/>
      <c r="SRC1447"/>
      <c r="SRD1447"/>
      <c r="SRE1447"/>
      <c r="SRF1447"/>
      <c r="SRG1447"/>
      <c r="SRH1447"/>
      <c r="SRI1447"/>
      <c r="SRJ1447"/>
      <c r="SRK1447"/>
      <c r="SRL1447"/>
      <c r="SRM1447"/>
      <c r="SRN1447"/>
      <c r="SRO1447"/>
      <c r="SRP1447"/>
      <c r="SRQ1447"/>
      <c r="SRR1447"/>
      <c r="SRS1447"/>
      <c r="SRT1447"/>
      <c r="SRU1447"/>
      <c r="SRV1447"/>
      <c r="SRW1447"/>
      <c r="SRX1447"/>
      <c r="SRY1447"/>
      <c r="SRZ1447"/>
      <c r="SSA1447"/>
      <c r="SSB1447"/>
      <c r="SSC1447"/>
      <c r="SSD1447"/>
      <c r="SSE1447"/>
      <c r="SSF1447"/>
      <c r="SSG1447"/>
      <c r="SSH1447"/>
      <c r="SSI1447"/>
      <c r="SSJ1447"/>
      <c r="SSK1447"/>
      <c r="SSL1447"/>
      <c r="SSM1447"/>
      <c r="SSN1447"/>
      <c r="SSO1447"/>
      <c r="SSP1447"/>
      <c r="SSQ1447"/>
      <c r="SSR1447"/>
      <c r="SSS1447"/>
      <c r="SST1447"/>
      <c r="SSU1447"/>
      <c r="SSV1447"/>
      <c r="SSW1447"/>
      <c r="SSX1447"/>
      <c r="SSY1447"/>
      <c r="SSZ1447"/>
      <c r="STA1447"/>
      <c r="STB1447"/>
      <c r="STC1447"/>
      <c r="STD1447"/>
      <c r="STE1447"/>
      <c r="STF1447"/>
      <c r="STG1447"/>
      <c r="STH1447"/>
      <c r="STI1447"/>
      <c r="STJ1447"/>
      <c r="STK1447"/>
      <c r="STL1447"/>
      <c r="STM1447"/>
      <c r="STN1447"/>
      <c r="STO1447"/>
      <c r="STP1447"/>
      <c r="STQ1447"/>
      <c r="STR1447"/>
      <c r="STS1447"/>
      <c r="STT1447"/>
      <c r="STU1447"/>
      <c r="STV1447"/>
      <c r="STW1447"/>
      <c r="STX1447"/>
      <c r="STY1447"/>
      <c r="STZ1447"/>
      <c r="SUA1447"/>
      <c r="SUB1447"/>
      <c r="SUC1447"/>
      <c r="SUD1447"/>
      <c r="SUE1447"/>
      <c r="SUF1447"/>
      <c r="SUG1447"/>
      <c r="SUH1447"/>
      <c r="SUI1447"/>
      <c r="SUJ1447"/>
      <c r="SUK1447"/>
      <c r="SUL1447"/>
      <c r="SUM1447"/>
      <c r="SUN1447"/>
      <c r="SUO1447"/>
      <c r="SUP1447"/>
      <c r="SUQ1447"/>
      <c r="SUR1447"/>
      <c r="SUS1447"/>
      <c r="SUT1447"/>
      <c r="SUU1447"/>
      <c r="SUV1447"/>
      <c r="SUW1447"/>
      <c r="SUX1447"/>
      <c r="SUY1447"/>
      <c r="SUZ1447"/>
      <c r="SVA1447"/>
      <c r="SVB1447"/>
      <c r="SVC1447"/>
      <c r="SVD1447"/>
      <c r="SVE1447"/>
      <c r="SVF1447"/>
      <c r="SVG1447"/>
      <c r="SVH1447"/>
      <c r="SVI1447"/>
      <c r="SVJ1447"/>
      <c r="SVK1447"/>
      <c r="SVL1447"/>
      <c r="SVM1447"/>
      <c r="SVN1447"/>
      <c r="SVO1447"/>
      <c r="SVP1447"/>
      <c r="SVQ1447"/>
      <c r="SVR1447"/>
      <c r="SVS1447"/>
      <c r="SVT1447"/>
      <c r="SVU1447"/>
      <c r="SVV1447"/>
      <c r="SVW1447"/>
      <c r="SVX1447"/>
      <c r="SVY1447"/>
      <c r="SVZ1447"/>
      <c r="SWA1447"/>
      <c r="SWB1447"/>
      <c r="SWC1447"/>
      <c r="SWD1447"/>
      <c r="SWE1447"/>
      <c r="SWF1447"/>
      <c r="SWG1447"/>
      <c r="SWH1447"/>
      <c r="SWI1447"/>
      <c r="SWJ1447"/>
      <c r="SWK1447"/>
      <c r="SWL1447"/>
      <c r="SWM1447"/>
      <c r="SWN1447"/>
      <c r="SWO1447"/>
      <c r="SWP1447"/>
      <c r="SWQ1447"/>
      <c r="SWR1447"/>
      <c r="SWS1447"/>
      <c r="SWT1447"/>
      <c r="SWU1447"/>
      <c r="SWV1447"/>
      <c r="SWW1447"/>
      <c r="SWX1447"/>
      <c r="SWY1447"/>
      <c r="SWZ1447"/>
      <c r="SXA1447"/>
      <c r="SXB1447"/>
      <c r="SXC1447"/>
      <c r="SXD1447"/>
      <c r="SXE1447"/>
      <c r="SXF1447"/>
      <c r="SXG1447"/>
      <c r="SXH1447"/>
      <c r="SXI1447"/>
      <c r="SXJ1447"/>
      <c r="SXK1447"/>
      <c r="SXL1447"/>
      <c r="SXM1447"/>
      <c r="SXN1447"/>
      <c r="SXO1447"/>
      <c r="SXP1447"/>
      <c r="SXQ1447"/>
      <c r="SXR1447"/>
      <c r="SXS1447"/>
      <c r="SXT1447"/>
      <c r="SXU1447"/>
      <c r="SXV1447"/>
      <c r="SXW1447"/>
      <c r="SXX1447"/>
      <c r="SXY1447"/>
      <c r="SXZ1447"/>
      <c r="SYA1447"/>
      <c r="SYB1447"/>
      <c r="SYC1447"/>
      <c r="SYD1447"/>
      <c r="SYE1447"/>
      <c r="SYF1447"/>
      <c r="SYG1447"/>
      <c r="SYH1447"/>
      <c r="SYI1447"/>
      <c r="SYJ1447"/>
      <c r="SYK1447"/>
      <c r="SYL1447"/>
      <c r="SYM1447"/>
      <c r="SYN1447"/>
      <c r="SYO1447"/>
      <c r="SYP1447"/>
      <c r="SYQ1447"/>
      <c r="SYR1447"/>
      <c r="SYS1447"/>
      <c r="SYT1447"/>
      <c r="SYU1447"/>
      <c r="SYV1447"/>
      <c r="SYW1447"/>
      <c r="SYX1447"/>
      <c r="SYY1447"/>
      <c r="SYZ1447"/>
      <c r="SZA1447"/>
      <c r="SZB1447"/>
      <c r="SZC1447"/>
      <c r="SZD1447"/>
      <c r="SZE1447"/>
      <c r="SZF1447"/>
      <c r="SZG1447"/>
      <c r="SZH1447"/>
      <c r="SZI1447"/>
      <c r="SZJ1447"/>
      <c r="SZK1447"/>
      <c r="SZL1447"/>
      <c r="SZM1447"/>
      <c r="SZN1447"/>
      <c r="SZO1447"/>
      <c r="SZP1447"/>
      <c r="SZQ1447"/>
      <c r="SZR1447"/>
      <c r="SZS1447"/>
      <c r="SZT1447"/>
      <c r="SZU1447"/>
      <c r="SZV1447"/>
      <c r="SZW1447"/>
      <c r="SZX1447"/>
      <c r="SZY1447"/>
      <c r="SZZ1447"/>
      <c r="TAA1447"/>
      <c r="TAB1447"/>
      <c r="TAC1447"/>
      <c r="TAD1447"/>
      <c r="TAE1447"/>
      <c r="TAF1447"/>
      <c r="TAG1447"/>
      <c r="TAH1447"/>
      <c r="TAI1447"/>
      <c r="TAJ1447"/>
      <c r="TAK1447"/>
      <c r="TAL1447"/>
      <c r="TAM1447"/>
      <c r="TAN1447"/>
      <c r="TAO1447"/>
      <c r="TAP1447"/>
      <c r="TAQ1447"/>
      <c r="TAR1447"/>
      <c r="TAS1447"/>
      <c r="TAT1447"/>
      <c r="TAU1447"/>
      <c r="TAV1447"/>
      <c r="TAW1447"/>
      <c r="TAX1447"/>
      <c r="TAY1447"/>
      <c r="TAZ1447"/>
      <c r="TBA1447"/>
      <c r="TBB1447"/>
      <c r="TBC1447"/>
      <c r="TBD1447"/>
      <c r="TBE1447"/>
      <c r="TBF1447"/>
      <c r="TBG1447"/>
      <c r="TBH1447"/>
      <c r="TBI1447"/>
      <c r="TBJ1447"/>
      <c r="TBK1447"/>
      <c r="TBL1447"/>
      <c r="TBM1447"/>
      <c r="TBN1447"/>
      <c r="TBO1447"/>
      <c r="TBP1447"/>
      <c r="TBQ1447"/>
      <c r="TBR1447"/>
      <c r="TBS1447"/>
      <c r="TBT1447"/>
      <c r="TBU1447"/>
      <c r="TBV1447"/>
      <c r="TBW1447"/>
      <c r="TBX1447"/>
      <c r="TBY1447"/>
      <c r="TBZ1447"/>
      <c r="TCA1447"/>
      <c r="TCB1447"/>
      <c r="TCC1447"/>
      <c r="TCD1447"/>
      <c r="TCE1447"/>
      <c r="TCF1447"/>
      <c r="TCG1447"/>
      <c r="TCH1447"/>
      <c r="TCI1447"/>
      <c r="TCJ1447"/>
      <c r="TCK1447"/>
      <c r="TCL1447"/>
      <c r="TCM1447"/>
      <c r="TCN1447"/>
      <c r="TCO1447"/>
      <c r="TCP1447"/>
      <c r="TCQ1447"/>
      <c r="TCR1447"/>
      <c r="TCS1447"/>
      <c r="TCT1447"/>
      <c r="TCU1447"/>
      <c r="TCV1447"/>
      <c r="TCW1447"/>
      <c r="TCX1447"/>
      <c r="TCY1447"/>
      <c r="TCZ1447"/>
      <c r="TDA1447"/>
      <c r="TDB1447"/>
      <c r="TDC1447"/>
      <c r="TDD1447"/>
      <c r="TDE1447"/>
      <c r="TDF1447"/>
      <c r="TDG1447"/>
      <c r="TDH1447"/>
      <c r="TDI1447"/>
      <c r="TDJ1447"/>
      <c r="TDK1447"/>
      <c r="TDL1447"/>
      <c r="TDM1447"/>
      <c r="TDN1447"/>
      <c r="TDO1447"/>
      <c r="TDP1447"/>
      <c r="TDQ1447"/>
      <c r="TDR1447"/>
      <c r="TDS1447"/>
      <c r="TDT1447"/>
      <c r="TDU1447"/>
      <c r="TDV1447"/>
      <c r="TDW1447"/>
      <c r="TDX1447"/>
      <c r="TDY1447"/>
      <c r="TDZ1447"/>
      <c r="TEA1447"/>
      <c r="TEB1447"/>
      <c r="TEC1447"/>
      <c r="TED1447"/>
      <c r="TEE1447"/>
      <c r="TEF1447"/>
      <c r="TEG1447"/>
      <c r="TEH1447"/>
      <c r="TEI1447"/>
      <c r="TEJ1447"/>
      <c r="TEK1447"/>
      <c r="TEL1447"/>
      <c r="TEM1447"/>
      <c r="TEN1447"/>
      <c r="TEO1447"/>
      <c r="TEP1447"/>
      <c r="TEQ1447"/>
      <c r="TER1447"/>
      <c r="TES1447"/>
      <c r="TET1447"/>
      <c r="TEU1447"/>
      <c r="TEV1447"/>
      <c r="TEW1447"/>
      <c r="TEX1447"/>
      <c r="TEY1447"/>
      <c r="TEZ1447"/>
      <c r="TFA1447"/>
      <c r="TFB1447"/>
      <c r="TFC1447"/>
      <c r="TFD1447"/>
      <c r="TFE1447"/>
      <c r="TFF1447"/>
      <c r="TFG1447"/>
      <c r="TFH1447"/>
      <c r="TFI1447"/>
      <c r="TFJ1447"/>
      <c r="TFK1447"/>
      <c r="TFL1447"/>
      <c r="TFM1447"/>
      <c r="TFN1447"/>
      <c r="TFO1447"/>
      <c r="TFP1447"/>
      <c r="TFQ1447"/>
      <c r="TFR1447"/>
      <c r="TFS1447"/>
      <c r="TFT1447"/>
      <c r="TFU1447"/>
      <c r="TFV1447"/>
      <c r="TFW1447"/>
      <c r="TFX1447"/>
      <c r="TFY1447"/>
      <c r="TFZ1447"/>
      <c r="TGA1447"/>
      <c r="TGB1447"/>
      <c r="TGC1447"/>
      <c r="TGD1447"/>
      <c r="TGE1447"/>
      <c r="TGF1447"/>
      <c r="TGG1447"/>
      <c r="TGH1447"/>
      <c r="TGI1447"/>
      <c r="TGJ1447"/>
      <c r="TGK1447"/>
      <c r="TGL1447"/>
      <c r="TGM1447"/>
      <c r="TGN1447"/>
      <c r="TGO1447"/>
      <c r="TGP1447"/>
      <c r="TGQ1447"/>
      <c r="TGR1447"/>
      <c r="TGS1447"/>
      <c r="TGT1447"/>
      <c r="TGU1447"/>
      <c r="TGV1447"/>
      <c r="TGW1447"/>
      <c r="TGX1447"/>
      <c r="TGY1447"/>
      <c r="TGZ1447"/>
      <c r="THA1447"/>
      <c r="THB1447"/>
      <c r="THC1447"/>
      <c r="THD1447"/>
      <c r="THE1447"/>
      <c r="THF1447"/>
      <c r="THG1447"/>
      <c r="THH1447"/>
      <c r="THI1447"/>
      <c r="THJ1447"/>
      <c r="THK1447"/>
      <c r="THL1447"/>
      <c r="THM1447"/>
      <c r="THN1447"/>
      <c r="THO1447"/>
      <c r="THP1447"/>
      <c r="THQ1447"/>
      <c r="THR1447"/>
      <c r="THS1447"/>
      <c r="THT1447"/>
      <c r="THU1447"/>
      <c r="THV1447"/>
      <c r="THW1447"/>
      <c r="THX1447"/>
      <c r="THY1447"/>
      <c r="THZ1447"/>
      <c r="TIA1447"/>
      <c r="TIB1447"/>
      <c r="TIC1447"/>
      <c r="TID1447"/>
      <c r="TIE1447"/>
      <c r="TIF1447"/>
      <c r="TIG1447"/>
      <c r="TIH1447"/>
      <c r="TII1447"/>
      <c r="TIJ1447"/>
      <c r="TIK1447"/>
      <c r="TIL1447"/>
      <c r="TIM1447"/>
      <c r="TIN1447"/>
      <c r="TIO1447"/>
      <c r="TIP1447"/>
      <c r="TIQ1447"/>
      <c r="TIR1447"/>
      <c r="TIS1447"/>
      <c r="TIT1447"/>
      <c r="TIU1447"/>
      <c r="TIV1447"/>
      <c r="TIW1447"/>
      <c r="TIX1447"/>
      <c r="TIY1447"/>
      <c r="TIZ1447"/>
      <c r="TJA1447"/>
      <c r="TJB1447"/>
      <c r="TJC1447"/>
      <c r="TJD1447"/>
      <c r="TJE1447"/>
      <c r="TJF1447"/>
      <c r="TJG1447"/>
      <c r="TJH1447"/>
      <c r="TJI1447"/>
      <c r="TJJ1447"/>
      <c r="TJK1447"/>
      <c r="TJL1447"/>
      <c r="TJM1447"/>
      <c r="TJN1447"/>
      <c r="TJO1447"/>
      <c r="TJP1447"/>
      <c r="TJQ1447"/>
      <c r="TJR1447"/>
      <c r="TJS1447"/>
      <c r="TJT1447"/>
      <c r="TJU1447"/>
      <c r="TJV1447"/>
      <c r="TJW1447"/>
      <c r="TJX1447"/>
      <c r="TJY1447"/>
      <c r="TJZ1447"/>
      <c r="TKA1447"/>
      <c r="TKB1447"/>
      <c r="TKC1447"/>
      <c r="TKD1447"/>
      <c r="TKE1447"/>
      <c r="TKF1447"/>
      <c r="TKG1447"/>
      <c r="TKH1447"/>
      <c r="TKI1447"/>
      <c r="TKJ1447"/>
      <c r="TKK1447"/>
      <c r="TKL1447"/>
      <c r="TKM1447"/>
      <c r="TKN1447"/>
      <c r="TKO1447"/>
      <c r="TKP1447"/>
      <c r="TKQ1447"/>
      <c r="TKR1447"/>
      <c r="TKS1447"/>
      <c r="TKT1447"/>
      <c r="TKU1447"/>
      <c r="TKV1447"/>
      <c r="TKW1447"/>
      <c r="TKX1447"/>
      <c r="TKY1447"/>
      <c r="TKZ1447"/>
      <c r="TLA1447"/>
      <c r="TLB1447"/>
      <c r="TLC1447"/>
      <c r="TLD1447"/>
      <c r="TLE1447"/>
      <c r="TLF1447"/>
      <c r="TLG1447"/>
      <c r="TLH1447"/>
      <c r="TLI1447"/>
      <c r="TLJ1447"/>
      <c r="TLK1447"/>
      <c r="TLL1447"/>
      <c r="TLM1447"/>
      <c r="TLN1447"/>
      <c r="TLO1447"/>
      <c r="TLP1447"/>
      <c r="TLQ1447"/>
      <c r="TLR1447"/>
      <c r="TLS1447"/>
      <c r="TLT1447"/>
      <c r="TLU1447"/>
      <c r="TLV1447"/>
      <c r="TLW1447"/>
      <c r="TLX1447"/>
      <c r="TLY1447"/>
      <c r="TLZ1447"/>
      <c r="TMA1447"/>
      <c r="TMB1447"/>
      <c r="TMC1447"/>
      <c r="TMD1447"/>
      <c r="TME1447"/>
      <c r="TMF1447"/>
      <c r="TMG1447"/>
      <c r="TMH1447"/>
      <c r="TMI1447"/>
      <c r="TMJ1447"/>
      <c r="TMK1447"/>
      <c r="TML1447"/>
      <c r="TMM1447"/>
      <c r="TMN1447"/>
      <c r="TMO1447"/>
      <c r="TMP1447"/>
      <c r="TMQ1447"/>
      <c r="TMR1447"/>
      <c r="TMS1447"/>
      <c r="TMT1447"/>
      <c r="TMU1447"/>
      <c r="TMV1447"/>
      <c r="TMW1447"/>
      <c r="TMX1447"/>
      <c r="TMY1447"/>
      <c r="TMZ1447"/>
      <c r="TNA1447"/>
      <c r="TNB1447"/>
      <c r="TNC1447"/>
      <c r="TND1447"/>
      <c r="TNE1447"/>
      <c r="TNF1447"/>
      <c r="TNG1447"/>
      <c r="TNH1447"/>
      <c r="TNI1447"/>
      <c r="TNJ1447"/>
      <c r="TNK1447"/>
      <c r="TNL1447"/>
      <c r="TNM1447"/>
      <c r="TNN1447"/>
      <c r="TNO1447"/>
      <c r="TNP1447"/>
      <c r="TNQ1447"/>
      <c r="TNR1447"/>
      <c r="TNS1447"/>
      <c r="TNT1447"/>
      <c r="TNU1447"/>
      <c r="TNV1447"/>
      <c r="TNW1447"/>
      <c r="TNX1447"/>
      <c r="TNY1447"/>
      <c r="TNZ1447"/>
      <c r="TOA1447"/>
      <c r="TOB1447"/>
      <c r="TOC1447"/>
      <c r="TOD1447"/>
      <c r="TOE1447"/>
      <c r="TOF1447"/>
      <c r="TOG1447"/>
      <c r="TOH1447"/>
      <c r="TOI1447"/>
      <c r="TOJ1447"/>
      <c r="TOK1447"/>
      <c r="TOL1447"/>
      <c r="TOM1447"/>
      <c r="TON1447"/>
      <c r="TOO1447"/>
      <c r="TOP1447"/>
      <c r="TOQ1447"/>
      <c r="TOR1447"/>
      <c r="TOS1447"/>
      <c r="TOT1447"/>
      <c r="TOU1447"/>
      <c r="TOV1447"/>
      <c r="TOW1447"/>
      <c r="TOX1447"/>
      <c r="TOY1447"/>
      <c r="TOZ1447"/>
      <c r="TPA1447"/>
      <c r="TPB1447"/>
      <c r="TPC1447"/>
      <c r="TPD1447"/>
      <c r="TPE1447"/>
      <c r="TPF1447"/>
      <c r="TPG1447"/>
      <c r="TPH1447"/>
      <c r="TPI1447"/>
      <c r="TPJ1447"/>
      <c r="TPK1447"/>
      <c r="TPL1447"/>
      <c r="TPM1447"/>
      <c r="TPN1447"/>
      <c r="TPO1447"/>
      <c r="TPP1447"/>
      <c r="TPQ1447"/>
      <c r="TPR1447"/>
      <c r="TPS1447"/>
      <c r="TPT1447"/>
      <c r="TPU1447"/>
      <c r="TPV1447"/>
      <c r="TPW1447"/>
      <c r="TPX1447"/>
      <c r="TPY1447"/>
      <c r="TPZ1447"/>
      <c r="TQA1447"/>
      <c r="TQB1447"/>
      <c r="TQC1447"/>
      <c r="TQD1447"/>
      <c r="TQE1447"/>
      <c r="TQF1447"/>
      <c r="TQG1447"/>
      <c r="TQH1447"/>
      <c r="TQI1447"/>
      <c r="TQJ1447"/>
      <c r="TQK1447"/>
      <c r="TQL1447"/>
      <c r="TQM1447"/>
      <c r="TQN1447"/>
      <c r="TQO1447"/>
      <c r="TQP1447"/>
      <c r="TQQ1447"/>
      <c r="TQR1447"/>
      <c r="TQS1447"/>
      <c r="TQT1447"/>
      <c r="TQU1447"/>
      <c r="TQV1447"/>
      <c r="TQW1447"/>
      <c r="TQX1447"/>
      <c r="TQY1447"/>
      <c r="TQZ1447"/>
      <c r="TRA1447"/>
      <c r="TRB1447"/>
      <c r="TRC1447"/>
      <c r="TRD1447"/>
      <c r="TRE1447"/>
      <c r="TRF1447"/>
      <c r="TRG1447"/>
      <c r="TRH1447"/>
      <c r="TRI1447"/>
      <c r="TRJ1447"/>
      <c r="TRK1447"/>
      <c r="TRL1447"/>
      <c r="TRM1447"/>
      <c r="TRN1447"/>
      <c r="TRO1447"/>
      <c r="TRP1447"/>
      <c r="TRQ1447"/>
      <c r="TRR1447"/>
      <c r="TRS1447"/>
      <c r="TRT1447"/>
      <c r="TRU1447"/>
      <c r="TRV1447"/>
      <c r="TRW1447"/>
      <c r="TRX1447"/>
      <c r="TRY1447"/>
      <c r="TRZ1447"/>
      <c r="TSA1447"/>
      <c r="TSB1447"/>
      <c r="TSC1447"/>
      <c r="TSD1447"/>
      <c r="TSE1447"/>
      <c r="TSF1447"/>
      <c r="TSG1447"/>
      <c r="TSH1447"/>
      <c r="TSI1447"/>
      <c r="TSJ1447"/>
      <c r="TSK1447"/>
      <c r="TSL1447"/>
      <c r="TSM1447"/>
      <c r="TSN1447"/>
      <c r="TSO1447"/>
      <c r="TSP1447"/>
      <c r="TSQ1447"/>
      <c r="TSR1447"/>
      <c r="TSS1447"/>
      <c r="TST1447"/>
      <c r="TSU1447"/>
      <c r="TSV1447"/>
      <c r="TSW1447"/>
      <c r="TSX1447"/>
      <c r="TSY1447"/>
      <c r="TSZ1447"/>
      <c r="TTA1447"/>
      <c r="TTB1447"/>
      <c r="TTC1447"/>
      <c r="TTD1447"/>
      <c r="TTE1447"/>
      <c r="TTF1447"/>
      <c r="TTG1447"/>
      <c r="TTH1447"/>
      <c r="TTI1447"/>
      <c r="TTJ1447"/>
      <c r="TTK1447"/>
      <c r="TTL1447"/>
      <c r="TTM1447"/>
      <c r="TTN1447"/>
      <c r="TTO1447"/>
      <c r="TTP1447"/>
      <c r="TTQ1447"/>
      <c r="TTR1447"/>
      <c r="TTS1447"/>
      <c r="TTT1447"/>
      <c r="TTU1447"/>
      <c r="TTV1447"/>
      <c r="TTW1447"/>
      <c r="TTX1447"/>
      <c r="TTY1447"/>
      <c r="TTZ1447"/>
      <c r="TUA1447"/>
      <c r="TUB1447"/>
      <c r="TUC1447"/>
      <c r="TUD1447"/>
      <c r="TUE1447"/>
      <c r="TUF1447"/>
      <c r="TUG1447"/>
      <c r="TUH1447"/>
      <c r="TUI1447"/>
      <c r="TUJ1447"/>
      <c r="TUK1447"/>
      <c r="TUL1447"/>
      <c r="TUM1447"/>
      <c r="TUN1447"/>
      <c r="TUO1447"/>
      <c r="TUP1447"/>
      <c r="TUQ1447"/>
      <c r="TUR1447"/>
      <c r="TUS1447"/>
      <c r="TUT1447"/>
      <c r="TUU1447"/>
      <c r="TUV1447"/>
      <c r="TUW1447"/>
      <c r="TUX1447"/>
      <c r="TUY1447"/>
      <c r="TUZ1447"/>
      <c r="TVA1447"/>
      <c r="TVB1447"/>
      <c r="TVC1447"/>
      <c r="TVD1447"/>
      <c r="TVE1447"/>
      <c r="TVF1447"/>
      <c r="TVG1447"/>
      <c r="TVH1447"/>
      <c r="TVI1447"/>
      <c r="TVJ1447"/>
      <c r="TVK1447"/>
      <c r="TVL1447"/>
      <c r="TVM1447"/>
      <c r="TVN1447"/>
      <c r="TVO1447"/>
      <c r="TVP1447"/>
      <c r="TVQ1447"/>
      <c r="TVR1447"/>
      <c r="TVS1447"/>
      <c r="TVT1447"/>
      <c r="TVU1447"/>
      <c r="TVV1447"/>
      <c r="TVW1447"/>
      <c r="TVX1447"/>
      <c r="TVY1447"/>
      <c r="TVZ1447"/>
      <c r="TWA1447"/>
      <c r="TWB1447"/>
      <c r="TWC1447"/>
      <c r="TWD1447"/>
      <c r="TWE1447"/>
      <c r="TWF1447"/>
      <c r="TWG1447"/>
      <c r="TWH1447"/>
      <c r="TWI1447"/>
      <c r="TWJ1447"/>
      <c r="TWK1447"/>
      <c r="TWL1447"/>
      <c r="TWM1447"/>
      <c r="TWN1447"/>
      <c r="TWO1447"/>
      <c r="TWP1447"/>
      <c r="TWQ1447"/>
      <c r="TWR1447"/>
      <c r="TWS1447"/>
      <c r="TWT1447"/>
      <c r="TWU1447"/>
      <c r="TWV1447"/>
      <c r="TWW1447"/>
      <c r="TWX1447"/>
      <c r="TWY1447"/>
      <c r="TWZ1447"/>
      <c r="TXA1447"/>
      <c r="TXB1447"/>
      <c r="TXC1447"/>
      <c r="TXD1447"/>
      <c r="TXE1447"/>
      <c r="TXF1447"/>
      <c r="TXG1447"/>
      <c r="TXH1447"/>
      <c r="TXI1447"/>
      <c r="TXJ1447"/>
      <c r="TXK1447"/>
      <c r="TXL1447"/>
      <c r="TXM1447"/>
      <c r="TXN1447"/>
      <c r="TXO1447"/>
      <c r="TXP1447"/>
      <c r="TXQ1447"/>
      <c r="TXR1447"/>
      <c r="TXS1447"/>
      <c r="TXT1447"/>
      <c r="TXU1447"/>
      <c r="TXV1447"/>
      <c r="TXW1447"/>
      <c r="TXX1447"/>
      <c r="TXY1447"/>
      <c r="TXZ1447"/>
      <c r="TYA1447"/>
      <c r="TYB1447"/>
      <c r="TYC1447"/>
      <c r="TYD1447"/>
      <c r="TYE1447"/>
      <c r="TYF1447"/>
      <c r="TYG1447"/>
      <c r="TYH1447"/>
      <c r="TYI1447"/>
      <c r="TYJ1447"/>
      <c r="TYK1447"/>
      <c r="TYL1447"/>
      <c r="TYM1447"/>
      <c r="TYN1447"/>
      <c r="TYO1447"/>
      <c r="TYP1447"/>
      <c r="TYQ1447"/>
      <c r="TYR1447"/>
      <c r="TYS1447"/>
      <c r="TYT1447"/>
      <c r="TYU1447"/>
      <c r="TYV1447"/>
      <c r="TYW1447"/>
      <c r="TYX1447"/>
      <c r="TYY1447"/>
      <c r="TYZ1447"/>
      <c r="TZA1447"/>
      <c r="TZB1447"/>
      <c r="TZC1447"/>
      <c r="TZD1447"/>
      <c r="TZE1447"/>
      <c r="TZF1447"/>
      <c r="TZG1447"/>
      <c r="TZH1447"/>
      <c r="TZI1447"/>
      <c r="TZJ1447"/>
      <c r="TZK1447"/>
      <c r="TZL1447"/>
      <c r="TZM1447"/>
      <c r="TZN1447"/>
      <c r="TZO1447"/>
      <c r="TZP1447"/>
      <c r="TZQ1447"/>
      <c r="TZR1447"/>
      <c r="TZS1447"/>
      <c r="TZT1447"/>
      <c r="TZU1447"/>
      <c r="TZV1447"/>
      <c r="TZW1447"/>
      <c r="TZX1447"/>
      <c r="TZY1447"/>
      <c r="TZZ1447"/>
      <c r="UAA1447"/>
      <c r="UAB1447"/>
      <c r="UAC1447"/>
      <c r="UAD1447"/>
      <c r="UAE1447"/>
      <c r="UAF1447"/>
      <c r="UAG1447"/>
      <c r="UAH1447"/>
      <c r="UAI1447"/>
      <c r="UAJ1447"/>
      <c r="UAK1447"/>
      <c r="UAL1447"/>
      <c r="UAM1447"/>
      <c r="UAN1447"/>
      <c r="UAO1447"/>
      <c r="UAP1447"/>
      <c r="UAQ1447"/>
      <c r="UAR1447"/>
      <c r="UAS1447"/>
      <c r="UAT1447"/>
      <c r="UAU1447"/>
      <c r="UAV1447"/>
      <c r="UAW1447"/>
      <c r="UAX1447"/>
      <c r="UAY1447"/>
      <c r="UAZ1447"/>
      <c r="UBA1447"/>
      <c r="UBB1447"/>
      <c r="UBC1447"/>
      <c r="UBD1447"/>
      <c r="UBE1447"/>
      <c r="UBF1447"/>
      <c r="UBG1447"/>
      <c r="UBH1447"/>
      <c r="UBI1447"/>
      <c r="UBJ1447"/>
      <c r="UBK1447"/>
      <c r="UBL1447"/>
      <c r="UBM1447"/>
      <c r="UBN1447"/>
      <c r="UBO1447"/>
      <c r="UBP1447"/>
      <c r="UBQ1447"/>
      <c r="UBR1447"/>
      <c r="UBS1447"/>
      <c r="UBT1447"/>
      <c r="UBU1447"/>
      <c r="UBV1447"/>
      <c r="UBW1447"/>
      <c r="UBX1447"/>
      <c r="UBY1447"/>
      <c r="UBZ1447"/>
      <c r="UCA1447"/>
      <c r="UCB1447"/>
      <c r="UCC1447"/>
      <c r="UCD1447"/>
      <c r="UCE1447"/>
      <c r="UCF1447"/>
      <c r="UCG1447"/>
      <c r="UCH1447"/>
      <c r="UCI1447"/>
      <c r="UCJ1447"/>
      <c r="UCK1447"/>
      <c r="UCL1447"/>
      <c r="UCM1447"/>
      <c r="UCN1447"/>
      <c r="UCO1447"/>
      <c r="UCP1447"/>
      <c r="UCQ1447"/>
      <c r="UCR1447"/>
      <c r="UCS1447"/>
      <c r="UCT1447"/>
      <c r="UCU1447"/>
      <c r="UCV1447"/>
      <c r="UCW1447"/>
      <c r="UCX1447"/>
      <c r="UCY1447"/>
      <c r="UCZ1447"/>
      <c r="UDA1447"/>
      <c r="UDB1447"/>
      <c r="UDC1447"/>
      <c r="UDD1447"/>
      <c r="UDE1447"/>
      <c r="UDF1447"/>
      <c r="UDG1447"/>
      <c r="UDH1447"/>
      <c r="UDI1447"/>
      <c r="UDJ1447"/>
      <c r="UDK1447"/>
      <c r="UDL1447"/>
      <c r="UDM1447"/>
      <c r="UDN1447"/>
      <c r="UDO1447"/>
      <c r="UDP1447"/>
      <c r="UDQ1447"/>
      <c r="UDR1447"/>
      <c r="UDS1447"/>
      <c r="UDT1447"/>
      <c r="UDU1447"/>
      <c r="UDV1447"/>
      <c r="UDW1447"/>
      <c r="UDX1447"/>
      <c r="UDY1447"/>
      <c r="UDZ1447"/>
      <c r="UEA1447"/>
      <c r="UEB1447"/>
      <c r="UEC1447"/>
      <c r="UED1447"/>
      <c r="UEE1447"/>
      <c r="UEF1447"/>
      <c r="UEG1447"/>
      <c r="UEH1447"/>
      <c r="UEI1447"/>
      <c r="UEJ1447"/>
      <c r="UEK1447"/>
      <c r="UEL1447"/>
      <c r="UEM1447"/>
      <c r="UEN1447"/>
      <c r="UEO1447"/>
      <c r="UEP1447"/>
      <c r="UEQ1447"/>
      <c r="UER1447"/>
      <c r="UES1447"/>
      <c r="UET1447"/>
      <c r="UEU1447"/>
      <c r="UEV1447"/>
      <c r="UEW1447"/>
      <c r="UEX1447"/>
      <c r="UEY1447"/>
      <c r="UEZ1447"/>
      <c r="UFA1447"/>
      <c r="UFB1447"/>
      <c r="UFC1447"/>
      <c r="UFD1447"/>
      <c r="UFE1447"/>
      <c r="UFF1447"/>
      <c r="UFG1447"/>
      <c r="UFH1447"/>
      <c r="UFI1447"/>
      <c r="UFJ1447"/>
      <c r="UFK1447"/>
      <c r="UFL1447"/>
      <c r="UFM1447"/>
      <c r="UFN1447"/>
      <c r="UFO1447"/>
      <c r="UFP1447"/>
      <c r="UFQ1447"/>
      <c r="UFR1447"/>
      <c r="UFS1447"/>
      <c r="UFT1447"/>
      <c r="UFU1447"/>
      <c r="UFV1447"/>
      <c r="UFW1447"/>
      <c r="UFX1447"/>
      <c r="UFY1447"/>
      <c r="UFZ1447"/>
      <c r="UGA1447"/>
      <c r="UGB1447"/>
      <c r="UGC1447"/>
      <c r="UGD1447"/>
      <c r="UGE1447"/>
      <c r="UGF1447"/>
      <c r="UGG1447"/>
      <c r="UGH1447"/>
      <c r="UGI1447"/>
      <c r="UGJ1447"/>
      <c r="UGK1447"/>
      <c r="UGL1447"/>
      <c r="UGM1447"/>
      <c r="UGN1447"/>
      <c r="UGO1447"/>
      <c r="UGP1447"/>
      <c r="UGQ1447"/>
      <c r="UGR1447"/>
      <c r="UGS1447"/>
      <c r="UGT1447"/>
      <c r="UGU1447"/>
      <c r="UGV1447"/>
      <c r="UGW1447"/>
      <c r="UGX1447"/>
      <c r="UGY1447"/>
      <c r="UGZ1447"/>
      <c r="UHA1447"/>
      <c r="UHB1447"/>
      <c r="UHC1447"/>
      <c r="UHD1447"/>
      <c r="UHE1447"/>
      <c r="UHF1447"/>
      <c r="UHG1447"/>
      <c r="UHH1447"/>
      <c r="UHI1447"/>
      <c r="UHJ1447"/>
      <c r="UHK1447"/>
      <c r="UHL1447"/>
      <c r="UHM1447"/>
      <c r="UHN1447"/>
      <c r="UHO1447"/>
      <c r="UHP1447"/>
      <c r="UHQ1447"/>
      <c r="UHR1447"/>
      <c r="UHS1447"/>
      <c r="UHT1447"/>
      <c r="UHU1447"/>
      <c r="UHV1447"/>
      <c r="UHW1447"/>
      <c r="UHX1447"/>
      <c r="UHY1447"/>
      <c r="UHZ1447"/>
      <c r="UIA1447"/>
      <c r="UIB1447"/>
      <c r="UIC1447"/>
      <c r="UID1447"/>
      <c r="UIE1447"/>
      <c r="UIF1447"/>
      <c r="UIG1447"/>
      <c r="UIH1447"/>
      <c r="UII1447"/>
      <c r="UIJ1447"/>
      <c r="UIK1447"/>
      <c r="UIL1447"/>
      <c r="UIM1447"/>
      <c r="UIN1447"/>
      <c r="UIO1447"/>
      <c r="UIP1447"/>
      <c r="UIQ1447"/>
      <c r="UIR1447"/>
      <c r="UIS1447"/>
      <c r="UIT1447"/>
      <c r="UIU1447"/>
      <c r="UIV1447"/>
      <c r="UIW1447"/>
      <c r="UIX1447"/>
      <c r="UIY1447"/>
      <c r="UIZ1447"/>
      <c r="UJA1447"/>
      <c r="UJB1447"/>
      <c r="UJC1447"/>
      <c r="UJD1447"/>
      <c r="UJE1447"/>
      <c r="UJF1447"/>
      <c r="UJG1447"/>
      <c r="UJH1447"/>
      <c r="UJI1447"/>
      <c r="UJJ1447"/>
      <c r="UJK1447"/>
      <c r="UJL1447"/>
      <c r="UJM1447"/>
      <c r="UJN1447"/>
      <c r="UJO1447"/>
      <c r="UJP1447"/>
      <c r="UJQ1447"/>
      <c r="UJR1447"/>
      <c r="UJS1447"/>
      <c r="UJT1447"/>
      <c r="UJU1447"/>
      <c r="UJV1447"/>
      <c r="UJW1447"/>
      <c r="UJX1447"/>
      <c r="UJY1447"/>
      <c r="UJZ1447"/>
      <c r="UKA1447"/>
      <c r="UKB1447"/>
      <c r="UKC1447"/>
      <c r="UKD1447"/>
      <c r="UKE1447"/>
      <c r="UKF1447"/>
      <c r="UKG1447"/>
      <c r="UKH1447"/>
      <c r="UKI1447"/>
      <c r="UKJ1447"/>
      <c r="UKK1447"/>
      <c r="UKL1447"/>
      <c r="UKM1447"/>
      <c r="UKN1447"/>
      <c r="UKO1447"/>
      <c r="UKP1447"/>
      <c r="UKQ1447"/>
      <c r="UKR1447"/>
      <c r="UKS1447"/>
      <c r="UKT1447"/>
      <c r="UKU1447"/>
      <c r="UKV1447"/>
      <c r="UKW1447"/>
      <c r="UKX1447"/>
      <c r="UKY1447"/>
      <c r="UKZ1447"/>
      <c r="ULA1447"/>
      <c r="ULB1447"/>
      <c r="ULC1447"/>
      <c r="ULD1447"/>
      <c r="ULE1447"/>
      <c r="ULF1447"/>
      <c r="ULG1447"/>
      <c r="ULH1447"/>
      <c r="ULI1447"/>
      <c r="ULJ1447"/>
      <c r="ULK1447"/>
      <c r="ULL1447"/>
      <c r="ULM1447"/>
      <c r="ULN1447"/>
      <c r="ULO1447"/>
      <c r="ULP1447"/>
      <c r="ULQ1447"/>
      <c r="ULR1447"/>
      <c r="ULS1447"/>
      <c r="ULT1447"/>
      <c r="ULU1447"/>
      <c r="ULV1447"/>
      <c r="ULW1447"/>
      <c r="ULX1447"/>
      <c r="ULY1447"/>
      <c r="ULZ1447"/>
      <c r="UMA1447"/>
      <c r="UMB1447"/>
      <c r="UMC1447"/>
      <c r="UMD1447"/>
      <c r="UME1447"/>
      <c r="UMF1447"/>
      <c r="UMG1447"/>
      <c r="UMH1447"/>
      <c r="UMI1447"/>
      <c r="UMJ1447"/>
      <c r="UMK1447"/>
      <c r="UML1447"/>
      <c r="UMM1447"/>
      <c r="UMN1447"/>
      <c r="UMO1447"/>
      <c r="UMP1447"/>
      <c r="UMQ1447"/>
      <c r="UMR1447"/>
      <c r="UMS1447"/>
      <c r="UMT1447"/>
      <c r="UMU1447"/>
      <c r="UMV1447"/>
      <c r="UMW1447"/>
      <c r="UMX1447"/>
      <c r="UMY1447"/>
      <c r="UMZ1447"/>
      <c r="UNA1447"/>
      <c r="UNB1447"/>
      <c r="UNC1447"/>
      <c r="UND1447"/>
      <c r="UNE1447"/>
      <c r="UNF1447"/>
      <c r="UNG1447"/>
      <c r="UNH1447"/>
      <c r="UNI1447"/>
      <c r="UNJ1447"/>
      <c r="UNK1447"/>
      <c r="UNL1447"/>
      <c r="UNM1447"/>
      <c r="UNN1447"/>
      <c r="UNO1447"/>
      <c r="UNP1447"/>
      <c r="UNQ1447"/>
      <c r="UNR1447"/>
      <c r="UNS1447"/>
      <c r="UNT1447"/>
      <c r="UNU1447"/>
      <c r="UNV1447"/>
      <c r="UNW1447"/>
      <c r="UNX1447"/>
      <c r="UNY1447"/>
      <c r="UNZ1447"/>
      <c r="UOA1447"/>
      <c r="UOB1447"/>
      <c r="UOC1447"/>
      <c r="UOD1447"/>
      <c r="UOE1447"/>
      <c r="UOF1447"/>
      <c r="UOG1447"/>
      <c r="UOH1447"/>
      <c r="UOI1447"/>
      <c r="UOJ1447"/>
      <c r="UOK1447"/>
      <c r="UOL1447"/>
      <c r="UOM1447"/>
      <c r="UON1447"/>
      <c r="UOO1447"/>
      <c r="UOP1447"/>
      <c r="UOQ1447"/>
      <c r="UOR1447"/>
      <c r="UOS1447"/>
      <c r="UOT1447"/>
      <c r="UOU1447"/>
      <c r="UOV1447"/>
      <c r="UOW1447"/>
      <c r="UOX1447"/>
      <c r="UOY1447"/>
      <c r="UOZ1447"/>
      <c r="UPA1447"/>
      <c r="UPB1447"/>
      <c r="UPC1447"/>
      <c r="UPD1447"/>
      <c r="UPE1447"/>
      <c r="UPF1447"/>
      <c r="UPG1447"/>
      <c r="UPH1447"/>
      <c r="UPI1447"/>
      <c r="UPJ1447"/>
      <c r="UPK1447"/>
      <c r="UPL1447"/>
      <c r="UPM1447"/>
      <c r="UPN1447"/>
      <c r="UPO1447"/>
      <c r="UPP1447"/>
      <c r="UPQ1447"/>
      <c r="UPR1447"/>
      <c r="UPS1447"/>
      <c r="UPT1447"/>
      <c r="UPU1447"/>
      <c r="UPV1447"/>
      <c r="UPW1447"/>
      <c r="UPX1447"/>
      <c r="UPY1447"/>
      <c r="UPZ1447"/>
      <c r="UQA1447"/>
      <c r="UQB1447"/>
      <c r="UQC1447"/>
      <c r="UQD1447"/>
      <c r="UQE1447"/>
      <c r="UQF1447"/>
      <c r="UQG1447"/>
      <c r="UQH1447"/>
      <c r="UQI1447"/>
      <c r="UQJ1447"/>
      <c r="UQK1447"/>
      <c r="UQL1447"/>
      <c r="UQM1447"/>
      <c r="UQN1447"/>
      <c r="UQO1447"/>
      <c r="UQP1447"/>
      <c r="UQQ1447"/>
      <c r="UQR1447"/>
      <c r="UQS1447"/>
      <c r="UQT1447"/>
      <c r="UQU1447"/>
      <c r="UQV1447"/>
      <c r="UQW1447"/>
      <c r="UQX1447"/>
      <c r="UQY1447"/>
      <c r="UQZ1447"/>
      <c r="URA1447"/>
      <c r="URB1447"/>
      <c r="URC1447"/>
      <c r="URD1447"/>
      <c r="URE1447"/>
      <c r="URF1447"/>
      <c r="URG1447"/>
      <c r="URH1447"/>
      <c r="URI1447"/>
      <c r="URJ1447"/>
      <c r="URK1447"/>
      <c r="URL1447"/>
      <c r="URM1447"/>
      <c r="URN1447"/>
      <c r="URO1447"/>
      <c r="URP1447"/>
      <c r="URQ1447"/>
      <c r="URR1447"/>
      <c r="URS1447"/>
      <c r="URT1447"/>
      <c r="URU1447"/>
      <c r="URV1447"/>
      <c r="URW1447"/>
      <c r="URX1447"/>
      <c r="URY1447"/>
      <c r="URZ1447"/>
      <c r="USA1447"/>
      <c r="USB1447"/>
      <c r="USC1447"/>
      <c r="USD1447"/>
      <c r="USE1447"/>
      <c r="USF1447"/>
      <c r="USG1447"/>
      <c r="USH1447"/>
      <c r="USI1447"/>
      <c r="USJ1447"/>
      <c r="USK1447"/>
      <c r="USL1447"/>
      <c r="USM1447"/>
      <c r="USN1447"/>
      <c r="USO1447"/>
      <c r="USP1447"/>
      <c r="USQ1447"/>
      <c r="USR1447"/>
      <c r="USS1447"/>
      <c r="UST1447"/>
      <c r="USU1447"/>
      <c r="USV1447"/>
      <c r="USW1447"/>
      <c r="USX1447"/>
      <c r="USY1447"/>
      <c r="USZ1447"/>
      <c r="UTA1447"/>
      <c r="UTB1447"/>
      <c r="UTC1447"/>
      <c r="UTD1447"/>
      <c r="UTE1447"/>
      <c r="UTF1447"/>
      <c r="UTG1447"/>
      <c r="UTH1447"/>
      <c r="UTI1447"/>
      <c r="UTJ1447"/>
      <c r="UTK1447"/>
      <c r="UTL1447"/>
      <c r="UTM1447"/>
      <c r="UTN1447"/>
      <c r="UTO1447"/>
      <c r="UTP1447"/>
      <c r="UTQ1447"/>
      <c r="UTR1447"/>
      <c r="UTS1447"/>
      <c r="UTT1447"/>
      <c r="UTU1447"/>
      <c r="UTV1447"/>
      <c r="UTW1447"/>
      <c r="UTX1447"/>
      <c r="UTY1447"/>
      <c r="UTZ1447"/>
      <c r="UUA1447"/>
      <c r="UUB1447"/>
      <c r="UUC1447"/>
      <c r="UUD1447"/>
      <c r="UUE1447"/>
      <c r="UUF1447"/>
      <c r="UUG1447"/>
      <c r="UUH1447"/>
      <c r="UUI1447"/>
      <c r="UUJ1447"/>
      <c r="UUK1447"/>
      <c r="UUL1447"/>
      <c r="UUM1447"/>
      <c r="UUN1447"/>
      <c r="UUO1447"/>
      <c r="UUP1447"/>
      <c r="UUQ1447"/>
      <c r="UUR1447"/>
      <c r="UUS1447"/>
      <c r="UUT1447"/>
      <c r="UUU1447"/>
      <c r="UUV1447"/>
      <c r="UUW1447"/>
      <c r="UUX1447"/>
      <c r="UUY1447"/>
      <c r="UUZ1447"/>
      <c r="UVA1447"/>
      <c r="UVB1447"/>
      <c r="UVC1447"/>
      <c r="UVD1447"/>
      <c r="UVE1447"/>
      <c r="UVF1447"/>
      <c r="UVG1447"/>
      <c r="UVH1447"/>
      <c r="UVI1447"/>
      <c r="UVJ1447"/>
      <c r="UVK1447"/>
      <c r="UVL1447"/>
      <c r="UVM1447"/>
      <c r="UVN1447"/>
      <c r="UVO1447"/>
      <c r="UVP1447"/>
      <c r="UVQ1447"/>
      <c r="UVR1447"/>
      <c r="UVS1447"/>
      <c r="UVT1447"/>
      <c r="UVU1447"/>
      <c r="UVV1447"/>
      <c r="UVW1447"/>
      <c r="UVX1447"/>
      <c r="UVY1447"/>
      <c r="UVZ1447"/>
      <c r="UWA1447"/>
      <c r="UWB1447"/>
      <c r="UWC1447"/>
      <c r="UWD1447"/>
      <c r="UWE1447"/>
      <c r="UWF1447"/>
      <c r="UWG1447"/>
      <c r="UWH1447"/>
      <c r="UWI1447"/>
      <c r="UWJ1447"/>
      <c r="UWK1447"/>
      <c r="UWL1447"/>
      <c r="UWM1447"/>
      <c r="UWN1447"/>
      <c r="UWO1447"/>
      <c r="UWP1447"/>
      <c r="UWQ1447"/>
      <c r="UWR1447"/>
      <c r="UWS1447"/>
      <c r="UWT1447"/>
      <c r="UWU1447"/>
      <c r="UWV1447"/>
      <c r="UWW1447"/>
      <c r="UWX1447"/>
      <c r="UWY1447"/>
      <c r="UWZ1447"/>
      <c r="UXA1447"/>
      <c r="UXB1447"/>
      <c r="UXC1447"/>
      <c r="UXD1447"/>
      <c r="UXE1447"/>
      <c r="UXF1447"/>
      <c r="UXG1447"/>
      <c r="UXH1447"/>
      <c r="UXI1447"/>
      <c r="UXJ1447"/>
      <c r="UXK1447"/>
      <c r="UXL1447"/>
      <c r="UXM1447"/>
      <c r="UXN1447"/>
      <c r="UXO1447"/>
      <c r="UXP1447"/>
      <c r="UXQ1447"/>
      <c r="UXR1447"/>
      <c r="UXS1447"/>
      <c r="UXT1447"/>
      <c r="UXU1447"/>
      <c r="UXV1447"/>
      <c r="UXW1447"/>
      <c r="UXX1447"/>
      <c r="UXY1447"/>
      <c r="UXZ1447"/>
      <c r="UYA1447"/>
      <c r="UYB1447"/>
      <c r="UYC1447"/>
      <c r="UYD1447"/>
      <c r="UYE1447"/>
      <c r="UYF1447"/>
      <c r="UYG1447"/>
      <c r="UYH1447"/>
      <c r="UYI1447"/>
      <c r="UYJ1447"/>
      <c r="UYK1447"/>
      <c r="UYL1447"/>
      <c r="UYM1447"/>
      <c r="UYN1447"/>
      <c r="UYO1447"/>
      <c r="UYP1447"/>
      <c r="UYQ1447"/>
      <c r="UYR1447"/>
      <c r="UYS1447"/>
      <c r="UYT1447"/>
      <c r="UYU1447"/>
      <c r="UYV1447"/>
      <c r="UYW1447"/>
      <c r="UYX1447"/>
      <c r="UYY1447"/>
      <c r="UYZ1447"/>
      <c r="UZA1447"/>
      <c r="UZB1447"/>
      <c r="UZC1447"/>
      <c r="UZD1447"/>
      <c r="UZE1447"/>
      <c r="UZF1447"/>
      <c r="UZG1447"/>
      <c r="UZH1447"/>
      <c r="UZI1447"/>
      <c r="UZJ1447"/>
      <c r="UZK1447"/>
      <c r="UZL1447"/>
      <c r="UZM1447"/>
      <c r="UZN1447"/>
      <c r="UZO1447"/>
      <c r="UZP1447"/>
      <c r="UZQ1447"/>
      <c r="UZR1447"/>
      <c r="UZS1447"/>
      <c r="UZT1447"/>
      <c r="UZU1447"/>
      <c r="UZV1447"/>
      <c r="UZW1447"/>
      <c r="UZX1447"/>
      <c r="UZY1447"/>
      <c r="UZZ1447"/>
      <c r="VAA1447"/>
      <c r="VAB1447"/>
      <c r="VAC1447"/>
      <c r="VAD1447"/>
      <c r="VAE1447"/>
      <c r="VAF1447"/>
      <c r="VAG1447"/>
      <c r="VAH1447"/>
      <c r="VAI1447"/>
      <c r="VAJ1447"/>
      <c r="VAK1447"/>
      <c r="VAL1447"/>
      <c r="VAM1447"/>
      <c r="VAN1447"/>
      <c r="VAO1447"/>
      <c r="VAP1447"/>
      <c r="VAQ1447"/>
      <c r="VAR1447"/>
      <c r="VAS1447"/>
      <c r="VAT1447"/>
      <c r="VAU1447"/>
      <c r="VAV1447"/>
      <c r="VAW1447"/>
      <c r="VAX1447"/>
      <c r="VAY1447"/>
      <c r="VAZ1447"/>
      <c r="VBA1447"/>
      <c r="VBB1447"/>
      <c r="VBC1447"/>
      <c r="VBD1447"/>
      <c r="VBE1447"/>
      <c r="VBF1447"/>
      <c r="VBG1447"/>
      <c r="VBH1447"/>
      <c r="VBI1447"/>
      <c r="VBJ1447"/>
      <c r="VBK1447"/>
      <c r="VBL1447"/>
      <c r="VBM1447"/>
      <c r="VBN1447"/>
      <c r="VBO1447"/>
      <c r="VBP1447"/>
      <c r="VBQ1447"/>
      <c r="VBR1447"/>
      <c r="VBS1447"/>
      <c r="VBT1447"/>
      <c r="VBU1447"/>
      <c r="VBV1447"/>
      <c r="VBW1447"/>
      <c r="VBX1447"/>
      <c r="VBY1447"/>
      <c r="VBZ1447"/>
      <c r="VCA1447"/>
      <c r="VCB1447"/>
      <c r="VCC1447"/>
      <c r="VCD1447"/>
      <c r="VCE1447"/>
      <c r="VCF1447"/>
      <c r="VCG1447"/>
      <c r="VCH1447"/>
      <c r="VCI1447"/>
      <c r="VCJ1447"/>
      <c r="VCK1447"/>
      <c r="VCL1447"/>
      <c r="VCM1447"/>
      <c r="VCN1447"/>
      <c r="VCO1447"/>
      <c r="VCP1447"/>
      <c r="VCQ1447"/>
      <c r="VCR1447"/>
      <c r="VCS1447"/>
      <c r="VCT1447"/>
      <c r="VCU1447"/>
      <c r="VCV1447"/>
      <c r="VCW1447"/>
      <c r="VCX1447"/>
      <c r="VCY1447"/>
      <c r="VCZ1447"/>
      <c r="VDA1447"/>
      <c r="VDB1447"/>
      <c r="VDC1447"/>
      <c r="VDD1447"/>
      <c r="VDE1447"/>
      <c r="VDF1447"/>
      <c r="VDG1447"/>
      <c r="VDH1447"/>
      <c r="VDI1447"/>
      <c r="VDJ1447"/>
      <c r="VDK1447"/>
      <c r="VDL1447"/>
      <c r="VDM1447"/>
      <c r="VDN1447"/>
      <c r="VDO1447"/>
      <c r="VDP1447"/>
      <c r="VDQ1447"/>
      <c r="VDR1447"/>
      <c r="VDS1447"/>
      <c r="VDT1447"/>
      <c r="VDU1447"/>
      <c r="VDV1447"/>
      <c r="VDW1447"/>
      <c r="VDX1447"/>
      <c r="VDY1447"/>
      <c r="VDZ1447"/>
      <c r="VEA1447"/>
      <c r="VEB1447"/>
      <c r="VEC1447"/>
      <c r="VED1447"/>
      <c r="VEE1447"/>
      <c r="VEF1447"/>
      <c r="VEG1447"/>
      <c r="VEH1447"/>
      <c r="VEI1447"/>
      <c r="VEJ1447"/>
      <c r="VEK1447"/>
      <c r="VEL1447"/>
      <c r="VEM1447"/>
      <c r="VEN1447"/>
      <c r="VEO1447"/>
      <c r="VEP1447"/>
      <c r="VEQ1447"/>
      <c r="VER1447"/>
      <c r="VES1447"/>
      <c r="VET1447"/>
      <c r="VEU1447"/>
      <c r="VEV1447"/>
      <c r="VEW1447"/>
      <c r="VEX1447"/>
      <c r="VEY1447"/>
      <c r="VEZ1447"/>
      <c r="VFA1447"/>
      <c r="VFB1447"/>
      <c r="VFC1447"/>
      <c r="VFD1447"/>
      <c r="VFE1447"/>
      <c r="VFF1447"/>
      <c r="VFG1447"/>
      <c r="VFH1447"/>
      <c r="VFI1447"/>
      <c r="VFJ1447"/>
      <c r="VFK1447"/>
      <c r="VFL1447"/>
      <c r="VFM1447"/>
      <c r="VFN1447"/>
      <c r="VFO1447"/>
      <c r="VFP1447"/>
      <c r="VFQ1447"/>
      <c r="VFR1447"/>
      <c r="VFS1447"/>
      <c r="VFT1447"/>
      <c r="VFU1447"/>
      <c r="VFV1447"/>
      <c r="VFW1447"/>
      <c r="VFX1447"/>
      <c r="VFY1447"/>
      <c r="VFZ1447"/>
      <c r="VGA1447"/>
      <c r="VGB1447"/>
      <c r="VGC1447"/>
      <c r="VGD1447"/>
      <c r="VGE1447"/>
      <c r="VGF1447"/>
      <c r="VGG1447"/>
      <c r="VGH1447"/>
      <c r="VGI1447"/>
      <c r="VGJ1447"/>
      <c r="VGK1447"/>
      <c r="VGL1447"/>
      <c r="VGM1447"/>
      <c r="VGN1447"/>
      <c r="VGO1447"/>
      <c r="VGP1447"/>
      <c r="VGQ1447"/>
      <c r="VGR1447"/>
      <c r="VGS1447"/>
      <c r="VGT1447"/>
      <c r="VGU1447"/>
      <c r="VGV1447"/>
      <c r="VGW1447"/>
      <c r="VGX1447"/>
      <c r="VGY1447"/>
      <c r="VGZ1447"/>
      <c r="VHA1447"/>
      <c r="VHB1447"/>
      <c r="VHC1447"/>
      <c r="VHD1447"/>
      <c r="VHE1447"/>
      <c r="VHF1447"/>
      <c r="VHG1447"/>
      <c r="VHH1447"/>
      <c r="VHI1447"/>
      <c r="VHJ1447"/>
      <c r="VHK1447"/>
      <c r="VHL1447"/>
      <c r="VHM1447"/>
      <c r="VHN1447"/>
      <c r="VHO1447"/>
      <c r="VHP1447"/>
      <c r="VHQ1447"/>
      <c r="VHR1447"/>
      <c r="VHS1447"/>
      <c r="VHT1447"/>
      <c r="VHU1447"/>
      <c r="VHV1447"/>
      <c r="VHW1447"/>
      <c r="VHX1447"/>
      <c r="VHY1447"/>
      <c r="VHZ1447"/>
      <c r="VIA1447"/>
      <c r="VIB1447"/>
      <c r="VIC1447"/>
      <c r="VID1447"/>
      <c r="VIE1447"/>
      <c r="VIF1447"/>
      <c r="VIG1447"/>
      <c r="VIH1447"/>
      <c r="VII1447"/>
      <c r="VIJ1447"/>
      <c r="VIK1447"/>
      <c r="VIL1447"/>
      <c r="VIM1447"/>
      <c r="VIN1447"/>
      <c r="VIO1447"/>
      <c r="VIP1447"/>
      <c r="VIQ1447"/>
      <c r="VIR1447"/>
      <c r="VIS1447"/>
      <c r="VIT1447"/>
      <c r="VIU1447"/>
      <c r="VIV1447"/>
      <c r="VIW1447"/>
      <c r="VIX1447"/>
      <c r="VIY1447"/>
      <c r="VIZ1447"/>
      <c r="VJA1447"/>
      <c r="VJB1447"/>
      <c r="VJC1447"/>
      <c r="VJD1447"/>
      <c r="VJE1447"/>
      <c r="VJF1447"/>
      <c r="VJG1447"/>
      <c r="VJH1447"/>
      <c r="VJI1447"/>
      <c r="VJJ1447"/>
      <c r="VJK1447"/>
      <c r="VJL1447"/>
      <c r="VJM1447"/>
      <c r="VJN1447"/>
      <c r="VJO1447"/>
      <c r="VJP1447"/>
      <c r="VJQ1447"/>
      <c r="VJR1447"/>
      <c r="VJS1447"/>
      <c r="VJT1447"/>
      <c r="VJU1447"/>
      <c r="VJV1447"/>
      <c r="VJW1447"/>
      <c r="VJX1447"/>
      <c r="VJY1447"/>
      <c r="VJZ1447"/>
      <c r="VKA1447"/>
      <c r="VKB1447"/>
      <c r="VKC1447"/>
      <c r="VKD1447"/>
      <c r="VKE1447"/>
      <c r="VKF1447"/>
      <c r="VKG1447"/>
      <c r="VKH1447"/>
      <c r="VKI1447"/>
      <c r="VKJ1447"/>
      <c r="VKK1447"/>
      <c r="VKL1447"/>
      <c r="VKM1447"/>
      <c r="VKN1447"/>
      <c r="VKO1447"/>
      <c r="VKP1447"/>
      <c r="VKQ1447"/>
      <c r="VKR1447"/>
      <c r="VKS1447"/>
      <c r="VKT1447"/>
      <c r="VKU1447"/>
      <c r="VKV1447"/>
      <c r="VKW1447"/>
      <c r="VKX1447"/>
      <c r="VKY1447"/>
      <c r="VKZ1447"/>
      <c r="VLA1447"/>
      <c r="VLB1447"/>
      <c r="VLC1447"/>
      <c r="VLD1447"/>
      <c r="VLE1447"/>
      <c r="VLF1447"/>
      <c r="VLG1447"/>
      <c r="VLH1447"/>
      <c r="VLI1447"/>
      <c r="VLJ1447"/>
      <c r="VLK1447"/>
      <c r="VLL1447"/>
      <c r="VLM1447"/>
      <c r="VLN1447"/>
      <c r="VLO1447"/>
      <c r="VLP1447"/>
      <c r="VLQ1447"/>
      <c r="VLR1447"/>
      <c r="VLS1447"/>
      <c r="VLT1447"/>
      <c r="VLU1447"/>
      <c r="VLV1447"/>
      <c r="VLW1447"/>
      <c r="VLX1447"/>
      <c r="VLY1447"/>
      <c r="VLZ1447"/>
      <c r="VMA1447"/>
      <c r="VMB1447"/>
      <c r="VMC1447"/>
      <c r="VMD1447"/>
      <c r="VME1447"/>
      <c r="VMF1447"/>
      <c r="VMG1447"/>
      <c r="VMH1447"/>
      <c r="VMI1447"/>
      <c r="VMJ1447"/>
      <c r="VMK1447"/>
      <c r="VML1447"/>
      <c r="VMM1447"/>
      <c r="VMN1447"/>
      <c r="VMO1447"/>
      <c r="VMP1447"/>
      <c r="VMQ1447"/>
      <c r="VMR1447"/>
      <c r="VMS1447"/>
      <c r="VMT1447"/>
      <c r="VMU1447"/>
      <c r="VMV1447"/>
      <c r="VMW1447"/>
      <c r="VMX1447"/>
      <c r="VMY1447"/>
      <c r="VMZ1447"/>
      <c r="VNA1447"/>
      <c r="VNB1447"/>
      <c r="VNC1447"/>
      <c r="VND1447"/>
      <c r="VNE1447"/>
      <c r="VNF1447"/>
      <c r="VNG1447"/>
      <c r="VNH1447"/>
      <c r="VNI1447"/>
      <c r="VNJ1447"/>
      <c r="VNK1447"/>
      <c r="VNL1447"/>
      <c r="VNM1447"/>
      <c r="VNN1447"/>
      <c r="VNO1447"/>
      <c r="VNP1447"/>
      <c r="VNQ1447"/>
      <c r="VNR1447"/>
      <c r="VNS1447"/>
      <c r="VNT1447"/>
      <c r="VNU1447"/>
      <c r="VNV1447"/>
      <c r="VNW1447"/>
      <c r="VNX1447"/>
      <c r="VNY1447"/>
      <c r="VNZ1447"/>
      <c r="VOA1447"/>
      <c r="VOB1447"/>
      <c r="VOC1447"/>
      <c r="VOD1447"/>
      <c r="VOE1447"/>
      <c r="VOF1447"/>
      <c r="VOG1447"/>
      <c r="VOH1447"/>
      <c r="VOI1447"/>
      <c r="VOJ1447"/>
      <c r="VOK1447"/>
      <c r="VOL1447"/>
      <c r="VOM1447"/>
      <c r="VON1447"/>
      <c r="VOO1447"/>
      <c r="VOP1447"/>
      <c r="VOQ1447"/>
      <c r="VOR1447"/>
      <c r="VOS1447"/>
      <c r="VOT1447"/>
      <c r="VOU1447"/>
      <c r="VOV1447"/>
      <c r="VOW1447"/>
      <c r="VOX1447"/>
      <c r="VOY1447"/>
      <c r="VOZ1447"/>
      <c r="VPA1447"/>
      <c r="VPB1447"/>
      <c r="VPC1447"/>
      <c r="VPD1447"/>
      <c r="VPE1447"/>
      <c r="VPF1447"/>
      <c r="VPG1447"/>
      <c r="VPH1447"/>
      <c r="VPI1447"/>
      <c r="VPJ1447"/>
      <c r="VPK1447"/>
      <c r="VPL1447"/>
      <c r="VPM1447"/>
      <c r="VPN1447"/>
      <c r="VPO1447"/>
      <c r="VPP1447"/>
      <c r="VPQ1447"/>
      <c r="VPR1447"/>
      <c r="VPS1447"/>
      <c r="VPT1447"/>
      <c r="VPU1447"/>
      <c r="VPV1447"/>
      <c r="VPW1447"/>
      <c r="VPX1447"/>
      <c r="VPY1447"/>
      <c r="VPZ1447"/>
      <c r="VQA1447"/>
      <c r="VQB1447"/>
      <c r="VQC1447"/>
      <c r="VQD1447"/>
      <c r="VQE1447"/>
      <c r="VQF1447"/>
      <c r="VQG1447"/>
      <c r="VQH1447"/>
      <c r="VQI1447"/>
      <c r="VQJ1447"/>
      <c r="VQK1447"/>
      <c r="VQL1447"/>
      <c r="VQM1447"/>
      <c r="VQN1447"/>
      <c r="VQO1447"/>
      <c r="VQP1447"/>
      <c r="VQQ1447"/>
      <c r="VQR1447"/>
      <c r="VQS1447"/>
      <c r="VQT1447"/>
      <c r="VQU1447"/>
      <c r="VQV1447"/>
      <c r="VQW1447"/>
      <c r="VQX1447"/>
      <c r="VQY1447"/>
      <c r="VQZ1447"/>
      <c r="VRA1447"/>
      <c r="VRB1447"/>
      <c r="VRC1447"/>
      <c r="VRD1447"/>
      <c r="VRE1447"/>
      <c r="VRF1447"/>
      <c r="VRG1447"/>
      <c r="VRH1447"/>
      <c r="VRI1447"/>
      <c r="VRJ1447"/>
      <c r="VRK1447"/>
      <c r="VRL1447"/>
      <c r="VRM1447"/>
      <c r="VRN1447"/>
      <c r="VRO1447"/>
      <c r="VRP1447"/>
      <c r="VRQ1447"/>
      <c r="VRR1447"/>
      <c r="VRS1447"/>
      <c r="VRT1447"/>
      <c r="VRU1447"/>
      <c r="VRV1447"/>
      <c r="VRW1447"/>
      <c r="VRX1447"/>
      <c r="VRY1447"/>
      <c r="VRZ1447"/>
      <c r="VSA1447"/>
      <c r="VSB1447"/>
      <c r="VSC1447"/>
      <c r="VSD1447"/>
      <c r="VSE1447"/>
      <c r="VSF1447"/>
      <c r="VSG1447"/>
      <c r="VSH1447"/>
      <c r="VSI1447"/>
      <c r="VSJ1447"/>
      <c r="VSK1447"/>
      <c r="VSL1447"/>
      <c r="VSM1447"/>
      <c r="VSN1447"/>
      <c r="VSO1447"/>
      <c r="VSP1447"/>
      <c r="VSQ1447"/>
      <c r="VSR1447"/>
      <c r="VSS1447"/>
      <c r="VST1447"/>
      <c r="VSU1447"/>
      <c r="VSV1447"/>
      <c r="VSW1447"/>
      <c r="VSX1447"/>
      <c r="VSY1447"/>
      <c r="VSZ1447"/>
      <c r="VTA1447"/>
      <c r="VTB1447"/>
      <c r="VTC1447"/>
      <c r="VTD1447"/>
      <c r="VTE1447"/>
      <c r="VTF1447"/>
      <c r="VTG1447"/>
      <c r="VTH1447"/>
      <c r="VTI1447"/>
      <c r="VTJ1447"/>
      <c r="VTK1447"/>
      <c r="VTL1447"/>
      <c r="VTM1447"/>
      <c r="VTN1447"/>
      <c r="VTO1447"/>
      <c r="VTP1447"/>
      <c r="VTQ1447"/>
      <c r="VTR1447"/>
      <c r="VTS1447"/>
      <c r="VTT1447"/>
      <c r="VTU1447"/>
      <c r="VTV1447"/>
      <c r="VTW1447"/>
      <c r="VTX1447"/>
      <c r="VTY1447"/>
      <c r="VTZ1447"/>
      <c r="VUA1447"/>
      <c r="VUB1447"/>
      <c r="VUC1447"/>
      <c r="VUD1447"/>
      <c r="VUE1447"/>
      <c r="VUF1447"/>
      <c r="VUG1447"/>
      <c r="VUH1447"/>
      <c r="VUI1447"/>
      <c r="VUJ1447"/>
      <c r="VUK1447"/>
      <c r="VUL1447"/>
      <c r="VUM1447"/>
      <c r="VUN1447"/>
      <c r="VUO1447"/>
      <c r="VUP1447"/>
      <c r="VUQ1447"/>
      <c r="VUR1447"/>
      <c r="VUS1447"/>
      <c r="VUT1447"/>
      <c r="VUU1447"/>
      <c r="VUV1447"/>
      <c r="VUW1447"/>
      <c r="VUX1447"/>
      <c r="VUY1447"/>
      <c r="VUZ1447"/>
      <c r="VVA1447"/>
      <c r="VVB1447"/>
      <c r="VVC1447"/>
      <c r="VVD1447"/>
      <c r="VVE1447"/>
      <c r="VVF1447"/>
      <c r="VVG1447"/>
      <c r="VVH1447"/>
      <c r="VVI1447"/>
      <c r="VVJ1447"/>
      <c r="VVK1447"/>
      <c r="VVL1447"/>
      <c r="VVM1447"/>
      <c r="VVN1447"/>
      <c r="VVO1447"/>
      <c r="VVP1447"/>
      <c r="VVQ1447"/>
      <c r="VVR1447"/>
      <c r="VVS1447"/>
      <c r="VVT1447"/>
      <c r="VVU1447"/>
      <c r="VVV1447"/>
      <c r="VVW1447"/>
      <c r="VVX1447"/>
      <c r="VVY1447"/>
      <c r="VVZ1447"/>
      <c r="VWA1447"/>
      <c r="VWB1447"/>
      <c r="VWC1447"/>
      <c r="VWD1447"/>
      <c r="VWE1447"/>
      <c r="VWF1447"/>
      <c r="VWG1447"/>
      <c r="VWH1447"/>
      <c r="VWI1447"/>
      <c r="VWJ1447"/>
      <c r="VWK1447"/>
      <c r="VWL1447"/>
      <c r="VWM1447"/>
      <c r="VWN1447"/>
      <c r="VWO1447"/>
      <c r="VWP1447"/>
      <c r="VWQ1447"/>
      <c r="VWR1447"/>
      <c r="VWS1447"/>
      <c r="VWT1447"/>
      <c r="VWU1447"/>
      <c r="VWV1447"/>
      <c r="VWW1447"/>
      <c r="VWX1447"/>
      <c r="VWY1447"/>
      <c r="VWZ1447"/>
      <c r="VXA1447"/>
      <c r="VXB1447"/>
      <c r="VXC1447"/>
      <c r="VXD1447"/>
      <c r="VXE1447"/>
      <c r="VXF1447"/>
      <c r="VXG1447"/>
      <c r="VXH1447"/>
      <c r="VXI1447"/>
      <c r="VXJ1447"/>
      <c r="VXK1447"/>
      <c r="VXL1447"/>
      <c r="VXM1447"/>
      <c r="VXN1447"/>
      <c r="VXO1447"/>
      <c r="VXP1447"/>
      <c r="VXQ1447"/>
      <c r="VXR1447"/>
      <c r="VXS1447"/>
      <c r="VXT1447"/>
      <c r="VXU1447"/>
      <c r="VXV1447"/>
      <c r="VXW1447"/>
      <c r="VXX1447"/>
      <c r="VXY1447"/>
      <c r="VXZ1447"/>
      <c r="VYA1447"/>
      <c r="VYB1447"/>
      <c r="VYC1447"/>
      <c r="VYD1447"/>
      <c r="VYE1447"/>
      <c r="VYF1447"/>
      <c r="VYG1447"/>
      <c r="VYH1447"/>
      <c r="VYI1447"/>
      <c r="VYJ1447"/>
      <c r="VYK1447"/>
      <c r="VYL1447"/>
      <c r="VYM1447"/>
      <c r="VYN1447"/>
      <c r="VYO1447"/>
      <c r="VYP1447"/>
      <c r="VYQ1447"/>
      <c r="VYR1447"/>
      <c r="VYS1447"/>
      <c r="VYT1447"/>
      <c r="VYU1447"/>
      <c r="VYV1447"/>
      <c r="VYW1447"/>
      <c r="VYX1447"/>
      <c r="VYY1447"/>
      <c r="VYZ1447"/>
      <c r="VZA1447"/>
      <c r="VZB1447"/>
      <c r="VZC1447"/>
      <c r="VZD1447"/>
      <c r="VZE1447"/>
      <c r="VZF1447"/>
      <c r="VZG1447"/>
      <c r="VZH1447"/>
      <c r="VZI1447"/>
      <c r="VZJ1447"/>
      <c r="VZK1447"/>
      <c r="VZL1447"/>
      <c r="VZM1447"/>
      <c r="VZN1447"/>
      <c r="VZO1447"/>
      <c r="VZP1447"/>
      <c r="VZQ1447"/>
      <c r="VZR1447"/>
      <c r="VZS1447"/>
      <c r="VZT1447"/>
      <c r="VZU1447"/>
      <c r="VZV1447"/>
      <c r="VZW1447"/>
      <c r="VZX1447"/>
      <c r="VZY1447"/>
      <c r="VZZ1447"/>
      <c r="WAA1447"/>
      <c r="WAB1447"/>
      <c r="WAC1447"/>
      <c r="WAD1447"/>
      <c r="WAE1447"/>
      <c r="WAF1447"/>
      <c r="WAG1447"/>
      <c r="WAH1447"/>
      <c r="WAI1447"/>
      <c r="WAJ1447"/>
      <c r="WAK1447"/>
      <c r="WAL1447"/>
      <c r="WAM1447"/>
      <c r="WAN1447"/>
      <c r="WAO1447"/>
      <c r="WAP1447"/>
      <c r="WAQ1447"/>
      <c r="WAR1447"/>
      <c r="WAS1447"/>
      <c r="WAT1447"/>
      <c r="WAU1447"/>
      <c r="WAV1447"/>
      <c r="WAW1447"/>
      <c r="WAX1447"/>
      <c r="WAY1447"/>
      <c r="WAZ1447"/>
      <c r="WBA1447"/>
      <c r="WBB1447"/>
      <c r="WBC1447"/>
      <c r="WBD1447"/>
      <c r="WBE1447"/>
      <c r="WBF1447"/>
      <c r="WBG1447"/>
      <c r="WBH1447"/>
      <c r="WBI1447"/>
      <c r="WBJ1447"/>
      <c r="WBK1447"/>
      <c r="WBL1447"/>
      <c r="WBM1447"/>
      <c r="WBN1447"/>
      <c r="WBO1447"/>
      <c r="WBP1447"/>
      <c r="WBQ1447"/>
      <c r="WBR1447"/>
      <c r="WBS1447"/>
      <c r="WBT1447"/>
      <c r="WBU1447"/>
      <c r="WBV1447"/>
      <c r="WBW1447"/>
      <c r="WBX1447"/>
      <c r="WBY1447"/>
      <c r="WBZ1447"/>
      <c r="WCA1447"/>
      <c r="WCB1447"/>
      <c r="WCC1447"/>
      <c r="WCD1447"/>
      <c r="WCE1447"/>
      <c r="WCF1447"/>
      <c r="WCG1447"/>
      <c r="WCH1447"/>
      <c r="WCI1447"/>
      <c r="WCJ1447"/>
      <c r="WCK1447"/>
      <c r="WCL1447"/>
      <c r="WCM1447"/>
      <c r="WCN1447"/>
      <c r="WCO1447"/>
      <c r="WCP1447"/>
      <c r="WCQ1447"/>
      <c r="WCR1447"/>
      <c r="WCS1447"/>
      <c r="WCT1447"/>
      <c r="WCU1447"/>
      <c r="WCV1447"/>
      <c r="WCW1447"/>
      <c r="WCX1447"/>
      <c r="WCY1447"/>
      <c r="WCZ1447"/>
      <c r="WDA1447"/>
      <c r="WDB1447"/>
      <c r="WDC1447"/>
      <c r="WDD1447"/>
      <c r="WDE1447"/>
      <c r="WDF1447"/>
      <c r="WDG1447"/>
      <c r="WDH1447"/>
      <c r="WDI1447"/>
      <c r="WDJ1447"/>
      <c r="WDK1447"/>
      <c r="WDL1447"/>
      <c r="WDM1447"/>
      <c r="WDN1447"/>
      <c r="WDO1447"/>
      <c r="WDP1447"/>
      <c r="WDQ1447"/>
      <c r="WDR1447"/>
      <c r="WDS1447"/>
      <c r="WDT1447"/>
      <c r="WDU1447"/>
      <c r="WDV1447"/>
      <c r="WDW1447"/>
      <c r="WDX1447"/>
      <c r="WDY1447"/>
      <c r="WDZ1447"/>
      <c r="WEA1447"/>
      <c r="WEB1447"/>
      <c r="WEC1447"/>
      <c r="WED1447"/>
      <c r="WEE1447"/>
      <c r="WEF1447"/>
      <c r="WEG1447"/>
      <c r="WEH1447"/>
      <c r="WEI1447"/>
      <c r="WEJ1447"/>
      <c r="WEK1447"/>
      <c r="WEL1447"/>
      <c r="WEM1447"/>
      <c r="WEN1447"/>
      <c r="WEO1447"/>
      <c r="WEP1447"/>
      <c r="WEQ1447"/>
      <c r="WER1447"/>
      <c r="WES1447"/>
      <c r="WET1447"/>
      <c r="WEU1447"/>
      <c r="WEV1447"/>
      <c r="WEW1447"/>
      <c r="WEX1447"/>
      <c r="WEY1447"/>
      <c r="WEZ1447"/>
      <c r="WFA1447"/>
      <c r="WFB1447"/>
      <c r="WFC1447"/>
      <c r="WFD1447"/>
      <c r="WFE1447"/>
      <c r="WFF1447"/>
      <c r="WFG1447"/>
      <c r="WFH1447"/>
      <c r="WFI1447"/>
      <c r="WFJ1447"/>
      <c r="WFK1447"/>
      <c r="WFL1447"/>
      <c r="WFM1447"/>
      <c r="WFN1447"/>
      <c r="WFO1447"/>
      <c r="WFP1447"/>
      <c r="WFQ1447"/>
      <c r="WFR1447"/>
      <c r="WFS1447"/>
      <c r="WFT1447"/>
      <c r="WFU1447"/>
      <c r="WFV1447"/>
      <c r="WFW1447"/>
      <c r="WFX1447"/>
      <c r="WFY1447"/>
      <c r="WFZ1447"/>
      <c r="WGA1447"/>
      <c r="WGB1447"/>
      <c r="WGC1447"/>
      <c r="WGD1447"/>
      <c r="WGE1447"/>
      <c r="WGF1447"/>
      <c r="WGG1447"/>
      <c r="WGH1447"/>
      <c r="WGI1447"/>
      <c r="WGJ1447"/>
      <c r="WGK1447"/>
      <c r="WGL1447"/>
      <c r="WGM1447"/>
      <c r="WGN1447"/>
      <c r="WGO1447"/>
      <c r="WGP1447"/>
      <c r="WGQ1447"/>
      <c r="WGR1447"/>
      <c r="WGS1447"/>
      <c r="WGT1447"/>
      <c r="WGU1447"/>
      <c r="WGV1447"/>
      <c r="WGW1447"/>
      <c r="WGX1447"/>
      <c r="WGY1447"/>
      <c r="WGZ1447"/>
      <c r="WHA1447"/>
      <c r="WHB1447"/>
      <c r="WHC1447"/>
      <c r="WHD1447"/>
      <c r="WHE1447"/>
      <c r="WHF1447"/>
      <c r="WHG1447"/>
      <c r="WHH1447"/>
      <c r="WHI1447"/>
      <c r="WHJ1447"/>
      <c r="WHK1447"/>
      <c r="WHL1447"/>
      <c r="WHM1447"/>
      <c r="WHN1447"/>
      <c r="WHO1447"/>
      <c r="WHP1447"/>
      <c r="WHQ1447"/>
      <c r="WHR1447"/>
      <c r="WHS1447"/>
      <c r="WHT1447"/>
      <c r="WHU1447"/>
      <c r="WHV1447"/>
      <c r="WHW1447"/>
      <c r="WHX1447"/>
      <c r="WHY1447"/>
      <c r="WHZ1447"/>
      <c r="WIA1447"/>
      <c r="WIB1447"/>
      <c r="WIC1447"/>
      <c r="WID1447"/>
      <c r="WIE1447"/>
      <c r="WIF1447"/>
      <c r="WIG1447"/>
      <c r="WIH1447"/>
      <c r="WII1447"/>
      <c r="WIJ1447"/>
      <c r="WIK1447"/>
      <c r="WIL1447"/>
      <c r="WIM1447"/>
      <c r="WIN1447"/>
      <c r="WIO1447"/>
      <c r="WIP1447"/>
      <c r="WIQ1447"/>
      <c r="WIR1447"/>
      <c r="WIS1447"/>
      <c r="WIT1447"/>
      <c r="WIU1447"/>
      <c r="WIV1447"/>
      <c r="WIW1447"/>
      <c r="WIX1447"/>
      <c r="WIY1447"/>
      <c r="WIZ1447"/>
      <c r="WJA1447"/>
      <c r="WJB1447"/>
      <c r="WJC1447"/>
      <c r="WJD1447"/>
      <c r="WJE1447"/>
      <c r="WJF1447"/>
      <c r="WJG1447"/>
      <c r="WJH1447"/>
      <c r="WJI1447"/>
      <c r="WJJ1447"/>
      <c r="WJK1447"/>
      <c r="WJL1447"/>
      <c r="WJM1447"/>
      <c r="WJN1447"/>
      <c r="WJO1447"/>
      <c r="WJP1447"/>
      <c r="WJQ1447"/>
      <c r="WJR1447"/>
      <c r="WJS1447"/>
      <c r="WJT1447"/>
      <c r="WJU1447"/>
      <c r="WJV1447"/>
      <c r="WJW1447"/>
      <c r="WJX1447"/>
      <c r="WJY1447"/>
      <c r="WJZ1447"/>
      <c r="WKA1447"/>
      <c r="WKB1447"/>
      <c r="WKC1447"/>
      <c r="WKD1447"/>
      <c r="WKE1447"/>
      <c r="WKF1447"/>
      <c r="WKG1447"/>
      <c r="WKH1447"/>
      <c r="WKI1447"/>
      <c r="WKJ1447"/>
      <c r="WKK1447"/>
      <c r="WKL1447"/>
      <c r="WKM1447"/>
      <c r="WKN1447"/>
      <c r="WKO1447"/>
      <c r="WKP1447"/>
      <c r="WKQ1447"/>
      <c r="WKR1447"/>
      <c r="WKS1447"/>
      <c r="WKT1447"/>
      <c r="WKU1447"/>
      <c r="WKV1447"/>
      <c r="WKW1447"/>
      <c r="WKX1447"/>
      <c r="WKY1447"/>
      <c r="WKZ1447"/>
      <c r="WLA1447"/>
      <c r="WLB1447"/>
      <c r="WLC1447"/>
      <c r="WLD1447"/>
      <c r="WLE1447"/>
      <c r="WLF1447"/>
      <c r="WLG1447"/>
      <c r="WLH1447"/>
      <c r="WLI1447"/>
      <c r="WLJ1447"/>
      <c r="WLK1447"/>
      <c r="WLL1447"/>
      <c r="WLM1447"/>
      <c r="WLN1447"/>
      <c r="WLO1447"/>
      <c r="WLP1447"/>
      <c r="WLQ1447"/>
      <c r="WLR1447"/>
      <c r="WLS1447"/>
      <c r="WLT1447"/>
      <c r="WLU1447"/>
      <c r="WLV1447"/>
      <c r="WLW1447"/>
      <c r="WLX1447"/>
      <c r="WLY1447"/>
      <c r="WLZ1447"/>
      <c r="WMA1447"/>
      <c r="WMB1447"/>
      <c r="WMC1447"/>
      <c r="WMD1447"/>
      <c r="WME1447"/>
      <c r="WMF1447"/>
      <c r="WMG1447"/>
      <c r="WMH1447"/>
      <c r="WMI1447"/>
      <c r="WMJ1447"/>
      <c r="WMK1447"/>
      <c r="WML1447"/>
      <c r="WMM1447"/>
      <c r="WMN1447"/>
      <c r="WMO1447"/>
      <c r="WMP1447"/>
      <c r="WMQ1447"/>
      <c r="WMR1447"/>
      <c r="WMS1447"/>
      <c r="WMT1447"/>
      <c r="WMU1447"/>
      <c r="WMV1447"/>
      <c r="WMW1447"/>
      <c r="WMX1447"/>
      <c r="WMY1447"/>
      <c r="WMZ1447"/>
      <c r="WNA1447"/>
      <c r="WNB1447"/>
      <c r="WNC1447"/>
      <c r="WND1447"/>
      <c r="WNE1447"/>
      <c r="WNF1447"/>
      <c r="WNG1447"/>
      <c r="WNH1447"/>
      <c r="WNI1447"/>
      <c r="WNJ1447"/>
      <c r="WNK1447"/>
      <c r="WNL1447"/>
      <c r="WNM1447"/>
      <c r="WNN1447"/>
      <c r="WNO1447"/>
      <c r="WNP1447"/>
      <c r="WNQ1447"/>
      <c r="WNR1447"/>
      <c r="WNS1447"/>
      <c r="WNT1447"/>
      <c r="WNU1447"/>
      <c r="WNV1447"/>
      <c r="WNW1447"/>
      <c r="WNX1447"/>
      <c r="WNY1447"/>
      <c r="WNZ1447"/>
      <c r="WOA1447"/>
      <c r="WOB1447"/>
      <c r="WOC1447"/>
      <c r="WOD1447"/>
      <c r="WOE1447"/>
      <c r="WOF1447"/>
      <c r="WOG1447"/>
      <c r="WOH1447"/>
      <c r="WOI1447"/>
      <c r="WOJ1447"/>
      <c r="WOK1447"/>
      <c r="WOL1447"/>
      <c r="WOM1447"/>
      <c r="WON1447"/>
      <c r="WOO1447"/>
      <c r="WOP1447"/>
      <c r="WOQ1447"/>
      <c r="WOR1447"/>
      <c r="WOS1447"/>
      <c r="WOT1447"/>
      <c r="WOU1447"/>
      <c r="WOV1447"/>
      <c r="WOW1447"/>
      <c r="WOX1447"/>
      <c r="WOY1447"/>
      <c r="WOZ1447"/>
      <c r="WPA1447"/>
      <c r="WPB1447"/>
      <c r="WPC1447"/>
      <c r="WPD1447"/>
      <c r="WPE1447"/>
      <c r="WPF1447"/>
      <c r="WPG1447"/>
      <c r="WPH1447"/>
      <c r="WPI1447"/>
      <c r="WPJ1447"/>
      <c r="WPK1447"/>
      <c r="WPL1447"/>
      <c r="WPM1447"/>
      <c r="WPN1447"/>
      <c r="WPO1447"/>
      <c r="WPP1447"/>
      <c r="WPQ1447"/>
      <c r="WPR1447"/>
      <c r="WPS1447"/>
      <c r="WPT1447"/>
      <c r="WPU1447"/>
      <c r="WPV1447"/>
      <c r="WPW1447"/>
      <c r="WPX1447"/>
      <c r="WPY1447"/>
      <c r="WPZ1447"/>
      <c r="WQA1447"/>
      <c r="WQB1447"/>
      <c r="WQC1447"/>
      <c r="WQD1447"/>
      <c r="WQE1447"/>
      <c r="WQF1447"/>
      <c r="WQG1447"/>
      <c r="WQH1447"/>
      <c r="WQI1447"/>
      <c r="WQJ1447"/>
      <c r="WQK1447"/>
      <c r="WQL1447"/>
      <c r="WQM1447"/>
      <c r="WQN1447"/>
      <c r="WQO1447"/>
      <c r="WQP1447"/>
      <c r="WQQ1447"/>
      <c r="WQR1447"/>
      <c r="WQS1447"/>
      <c r="WQT1447"/>
      <c r="WQU1447"/>
      <c r="WQV1447"/>
      <c r="WQW1447"/>
      <c r="WQX1447"/>
      <c r="WQY1447"/>
      <c r="WQZ1447"/>
      <c r="WRA1447"/>
      <c r="WRB1447"/>
      <c r="WRC1447"/>
      <c r="WRD1447"/>
      <c r="WRE1447"/>
      <c r="WRF1447"/>
      <c r="WRG1447"/>
      <c r="WRH1447"/>
      <c r="WRI1447"/>
      <c r="WRJ1447"/>
      <c r="WRK1447"/>
      <c r="WRL1447"/>
      <c r="WRM1447"/>
      <c r="WRN1447"/>
      <c r="WRO1447"/>
      <c r="WRP1447"/>
      <c r="WRQ1447"/>
      <c r="WRR1447"/>
      <c r="WRS1447"/>
      <c r="WRT1447"/>
      <c r="WRU1447"/>
      <c r="WRV1447"/>
      <c r="WRW1447"/>
      <c r="WRX1447"/>
      <c r="WRY1447"/>
      <c r="WRZ1447"/>
      <c r="WSA1447"/>
      <c r="WSB1447"/>
      <c r="WSC1447"/>
      <c r="WSD1447"/>
      <c r="WSE1447"/>
      <c r="WSF1447"/>
      <c r="WSG1447"/>
      <c r="WSH1447"/>
      <c r="WSI1447"/>
      <c r="WSJ1447"/>
      <c r="WSK1447"/>
      <c r="WSL1447"/>
      <c r="WSM1447"/>
      <c r="WSN1447"/>
      <c r="WSO1447"/>
      <c r="WSP1447"/>
      <c r="WSQ1447"/>
      <c r="WSR1447"/>
      <c r="WSS1447"/>
      <c r="WST1447"/>
      <c r="WSU1447"/>
      <c r="WSV1447"/>
      <c r="WSW1447"/>
      <c r="WSX1447"/>
      <c r="WSY1447"/>
      <c r="WSZ1447"/>
      <c r="WTA1447"/>
      <c r="WTB1447"/>
      <c r="WTC1447"/>
      <c r="WTD1447"/>
      <c r="WTE1447"/>
      <c r="WTF1447"/>
      <c r="WTG1447"/>
      <c r="WTH1447"/>
      <c r="WTI1447"/>
      <c r="WTJ1447"/>
      <c r="WTK1447"/>
      <c r="WTL1447"/>
      <c r="WTM1447"/>
      <c r="WTN1447"/>
      <c r="WTO1447"/>
      <c r="WTP1447"/>
      <c r="WTQ1447"/>
      <c r="WTR1447"/>
      <c r="WTS1447"/>
      <c r="WTT1447"/>
      <c r="WTU1447"/>
      <c r="WTV1447"/>
      <c r="WTW1447"/>
      <c r="WTX1447"/>
      <c r="WTY1447"/>
      <c r="WTZ1447"/>
      <c r="WUA1447"/>
      <c r="WUB1447"/>
      <c r="WUC1447"/>
      <c r="WUD1447"/>
      <c r="WUE1447"/>
      <c r="WUF1447"/>
      <c r="WUG1447"/>
      <c r="WUH1447"/>
      <c r="WUI1447"/>
      <c r="WUJ1447"/>
      <c r="WUK1447"/>
      <c r="WUL1447"/>
      <c r="WUM1447"/>
      <c r="WUN1447"/>
      <c r="WUO1447"/>
      <c r="WUP1447"/>
      <c r="WUQ1447"/>
      <c r="WUR1447"/>
      <c r="WUS1447"/>
      <c r="WUT1447"/>
      <c r="WUU1447"/>
      <c r="WUV1447"/>
      <c r="WUW1447"/>
      <c r="WUX1447"/>
      <c r="WUY1447"/>
      <c r="WUZ1447"/>
      <c r="WVA1447"/>
      <c r="WVB1447"/>
      <c r="WVC1447"/>
      <c r="WVD1447"/>
      <c r="WVE1447"/>
      <c r="WVF1447"/>
      <c r="WVG1447"/>
      <c r="WVH1447"/>
      <c r="WVI1447"/>
      <c r="WVJ1447"/>
      <c r="WVK1447"/>
      <c r="WVL1447"/>
      <c r="WVM1447"/>
      <c r="WVN1447"/>
      <c r="WVO1447"/>
      <c r="WVP1447"/>
      <c r="WVQ1447"/>
      <c r="WVR1447"/>
      <c r="WVS1447"/>
      <c r="WVT1447"/>
      <c r="WVU1447"/>
      <c r="WVV1447"/>
      <c r="WVW1447"/>
      <c r="WVX1447"/>
      <c r="WVY1447"/>
      <c r="WVZ1447"/>
      <c r="WWA1447"/>
      <c r="WWB1447"/>
      <c r="WWC1447"/>
      <c r="WWD1447"/>
      <c r="WWE1447"/>
      <c r="WWF1447"/>
      <c r="WWG1447"/>
      <c r="WWH1447"/>
      <c r="WWI1447"/>
      <c r="WWJ1447"/>
      <c r="WWK1447"/>
      <c r="WWL1447"/>
      <c r="WWM1447"/>
      <c r="WWN1447"/>
      <c r="WWO1447"/>
      <c r="WWP1447"/>
      <c r="WWQ1447"/>
      <c r="WWR1447"/>
      <c r="WWS1447"/>
      <c r="WWT1447"/>
      <c r="WWU1447"/>
      <c r="WWV1447"/>
      <c r="WWW1447"/>
      <c r="WWX1447"/>
      <c r="WWY1447"/>
      <c r="WWZ1447"/>
      <c r="WXA1447"/>
      <c r="WXB1447"/>
      <c r="WXC1447"/>
      <c r="WXD1447"/>
      <c r="WXE1447"/>
      <c r="WXF1447"/>
      <c r="WXG1447"/>
      <c r="WXH1447"/>
      <c r="WXI1447"/>
      <c r="WXJ1447"/>
      <c r="WXK1447"/>
      <c r="WXL1447"/>
      <c r="WXM1447"/>
      <c r="WXN1447"/>
      <c r="WXO1447"/>
      <c r="WXP1447"/>
      <c r="WXQ1447"/>
      <c r="WXR1447"/>
      <c r="WXS1447"/>
      <c r="WXT1447"/>
      <c r="WXU1447"/>
      <c r="WXV1447"/>
      <c r="WXW1447"/>
      <c r="WXX1447"/>
      <c r="WXY1447"/>
      <c r="WXZ1447"/>
      <c r="WYA1447"/>
      <c r="WYB1447"/>
      <c r="WYC1447"/>
      <c r="WYD1447"/>
      <c r="WYE1447"/>
      <c r="WYF1447"/>
      <c r="WYG1447"/>
      <c r="WYH1447"/>
      <c r="WYI1447"/>
      <c r="WYJ1447"/>
      <c r="WYK1447"/>
      <c r="WYL1447"/>
      <c r="WYM1447"/>
      <c r="WYN1447"/>
      <c r="WYO1447"/>
      <c r="WYP1447"/>
      <c r="WYQ1447"/>
      <c r="WYR1447"/>
      <c r="WYS1447"/>
      <c r="WYT1447"/>
      <c r="WYU1447"/>
      <c r="WYV1447"/>
      <c r="WYW1447"/>
      <c r="WYX1447"/>
      <c r="WYY1447"/>
      <c r="WYZ1447"/>
      <c r="WZA1447"/>
      <c r="WZB1447"/>
      <c r="WZC1447"/>
      <c r="WZD1447"/>
      <c r="WZE1447"/>
      <c r="WZF1447"/>
      <c r="WZG1447"/>
      <c r="WZH1447"/>
      <c r="WZI1447"/>
      <c r="WZJ1447"/>
      <c r="WZK1447"/>
      <c r="WZL1447"/>
      <c r="WZM1447"/>
      <c r="WZN1447"/>
      <c r="WZO1447"/>
      <c r="WZP1447"/>
      <c r="WZQ1447"/>
      <c r="WZR1447"/>
      <c r="WZS1447"/>
      <c r="WZT1447"/>
      <c r="WZU1447"/>
      <c r="WZV1447"/>
      <c r="WZW1447"/>
      <c r="WZX1447"/>
      <c r="WZY1447"/>
      <c r="WZZ1447"/>
      <c r="XAA1447"/>
      <c r="XAB1447"/>
      <c r="XAC1447"/>
      <c r="XAD1447"/>
      <c r="XAE1447"/>
      <c r="XAF1447"/>
      <c r="XAG1447"/>
      <c r="XAH1447"/>
      <c r="XAI1447"/>
      <c r="XAJ1447"/>
      <c r="XAK1447"/>
      <c r="XAL1447"/>
      <c r="XAM1447"/>
      <c r="XAN1447"/>
      <c r="XAO1447"/>
      <c r="XAP1447"/>
      <c r="XAQ1447"/>
      <c r="XAR1447"/>
      <c r="XAS1447"/>
      <c r="XAT1447"/>
      <c r="XAU1447"/>
      <c r="XAV1447"/>
      <c r="XAW1447"/>
      <c r="XAX1447"/>
      <c r="XAY1447"/>
      <c r="XAZ1447"/>
      <c r="XBA1447"/>
      <c r="XBB1447"/>
      <c r="XBC1447"/>
      <c r="XBD1447"/>
      <c r="XBE1447"/>
      <c r="XBF1447"/>
      <c r="XBG1447"/>
      <c r="XBH1447"/>
      <c r="XBI1447"/>
      <c r="XBJ1447"/>
      <c r="XBK1447"/>
      <c r="XBL1447"/>
      <c r="XBM1447"/>
      <c r="XBN1447"/>
      <c r="XBO1447"/>
      <c r="XBP1447"/>
      <c r="XBQ1447"/>
      <c r="XBR1447"/>
      <c r="XBS1447"/>
      <c r="XBT1447"/>
      <c r="XBU1447"/>
      <c r="XBV1447"/>
      <c r="XBW1447"/>
      <c r="XBX1447"/>
      <c r="XBY1447"/>
      <c r="XBZ1447"/>
      <c r="XCA1447"/>
      <c r="XCB1447"/>
      <c r="XCC1447"/>
      <c r="XCD1447"/>
      <c r="XCE1447"/>
      <c r="XCF1447"/>
      <c r="XCG1447"/>
      <c r="XCH1447"/>
      <c r="XCI1447"/>
      <c r="XCJ1447"/>
      <c r="XCK1447"/>
      <c r="XCL1447"/>
      <c r="XCM1447"/>
      <c r="XCN1447"/>
      <c r="XCO1447"/>
      <c r="XCP1447"/>
      <c r="XCQ1447"/>
      <c r="XCR1447"/>
      <c r="XCS1447"/>
      <c r="XCT1447"/>
      <c r="XCU1447"/>
      <c r="XCV1447"/>
      <c r="XCW1447"/>
      <c r="XCX1447"/>
      <c r="XCY1447"/>
      <c r="XCZ1447"/>
      <c r="XDA1447"/>
      <c r="XDB1447"/>
      <c r="XDC1447"/>
      <c r="XDD1447"/>
      <c r="XDE1447"/>
      <c r="XDF1447"/>
      <c r="XDG1447"/>
      <c r="XDH1447"/>
      <c r="XDI1447"/>
      <c r="XDJ1447"/>
      <c r="XDK1447"/>
      <c r="XDL1447"/>
      <c r="XDM1447"/>
      <c r="XDN1447"/>
      <c r="XDO1447"/>
      <c r="XDP1447"/>
      <c r="XDQ1447"/>
      <c r="XDR1447"/>
      <c r="XDS1447"/>
      <c r="XDT1447"/>
      <c r="XDU1447"/>
      <c r="XDV1447"/>
      <c r="XDW1447"/>
      <c r="XDX1447"/>
      <c r="XDY1447"/>
      <c r="XDZ1447"/>
      <c r="XEA1447"/>
      <c r="XEB1447"/>
      <c r="XEC1447"/>
      <c r="XED1447"/>
      <c r="XEE1447"/>
      <c r="XEF1447"/>
      <c r="XEG1447"/>
      <c r="XEH1447"/>
      <c r="XEI1447"/>
      <c r="XEJ1447"/>
      <c r="XEK1447"/>
      <c r="XEL1447"/>
      <c r="XEM1447"/>
      <c r="XEN1447"/>
      <c r="XEO1447"/>
      <c r="XEP1447"/>
      <c r="XEQ1447"/>
      <c r="XER1447"/>
      <c r="XES1447"/>
      <c r="XET1447"/>
      <c r="XEU1447"/>
      <c r="XEV1447"/>
      <c r="XEW1447"/>
      <c r="XEX1447"/>
      <c r="XEY1447"/>
      <c r="XEZ1447"/>
    </row>
    <row r="1448" spans="1:16380" s="103" customFormat="1" ht="15.95" customHeight="1" thickBot="1" x14ac:dyDescent="0.3">
      <c r="A1448" s="166" t="s">
        <v>1730</v>
      </c>
      <c r="B1448" s="166"/>
      <c r="C1448" s="166"/>
      <c r="D1448" s="166" t="s">
        <v>1720</v>
      </c>
      <c r="E1448" s="166" t="s">
        <v>1739</v>
      </c>
      <c r="F1448" s="166">
        <v>2020</v>
      </c>
      <c r="G1448" s="166" t="s">
        <v>1721</v>
      </c>
      <c r="H1448" s="166" t="s">
        <v>1390</v>
      </c>
      <c r="I1448" s="166" t="s">
        <v>1740</v>
      </c>
      <c r="J1448" s="166" t="s">
        <v>1731</v>
      </c>
      <c r="K1448" s="166" t="s">
        <v>250</v>
      </c>
      <c r="L1448" s="166" t="s">
        <v>1202</v>
      </c>
      <c r="M1448" s="166" t="s">
        <v>1203</v>
      </c>
      <c r="N1448" s="19" t="s">
        <v>66</v>
      </c>
      <c r="O1448" s="166"/>
      <c r="P1448" s="166" t="s">
        <v>1390</v>
      </c>
      <c r="Q1448" s="166"/>
      <c r="R1448" s="166" t="s">
        <v>1253</v>
      </c>
      <c r="S1448" s="166"/>
      <c r="T1448" s="166" t="s">
        <v>49</v>
      </c>
      <c r="U1448" s="19" t="s">
        <v>49</v>
      </c>
      <c r="V1448" s="166">
        <v>4</v>
      </c>
      <c r="W1448" s="166" t="s">
        <v>45</v>
      </c>
      <c r="X1448" s="166" t="s">
        <v>46</v>
      </c>
      <c r="Y1448" s="166"/>
      <c r="Z1448" s="166"/>
      <c r="AA1448" s="166"/>
      <c r="AB1448" s="166">
        <v>320</v>
      </c>
      <c r="AC1448" s="166" t="s">
        <v>214</v>
      </c>
      <c r="AD1448" s="166"/>
      <c r="AE1448" s="169">
        <v>3.5</v>
      </c>
      <c r="AF1448" s="166"/>
      <c r="AG1448" s="166"/>
      <c r="AH1448" s="166"/>
      <c r="AI1448" s="166"/>
      <c r="AJ1448" s="167">
        <v>6.7</v>
      </c>
      <c r="AK1448" s="169" t="s">
        <v>1745</v>
      </c>
      <c r="AL1448" s="169" t="s">
        <v>1751</v>
      </c>
      <c r="AM1448" s="166"/>
      <c r="AN1448" s="169">
        <v>3</v>
      </c>
      <c r="AO1448" s="166"/>
      <c r="AP1448" s="168">
        <v>1.4</v>
      </c>
      <c r="AQ1448" s="169" t="s">
        <v>1754</v>
      </c>
      <c r="AR1448" s="169" t="s">
        <v>1761</v>
      </c>
      <c r="AS1448" s="166"/>
      <c r="AT1448" s="65" t="str">
        <f>IF(F1448&lt;1980,"N",IF(AC1448="M","Y",IF(AC1448="SM","Y","N")))</f>
        <v>Y</v>
      </c>
      <c r="AU1448" s="65" t="str">
        <f>IF(AT1448="N","N",IF(AJ1448&lt;6,"N",IF(AJ1448&gt;8.5,"N","Y")))</f>
        <v>Y</v>
      </c>
      <c r="AV1448" s="65" t="s">
        <v>162</v>
      </c>
      <c r="AW1448" s="99" t="s">
        <v>1767</v>
      </c>
      <c r="AX1448" s="99"/>
      <c r="AY1448" s="20"/>
      <c r="AZ1448" s="96" t="str">
        <f>IF(AV1448="N","n",T1448)</f>
        <v>n</v>
      </c>
      <c r="BA1448" s="96" t="str">
        <f>IF(AZ1448="n","n",VLOOKUP(AZ1448,'Conversion factors'!$C$4:$D$24,2,FALSE))</f>
        <v>n</v>
      </c>
      <c r="BB1448" s="96" t="str">
        <f>IF(BA1448="n","n",AB1448/BA1448)</f>
        <v>n</v>
      </c>
      <c r="BC1448" s="97"/>
      <c r="BD1448" s="96" t="str">
        <f>IF(AV1448="N","n",X1448)</f>
        <v>n</v>
      </c>
      <c r="BE1448" s="96" t="str">
        <f>IF(BD1448="chronic","y","n")</f>
        <v>n</v>
      </c>
      <c r="BF1448" s="98" t="str">
        <f>IF(BE1448="n","",AZ1448)</f>
        <v/>
      </c>
      <c r="BG1448" s="96" t="str">
        <f>IF(BF1448="","",IF(ISNUMBER(VLOOKUP(BF1448,'Conversion factors'!$B$35:$C$52,2,FALSE)),"y","n"))</f>
        <v/>
      </c>
      <c r="BH1448" s="131"/>
      <c r="BI1448" s="126" t="str">
        <f>AW1448</f>
        <v>didn't pass acceptability criteria</v>
      </c>
      <c r="BJ1448" s="126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  <c r="DB1448"/>
      <c r="DC1448"/>
      <c r="DD1448"/>
      <c r="DE1448"/>
      <c r="DF1448"/>
      <c r="DG1448"/>
      <c r="DH1448"/>
      <c r="DI1448"/>
      <c r="DJ1448"/>
      <c r="DK1448"/>
      <c r="DL1448"/>
      <c r="DM1448"/>
      <c r="DN1448"/>
      <c r="DO1448"/>
      <c r="DP1448"/>
      <c r="DQ1448"/>
      <c r="DR1448"/>
      <c r="DS1448"/>
      <c r="DT1448"/>
      <c r="DU1448"/>
      <c r="DV1448"/>
      <c r="DW1448"/>
      <c r="DX1448"/>
      <c r="DY1448"/>
      <c r="DZ1448"/>
      <c r="EA1448"/>
      <c r="EB1448"/>
      <c r="EC1448"/>
      <c r="ED1448"/>
      <c r="EE1448"/>
      <c r="EF1448"/>
      <c r="EG1448"/>
      <c r="EH1448"/>
      <c r="EI1448"/>
      <c r="EJ1448"/>
      <c r="EK1448"/>
      <c r="EL1448"/>
      <c r="EM1448"/>
      <c r="EN1448"/>
      <c r="EO1448"/>
      <c r="EP1448"/>
      <c r="EQ1448"/>
      <c r="ER1448"/>
      <c r="ES1448"/>
      <c r="ET1448"/>
      <c r="EU1448"/>
      <c r="EV1448"/>
      <c r="EW1448"/>
      <c r="EX1448"/>
      <c r="EY1448"/>
      <c r="EZ1448"/>
      <c r="FA1448"/>
      <c r="FB1448"/>
      <c r="FC1448"/>
      <c r="FD1448"/>
      <c r="FE1448"/>
      <c r="FF1448"/>
      <c r="FG1448"/>
      <c r="FH1448"/>
      <c r="FI1448"/>
      <c r="FJ1448"/>
      <c r="FK1448"/>
      <c r="FL1448"/>
      <c r="FM1448"/>
      <c r="FN1448"/>
      <c r="FO1448"/>
      <c r="FP1448"/>
      <c r="FQ1448"/>
      <c r="FR1448"/>
      <c r="FS1448"/>
      <c r="FT1448"/>
      <c r="FU1448"/>
      <c r="FV1448"/>
      <c r="FW1448"/>
      <c r="FX1448"/>
      <c r="FY1448"/>
      <c r="FZ1448"/>
      <c r="GA1448"/>
      <c r="GB1448"/>
      <c r="GC1448"/>
      <c r="GD1448"/>
      <c r="GE1448"/>
      <c r="GF1448"/>
      <c r="GG1448"/>
      <c r="GH1448"/>
      <c r="GI1448"/>
      <c r="GJ1448"/>
      <c r="GK1448"/>
      <c r="GL1448"/>
      <c r="GM1448"/>
      <c r="GN1448"/>
      <c r="GO1448"/>
      <c r="GP1448"/>
      <c r="GQ1448"/>
      <c r="GR1448"/>
      <c r="GS1448"/>
      <c r="GT1448"/>
      <c r="GU1448"/>
      <c r="GV1448"/>
      <c r="GW1448"/>
      <c r="GX1448"/>
      <c r="GY1448"/>
      <c r="GZ1448"/>
      <c r="HA1448"/>
      <c r="HB1448"/>
      <c r="HC1448"/>
      <c r="HD1448"/>
      <c r="HE1448"/>
      <c r="HF1448"/>
      <c r="HG1448"/>
      <c r="HH1448"/>
      <c r="HI1448"/>
      <c r="HJ1448"/>
      <c r="HK1448"/>
      <c r="HL1448"/>
      <c r="HM1448"/>
      <c r="HN1448"/>
      <c r="HO1448"/>
      <c r="HP1448"/>
      <c r="HQ1448"/>
      <c r="HR1448"/>
      <c r="HS1448"/>
      <c r="HT1448"/>
      <c r="HU1448"/>
      <c r="HV1448"/>
      <c r="HW1448"/>
      <c r="HX1448"/>
      <c r="HY1448"/>
      <c r="HZ1448"/>
      <c r="IA1448"/>
      <c r="IB1448"/>
      <c r="IC1448"/>
      <c r="ID1448"/>
      <c r="IE1448"/>
      <c r="IF1448"/>
      <c r="IG1448"/>
      <c r="IH1448"/>
      <c r="II1448"/>
      <c r="IJ1448"/>
      <c r="IK1448"/>
      <c r="IL1448"/>
      <c r="IM1448"/>
      <c r="IN1448"/>
      <c r="IO1448"/>
      <c r="IP1448"/>
      <c r="IQ1448"/>
      <c r="IR1448"/>
      <c r="IS1448"/>
      <c r="IT1448"/>
      <c r="IU1448"/>
      <c r="IV1448"/>
      <c r="IW1448"/>
      <c r="IX1448"/>
      <c r="IY1448"/>
      <c r="IZ1448"/>
      <c r="JA1448"/>
      <c r="JB1448"/>
      <c r="JC1448"/>
      <c r="JD1448"/>
      <c r="JE1448"/>
      <c r="JF1448"/>
      <c r="JG1448"/>
      <c r="JH1448"/>
      <c r="JI1448"/>
      <c r="JJ1448"/>
      <c r="JK1448"/>
      <c r="JL1448"/>
      <c r="JM1448"/>
      <c r="JN1448"/>
      <c r="JO1448"/>
      <c r="JP1448"/>
      <c r="JQ1448"/>
      <c r="JR1448"/>
      <c r="JS1448"/>
      <c r="JT1448"/>
      <c r="JU1448"/>
      <c r="JV1448"/>
      <c r="JW1448"/>
      <c r="JX1448"/>
      <c r="JY1448"/>
      <c r="JZ1448"/>
      <c r="KA1448"/>
      <c r="KB1448"/>
      <c r="KC1448"/>
      <c r="KD1448"/>
      <c r="KE1448"/>
      <c r="KF1448"/>
      <c r="KG1448"/>
      <c r="KH1448"/>
      <c r="KI1448"/>
      <c r="KJ1448"/>
      <c r="KK1448"/>
      <c r="KL1448"/>
      <c r="KM1448"/>
      <c r="KN1448"/>
      <c r="KO1448"/>
      <c r="KP1448"/>
      <c r="KQ1448"/>
      <c r="KR1448"/>
      <c r="KS1448"/>
      <c r="KT1448"/>
      <c r="KU1448"/>
      <c r="KV1448"/>
      <c r="KW1448"/>
      <c r="KX1448"/>
      <c r="KY1448"/>
      <c r="KZ1448"/>
      <c r="LA1448"/>
      <c r="LB1448"/>
      <c r="LC1448"/>
      <c r="LD1448"/>
      <c r="LE1448"/>
      <c r="LF1448"/>
      <c r="LG1448"/>
      <c r="LH1448"/>
      <c r="LI1448"/>
      <c r="LJ1448"/>
      <c r="LK1448"/>
      <c r="LL1448"/>
      <c r="LM1448"/>
      <c r="LN1448"/>
      <c r="LO1448"/>
      <c r="LP1448"/>
      <c r="LQ1448"/>
      <c r="LR1448"/>
      <c r="LS1448"/>
      <c r="LT1448"/>
      <c r="LU1448"/>
      <c r="LV1448"/>
      <c r="LW1448"/>
      <c r="LX1448"/>
      <c r="LY1448"/>
      <c r="LZ1448"/>
      <c r="MA1448"/>
      <c r="MB1448"/>
      <c r="MC1448"/>
      <c r="MD1448"/>
      <c r="ME1448"/>
      <c r="MF1448"/>
      <c r="MG1448"/>
      <c r="MH1448"/>
      <c r="MI1448"/>
      <c r="MJ1448"/>
      <c r="MK1448"/>
      <c r="ML1448"/>
      <c r="MM1448"/>
      <c r="MN1448"/>
      <c r="MO1448"/>
      <c r="MP1448"/>
      <c r="MQ1448"/>
      <c r="MR1448"/>
      <c r="MS1448"/>
      <c r="MT1448"/>
      <c r="MU1448"/>
      <c r="MV1448"/>
      <c r="MW1448"/>
      <c r="MX1448"/>
      <c r="MY1448"/>
      <c r="MZ1448"/>
      <c r="NA1448"/>
      <c r="NB1448"/>
      <c r="NC1448"/>
      <c r="ND1448"/>
      <c r="NE1448"/>
      <c r="NF1448"/>
      <c r="NG1448"/>
      <c r="NH1448"/>
      <c r="NI1448"/>
      <c r="NJ1448"/>
      <c r="NK1448"/>
      <c r="NL1448"/>
      <c r="NM1448"/>
      <c r="NN1448"/>
      <c r="NO1448"/>
      <c r="NP1448"/>
      <c r="NQ1448"/>
      <c r="NR1448"/>
      <c r="NS1448"/>
      <c r="NT1448"/>
      <c r="NU1448"/>
      <c r="NV1448"/>
      <c r="NW1448"/>
      <c r="NX1448"/>
      <c r="NY1448"/>
      <c r="NZ1448"/>
      <c r="OA1448"/>
      <c r="OB1448"/>
      <c r="OC1448"/>
      <c r="OD1448"/>
      <c r="OE1448"/>
      <c r="OF1448"/>
      <c r="OG1448"/>
      <c r="OH1448"/>
      <c r="OI1448"/>
      <c r="OJ1448"/>
      <c r="OK1448"/>
      <c r="OL1448"/>
      <c r="OM1448"/>
      <c r="ON1448"/>
      <c r="OO1448"/>
      <c r="OP1448"/>
      <c r="OQ1448"/>
      <c r="OR1448"/>
      <c r="OS1448"/>
      <c r="OT1448"/>
      <c r="OU1448"/>
      <c r="OV1448"/>
      <c r="OW1448"/>
      <c r="OX1448"/>
      <c r="OY1448"/>
      <c r="OZ1448"/>
      <c r="PA1448"/>
      <c r="PB1448"/>
      <c r="PC1448"/>
      <c r="PD1448"/>
      <c r="PE1448"/>
      <c r="PF1448"/>
      <c r="PG1448"/>
      <c r="PH1448"/>
      <c r="PI1448"/>
      <c r="PJ1448"/>
      <c r="PK1448"/>
      <c r="PL1448"/>
      <c r="PM1448"/>
      <c r="PN1448"/>
      <c r="PO1448"/>
      <c r="PP1448"/>
      <c r="PQ1448"/>
      <c r="PR1448"/>
      <c r="PS1448"/>
      <c r="PT1448"/>
      <c r="PU1448"/>
      <c r="PV1448"/>
      <c r="PW1448"/>
      <c r="PX1448"/>
      <c r="PY1448"/>
      <c r="PZ1448"/>
      <c r="QA1448"/>
      <c r="QB1448"/>
      <c r="QC1448"/>
      <c r="QD1448"/>
      <c r="QE1448"/>
      <c r="QF1448"/>
      <c r="QG1448"/>
      <c r="QH1448"/>
      <c r="QI1448"/>
      <c r="QJ1448"/>
      <c r="QK1448"/>
      <c r="QL1448"/>
      <c r="QM1448"/>
      <c r="QN1448"/>
      <c r="QO1448"/>
      <c r="QP1448"/>
      <c r="QQ1448"/>
      <c r="QR1448"/>
      <c r="QS1448"/>
      <c r="QT1448"/>
      <c r="QU1448"/>
      <c r="QV1448"/>
      <c r="QW1448"/>
      <c r="QX1448"/>
      <c r="QY1448"/>
      <c r="QZ1448"/>
      <c r="RA1448"/>
      <c r="RB1448"/>
      <c r="RC1448"/>
      <c r="RD1448"/>
      <c r="RE1448"/>
      <c r="RF1448"/>
      <c r="RG1448"/>
      <c r="RH1448"/>
      <c r="RI1448"/>
      <c r="RJ1448"/>
      <c r="RK1448"/>
      <c r="RL1448"/>
      <c r="RM1448"/>
      <c r="RN1448"/>
      <c r="RO1448"/>
      <c r="RP1448"/>
      <c r="RQ1448"/>
      <c r="RR1448"/>
      <c r="RS1448"/>
      <c r="RT1448"/>
      <c r="RU1448"/>
      <c r="RV1448"/>
      <c r="RW1448"/>
      <c r="RX1448"/>
      <c r="RY1448"/>
      <c r="RZ1448"/>
      <c r="SA1448"/>
      <c r="SB1448"/>
      <c r="SC1448"/>
      <c r="SD1448"/>
      <c r="SE1448"/>
      <c r="SF1448"/>
      <c r="SG1448"/>
      <c r="SH1448"/>
      <c r="SI1448"/>
      <c r="SJ1448"/>
      <c r="SK1448"/>
      <c r="SL1448"/>
      <c r="SM1448"/>
      <c r="SN1448"/>
      <c r="SO1448"/>
      <c r="SP1448"/>
      <c r="SQ1448"/>
      <c r="SR1448"/>
      <c r="SS1448"/>
      <c r="ST1448"/>
      <c r="SU1448"/>
      <c r="SV1448"/>
      <c r="SW1448"/>
      <c r="SX1448"/>
      <c r="SY1448"/>
      <c r="SZ1448"/>
      <c r="TA1448"/>
      <c r="TB1448"/>
      <c r="TC1448"/>
      <c r="TD1448"/>
      <c r="TE1448"/>
      <c r="TF1448"/>
      <c r="TG1448"/>
      <c r="TH1448"/>
      <c r="TI1448"/>
      <c r="TJ1448"/>
      <c r="TK1448"/>
      <c r="TL1448"/>
      <c r="TM1448"/>
      <c r="TN1448"/>
      <c r="TO1448"/>
      <c r="TP1448"/>
      <c r="TQ1448"/>
      <c r="TR1448"/>
      <c r="TS1448"/>
      <c r="TT1448"/>
      <c r="TU1448"/>
      <c r="TV1448"/>
      <c r="TW1448"/>
      <c r="TX1448"/>
      <c r="TY1448"/>
      <c r="TZ1448"/>
      <c r="UA1448"/>
      <c r="UB1448"/>
      <c r="UC1448"/>
      <c r="UD1448"/>
      <c r="UE1448"/>
      <c r="UF1448"/>
      <c r="UG1448"/>
      <c r="UH1448"/>
      <c r="UI1448"/>
      <c r="UJ1448"/>
      <c r="UK1448"/>
      <c r="UL1448"/>
      <c r="UM1448"/>
      <c r="UN1448"/>
      <c r="UO1448"/>
      <c r="UP1448"/>
      <c r="UQ1448"/>
      <c r="UR1448"/>
      <c r="US1448"/>
      <c r="UT1448"/>
      <c r="UU1448"/>
      <c r="UV1448"/>
      <c r="UW1448"/>
      <c r="UX1448"/>
      <c r="UY1448"/>
      <c r="UZ1448"/>
      <c r="VA1448"/>
      <c r="VB1448"/>
      <c r="VC1448"/>
      <c r="VD1448"/>
      <c r="VE1448"/>
      <c r="VF1448"/>
      <c r="VG1448"/>
      <c r="VH1448"/>
      <c r="VI1448"/>
      <c r="VJ1448"/>
      <c r="VK1448"/>
      <c r="VL1448"/>
      <c r="VM1448"/>
      <c r="VN1448"/>
      <c r="VO1448"/>
      <c r="VP1448"/>
      <c r="VQ1448"/>
      <c r="VR1448"/>
      <c r="VS1448"/>
      <c r="VT1448"/>
      <c r="VU1448"/>
      <c r="VV1448"/>
      <c r="VW1448"/>
      <c r="VX1448"/>
      <c r="VY1448"/>
      <c r="VZ1448"/>
      <c r="WA1448"/>
      <c r="WB1448"/>
      <c r="WC1448"/>
      <c r="WD1448"/>
      <c r="WE1448"/>
      <c r="WF1448"/>
      <c r="WG1448"/>
      <c r="WH1448"/>
      <c r="WI1448"/>
      <c r="WJ1448"/>
      <c r="WK1448"/>
      <c r="WL1448"/>
      <c r="WM1448"/>
      <c r="WN1448"/>
      <c r="WO1448"/>
      <c r="WP1448"/>
      <c r="WQ1448"/>
      <c r="WR1448"/>
      <c r="WS1448"/>
      <c r="WT1448"/>
      <c r="WU1448"/>
      <c r="WV1448"/>
      <c r="WW1448"/>
      <c r="WX1448"/>
      <c r="WY1448"/>
      <c r="WZ1448"/>
      <c r="XA1448"/>
      <c r="XB1448"/>
      <c r="XC1448"/>
      <c r="XD1448"/>
      <c r="XE1448"/>
      <c r="XF1448"/>
      <c r="XG1448"/>
      <c r="XH1448"/>
      <c r="XI1448"/>
      <c r="XJ1448"/>
      <c r="XK1448"/>
      <c r="XL1448"/>
      <c r="XM1448"/>
      <c r="XN1448"/>
      <c r="XO1448"/>
      <c r="XP1448"/>
      <c r="XQ1448"/>
      <c r="XR1448"/>
      <c r="XS1448"/>
      <c r="XT1448"/>
      <c r="XU1448"/>
      <c r="XV1448"/>
      <c r="XW1448"/>
      <c r="XX1448"/>
      <c r="XY1448"/>
      <c r="XZ1448"/>
      <c r="YA1448"/>
      <c r="YB1448"/>
      <c r="YC1448"/>
      <c r="YD1448"/>
      <c r="YE1448"/>
      <c r="YF1448"/>
      <c r="YG1448"/>
      <c r="YH1448"/>
      <c r="YI1448"/>
      <c r="YJ1448"/>
      <c r="YK1448"/>
      <c r="YL1448"/>
      <c r="YM1448"/>
      <c r="YN1448"/>
      <c r="YO1448"/>
      <c r="YP1448"/>
      <c r="YQ1448"/>
      <c r="YR1448"/>
      <c r="YS1448"/>
      <c r="YT1448"/>
      <c r="YU1448"/>
      <c r="YV1448"/>
      <c r="YW1448"/>
      <c r="YX1448"/>
      <c r="YY1448"/>
      <c r="YZ1448"/>
      <c r="ZA1448"/>
      <c r="ZB1448"/>
      <c r="ZC1448"/>
      <c r="ZD1448"/>
      <c r="ZE1448"/>
      <c r="ZF1448"/>
      <c r="ZG1448"/>
      <c r="ZH1448"/>
      <c r="ZI1448"/>
      <c r="ZJ1448"/>
      <c r="ZK1448"/>
      <c r="ZL1448"/>
      <c r="ZM1448"/>
      <c r="ZN1448"/>
      <c r="ZO1448"/>
      <c r="ZP1448"/>
      <c r="ZQ1448"/>
      <c r="ZR1448"/>
      <c r="ZS1448"/>
      <c r="ZT1448"/>
      <c r="ZU1448"/>
      <c r="ZV1448"/>
      <c r="ZW1448"/>
      <c r="ZX1448"/>
      <c r="ZY1448"/>
      <c r="ZZ1448"/>
      <c r="AAA1448"/>
      <c r="AAB1448"/>
      <c r="AAC1448"/>
      <c r="AAD1448"/>
      <c r="AAE1448"/>
      <c r="AAF1448"/>
      <c r="AAG1448"/>
      <c r="AAH1448"/>
      <c r="AAI1448"/>
      <c r="AAJ1448"/>
      <c r="AAK1448"/>
      <c r="AAL1448"/>
      <c r="AAM1448"/>
      <c r="AAN1448"/>
      <c r="AAO1448"/>
      <c r="AAP1448"/>
      <c r="AAQ1448"/>
      <c r="AAR1448"/>
      <c r="AAS1448"/>
      <c r="AAT1448"/>
      <c r="AAU1448"/>
      <c r="AAV1448"/>
      <c r="AAW1448"/>
      <c r="AAX1448"/>
      <c r="AAY1448"/>
      <c r="AAZ1448"/>
      <c r="ABA1448"/>
      <c r="ABB1448"/>
      <c r="ABC1448"/>
      <c r="ABD1448"/>
      <c r="ABE1448"/>
      <c r="ABF1448"/>
      <c r="ABG1448"/>
      <c r="ABH1448"/>
      <c r="ABI1448"/>
      <c r="ABJ1448"/>
      <c r="ABK1448"/>
      <c r="ABL1448"/>
      <c r="ABM1448"/>
      <c r="ABN1448"/>
      <c r="ABO1448"/>
      <c r="ABP1448"/>
      <c r="ABQ1448"/>
      <c r="ABR1448"/>
      <c r="ABS1448"/>
      <c r="ABT1448"/>
      <c r="ABU1448"/>
      <c r="ABV1448"/>
      <c r="ABW1448"/>
      <c r="ABX1448"/>
      <c r="ABY1448"/>
      <c r="ABZ1448"/>
      <c r="ACA1448"/>
      <c r="ACB1448"/>
      <c r="ACC1448"/>
      <c r="ACD1448"/>
      <c r="ACE1448"/>
      <c r="ACF1448"/>
      <c r="ACG1448"/>
      <c r="ACH1448"/>
      <c r="ACI1448"/>
      <c r="ACJ1448"/>
      <c r="ACK1448"/>
      <c r="ACL1448"/>
      <c r="ACM1448"/>
      <c r="ACN1448"/>
      <c r="ACO1448"/>
      <c r="ACP1448"/>
      <c r="ACQ1448"/>
      <c r="ACR1448"/>
      <c r="ACS1448"/>
      <c r="ACT1448"/>
      <c r="ACU1448"/>
      <c r="ACV1448"/>
      <c r="ACW1448"/>
      <c r="ACX1448"/>
      <c r="ACY1448"/>
      <c r="ACZ1448"/>
      <c r="ADA1448"/>
      <c r="ADB1448"/>
      <c r="ADC1448"/>
      <c r="ADD1448"/>
      <c r="ADE1448"/>
      <c r="ADF1448"/>
      <c r="ADG1448"/>
      <c r="ADH1448"/>
      <c r="ADI1448"/>
      <c r="ADJ1448"/>
      <c r="ADK1448"/>
      <c r="ADL1448"/>
      <c r="ADM1448"/>
      <c r="ADN1448"/>
      <c r="ADO1448"/>
      <c r="ADP1448"/>
      <c r="ADQ1448"/>
      <c r="ADR1448"/>
      <c r="ADS1448"/>
      <c r="ADT1448"/>
      <c r="ADU1448"/>
      <c r="ADV1448"/>
      <c r="ADW1448"/>
      <c r="ADX1448"/>
      <c r="ADY1448"/>
      <c r="ADZ1448"/>
      <c r="AEA1448"/>
      <c r="AEB1448"/>
      <c r="AEC1448"/>
      <c r="AED1448"/>
      <c r="AEE1448"/>
      <c r="AEF1448"/>
      <c r="AEG1448"/>
      <c r="AEH1448"/>
      <c r="AEI1448"/>
      <c r="AEJ1448"/>
      <c r="AEK1448"/>
      <c r="AEL1448"/>
      <c r="AEM1448"/>
      <c r="AEN1448"/>
      <c r="AEO1448"/>
      <c r="AEP1448"/>
      <c r="AEQ1448"/>
      <c r="AER1448"/>
      <c r="AES1448"/>
      <c r="AET1448"/>
      <c r="AEU1448"/>
      <c r="AEV1448"/>
      <c r="AEW1448"/>
      <c r="AEX1448"/>
      <c r="AEY1448"/>
      <c r="AEZ1448"/>
      <c r="AFA1448"/>
      <c r="AFB1448"/>
      <c r="AFC1448"/>
      <c r="AFD1448"/>
      <c r="AFE1448"/>
      <c r="AFF1448"/>
      <c r="AFG1448"/>
      <c r="AFH1448"/>
      <c r="AFI1448"/>
      <c r="AFJ1448"/>
      <c r="AFK1448"/>
      <c r="AFL1448"/>
      <c r="AFM1448"/>
      <c r="AFN1448"/>
      <c r="AFO1448"/>
      <c r="AFP1448"/>
      <c r="AFQ1448"/>
      <c r="AFR1448"/>
      <c r="AFS1448"/>
      <c r="AFT1448"/>
      <c r="AFU1448"/>
      <c r="AFV1448"/>
      <c r="AFW1448"/>
      <c r="AFX1448"/>
      <c r="AFY1448"/>
      <c r="AFZ1448"/>
      <c r="AGA1448"/>
      <c r="AGB1448"/>
      <c r="AGC1448"/>
      <c r="AGD1448"/>
      <c r="AGE1448"/>
      <c r="AGF1448"/>
      <c r="AGG1448"/>
      <c r="AGH1448"/>
      <c r="AGI1448"/>
      <c r="AGJ1448"/>
      <c r="AGK1448"/>
      <c r="AGL1448"/>
      <c r="AGM1448"/>
      <c r="AGN1448"/>
      <c r="AGO1448"/>
      <c r="AGP1448"/>
      <c r="AGQ1448"/>
      <c r="AGR1448"/>
      <c r="AGS1448"/>
      <c r="AGT1448"/>
      <c r="AGU1448"/>
      <c r="AGV1448"/>
      <c r="AGW1448"/>
      <c r="AGX1448"/>
      <c r="AGY1448"/>
      <c r="AGZ1448"/>
      <c r="AHA1448"/>
      <c r="AHB1448"/>
      <c r="AHC1448"/>
      <c r="AHD1448"/>
      <c r="AHE1448"/>
      <c r="AHF1448"/>
      <c r="AHG1448"/>
      <c r="AHH1448"/>
      <c r="AHI1448"/>
      <c r="AHJ1448"/>
      <c r="AHK1448"/>
      <c r="AHL1448"/>
      <c r="AHM1448"/>
      <c r="AHN1448"/>
      <c r="AHO1448"/>
      <c r="AHP1448"/>
      <c r="AHQ1448"/>
      <c r="AHR1448"/>
      <c r="AHS1448"/>
      <c r="AHT1448"/>
      <c r="AHU1448"/>
      <c r="AHV1448"/>
      <c r="AHW1448"/>
      <c r="AHX1448"/>
      <c r="AHY1448"/>
      <c r="AHZ1448"/>
      <c r="AIA1448"/>
      <c r="AIB1448"/>
      <c r="AIC1448"/>
      <c r="AID1448"/>
      <c r="AIE1448"/>
      <c r="AIF1448"/>
      <c r="AIG1448"/>
      <c r="AIH1448"/>
      <c r="AII1448"/>
      <c r="AIJ1448"/>
      <c r="AIK1448"/>
      <c r="AIL1448"/>
      <c r="AIM1448"/>
      <c r="AIN1448"/>
      <c r="AIO1448"/>
      <c r="AIP1448"/>
      <c r="AIQ1448"/>
      <c r="AIR1448"/>
      <c r="AIS1448"/>
      <c r="AIT1448"/>
      <c r="AIU1448"/>
      <c r="AIV1448"/>
      <c r="AIW1448"/>
      <c r="AIX1448"/>
      <c r="AIY1448"/>
      <c r="AIZ1448"/>
      <c r="AJA1448"/>
      <c r="AJB1448"/>
      <c r="AJC1448"/>
      <c r="AJD1448"/>
      <c r="AJE1448"/>
      <c r="AJF1448"/>
      <c r="AJG1448"/>
      <c r="AJH1448"/>
      <c r="AJI1448"/>
      <c r="AJJ1448"/>
      <c r="AJK1448"/>
      <c r="AJL1448"/>
      <c r="AJM1448"/>
      <c r="AJN1448"/>
      <c r="AJO1448"/>
      <c r="AJP1448"/>
      <c r="AJQ1448"/>
      <c r="AJR1448"/>
      <c r="AJS1448"/>
      <c r="AJT1448"/>
      <c r="AJU1448"/>
      <c r="AJV1448"/>
      <c r="AJW1448"/>
      <c r="AJX1448"/>
      <c r="AJY1448"/>
      <c r="AJZ1448"/>
      <c r="AKA1448"/>
      <c r="AKB1448"/>
      <c r="AKC1448"/>
      <c r="AKD1448"/>
      <c r="AKE1448"/>
      <c r="AKF1448"/>
      <c r="AKG1448"/>
      <c r="AKH1448"/>
      <c r="AKI1448"/>
      <c r="AKJ1448"/>
      <c r="AKK1448"/>
      <c r="AKL1448"/>
      <c r="AKM1448"/>
      <c r="AKN1448"/>
      <c r="AKO1448"/>
      <c r="AKP1448"/>
      <c r="AKQ1448"/>
      <c r="AKR1448"/>
      <c r="AKS1448"/>
      <c r="AKT1448"/>
      <c r="AKU1448"/>
      <c r="AKV1448"/>
      <c r="AKW1448"/>
      <c r="AKX1448"/>
      <c r="AKY1448"/>
      <c r="AKZ1448"/>
      <c r="ALA1448"/>
      <c r="ALB1448"/>
      <c r="ALC1448"/>
      <c r="ALD1448"/>
      <c r="ALE1448"/>
      <c r="ALF1448"/>
      <c r="ALG1448"/>
      <c r="ALH1448"/>
      <c r="ALI1448"/>
      <c r="ALJ1448"/>
      <c r="ALK1448"/>
      <c r="ALL1448"/>
      <c r="ALM1448"/>
      <c r="ALN1448"/>
      <c r="ALO1448"/>
      <c r="ALP1448"/>
      <c r="ALQ1448"/>
      <c r="ALR1448"/>
      <c r="ALS1448"/>
      <c r="ALT1448"/>
      <c r="ALU1448"/>
      <c r="ALV1448"/>
      <c r="ALW1448"/>
      <c r="ALX1448"/>
      <c r="ALY1448"/>
      <c r="ALZ1448"/>
      <c r="AMA1448"/>
      <c r="AMB1448"/>
      <c r="AMC1448"/>
      <c r="AMD1448"/>
      <c r="AME1448"/>
      <c r="AMF1448"/>
      <c r="AMG1448"/>
      <c r="AMH1448"/>
      <c r="AMI1448"/>
      <c r="AMJ1448"/>
      <c r="AMK1448"/>
      <c r="AML1448"/>
      <c r="AMM1448"/>
      <c r="AMN1448"/>
      <c r="AMO1448"/>
      <c r="AMP1448"/>
      <c r="AMQ1448"/>
      <c r="AMR1448"/>
      <c r="AMS1448"/>
      <c r="AMT1448"/>
      <c r="AMU1448"/>
      <c r="AMV1448"/>
      <c r="AMW1448"/>
      <c r="AMX1448"/>
      <c r="AMY1448"/>
      <c r="AMZ1448"/>
      <c r="ANA1448"/>
      <c r="ANB1448"/>
      <c r="ANC1448"/>
      <c r="AND1448"/>
      <c r="ANE1448"/>
      <c r="ANF1448"/>
      <c r="ANG1448"/>
      <c r="ANH1448"/>
      <c r="ANI1448"/>
      <c r="ANJ1448"/>
      <c r="ANK1448"/>
      <c r="ANL1448"/>
      <c r="ANM1448"/>
      <c r="ANN1448"/>
      <c r="ANO1448"/>
      <c r="ANP1448"/>
      <c r="ANQ1448"/>
      <c r="ANR1448"/>
      <c r="ANS1448"/>
      <c r="ANT1448"/>
      <c r="ANU1448"/>
      <c r="ANV1448"/>
      <c r="ANW1448"/>
      <c r="ANX1448"/>
      <c r="ANY1448"/>
      <c r="ANZ1448"/>
      <c r="AOA1448"/>
      <c r="AOB1448"/>
      <c r="AOC1448"/>
      <c r="AOD1448"/>
      <c r="AOE1448"/>
      <c r="AOF1448"/>
      <c r="AOG1448"/>
      <c r="AOH1448"/>
      <c r="AOI1448"/>
      <c r="AOJ1448"/>
      <c r="AOK1448"/>
      <c r="AOL1448"/>
      <c r="AOM1448"/>
      <c r="AON1448"/>
      <c r="AOO1448"/>
      <c r="AOP1448"/>
      <c r="AOQ1448"/>
      <c r="AOR1448"/>
      <c r="AOS1448"/>
      <c r="AOT1448"/>
      <c r="AOU1448"/>
      <c r="AOV1448"/>
      <c r="AOW1448"/>
      <c r="AOX1448"/>
      <c r="AOY1448"/>
      <c r="AOZ1448"/>
      <c r="APA1448"/>
      <c r="APB1448"/>
      <c r="APC1448"/>
      <c r="APD1448"/>
      <c r="APE1448"/>
      <c r="APF1448"/>
      <c r="APG1448"/>
      <c r="APH1448"/>
      <c r="API1448"/>
      <c r="APJ1448"/>
      <c r="APK1448"/>
      <c r="APL1448"/>
      <c r="APM1448"/>
      <c r="APN1448"/>
      <c r="APO1448"/>
      <c r="APP1448"/>
      <c r="APQ1448"/>
      <c r="APR1448"/>
      <c r="APS1448"/>
      <c r="APT1448"/>
      <c r="APU1448"/>
      <c r="APV1448"/>
      <c r="APW1448"/>
      <c r="APX1448"/>
      <c r="APY1448"/>
      <c r="APZ1448"/>
      <c r="AQA1448"/>
      <c r="AQB1448"/>
      <c r="AQC1448"/>
      <c r="AQD1448"/>
      <c r="AQE1448"/>
      <c r="AQF1448"/>
      <c r="AQG1448"/>
      <c r="AQH1448"/>
      <c r="AQI1448"/>
      <c r="AQJ1448"/>
      <c r="AQK1448"/>
      <c r="AQL1448"/>
      <c r="AQM1448"/>
      <c r="AQN1448"/>
      <c r="AQO1448"/>
      <c r="AQP1448"/>
      <c r="AQQ1448"/>
      <c r="AQR1448"/>
      <c r="AQS1448"/>
      <c r="AQT1448"/>
      <c r="AQU1448"/>
      <c r="AQV1448"/>
      <c r="AQW1448"/>
      <c r="AQX1448"/>
      <c r="AQY1448"/>
      <c r="AQZ1448"/>
      <c r="ARA1448"/>
      <c r="ARB1448"/>
      <c r="ARC1448"/>
      <c r="ARD1448"/>
      <c r="ARE1448"/>
      <c r="ARF1448"/>
      <c r="ARG1448"/>
      <c r="ARH1448"/>
      <c r="ARI1448"/>
      <c r="ARJ1448"/>
      <c r="ARK1448"/>
      <c r="ARL1448"/>
      <c r="ARM1448"/>
      <c r="ARN1448"/>
      <c r="ARO1448"/>
      <c r="ARP1448"/>
      <c r="ARQ1448"/>
      <c r="ARR1448"/>
      <c r="ARS1448"/>
      <c r="ART1448"/>
      <c r="ARU1448"/>
      <c r="ARV1448"/>
      <c r="ARW1448"/>
      <c r="ARX1448"/>
      <c r="ARY1448"/>
      <c r="ARZ1448"/>
      <c r="ASA1448"/>
      <c r="ASB1448"/>
      <c r="ASC1448"/>
      <c r="ASD1448"/>
      <c r="ASE1448"/>
      <c r="ASF1448"/>
      <c r="ASG1448"/>
      <c r="ASH1448"/>
      <c r="ASI1448"/>
      <c r="ASJ1448"/>
      <c r="ASK1448"/>
      <c r="ASL1448"/>
      <c r="ASM1448"/>
      <c r="ASN1448"/>
      <c r="ASO1448"/>
      <c r="ASP1448"/>
      <c r="ASQ1448"/>
      <c r="ASR1448"/>
      <c r="ASS1448"/>
      <c r="AST1448"/>
      <c r="ASU1448"/>
      <c r="ASV1448"/>
      <c r="ASW1448"/>
      <c r="ASX1448"/>
      <c r="ASY1448"/>
      <c r="ASZ1448"/>
      <c r="ATA1448"/>
      <c r="ATB1448"/>
      <c r="ATC1448"/>
      <c r="ATD1448"/>
      <c r="ATE1448"/>
      <c r="ATF1448"/>
      <c r="ATG1448"/>
      <c r="ATH1448"/>
      <c r="ATI1448"/>
      <c r="ATJ1448"/>
      <c r="ATK1448"/>
      <c r="ATL1448"/>
      <c r="ATM1448"/>
      <c r="ATN1448"/>
      <c r="ATO1448"/>
      <c r="ATP1448"/>
      <c r="ATQ1448"/>
      <c r="ATR1448"/>
      <c r="ATS1448"/>
      <c r="ATT1448"/>
      <c r="ATU1448"/>
      <c r="ATV1448"/>
      <c r="ATW1448"/>
      <c r="ATX1448"/>
      <c r="ATY1448"/>
      <c r="ATZ1448"/>
      <c r="AUA1448"/>
      <c r="AUB1448"/>
      <c r="AUC1448"/>
      <c r="AUD1448"/>
      <c r="AUE1448"/>
      <c r="AUF1448"/>
      <c r="AUG1448"/>
      <c r="AUH1448"/>
      <c r="AUI1448"/>
      <c r="AUJ1448"/>
      <c r="AUK1448"/>
      <c r="AUL1448"/>
      <c r="AUM1448"/>
      <c r="AUN1448"/>
      <c r="AUO1448"/>
      <c r="AUP1448"/>
      <c r="AUQ1448"/>
      <c r="AUR1448"/>
      <c r="AUS1448"/>
      <c r="AUT1448"/>
      <c r="AUU1448"/>
      <c r="AUV1448"/>
      <c r="AUW1448"/>
      <c r="AUX1448"/>
      <c r="AUY1448"/>
      <c r="AUZ1448"/>
      <c r="AVA1448"/>
      <c r="AVB1448"/>
      <c r="AVC1448"/>
      <c r="AVD1448"/>
      <c r="AVE1448"/>
      <c r="AVF1448"/>
      <c r="AVG1448"/>
      <c r="AVH1448"/>
      <c r="AVI1448"/>
      <c r="AVJ1448"/>
      <c r="AVK1448"/>
      <c r="AVL1448"/>
      <c r="AVM1448"/>
      <c r="AVN1448"/>
      <c r="AVO1448"/>
      <c r="AVP1448"/>
      <c r="AVQ1448"/>
      <c r="AVR1448"/>
      <c r="AVS1448"/>
      <c r="AVT1448"/>
      <c r="AVU1448"/>
      <c r="AVV1448"/>
      <c r="AVW1448"/>
      <c r="AVX1448"/>
      <c r="AVY1448"/>
      <c r="AVZ1448"/>
      <c r="AWA1448"/>
      <c r="AWB1448"/>
      <c r="AWC1448"/>
      <c r="AWD1448"/>
      <c r="AWE1448"/>
      <c r="AWF1448"/>
      <c r="AWG1448"/>
      <c r="AWH1448"/>
      <c r="AWI1448"/>
      <c r="AWJ1448"/>
      <c r="AWK1448"/>
      <c r="AWL1448"/>
      <c r="AWM1448"/>
      <c r="AWN1448"/>
      <c r="AWO1448"/>
      <c r="AWP1448"/>
      <c r="AWQ1448"/>
      <c r="AWR1448"/>
      <c r="AWS1448"/>
      <c r="AWT1448"/>
      <c r="AWU1448"/>
      <c r="AWV1448"/>
      <c r="AWW1448"/>
      <c r="AWX1448"/>
      <c r="AWY1448"/>
      <c r="AWZ1448"/>
      <c r="AXA1448"/>
      <c r="AXB1448"/>
      <c r="AXC1448"/>
      <c r="AXD1448"/>
      <c r="AXE1448"/>
      <c r="AXF1448"/>
      <c r="AXG1448"/>
      <c r="AXH1448"/>
      <c r="AXI1448"/>
      <c r="AXJ1448"/>
      <c r="AXK1448"/>
      <c r="AXL1448"/>
      <c r="AXM1448"/>
      <c r="AXN1448"/>
      <c r="AXO1448"/>
      <c r="AXP1448"/>
      <c r="AXQ1448"/>
      <c r="AXR1448"/>
      <c r="AXS1448"/>
      <c r="AXT1448"/>
      <c r="AXU1448"/>
      <c r="AXV1448"/>
      <c r="AXW1448"/>
      <c r="AXX1448"/>
      <c r="AXY1448"/>
      <c r="AXZ1448"/>
      <c r="AYA1448"/>
      <c r="AYB1448"/>
      <c r="AYC1448"/>
      <c r="AYD1448"/>
      <c r="AYE1448"/>
      <c r="AYF1448"/>
      <c r="AYG1448"/>
      <c r="AYH1448"/>
      <c r="AYI1448"/>
      <c r="AYJ1448"/>
      <c r="AYK1448"/>
      <c r="AYL1448"/>
      <c r="AYM1448"/>
      <c r="AYN1448"/>
      <c r="AYO1448"/>
      <c r="AYP1448"/>
      <c r="AYQ1448"/>
      <c r="AYR1448"/>
      <c r="AYS1448"/>
      <c r="AYT1448"/>
      <c r="AYU1448"/>
      <c r="AYV1448"/>
      <c r="AYW1448"/>
      <c r="AYX1448"/>
      <c r="AYY1448"/>
      <c r="AYZ1448"/>
      <c r="AZA1448"/>
      <c r="AZB1448"/>
      <c r="AZC1448"/>
      <c r="AZD1448"/>
      <c r="AZE1448"/>
      <c r="AZF1448"/>
      <c r="AZG1448"/>
      <c r="AZH1448"/>
      <c r="AZI1448"/>
      <c r="AZJ1448"/>
      <c r="AZK1448"/>
      <c r="AZL1448"/>
      <c r="AZM1448"/>
      <c r="AZN1448"/>
      <c r="AZO1448"/>
      <c r="AZP1448"/>
      <c r="AZQ1448"/>
      <c r="AZR1448"/>
      <c r="AZS1448"/>
      <c r="AZT1448"/>
      <c r="AZU1448"/>
      <c r="AZV1448"/>
      <c r="AZW1448"/>
      <c r="AZX1448"/>
      <c r="AZY1448"/>
      <c r="AZZ1448"/>
      <c r="BAA1448"/>
      <c r="BAB1448"/>
      <c r="BAC1448"/>
      <c r="BAD1448"/>
      <c r="BAE1448"/>
      <c r="BAF1448"/>
      <c r="BAG1448"/>
      <c r="BAH1448"/>
      <c r="BAI1448"/>
      <c r="BAJ1448"/>
      <c r="BAK1448"/>
      <c r="BAL1448"/>
      <c r="BAM1448"/>
      <c r="BAN1448"/>
      <c r="BAO1448"/>
      <c r="BAP1448"/>
      <c r="BAQ1448"/>
      <c r="BAR1448"/>
      <c r="BAS1448"/>
      <c r="BAT1448"/>
      <c r="BAU1448"/>
      <c r="BAV1448"/>
      <c r="BAW1448"/>
      <c r="BAX1448"/>
      <c r="BAY1448"/>
      <c r="BAZ1448"/>
      <c r="BBA1448"/>
      <c r="BBB1448"/>
      <c r="BBC1448"/>
      <c r="BBD1448"/>
      <c r="BBE1448"/>
      <c r="BBF1448"/>
      <c r="BBG1448"/>
      <c r="BBH1448"/>
      <c r="BBI1448"/>
      <c r="BBJ1448"/>
      <c r="BBK1448"/>
      <c r="BBL1448"/>
      <c r="BBM1448"/>
      <c r="BBN1448"/>
      <c r="BBO1448"/>
      <c r="BBP1448"/>
      <c r="BBQ1448"/>
      <c r="BBR1448"/>
      <c r="BBS1448"/>
      <c r="BBT1448"/>
      <c r="BBU1448"/>
      <c r="BBV1448"/>
      <c r="BBW1448"/>
      <c r="BBX1448"/>
      <c r="BBY1448"/>
      <c r="BBZ1448"/>
      <c r="BCA1448"/>
      <c r="BCB1448"/>
      <c r="BCC1448"/>
      <c r="BCD1448"/>
      <c r="BCE1448"/>
      <c r="BCF1448"/>
      <c r="BCG1448"/>
      <c r="BCH1448"/>
      <c r="BCI1448"/>
      <c r="BCJ1448"/>
      <c r="BCK1448"/>
      <c r="BCL1448"/>
      <c r="BCM1448"/>
      <c r="BCN1448"/>
      <c r="BCO1448"/>
      <c r="BCP1448"/>
      <c r="BCQ1448"/>
      <c r="BCR1448"/>
      <c r="BCS1448"/>
      <c r="BCT1448"/>
      <c r="BCU1448"/>
      <c r="BCV1448"/>
      <c r="BCW1448"/>
      <c r="BCX1448"/>
      <c r="BCY1448"/>
      <c r="BCZ1448"/>
      <c r="BDA1448"/>
      <c r="BDB1448"/>
      <c r="BDC1448"/>
      <c r="BDD1448"/>
      <c r="BDE1448"/>
      <c r="BDF1448"/>
      <c r="BDG1448"/>
      <c r="BDH1448"/>
      <c r="BDI1448"/>
      <c r="BDJ1448"/>
      <c r="BDK1448"/>
      <c r="BDL1448"/>
      <c r="BDM1448"/>
      <c r="BDN1448"/>
      <c r="BDO1448"/>
      <c r="BDP1448"/>
      <c r="BDQ1448"/>
      <c r="BDR1448"/>
      <c r="BDS1448"/>
      <c r="BDT1448"/>
      <c r="BDU1448"/>
      <c r="BDV1448"/>
      <c r="BDW1448"/>
      <c r="BDX1448"/>
      <c r="BDY1448"/>
      <c r="BDZ1448"/>
      <c r="BEA1448"/>
      <c r="BEB1448"/>
      <c r="BEC1448"/>
      <c r="BED1448"/>
      <c r="BEE1448"/>
      <c r="BEF1448"/>
      <c r="BEG1448"/>
      <c r="BEH1448"/>
      <c r="BEI1448"/>
      <c r="BEJ1448"/>
      <c r="BEK1448"/>
      <c r="BEL1448"/>
      <c r="BEM1448"/>
      <c r="BEN1448"/>
      <c r="BEO1448"/>
      <c r="BEP1448"/>
      <c r="BEQ1448"/>
      <c r="BER1448"/>
      <c r="BES1448"/>
      <c r="BET1448"/>
      <c r="BEU1448"/>
      <c r="BEV1448"/>
      <c r="BEW1448"/>
      <c r="BEX1448"/>
      <c r="BEY1448"/>
      <c r="BEZ1448"/>
      <c r="BFA1448"/>
      <c r="BFB1448"/>
      <c r="BFC1448"/>
      <c r="BFD1448"/>
      <c r="BFE1448"/>
      <c r="BFF1448"/>
      <c r="BFG1448"/>
      <c r="BFH1448"/>
      <c r="BFI1448"/>
      <c r="BFJ1448"/>
      <c r="BFK1448"/>
      <c r="BFL1448"/>
      <c r="BFM1448"/>
      <c r="BFN1448"/>
      <c r="BFO1448"/>
      <c r="BFP1448"/>
      <c r="BFQ1448"/>
      <c r="BFR1448"/>
      <c r="BFS1448"/>
      <c r="BFT1448"/>
      <c r="BFU1448"/>
      <c r="BFV1448"/>
      <c r="BFW1448"/>
      <c r="BFX1448"/>
      <c r="BFY1448"/>
      <c r="BFZ1448"/>
      <c r="BGA1448"/>
      <c r="BGB1448"/>
      <c r="BGC1448"/>
      <c r="BGD1448"/>
      <c r="BGE1448"/>
      <c r="BGF1448"/>
      <c r="BGG1448"/>
      <c r="BGH1448"/>
      <c r="BGI1448"/>
      <c r="BGJ1448"/>
      <c r="BGK1448"/>
      <c r="BGL1448"/>
      <c r="BGM1448"/>
      <c r="BGN1448"/>
      <c r="BGO1448"/>
      <c r="BGP1448"/>
      <c r="BGQ1448"/>
      <c r="BGR1448"/>
      <c r="BGS1448"/>
      <c r="BGT1448"/>
      <c r="BGU1448"/>
      <c r="BGV1448"/>
      <c r="BGW1448"/>
      <c r="BGX1448"/>
      <c r="BGY1448"/>
      <c r="BGZ1448"/>
      <c r="BHA1448"/>
      <c r="BHB1448"/>
      <c r="BHC1448"/>
      <c r="BHD1448"/>
      <c r="BHE1448"/>
      <c r="BHF1448"/>
      <c r="BHG1448"/>
      <c r="BHH1448"/>
      <c r="BHI1448"/>
      <c r="BHJ1448"/>
      <c r="BHK1448"/>
      <c r="BHL1448"/>
      <c r="BHM1448"/>
      <c r="BHN1448"/>
      <c r="BHO1448"/>
      <c r="BHP1448"/>
      <c r="BHQ1448"/>
      <c r="BHR1448"/>
      <c r="BHS1448"/>
      <c r="BHT1448"/>
      <c r="BHU1448"/>
      <c r="BHV1448"/>
      <c r="BHW1448"/>
      <c r="BHX1448"/>
      <c r="BHY1448"/>
      <c r="BHZ1448"/>
      <c r="BIA1448"/>
      <c r="BIB1448"/>
      <c r="BIC1448"/>
      <c r="BID1448"/>
      <c r="BIE1448"/>
      <c r="BIF1448"/>
      <c r="BIG1448"/>
      <c r="BIH1448"/>
      <c r="BII1448"/>
      <c r="BIJ1448"/>
      <c r="BIK1448"/>
      <c r="BIL1448"/>
      <c r="BIM1448"/>
      <c r="BIN1448"/>
      <c r="BIO1448"/>
      <c r="BIP1448"/>
      <c r="BIQ1448"/>
      <c r="BIR1448"/>
      <c r="BIS1448"/>
      <c r="BIT1448"/>
      <c r="BIU1448"/>
      <c r="BIV1448"/>
      <c r="BIW1448"/>
      <c r="BIX1448"/>
      <c r="BIY1448"/>
      <c r="BIZ1448"/>
      <c r="BJA1448"/>
      <c r="BJB1448"/>
      <c r="BJC1448"/>
      <c r="BJD1448"/>
      <c r="BJE1448"/>
      <c r="BJF1448"/>
      <c r="BJG1448"/>
      <c r="BJH1448"/>
      <c r="BJI1448"/>
      <c r="BJJ1448"/>
      <c r="BJK1448"/>
      <c r="BJL1448"/>
      <c r="BJM1448"/>
      <c r="BJN1448"/>
      <c r="BJO1448"/>
      <c r="BJP1448"/>
      <c r="BJQ1448"/>
      <c r="BJR1448"/>
      <c r="BJS1448"/>
      <c r="BJT1448"/>
      <c r="BJU1448"/>
      <c r="BJV1448"/>
      <c r="BJW1448"/>
      <c r="BJX1448"/>
      <c r="BJY1448"/>
      <c r="BJZ1448"/>
      <c r="BKA1448"/>
      <c r="BKB1448"/>
      <c r="BKC1448"/>
      <c r="BKD1448"/>
      <c r="BKE1448"/>
      <c r="BKF1448"/>
      <c r="BKG1448"/>
      <c r="BKH1448"/>
      <c r="BKI1448"/>
      <c r="BKJ1448"/>
      <c r="BKK1448"/>
      <c r="BKL1448"/>
      <c r="BKM1448"/>
      <c r="BKN1448"/>
      <c r="BKO1448"/>
      <c r="BKP1448"/>
      <c r="BKQ1448"/>
      <c r="BKR1448"/>
      <c r="BKS1448"/>
      <c r="BKT1448"/>
      <c r="BKU1448"/>
      <c r="BKV1448"/>
      <c r="BKW1448"/>
      <c r="BKX1448"/>
      <c r="BKY1448"/>
      <c r="BKZ1448"/>
      <c r="BLA1448"/>
      <c r="BLB1448"/>
      <c r="BLC1448"/>
      <c r="BLD1448"/>
      <c r="BLE1448"/>
      <c r="BLF1448"/>
      <c r="BLG1448"/>
      <c r="BLH1448"/>
      <c r="BLI1448"/>
      <c r="BLJ1448"/>
      <c r="BLK1448"/>
      <c r="BLL1448"/>
      <c r="BLM1448"/>
      <c r="BLN1448"/>
      <c r="BLO1448"/>
      <c r="BLP1448"/>
      <c r="BLQ1448"/>
      <c r="BLR1448"/>
      <c r="BLS1448"/>
      <c r="BLT1448"/>
      <c r="BLU1448"/>
      <c r="BLV1448"/>
      <c r="BLW1448"/>
      <c r="BLX1448"/>
      <c r="BLY1448"/>
      <c r="BLZ1448"/>
      <c r="BMA1448"/>
      <c r="BMB1448"/>
      <c r="BMC1448"/>
      <c r="BMD1448"/>
      <c r="BME1448"/>
      <c r="BMF1448"/>
      <c r="BMG1448"/>
      <c r="BMH1448"/>
      <c r="BMI1448"/>
      <c r="BMJ1448"/>
      <c r="BMK1448"/>
      <c r="BML1448"/>
      <c r="BMM1448"/>
      <c r="BMN1448"/>
      <c r="BMO1448"/>
      <c r="BMP1448"/>
      <c r="BMQ1448"/>
      <c r="BMR1448"/>
      <c r="BMS1448"/>
      <c r="BMT1448"/>
      <c r="BMU1448"/>
      <c r="BMV1448"/>
      <c r="BMW1448"/>
      <c r="BMX1448"/>
      <c r="BMY1448"/>
      <c r="BMZ1448"/>
      <c r="BNA1448"/>
      <c r="BNB1448"/>
      <c r="BNC1448"/>
      <c r="BND1448"/>
      <c r="BNE1448"/>
      <c r="BNF1448"/>
      <c r="BNG1448"/>
      <c r="BNH1448"/>
      <c r="BNI1448"/>
      <c r="BNJ1448"/>
      <c r="BNK1448"/>
      <c r="BNL1448"/>
      <c r="BNM1448"/>
      <c r="BNN1448"/>
      <c r="BNO1448"/>
      <c r="BNP1448"/>
      <c r="BNQ1448"/>
      <c r="BNR1448"/>
      <c r="BNS1448"/>
      <c r="BNT1448"/>
      <c r="BNU1448"/>
      <c r="BNV1448"/>
      <c r="BNW1448"/>
      <c r="BNX1448"/>
      <c r="BNY1448"/>
      <c r="BNZ1448"/>
      <c r="BOA1448"/>
      <c r="BOB1448"/>
      <c r="BOC1448"/>
      <c r="BOD1448"/>
      <c r="BOE1448"/>
      <c r="BOF1448"/>
      <c r="BOG1448"/>
      <c r="BOH1448"/>
      <c r="BOI1448"/>
      <c r="BOJ1448"/>
      <c r="BOK1448"/>
      <c r="BOL1448"/>
      <c r="BOM1448"/>
      <c r="BON1448"/>
      <c r="BOO1448"/>
      <c r="BOP1448"/>
      <c r="BOQ1448"/>
      <c r="BOR1448"/>
      <c r="BOS1448"/>
      <c r="BOT1448"/>
      <c r="BOU1448"/>
      <c r="BOV1448"/>
      <c r="BOW1448"/>
      <c r="BOX1448"/>
      <c r="BOY1448"/>
      <c r="BOZ1448"/>
      <c r="BPA1448"/>
      <c r="BPB1448"/>
      <c r="BPC1448"/>
      <c r="BPD1448"/>
      <c r="BPE1448"/>
      <c r="BPF1448"/>
      <c r="BPG1448"/>
      <c r="BPH1448"/>
      <c r="BPI1448"/>
      <c r="BPJ1448"/>
      <c r="BPK1448"/>
      <c r="BPL1448"/>
      <c r="BPM1448"/>
      <c r="BPN1448"/>
      <c r="BPO1448"/>
      <c r="BPP1448"/>
      <c r="BPQ1448"/>
      <c r="BPR1448"/>
      <c r="BPS1448"/>
      <c r="BPT1448"/>
      <c r="BPU1448"/>
      <c r="BPV1448"/>
      <c r="BPW1448"/>
      <c r="BPX1448"/>
      <c r="BPY1448"/>
      <c r="BPZ1448"/>
      <c r="BQA1448"/>
      <c r="BQB1448"/>
      <c r="BQC1448"/>
      <c r="BQD1448"/>
      <c r="BQE1448"/>
      <c r="BQF1448"/>
      <c r="BQG1448"/>
      <c r="BQH1448"/>
      <c r="BQI1448"/>
      <c r="BQJ1448"/>
      <c r="BQK1448"/>
      <c r="BQL1448"/>
      <c r="BQM1448"/>
      <c r="BQN1448"/>
      <c r="BQO1448"/>
      <c r="BQP1448"/>
      <c r="BQQ1448"/>
      <c r="BQR1448"/>
      <c r="BQS1448"/>
      <c r="BQT1448"/>
      <c r="BQU1448"/>
      <c r="BQV1448"/>
      <c r="BQW1448"/>
      <c r="BQX1448"/>
      <c r="BQY1448"/>
      <c r="BQZ1448"/>
      <c r="BRA1448"/>
      <c r="BRB1448"/>
      <c r="BRC1448"/>
      <c r="BRD1448"/>
      <c r="BRE1448"/>
      <c r="BRF1448"/>
      <c r="BRG1448"/>
      <c r="BRH1448"/>
      <c r="BRI1448"/>
      <c r="BRJ1448"/>
      <c r="BRK1448"/>
      <c r="BRL1448"/>
      <c r="BRM1448"/>
      <c r="BRN1448"/>
      <c r="BRO1448"/>
      <c r="BRP1448"/>
      <c r="BRQ1448"/>
      <c r="BRR1448"/>
      <c r="BRS1448"/>
      <c r="BRT1448"/>
      <c r="BRU1448"/>
      <c r="BRV1448"/>
      <c r="BRW1448"/>
      <c r="BRX1448"/>
      <c r="BRY1448"/>
      <c r="BRZ1448"/>
      <c r="BSA1448"/>
      <c r="BSB1448"/>
      <c r="BSC1448"/>
      <c r="BSD1448"/>
      <c r="BSE1448"/>
      <c r="BSF1448"/>
      <c r="BSG1448"/>
      <c r="BSH1448"/>
      <c r="BSI1448"/>
      <c r="BSJ1448"/>
      <c r="BSK1448"/>
      <c r="BSL1448"/>
      <c r="BSM1448"/>
      <c r="BSN1448"/>
      <c r="BSO1448"/>
      <c r="BSP1448"/>
      <c r="BSQ1448"/>
      <c r="BSR1448"/>
      <c r="BSS1448"/>
      <c r="BST1448"/>
      <c r="BSU1448"/>
      <c r="BSV1448"/>
      <c r="BSW1448"/>
      <c r="BSX1448"/>
      <c r="BSY1448"/>
      <c r="BSZ1448"/>
      <c r="BTA1448"/>
      <c r="BTB1448"/>
      <c r="BTC1448"/>
      <c r="BTD1448"/>
      <c r="BTE1448"/>
      <c r="BTF1448"/>
      <c r="BTG1448"/>
      <c r="BTH1448"/>
      <c r="BTI1448"/>
      <c r="BTJ1448"/>
      <c r="BTK1448"/>
      <c r="BTL1448"/>
      <c r="BTM1448"/>
      <c r="BTN1448"/>
      <c r="BTO1448"/>
      <c r="BTP1448"/>
      <c r="BTQ1448"/>
      <c r="BTR1448"/>
      <c r="BTS1448"/>
      <c r="BTT1448"/>
      <c r="BTU1448"/>
      <c r="BTV1448"/>
      <c r="BTW1448"/>
      <c r="BTX1448"/>
      <c r="BTY1448"/>
      <c r="BTZ1448"/>
      <c r="BUA1448"/>
      <c r="BUB1448"/>
      <c r="BUC1448"/>
      <c r="BUD1448"/>
      <c r="BUE1448"/>
      <c r="BUF1448"/>
      <c r="BUG1448"/>
      <c r="BUH1448"/>
      <c r="BUI1448"/>
      <c r="BUJ1448"/>
      <c r="BUK1448"/>
      <c r="BUL1448"/>
      <c r="BUM1448"/>
      <c r="BUN1448"/>
      <c r="BUO1448"/>
      <c r="BUP1448"/>
      <c r="BUQ1448"/>
      <c r="BUR1448"/>
      <c r="BUS1448"/>
      <c r="BUT1448"/>
      <c r="BUU1448"/>
      <c r="BUV1448"/>
      <c r="BUW1448"/>
      <c r="BUX1448"/>
      <c r="BUY1448"/>
      <c r="BUZ1448"/>
      <c r="BVA1448"/>
      <c r="BVB1448"/>
      <c r="BVC1448"/>
      <c r="BVD1448"/>
      <c r="BVE1448"/>
      <c r="BVF1448"/>
      <c r="BVG1448"/>
      <c r="BVH1448"/>
      <c r="BVI1448"/>
      <c r="BVJ1448"/>
      <c r="BVK1448"/>
      <c r="BVL1448"/>
      <c r="BVM1448"/>
      <c r="BVN1448"/>
      <c r="BVO1448"/>
      <c r="BVP1448"/>
      <c r="BVQ1448"/>
      <c r="BVR1448"/>
      <c r="BVS1448"/>
      <c r="BVT1448"/>
      <c r="BVU1448"/>
      <c r="BVV1448"/>
      <c r="BVW1448"/>
      <c r="BVX1448"/>
      <c r="BVY1448"/>
      <c r="BVZ1448"/>
      <c r="BWA1448"/>
      <c r="BWB1448"/>
      <c r="BWC1448"/>
      <c r="BWD1448"/>
      <c r="BWE1448"/>
      <c r="BWF1448"/>
      <c r="BWG1448"/>
      <c r="BWH1448"/>
      <c r="BWI1448"/>
      <c r="BWJ1448"/>
      <c r="BWK1448"/>
      <c r="BWL1448"/>
      <c r="BWM1448"/>
      <c r="BWN1448"/>
      <c r="BWO1448"/>
      <c r="BWP1448"/>
      <c r="BWQ1448"/>
      <c r="BWR1448"/>
      <c r="BWS1448"/>
      <c r="BWT1448"/>
      <c r="BWU1448"/>
      <c r="BWV1448"/>
      <c r="BWW1448"/>
      <c r="BWX1448"/>
      <c r="BWY1448"/>
      <c r="BWZ1448"/>
      <c r="BXA1448"/>
      <c r="BXB1448"/>
      <c r="BXC1448"/>
      <c r="BXD1448"/>
      <c r="BXE1448"/>
      <c r="BXF1448"/>
      <c r="BXG1448"/>
      <c r="BXH1448"/>
      <c r="BXI1448"/>
      <c r="BXJ1448"/>
      <c r="BXK1448"/>
      <c r="BXL1448"/>
      <c r="BXM1448"/>
      <c r="BXN1448"/>
      <c r="BXO1448"/>
      <c r="BXP1448"/>
      <c r="BXQ1448"/>
      <c r="BXR1448"/>
      <c r="BXS1448"/>
      <c r="BXT1448"/>
      <c r="BXU1448"/>
      <c r="BXV1448"/>
      <c r="BXW1448"/>
      <c r="BXX1448"/>
      <c r="BXY1448"/>
      <c r="BXZ1448"/>
      <c r="BYA1448"/>
      <c r="BYB1448"/>
      <c r="BYC1448"/>
      <c r="BYD1448"/>
      <c r="BYE1448"/>
      <c r="BYF1448"/>
      <c r="BYG1448"/>
      <c r="BYH1448"/>
      <c r="BYI1448"/>
      <c r="BYJ1448"/>
      <c r="BYK1448"/>
      <c r="BYL1448"/>
      <c r="BYM1448"/>
      <c r="BYN1448"/>
      <c r="BYO1448"/>
      <c r="BYP1448"/>
      <c r="BYQ1448"/>
      <c r="BYR1448"/>
      <c r="BYS1448"/>
      <c r="BYT1448"/>
      <c r="BYU1448"/>
      <c r="BYV1448"/>
      <c r="BYW1448"/>
      <c r="BYX1448"/>
      <c r="BYY1448"/>
      <c r="BYZ1448"/>
      <c r="BZA1448"/>
      <c r="BZB1448"/>
      <c r="BZC1448"/>
      <c r="BZD1448"/>
      <c r="BZE1448"/>
      <c r="BZF1448"/>
      <c r="BZG1448"/>
      <c r="BZH1448"/>
      <c r="BZI1448"/>
      <c r="BZJ1448"/>
      <c r="BZK1448"/>
      <c r="BZL1448"/>
      <c r="BZM1448"/>
      <c r="BZN1448"/>
      <c r="BZO1448"/>
      <c r="BZP1448"/>
      <c r="BZQ1448"/>
      <c r="BZR1448"/>
      <c r="BZS1448"/>
      <c r="BZT1448"/>
      <c r="BZU1448"/>
      <c r="BZV1448"/>
      <c r="BZW1448"/>
      <c r="BZX1448"/>
      <c r="BZY1448"/>
      <c r="BZZ1448"/>
      <c r="CAA1448"/>
      <c r="CAB1448"/>
      <c r="CAC1448"/>
      <c r="CAD1448"/>
      <c r="CAE1448"/>
      <c r="CAF1448"/>
      <c r="CAG1448"/>
      <c r="CAH1448"/>
      <c r="CAI1448"/>
      <c r="CAJ1448"/>
      <c r="CAK1448"/>
      <c r="CAL1448"/>
      <c r="CAM1448"/>
      <c r="CAN1448"/>
      <c r="CAO1448"/>
      <c r="CAP1448"/>
      <c r="CAQ1448"/>
      <c r="CAR1448"/>
      <c r="CAS1448"/>
      <c r="CAT1448"/>
      <c r="CAU1448"/>
      <c r="CAV1448"/>
      <c r="CAW1448"/>
      <c r="CAX1448"/>
      <c r="CAY1448"/>
      <c r="CAZ1448"/>
      <c r="CBA1448"/>
      <c r="CBB1448"/>
      <c r="CBC1448"/>
      <c r="CBD1448"/>
      <c r="CBE1448"/>
      <c r="CBF1448"/>
      <c r="CBG1448"/>
      <c r="CBH1448"/>
      <c r="CBI1448"/>
      <c r="CBJ1448"/>
      <c r="CBK1448"/>
      <c r="CBL1448"/>
      <c r="CBM1448"/>
      <c r="CBN1448"/>
      <c r="CBO1448"/>
      <c r="CBP1448"/>
      <c r="CBQ1448"/>
      <c r="CBR1448"/>
      <c r="CBS1448"/>
      <c r="CBT1448"/>
      <c r="CBU1448"/>
      <c r="CBV1448"/>
      <c r="CBW1448"/>
      <c r="CBX1448"/>
      <c r="CBY1448"/>
      <c r="CBZ1448"/>
      <c r="CCA1448"/>
      <c r="CCB1448"/>
      <c r="CCC1448"/>
      <c r="CCD1448"/>
      <c r="CCE1448"/>
      <c r="CCF1448"/>
      <c r="CCG1448"/>
      <c r="CCH1448"/>
      <c r="CCI1448"/>
      <c r="CCJ1448"/>
      <c r="CCK1448"/>
      <c r="CCL1448"/>
      <c r="CCM1448"/>
      <c r="CCN1448"/>
      <c r="CCO1448"/>
      <c r="CCP1448"/>
      <c r="CCQ1448"/>
      <c r="CCR1448"/>
      <c r="CCS1448"/>
      <c r="CCT1448"/>
      <c r="CCU1448"/>
      <c r="CCV1448"/>
      <c r="CCW1448"/>
      <c r="CCX1448"/>
      <c r="CCY1448"/>
      <c r="CCZ1448"/>
      <c r="CDA1448"/>
      <c r="CDB1448"/>
      <c r="CDC1448"/>
      <c r="CDD1448"/>
      <c r="CDE1448"/>
      <c r="CDF1448"/>
      <c r="CDG1448"/>
      <c r="CDH1448"/>
      <c r="CDI1448"/>
      <c r="CDJ1448"/>
      <c r="CDK1448"/>
      <c r="CDL1448"/>
      <c r="CDM1448"/>
      <c r="CDN1448"/>
      <c r="CDO1448"/>
      <c r="CDP1448"/>
      <c r="CDQ1448"/>
      <c r="CDR1448"/>
      <c r="CDS1448"/>
      <c r="CDT1448"/>
      <c r="CDU1448"/>
      <c r="CDV1448"/>
      <c r="CDW1448"/>
      <c r="CDX1448"/>
      <c r="CDY1448"/>
      <c r="CDZ1448"/>
      <c r="CEA1448"/>
      <c r="CEB1448"/>
      <c r="CEC1448"/>
      <c r="CED1448"/>
      <c r="CEE1448"/>
      <c r="CEF1448"/>
      <c r="CEG1448"/>
      <c r="CEH1448"/>
      <c r="CEI1448"/>
      <c r="CEJ1448"/>
      <c r="CEK1448"/>
      <c r="CEL1448"/>
      <c r="CEM1448"/>
      <c r="CEN1448"/>
      <c r="CEO1448"/>
      <c r="CEP1448"/>
      <c r="CEQ1448"/>
      <c r="CER1448"/>
      <c r="CES1448"/>
      <c r="CET1448"/>
      <c r="CEU1448"/>
      <c r="CEV1448"/>
      <c r="CEW1448"/>
      <c r="CEX1448"/>
      <c r="CEY1448"/>
      <c r="CEZ1448"/>
      <c r="CFA1448"/>
      <c r="CFB1448"/>
      <c r="CFC1448"/>
      <c r="CFD1448"/>
      <c r="CFE1448"/>
      <c r="CFF1448"/>
      <c r="CFG1448"/>
      <c r="CFH1448"/>
      <c r="CFI1448"/>
      <c r="CFJ1448"/>
      <c r="CFK1448"/>
      <c r="CFL1448"/>
      <c r="CFM1448"/>
      <c r="CFN1448"/>
      <c r="CFO1448"/>
      <c r="CFP1448"/>
      <c r="CFQ1448"/>
      <c r="CFR1448"/>
      <c r="CFS1448"/>
      <c r="CFT1448"/>
      <c r="CFU1448"/>
      <c r="CFV1448"/>
      <c r="CFW1448"/>
      <c r="CFX1448"/>
      <c r="CFY1448"/>
      <c r="CFZ1448"/>
      <c r="CGA1448"/>
      <c r="CGB1448"/>
      <c r="CGC1448"/>
      <c r="CGD1448"/>
      <c r="CGE1448"/>
      <c r="CGF1448"/>
      <c r="CGG1448"/>
      <c r="CGH1448"/>
      <c r="CGI1448"/>
      <c r="CGJ1448"/>
      <c r="CGK1448"/>
      <c r="CGL1448"/>
      <c r="CGM1448"/>
      <c r="CGN1448"/>
      <c r="CGO1448"/>
      <c r="CGP1448"/>
      <c r="CGQ1448"/>
      <c r="CGR1448"/>
      <c r="CGS1448"/>
      <c r="CGT1448"/>
      <c r="CGU1448"/>
      <c r="CGV1448"/>
      <c r="CGW1448"/>
      <c r="CGX1448"/>
      <c r="CGY1448"/>
      <c r="CGZ1448"/>
      <c r="CHA1448"/>
      <c r="CHB1448"/>
      <c r="CHC1448"/>
      <c r="CHD1448"/>
      <c r="CHE1448"/>
      <c r="CHF1448"/>
      <c r="CHG1448"/>
      <c r="CHH1448"/>
      <c r="CHI1448"/>
      <c r="CHJ1448"/>
      <c r="CHK1448"/>
      <c r="CHL1448"/>
      <c r="CHM1448"/>
      <c r="CHN1448"/>
      <c r="CHO1448"/>
      <c r="CHP1448"/>
      <c r="CHQ1448"/>
      <c r="CHR1448"/>
      <c r="CHS1448"/>
      <c r="CHT1448"/>
      <c r="CHU1448"/>
      <c r="CHV1448"/>
      <c r="CHW1448"/>
      <c r="CHX1448"/>
      <c r="CHY1448"/>
      <c r="CHZ1448"/>
      <c r="CIA1448"/>
      <c r="CIB1448"/>
      <c r="CIC1448"/>
      <c r="CID1448"/>
      <c r="CIE1448"/>
      <c r="CIF1448"/>
      <c r="CIG1448"/>
      <c r="CIH1448"/>
      <c r="CII1448"/>
      <c r="CIJ1448"/>
      <c r="CIK1448"/>
      <c r="CIL1448"/>
      <c r="CIM1448"/>
      <c r="CIN1448"/>
      <c r="CIO1448"/>
      <c r="CIP1448"/>
      <c r="CIQ1448"/>
      <c r="CIR1448"/>
      <c r="CIS1448"/>
      <c r="CIT1448"/>
      <c r="CIU1448"/>
      <c r="CIV1448"/>
      <c r="CIW1448"/>
      <c r="CIX1448"/>
      <c r="CIY1448"/>
      <c r="CIZ1448"/>
      <c r="CJA1448"/>
      <c r="CJB1448"/>
      <c r="CJC1448"/>
      <c r="CJD1448"/>
      <c r="CJE1448"/>
      <c r="CJF1448"/>
      <c r="CJG1448"/>
      <c r="CJH1448"/>
      <c r="CJI1448"/>
      <c r="CJJ1448"/>
      <c r="CJK1448"/>
      <c r="CJL1448"/>
      <c r="CJM1448"/>
      <c r="CJN1448"/>
      <c r="CJO1448"/>
      <c r="CJP1448"/>
      <c r="CJQ1448"/>
      <c r="CJR1448"/>
      <c r="CJS1448"/>
      <c r="CJT1448"/>
      <c r="CJU1448"/>
      <c r="CJV1448"/>
      <c r="CJW1448"/>
      <c r="CJX1448"/>
      <c r="CJY1448"/>
      <c r="CJZ1448"/>
      <c r="CKA1448"/>
      <c r="CKB1448"/>
      <c r="CKC1448"/>
      <c r="CKD1448"/>
      <c r="CKE1448"/>
      <c r="CKF1448"/>
      <c r="CKG1448"/>
      <c r="CKH1448"/>
      <c r="CKI1448"/>
      <c r="CKJ1448"/>
      <c r="CKK1448"/>
      <c r="CKL1448"/>
      <c r="CKM1448"/>
      <c r="CKN1448"/>
      <c r="CKO1448"/>
      <c r="CKP1448"/>
      <c r="CKQ1448"/>
      <c r="CKR1448"/>
      <c r="CKS1448"/>
      <c r="CKT1448"/>
      <c r="CKU1448"/>
      <c r="CKV1448"/>
      <c r="CKW1448"/>
      <c r="CKX1448"/>
      <c r="CKY1448"/>
      <c r="CKZ1448"/>
      <c r="CLA1448"/>
      <c r="CLB1448"/>
      <c r="CLC1448"/>
      <c r="CLD1448"/>
      <c r="CLE1448"/>
      <c r="CLF1448"/>
      <c r="CLG1448"/>
      <c r="CLH1448"/>
      <c r="CLI1448"/>
      <c r="CLJ1448"/>
      <c r="CLK1448"/>
      <c r="CLL1448"/>
      <c r="CLM1448"/>
      <c r="CLN1448"/>
      <c r="CLO1448"/>
      <c r="CLP1448"/>
      <c r="CLQ1448"/>
      <c r="CLR1448"/>
      <c r="CLS1448"/>
      <c r="CLT1448"/>
      <c r="CLU1448"/>
      <c r="CLV1448"/>
      <c r="CLW1448"/>
      <c r="CLX1448"/>
      <c r="CLY1448"/>
      <c r="CLZ1448"/>
      <c r="CMA1448"/>
      <c r="CMB1448"/>
      <c r="CMC1448"/>
      <c r="CMD1448"/>
      <c r="CME1448"/>
      <c r="CMF1448"/>
      <c r="CMG1448"/>
      <c r="CMH1448"/>
      <c r="CMI1448"/>
      <c r="CMJ1448"/>
      <c r="CMK1448"/>
      <c r="CML1448"/>
      <c r="CMM1448"/>
      <c r="CMN1448"/>
      <c r="CMO1448"/>
      <c r="CMP1448"/>
      <c r="CMQ1448"/>
      <c r="CMR1448"/>
      <c r="CMS1448"/>
      <c r="CMT1448"/>
      <c r="CMU1448"/>
      <c r="CMV1448"/>
      <c r="CMW1448"/>
      <c r="CMX1448"/>
      <c r="CMY1448"/>
      <c r="CMZ1448"/>
      <c r="CNA1448"/>
      <c r="CNB1448"/>
      <c r="CNC1448"/>
      <c r="CND1448"/>
      <c r="CNE1448"/>
      <c r="CNF1448"/>
      <c r="CNG1448"/>
      <c r="CNH1448"/>
      <c r="CNI1448"/>
      <c r="CNJ1448"/>
      <c r="CNK1448"/>
      <c r="CNL1448"/>
      <c r="CNM1448"/>
      <c r="CNN1448"/>
      <c r="CNO1448"/>
      <c r="CNP1448"/>
      <c r="CNQ1448"/>
      <c r="CNR1448"/>
      <c r="CNS1448"/>
      <c r="CNT1448"/>
      <c r="CNU1448"/>
      <c r="CNV1448"/>
      <c r="CNW1448"/>
      <c r="CNX1448"/>
      <c r="CNY1448"/>
      <c r="CNZ1448"/>
      <c r="COA1448"/>
      <c r="COB1448"/>
      <c r="COC1448"/>
      <c r="COD1448"/>
      <c r="COE1448"/>
      <c r="COF1448"/>
      <c r="COG1448"/>
      <c r="COH1448"/>
      <c r="COI1448"/>
      <c r="COJ1448"/>
      <c r="COK1448"/>
      <c r="COL1448"/>
      <c r="COM1448"/>
      <c r="CON1448"/>
      <c r="COO1448"/>
      <c r="COP1448"/>
      <c r="COQ1448"/>
      <c r="COR1448"/>
      <c r="COS1448"/>
      <c r="COT1448"/>
      <c r="COU1448"/>
      <c r="COV1448"/>
      <c r="COW1448"/>
      <c r="COX1448"/>
      <c r="COY1448"/>
      <c r="COZ1448"/>
      <c r="CPA1448"/>
      <c r="CPB1448"/>
      <c r="CPC1448"/>
      <c r="CPD1448"/>
      <c r="CPE1448"/>
      <c r="CPF1448"/>
      <c r="CPG1448"/>
      <c r="CPH1448"/>
      <c r="CPI1448"/>
      <c r="CPJ1448"/>
      <c r="CPK1448"/>
      <c r="CPL1448"/>
      <c r="CPM1448"/>
      <c r="CPN1448"/>
      <c r="CPO1448"/>
      <c r="CPP1448"/>
      <c r="CPQ1448"/>
      <c r="CPR1448"/>
      <c r="CPS1448"/>
      <c r="CPT1448"/>
      <c r="CPU1448"/>
      <c r="CPV1448"/>
      <c r="CPW1448"/>
      <c r="CPX1448"/>
      <c r="CPY1448"/>
      <c r="CPZ1448"/>
      <c r="CQA1448"/>
      <c r="CQB1448"/>
      <c r="CQC1448"/>
      <c r="CQD1448"/>
      <c r="CQE1448"/>
      <c r="CQF1448"/>
      <c r="CQG1448"/>
      <c r="CQH1448"/>
      <c r="CQI1448"/>
      <c r="CQJ1448"/>
      <c r="CQK1448"/>
      <c r="CQL1448"/>
      <c r="CQM1448"/>
      <c r="CQN1448"/>
      <c r="CQO1448"/>
      <c r="CQP1448"/>
      <c r="CQQ1448"/>
      <c r="CQR1448"/>
      <c r="CQS1448"/>
      <c r="CQT1448"/>
      <c r="CQU1448"/>
      <c r="CQV1448"/>
      <c r="CQW1448"/>
      <c r="CQX1448"/>
      <c r="CQY1448"/>
      <c r="CQZ1448"/>
      <c r="CRA1448"/>
      <c r="CRB1448"/>
      <c r="CRC1448"/>
      <c r="CRD1448"/>
      <c r="CRE1448"/>
      <c r="CRF1448"/>
      <c r="CRG1448"/>
      <c r="CRH1448"/>
      <c r="CRI1448"/>
      <c r="CRJ1448"/>
      <c r="CRK1448"/>
      <c r="CRL1448"/>
      <c r="CRM1448"/>
      <c r="CRN1448"/>
      <c r="CRO1448"/>
      <c r="CRP1448"/>
      <c r="CRQ1448"/>
      <c r="CRR1448"/>
      <c r="CRS1448"/>
      <c r="CRT1448"/>
      <c r="CRU1448"/>
      <c r="CRV1448"/>
      <c r="CRW1448"/>
      <c r="CRX1448"/>
      <c r="CRY1448"/>
      <c r="CRZ1448"/>
      <c r="CSA1448"/>
      <c r="CSB1448"/>
      <c r="CSC1448"/>
      <c r="CSD1448"/>
      <c r="CSE1448"/>
      <c r="CSF1448"/>
      <c r="CSG1448"/>
      <c r="CSH1448"/>
      <c r="CSI1448"/>
      <c r="CSJ1448"/>
      <c r="CSK1448"/>
      <c r="CSL1448"/>
      <c r="CSM1448"/>
      <c r="CSN1448"/>
      <c r="CSO1448"/>
      <c r="CSP1448"/>
      <c r="CSQ1448"/>
      <c r="CSR1448"/>
      <c r="CSS1448"/>
      <c r="CST1448"/>
      <c r="CSU1448"/>
      <c r="CSV1448"/>
      <c r="CSW1448"/>
      <c r="CSX1448"/>
      <c r="CSY1448"/>
      <c r="CSZ1448"/>
      <c r="CTA1448"/>
      <c r="CTB1448"/>
      <c r="CTC1448"/>
      <c r="CTD1448"/>
      <c r="CTE1448"/>
      <c r="CTF1448"/>
      <c r="CTG1448"/>
      <c r="CTH1448"/>
      <c r="CTI1448"/>
      <c r="CTJ1448"/>
      <c r="CTK1448"/>
      <c r="CTL1448"/>
      <c r="CTM1448"/>
      <c r="CTN1448"/>
      <c r="CTO1448"/>
      <c r="CTP1448"/>
      <c r="CTQ1448"/>
      <c r="CTR1448"/>
      <c r="CTS1448"/>
      <c r="CTT1448"/>
      <c r="CTU1448"/>
      <c r="CTV1448"/>
      <c r="CTW1448"/>
      <c r="CTX1448"/>
      <c r="CTY1448"/>
      <c r="CTZ1448"/>
      <c r="CUA1448"/>
      <c r="CUB1448"/>
      <c r="CUC1448"/>
      <c r="CUD1448"/>
      <c r="CUE1448"/>
      <c r="CUF1448"/>
      <c r="CUG1448"/>
      <c r="CUH1448"/>
      <c r="CUI1448"/>
      <c r="CUJ1448"/>
      <c r="CUK1448"/>
      <c r="CUL1448"/>
      <c r="CUM1448"/>
      <c r="CUN1448"/>
      <c r="CUO1448"/>
      <c r="CUP1448"/>
      <c r="CUQ1448"/>
      <c r="CUR1448"/>
      <c r="CUS1448"/>
      <c r="CUT1448"/>
      <c r="CUU1448"/>
      <c r="CUV1448"/>
      <c r="CUW1448"/>
      <c r="CUX1448"/>
      <c r="CUY1448"/>
      <c r="CUZ1448"/>
      <c r="CVA1448"/>
      <c r="CVB1448"/>
      <c r="CVC1448"/>
      <c r="CVD1448"/>
      <c r="CVE1448"/>
      <c r="CVF1448"/>
      <c r="CVG1448"/>
      <c r="CVH1448"/>
      <c r="CVI1448"/>
      <c r="CVJ1448"/>
      <c r="CVK1448"/>
      <c r="CVL1448"/>
      <c r="CVM1448"/>
      <c r="CVN1448"/>
      <c r="CVO1448"/>
      <c r="CVP1448"/>
      <c r="CVQ1448"/>
      <c r="CVR1448"/>
      <c r="CVS1448"/>
      <c r="CVT1448"/>
      <c r="CVU1448"/>
      <c r="CVV1448"/>
      <c r="CVW1448"/>
      <c r="CVX1448"/>
      <c r="CVY1448"/>
      <c r="CVZ1448"/>
      <c r="CWA1448"/>
      <c r="CWB1448"/>
      <c r="CWC1448"/>
      <c r="CWD1448"/>
      <c r="CWE1448"/>
      <c r="CWF1448"/>
      <c r="CWG1448"/>
      <c r="CWH1448"/>
      <c r="CWI1448"/>
      <c r="CWJ1448"/>
      <c r="CWK1448"/>
      <c r="CWL1448"/>
      <c r="CWM1448"/>
      <c r="CWN1448"/>
      <c r="CWO1448"/>
      <c r="CWP1448"/>
      <c r="CWQ1448"/>
      <c r="CWR1448"/>
      <c r="CWS1448"/>
      <c r="CWT1448"/>
      <c r="CWU1448"/>
      <c r="CWV1448"/>
      <c r="CWW1448"/>
      <c r="CWX1448"/>
      <c r="CWY1448"/>
      <c r="CWZ1448"/>
      <c r="CXA1448"/>
      <c r="CXB1448"/>
      <c r="CXC1448"/>
      <c r="CXD1448"/>
      <c r="CXE1448"/>
      <c r="CXF1448"/>
      <c r="CXG1448"/>
      <c r="CXH1448"/>
      <c r="CXI1448"/>
      <c r="CXJ1448"/>
      <c r="CXK1448"/>
      <c r="CXL1448"/>
      <c r="CXM1448"/>
      <c r="CXN1448"/>
      <c r="CXO1448"/>
      <c r="CXP1448"/>
      <c r="CXQ1448"/>
      <c r="CXR1448"/>
      <c r="CXS1448"/>
      <c r="CXT1448"/>
      <c r="CXU1448"/>
      <c r="CXV1448"/>
      <c r="CXW1448"/>
      <c r="CXX1448"/>
      <c r="CXY1448"/>
      <c r="CXZ1448"/>
      <c r="CYA1448"/>
      <c r="CYB1448"/>
      <c r="CYC1448"/>
      <c r="CYD1448"/>
      <c r="CYE1448"/>
      <c r="CYF1448"/>
      <c r="CYG1448"/>
      <c r="CYH1448"/>
      <c r="CYI1448"/>
      <c r="CYJ1448"/>
      <c r="CYK1448"/>
      <c r="CYL1448"/>
      <c r="CYM1448"/>
      <c r="CYN1448"/>
      <c r="CYO1448"/>
      <c r="CYP1448"/>
      <c r="CYQ1448"/>
      <c r="CYR1448"/>
      <c r="CYS1448"/>
      <c r="CYT1448"/>
      <c r="CYU1448"/>
      <c r="CYV1448"/>
      <c r="CYW1448"/>
      <c r="CYX1448"/>
      <c r="CYY1448"/>
      <c r="CYZ1448"/>
      <c r="CZA1448"/>
      <c r="CZB1448"/>
      <c r="CZC1448"/>
      <c r="CZD1448"/>
      <c r="CZE1448"/>
      <c r="CZF1448"/>
      <c r="CZG1448"/>
      <c r="CZH1448"/>
      <c r="CZI1448"/>
      <c r="CZJ1448"/>
      <c r="CZK1448"/>
      <c r="CZL1448"/>
      <c r="CZM1448"/>
      <c r="CZN1448"/>
      <c r="CZO1448"/>
      <c r="CZP1448"/>
      <c r="CZQ1448"/>
      <c r="CZR1448"/>
      <c r="CZS1448"/>
      <c r="CZT1448"/>
      <c r="CZU1448"/>
      <c r="CZV1448"/>
      <c r="CZW1448"/>
      <c r="CZX1448"/>
      <c r="CZY1448"/>
      <c r="CZZ1448"/>
      <c r="DAA1448"/>
      <c r="DAB1448"/>
      <c r="DAC1448"/>
      <c r="DAD1448"/>
      <c r="DAE1448"/>
      <c r="DAF1448"/>
      <c r="DAG1448"/>
      <c r="DAH1448"/>
      <c r="DAI1448"/>
      <c r="DAJ1448"/>
      <c r="DAK1448"/>
      <c r="DAL1448"/>
      <c r="DAM1448"/>
      <c r="DAN1448"/>
      <c r="DAO1448"/>
      <c r="DAP1448"/>
      <c r="DAQ1448"/>
      <c r="DAR1448"/>
      <c r="DAS1448"/>
      <c r="DAT1448"/>
      <c r="DAU1448"/>
      <c r="DAV1448"/>
      <c r="DAW1448"/>
      <c r="DAX1448"/>
      <c r="DAY1448"/>
      <c r="DAZ1448"/>
      <c r="DBA1448"/>
      <c r="DBB1448"/>
      <c r="DBC1448"/>
      <c r="DBD1448"/>
      <c r="DBE1448"/>
      <c r="DBF1448"/>
      <c r="DBG1448"/>
      <c r="DBH1448"/>
      <c r="DBI1448"/>
      <c r="DBJ1448"/>
      <c r="DBK1448"/>
      <c r="DBL1448"/>
      <c r="DBM1448"/>
      <c r="DBN1448"/>
      <c r="DBO1448"/>
      <c r="DBP1448"/>
      <c r="DBQ1448"/>
      <c r="DBR1448"/>
      <c r="DBS1448"/>
      <c r="DBT1448"/>
      <c r="DBU1448"/>
      <c r="DBV1448"/>
      <c r="DBW1448"/>
      <c r="DBX1448"/>
      <c r="DBY1448"/>
      <c r="DBZ1448"/>
      <c r="DCA1448"/>
      <c r="DCB1448"/>
      <c r="DCC1448"/>
      <c r="DCD1448"/>
      <c r="DCE1448"/>
      <c r="DCF1448"/>
      <c r="DCG1448"/>
      <c r="DCH1448"/>
      <c r="DCI1448"/>
      <c r="DCJ1448"/>
      <c r="DCK1448"/>
      <c r="DCL1448"/>
      <c r="DCM1448"/>
      <c r="DCN1448"/>
      <c r="DCO1448"/>
      <c r="DCP1448"/>
      <c r="DCQ1448"/>
      <c r="DCR1448"/>
      <c r="DCS1448"/>
      <c r="DCT1448"/>
      <c r="DCU1448"/>
      <c r="DCV1448"/>
      <c r="DCW1448"/>
      <c r="DCX1448"/>
      <c r="DCY1448"/>
      <c r="DCZ1448"/>
      <c r="DDA1448"/>
      <c r="DDB1448"/>
      <c r="DDC1448"/>
      <c r="DDD1448"/>
      <c r="DDE1448"/>
      <c r="DDF1448"/>
      <c r="DDG1448"/>
      <c r="DDH1448"/>
      <c r="DDI1448"/>
      <c r="DDJ1448"/>
      <c r="DDK1448"/>
      <c r="DDL1448"/>
      <c r="DDM1448"/>
      <c r="DDN1448"/>
      <c r="DDO1448"/>
      <c r="DDP1448"/>
      <c r="DDQ1448"/>
      <c r="DDR1448"/>
      <c r="DDS1448"/>
      <c r="DDT1448"/>
      <c r="DDU1448"/>
      <c r="DDV1448"/>
      <c r="DDW1448"/>
      <c r="DDX1448"/>
      <c r="DDY1448"/>
      <c r="DDZ1448"/>
      <c r="DEA1448"/>
      <c r="DEB1448"/>
      <c r="DEC1448"/>
      <c r="DED1448"/>
      <c r="DEE1448"/>
      <c r="DEF1448"/>
      <c r="DEG1448"/>
      <c r="DEH1448"/>
      <c r="DEI1448"/>
      <c r="DEJ1448"/>
      <c r="DEK1448"/>
      <c r="DEL1448"/>
      <c r="DEM1448"/>
      <c r="DEN1448"/>
      <c r="DEO1448"/>
      <c r="DEP1448"/>
      <c r="DEQ1448"/>
      <c r="DER1448"/>
      <c r="DES1448"/>
      <c r="DET1448"/>
      <c r="DEU1448"/>
      <c r="DEV1448"/>
      <c r="DEW1448"/>
      <c r="DEX1448"/>
      <c r="DEY1448"/>
      <c r="DEZ1448"/>
      <c r="DFA1448"/>
      <c r="DFB1448"/>
      <c r="DFC1448"/>
      <c r="DFD1448"/>
      <c r="DFE1448"/>
      <c r="DFF1448"/>
      <c r="DFG1448"/>
      <c r="DFH1448"/>
      <c r="DFI1448"/>
      <c r="DFJ1448"/>
      <c r="DFK1448"/>
      <c r="DFL1448"/>
      <c r="DFM1448"/>
      <c r="DFN1448"/>
      <c r="DFO1448"/>
      <c r="DFP1448"/>
      <c r="DFQ1448"/>
      <c r="DFR1448"/>
      <c r="DFS1448"/>
      <c r="DFT1448"/>
      <c r="DFU1448"/>
      <c r="DFV1448"/>
      <c r="DFW1448"/>
      <c r="DFX1448"/>
      <c r="DFY1448"/>
      <c r="DFZ1448"/>
      <c r="DGA1448"/>
      <c r="DGB1448"/>
      <c r="DGC1448"/>
      <c r="DGD1448"/>
      <c r="DGE1448"/>
      <c r="DGF1448"/>
      <c r="DGG1448"/>
      <c r="DGH1448"/>
      <c r="DGI1448"/>
      <c r="DGJ1448"/>
      <c r="DGK1448"/>
      <c r="DGL1448"/>
      <c r="DGM1448"/>
      <c r="DGN1448"/>
      <c r="DGO1448"/>
      <c r="DGP1448"/>
      <c r="DGQ1448"/>
      <c r="DGR1448"/>
      <c r="DGS1448"/>
      <c r="DGT1448"/>
      <c r="DGU1448"/>
      <c r="DGV1448"/>
      <c r="DGW1448"/>
      <c r="DGX1448"/>
      <c r="DGY1448"/>
      <c r="DGZ1448"/>
      <c r="DHA1448"/>
      <c r="DHB1448"/>
      <c r="DHC1448"/>
      <c r="DHD1448"/>
      <c r="DHE1448"/>
      <c r="DHF1448"/>
      <c r="DHG1448"/>
      <c r="DHH1448"/>
      <c r="DHI1448"/>
      <c r="DHJ1448"/>
      <c r="DHK1448"/>
      <c r="DHL1448"/>
      <c r="DHM1448"/>
      <c r="DHN1448"/>
      <c r="DHO1448"/>
      <c r="DHP1448"/>
      <c r="DHQ1448"/>
      <c r="DHR1448"/>
      <c r="DHS1448"/>
      <c r="DHT1448"/>
      <c r="DHU1448"/>
      <c r="DHV1448"/>
      <c r="DHW1448"/>
      <c r="DHX1448"/>
      <c r="DHY1448"/>
      <c r="DHZ1448"/>
      <c r="DIA1448"/>
      <c r="DIB1448"/>
      <c r="DIC1448"/>
      <c r="DID1448"/>
      <c r="DIE1448"/>
      <c r="DIF1448"/>
      <c r="DIG1448"/>
      <c r="DIH1448"/>
      <c r="DII1448"/>
      <c r="DIJ1448"/>
      <c r="DIK1448"/>
      <c r="DIL1448"/>
      <c r="DIM1448"/>
      <c r="DIN1448"/>
      <c r="DIO1448"/>
      <c r="DIP1448"/>
      <c r="DIQ1448"/>
      <c r="DIR1448"/>
      <c r="DIS1448"/>
      <c r="DIT1448"/>
      <c r="DIU1448"/>
      <c r="DIV1448"/>
      <c r="DIW1448"/>
      <c r="DIX1448"/>
      <c r="DIY1448"/>
      <c r="DIZ1448"/>
      <c r="DJA1448"/>
      <c r="DJB1448"/>
      <c r="DJC1448"/>
      <c r="DJD1448"/>
      <c r="DJE1448"/>
      <c r="DJF1448"/>
      <c r="DJG1448"/>
      <c r="DJH1448"/>
      <c r="DJI1448"/>
      <c r="DJJ1448"/>
      <c r="DJK1448"/>
      <c r="DJL1448"/>
      <c r="DJM1448"/>
      <c r="DJN1448"/>
      <c r="DJO1448"/>
      <c r="DJP1448"/>
      <c r="DJQ1448"/>
      <c r="DJR1448"/>
      <c r="DJS1448"/>
      <c r="DJT1448"/>
      <c r="DJU1448"/>
      <c r="DJV1448"/>
      <c r="DJW1448"/>
      <c r="DJX1448"/>
      <c r="DJY1448"/>
      <c r="DJZ1448"/>
      <c r="DKA1448"/>
      <c r="DKB1448"/>
      <c r="DKC1448"/>
      <c r="DKD1448"/>
      <c r="DKE1448"/>
      <c r="DKF1448"/>
      <c r="DKG1448"/>
      <c r="DKH1448"/>
      <c r="DKI1448"/>
      <c r="DKJ1448"/>
      <c r="DKK1448"/>
      <c r="DKL1448"/>
      <c r="DKM1448"/>
      <c r="DKN1448"/>
      <c r="DKO1448"/>
      <c r="DKP1448"/>
      <c r="DKQ1448"/>
      <c r="DKR1448"/>
      <c r="DKS1448"/>
      <c r="DKT1448"/>
      <c r="DKU1448"/>
      <c r="DKV1448"/>
      <c r="DKW1448"/>
      <c r="DKX1448"/>
      <c r="DKY1448"/>
      <c r="DKZ1448"/>
      <c r="DLA1448"/>
      <c r="DLB1448"/>
      <c r="DLC1448"/>
      <c r="DLD1448"/>
      <c r="DLE1448"/>
      <c r="DLF1448"/>
      <c r="DLG1448"/>
      <c r="DLH1448"/>
      <c r="DLI1448"/>
      <c r="DLJ1448"/>
      <c r="DLK1448"/>
      <c r="DLL1448"/>
      <c r="DLM1448"/>
      <c r="DLN1448"/>
      <c r="DLO1448"/>
      <c r="DLP1448"/>
      <c r="DLQ1448"/>
      <c r="DLR1448"/>
      <c r="DLS1448"/>
      <c r="DLT1448"/>
      <c r="DLU1448"/>
      <c r="DLV1448"/>
      <c r="DLW1448"/>
      <c r="DLX1448"/>
      <c r="DLY1448"/>
      <c r="DLZ1448"/>
      <c r="DMA1448"/>
      <c r="DMB1448"/>
      <c r="DMC1448"/>
      <c r="DMD1448"/>
      <c r="DME1448"/>
      <c r="DMF1448"/>
      <c r="DMG1448"/>
      <c r="DMH1448"/>
      <c r="DMI1448"/>
      <c r="DMJ1448"/>
      <c r="DMK1448"/>
      <c r="DML1448"/>
      <c r="DMM1448"/>
      <c r="DMN1448"/>
      <c r="DMO1448"/>
      <c r="DMP1448"/>
      <c r="DMQ1448"/>
      <c r="DMR1448"/>
      <c r="DMS1448"/>
      <c r="DMT1448"/>
      <c r="DMU1448"/>
      <c r="DMV1448"/>
      <c r="DMW1448"/>
      <c r="DMX1448"/>
      <c r="DMY1448"/>
      <c r="DMZ1448"/>
      <c r="DNA1448"/>
      <c r="DNB1448"/>
      <c r="DNC1448"/>
      <c r="DND1448"/>
      <c r="DNE1448"/>
      <c r="DNF1448"/>
      <c r="DNG1448"/>
      <c r="DNH1448"/>
      <c r="DNI1448"/>
      <c r="DNJ1448"/>
      <c r="DNK1448"/>
      <c r="DNL1448"/>
      <c r="DNM1448"/>
      <c r="DNN1448"/>
      <c r="DNO1448"/>
      <c r="DNP1448"/>
      <c r="DNQ1448"/>
      <c r="DNR1448"/>
      <c r="DNS1448"/>
      <c r="DNT1448"/>
      <c r="DNU1448"/>
      <c r="DNV1448"/>
      <c r="DNW1448"/>
      <c r="DNX1448"/>
      <c r="DNY1448"/>
      <c r="DNZ1448"/>
      <c r="DOA1448"/>
      <c r="DOB1448"/>
      <c r="DOC1448"/>
      <c r="DOD1448"/>
      <c r="DOE1448"/>
      <c r="DOF1448"/>
      <c r="DOG1448"/>
      <c r="DOH1448"/>
      <c r="DOI1448"/>
      <c r="DOJ1448"/>
      <c r="DOK1448"/>
      <c r="DOL1448"/>
      <c r="DOM1448"/>
      <c r="DON1448"/>
      <c r="DOO1448"/>
      <c r="DOP1448"/>
      <c r="DOQ1448"/>
      <c r="DOR1448"/>
      <c r="DOS1448"/>
      <c r="DOT1448"/>
      <c r="DOU1448"/>
      <c r="DOV1448"/>
      <c r="DOW1448"/>
      <c r="DOX1448"/>
      <c r="DOY1448"/>
      <c r="DOZ1448"/>
      <c r="DPA1448"/>
      <c r="DPB1448"/>
      <c r="DPC1448"/>
      <c r="DPD1448"/>
      <c r="DPE1448"/>
      <c r="DPF1448"/>
      <c r="DPG1448"/>
      <c r="DPH1448"/>
      <c r="DPI1448"/>
      <c r="DPJ1448"/>
      <c r="DPK1448"/>
      <c r="DPL1448"/>
      <c r="DPM1448"/>
      <c r="DPN1448"/>
      <c r="DPO1448"/>
      <c r="DPP1448"/>
      <c r="DPQ1448"/>
      <c r="DPR1448"/>
      <c r="DPS1448"/>
      <c r="DPT1448"/>
      <c r="DPU1448"/>
      <c r="DPV1448"/>
      <c r="DPW1448"/>
      <c r="DPX1448"/>
      <c r="DPY1448"/>
      <c r="DPZ1448"/>
      <c r="DQA1448"/>
      <c r="DQB1448"/>
      <c r="DQC1448"/>
      <c r="DQD1448"/>
      <c r="DQE1448"/>
      <c r="DQF1448"/>
      <c r="DQG1448"/>
      <c r="DQH1448"/>
      <c r="DQI1448"/>
      <c r="DQJ1448"/>
      <c r="DQK1448"/>
      <c r="DQL1448"/>
      <c r="DQM1448"/>
      <c r="DQN1448"/>
      <c r="DQO1448"/>
      <c r="DQP1448"/>
      <c r="DQQ1448"/>
      <c r="DQR1448"/>
      <c r="DQS1448"/>
      <c r="DQT1448"/>
      <c r="DQU1448"/>
      <c r="DQV1448"/>
      <c r="DQW1448"/>
      <c r="DQX1448"/>
      <c r="DQY1448"/>
      <c r="DQZ1448"/>
      <c r="DRA1448"/>
      <c r="DRB1448"/>
      <c r="DRC1448"/>
      <c r="DRD1448"/>
      <c r="DRE1448"/>
      <c r="DRF1448"/>
      <c r="DRG1448"/>
      <c r="DRH1448"/>
      <c r="DRI1448"/>
      <c r="DRJ1448"/>
      <c r="DRK1448"/>
      <c r="DRL1448"/>
      <c r="DRM1448"/>
      <c r="DRN1448"/>
      <c r="DRO1448"/>
      <c r="DRP1448"/>
      <c r="DRQ1448"/>
      <c r="DRR1448"/>
      <c r="DRS1448"/>
      <c r="DRT1448"/>
      <c r="DRU1448"/>
      <c r="DRV1448"/>
      <c r="DRW1448"/>
      <c r="DRX1448"/>
      <c r="DRY1448"/>
      <c r="DRZ1448"/>
      <c r="DSA1448"/>
      <c r="DSB1448"/>
      <c r="DSC1448"/>
      <c r="DSD1448"/>
      <c r="DSE1448"/>
      <c r="DSF1448"/>
      <c r="DSG1448"/>
      <c r="DSH1448"/>
      <c r="DSI1448"/>
      <c r="DSJ1448"/>
      <c r="DSK1448"/>
      <c r="DSL1448"/>
      <c r="DSM1448"/>
      <c r="DSN1448"/>
      <c r="DSO1448"/>
      <c r="DSP1448"/>
      <c r="DSQ1448"/>
      <c r="DSR1448"/>
      <c r="DSS1448"/>
      <c r="DST1448"/>
      <c r="DSU1448"/>
      <c r="DSV1448"/>
      <c r="DSW1448"/>
      <c r="DSX1448"/>
      <c r="DSY1448"/>
      <c r="DSZ1448"/>
      <c r="DTA1448"/>
      <c r="DTB1448"/>
      <c r="DTC1448"/>
      <c r="DTD1448"/>
      <c r="DTE1448"/>
      <c r="DTF1448"/>
      <c r="DTG1448"/>
      <c r="DTH1448"/>
      <c r="DTI1448"/>
      <c r="DTJ1448"/>
      <c r="DTK1448"/>
      <c r="DTL1448"/>
      <c r="DTM1448"/>
      <c r="DTN1448"/>
      <c r="DTO1448"/>
      <c r="DTP1448"/>
      <c r="DTQ1448"/>
      <c r="DTR1448"/>
      <c r="DTS1448"/>
      <c r="DTT1448"/>
      <c r="DTU1448"/>
      <c r="DTV1448"/>
      <c r="DTW1448"/>
      <c r="DTX1448"/>
      <c r="DTY1448"/>
      <c r="DTZ1448"/>
      <c r="DUA1448"/>
      <c r="DUB1448"/>
      <c r="DUC1448"/>
      <c r="DUD1448"/>
      <c r="DUE1448"/>
      <c r="DUF1448"/>
      <c r="DUG1448"/>
      <c r="DUH1448"/>
      <c r="DUI1448"/>
      <c r="DUJ1448"/>
      <c r="DUK1448"/>
      <c r="DUL1448"/>
      <c r="DUM1448"/>
      <c r="DUN1448"/>
      <c r="DUO1448"/>
      <c r="DUP1448"/>
      <c r="DUQ1448"/>
      <c r="DUR1448"/>
      <c r="DUS1448"/>
      <c r="DUT1448"/>
      <c r="DUU1448"/>
      <c r="DUV1448"/>
      <c r="DUW1448"/>
      <c r="DUX1448"/>
      <c r="DUY1448"/>
      <c r="DUZ1448"/>
      <c r="DVA1448"/>
      <c r="DVB1448"/>
      <c r="DVC1448"/>
      <c r="DVD1448"/>
      <c r="DVE1448"/>
      <c r="DVF1448"/>
      <c r="DVG1448"/>
      <c r="DVH1448"/>
      <c r="DVI1448"/>
      <c r="DVJ1448"/>
      <c r="DVK1448"/>
      <c r="DVL1448"/>
      <c r="DVM1448"/>
      <c r="DVN1448"/>
      <c r="DVO1448"/>
      <c r="DVP1448"/>
      <c r="DVQ1448"/>
      <c r="DVR1448"/>
      <c r="DVS1448"/>
      <c r="DVT1448"/>
      <c r="DVU1448"/>
      <c r="DVV1448"/>
      <c r="DVW1448"/>
      <c r="DVX1448"/>
      <c r="DVY1448"/>
      <c r="DVZ1448"/>
      <c r="DWA1448"/>
      <c r="DWB1448"/>
      <c r="DWC1448"/>
      <c r="DWD1448"/>
      <c r="DWE1448"/>
      <c r="DWF1448"/>
      <c r="DWG1448"/>
      <c r="DWH1448"/>
      <c r="DWI1448"/>
      <c r="DWJ1448"/>
      <c r="DWK1448"/>
      <c r="DWL1448"/>
      <c r="DWM1448"/>
      <c r="DWN1448"/>
      <c r="DWO1448"/>
      <c r="DWP1448"/>
      <c r="DWQ1448"/>
      <c r="DWR1448"/>
      <c r="DWS1448"/>
      <c r="DWT1448"/>
      <c r="DWU1448"/>
      <c r="DWV1448"/>
      <c r="DWW1448"/>
      <c r="DWX1448"/>
      <c r="DWY1448"/>
      <c r="DWZ1448"/>
      <c r="DXA1448"/>
      <c r="DXB1448"/>
      <c r="DXC1448"/>
      <c r="DXD1448"/>
      <c r="DXE1448"/>
      <c r="DXF1448"/>
      <c r="DXG1448"/>
      <c r="DXH1448"/>
      <c r="DXI1448"/>
      <c r="DXJ1448"/>
      <c r="DXK1448"/>
      <c r="DXL1448"/>
      <c r="DXM1448"/>
      <c r="DXN1448"/>
      <c r="DXO1448"/>
      <c r="DXP1448"/>
      <c r="DXQ1448"/>
      <c r="DXR1448"/>
      <c r="DXS1448"/>
      <c r="DXT1448"/>
      <c r="DXU1448"/>
      <c r="DXV1448"/>
      <c r="DXW1448"/>
      <c r="DXX1448"/>
      <c r="DXY1448"/>
      <c r="DXZ1448"/>
      <c r="DYA1448"/>
      <c r="DYB1448"/>
      <c r="DYC1448"/>
      <c r="DYD1448"/>
      <c r="DYE1448"/>
      <c r="DYF1448"/>
      <c r="DYG1448"/>
      <c r="DYH1448"/>
      <c r="DYI1448"/>
      <c r="DYJ1448"/>
      <c r="DYK1448"/>
      <c r="DYL1448"/>
      <c r="DYM1448"/>
      <c r="DYN1448"/>
      <c r="DYO1448"/>
      <c r="DYP1448"/>
      <c r="DYQ1448"/>
      <c r="DYR1448"/>
      <c r="DYS1448"/>
      <c r="DYT1448"/>
      <c r="DYU1448"/>
      <c r="DYV1448"/>
      <c r="DYW1448"/>
      <c r="DYX1448"/>
      <c r="DYY1448"/>
      <c r="DYZ1448"/>
      <c r="DZA1448"/>
      <c r="DZB1448"/>
      <c r="DZC1448"/>
      <c r="DZD1448"/>
      <c r="DZE1448"/>
      <c r="DZF1448"/>
      <c r="DZG1448"/>
      <c r="DZH1448"/>
      <c r="DZI1448"/>
      <c r="DZJ1448"/>
      <c r="DZK1448"/>
      <c r="DZL1448"/>
      <c r="DZM1448"/>
      <c r="DZN1448"/>
      <c r="DZO1448"/>
      <c r="DZP1448"/>
      <c r="DZQ1448"/>
      <c r="DZR1448"/>
      <c r="DZS1448"/>
      <c r="DZT1448"/>
      <c r="DZU1448"/>
      <c r="DZV1448"/>
      <c r="DZW1448"/>
      <c r="DZX1448"/>
      <c r="DZY1448"/>
      <c r="DZZ1448"/>
      <c r="EAA1448"/>
      <c r="EAB1448"/>
      <c r="EAC1448"/>
      <c r="EAD1448"/>
      <c r="EAE1448"/>
      <c r="EAF1448"/>
      <c r="EAG1448"/>
      <c r="EAH1448"/>
      <c r="EAI1448"/>
      <c r="EAJ1448"/>
      <c r="EAK1448"/>
      <c r="EAL1448"/>
      <c r="EAM1448"/>
      <c r="EAN1448"/>
      <c r="EAO1448"/>
      <c r="EAP1448"/>
      <c r="EAQ1448"/>
      <c r="EAR1448"/>
      <c r="EAS1448"/>
      <c r="EAT1448"/>
      <c r="EAU1448"/>
      <c r="EAV1448"/>
      <c r="EAW1448"/>
      <c r="EAX1448"/>
      <c r="EAY1448"/>
      <c r="EAZ1448"/>
      <c r="EBA1448"/>
      <c r="EBB1448"/>
      <c r="EBC1448"/>
      <c r="EBD1448"/>
      <c r="EBE1448"/>
      <c r="EBF1448"/>
      <c r="EBG1448"/>
      <c r="EBH1448"/>
      <c r="EBI1448"/>
      <c r="EBJ1448"/>
      <c r="EBK1448"/>
      <c r="EBL1448"/>
      <c r="EBM1448"/>
      <c r="EBN1448"/>
      <c r="EBO1448"/>
      <c r="EBP1448"/>
      <c r="EBQ1448"/>
      <c r="EBR1448"/>
      <c r="EBS1448"/>
      <c r="EBT1448"/>
      <c r="EBU1448"/>
      <c r="EBV1448"/>
      <c r="EBW1448"/>
      <c r="EBX1448"/>
      <c r="EBY1448"/>
      <c r="EBZ1448"/>
      <c r="ECA1448"/>
      <c r="ECB1448"/>
      <c r="ECC1448"/>
      <c r="ECD1448"/>
      <c r="ECE1448"/>
      <c r="ECF1448"/>
      <c r="ECG1448"/>
      <c r="ECH1448"/>
      <c r="ECI1448"/>
      <c r="ECJ1448"/>
      <c r="ECK1448"/>
      <c r="ECL1448"/>
      <c r="ECM1448"/>
      <c r="ECN1448"/>
      <c r="ECO1448"/>
      <c r="ECP1448"/>
      <c r="ECQ1448"/>
      <c r="ECR1448"/>
      <c r="ECS1448"/>
      <c r="ECT1448"/>
      <c r="ECU1448"/>
      <c r="ECV1448"/>
      <c r="ECW1448"/>
      <c r="ECX1448"/>
      <c r="ECY1448"/>
      <c r="ECZ1448"/>
      <c r="EDA1448"/>
      <c r="EDB1448"/>
      <c r="EDC1448"/>
      <c r="EDD1448"/>
      <c r="EDE1448"/>
      <c r="EDF1448"/>
      <c r="EDG1448"/>
      <c r="EDH1448"/>
      <c r="EDI1448"/>
      <c r="EDJ1448"/>
      <c r="EDK1448"/>
      <c r="EDL1448"/>
      <c r="EDM1448"/>
      <c r="EDN1448"/>
      <c r="EDO1448"/>
      <c r="EDP1448"/>
      <c r="EDQ1448"/>
      <c r="EDR1448"/>
      <c r="EDS1448"/>
      <c r="EDT1448"/>
      <c r="EDU1448"/>
      <c r="EDV1448"/>
      <c r="EDW1448"/>
      <c r="EDX1448"/>
      <c r="EDY1448"/>
      <c r="EDZ1448"/>
      <c r="EEA1448"/>
      <c r="EEB1448"/>
      <c r="EEC1448"/>
      <c r="EED1448"/>
      <c r="EEE1448"/>
      <c r="EEF1448"/>
      <c r="EEG1448"/>
      <c r="EEH1448"/>
      <c r="EEI1448"/>
      <c r="EEJ1448"/>
      <c r="EEK1448"/>
      <c r="EEL1448"/>
      <c r="EEM1448"/>
      <c r="EEN1448"/>
      <c r="EEO1448"/>
      <c r="EEP1448"/>
      <c r="EEQ1448"/>
      <c r="EER1448"/>
      <c r="EES1448"/>
      <c r="EET1448"/>
      <c r="EEU1448"/>
      <c r="EEV1448"/>
      <c r="EEW1448"/>
      <c r="EEX1448"/>
      <c r="EEY1448"/>
      <c r="EEZ1448"/>
      <c r="EFA1448"/>
      <c r="EFB1448"/>
      <c r="EFC1448"/>
      <c r="EFD1448"/>
      <c r="EFE1448"/>
      <c r="EFF1448"/>
      <c r="EFG1448"/>
      <c r="EFH1448"/>
      <c r="EFI1448"/>
      <c r="EFJ1448"/>
      <c r="EFK1448"/>
      <c r="EFL1448"/>
      <c r="EFM1448"/>
      <c r="EFN1448"/>
      <c r="EFO1448"/>
      <c r="EFP1448"/>
      <c r="EFQ1448"/>
      <c r="EFR1448"/>
      <c r="EFS1448"/>
      <c r="EFT1448"/>
      <c r="EFU1448"/>
      <c r="EFV1448"/>
      <c r="EFW1448"/>
      <c r="EFX1448"/>
      <c r="EFY1448"/>
      <c r="EFZ1448"/>
      <c r="EGA1448"/>
      <c r="EGB1448"/>
      <c r="EGC1448"/>
      <c r="EGD1448"/>
      <c r="EGE1448"/>
      <c r="EGF1448"/>
      <c r="EGG1448"/>
      <c r="EGH1448"/>
      <c r="EGI1448"/>
      <c r="EGJ1448"/>
      <c r="EGK1448"/>
      <c r="EGL1448"/>
      <c r="EGM1448"/>
      <c r="EGN1448"/>
      <c r="EGO1448"/>
      <c r="EGP1448"/>
      <c r="EGQ1448"/>
      <c r="EGR1448"/>
      <c r="EGS1448"/>
      <c r="EGT1448"/>
      <c r="EGU1448"/>
      <c r="EGV1448"/>
      <c r="EGW1448"/>
      <c r="EGX1448"/>
      <c r="EGY1448"/>
      <c r="EGZ1448"/>
      <c r="EHA1448"/>
      <c r="EHB1448"/>
      <c r="EHC1448"/>
      <c r="EHD1448"/>
      <c r="EHE1448"/>
      <c r="EHF1448"/>
      <c r="EHG1448"/>
      <c r="EHH1448"/>
      <c r="EHI1448"/>
      <c r="EHJ1448"/>
      <c r="EHK1448"/>
      <c r="EHL1448"/>
      <c r="EHM1448"/>
      <c r="EHN1448"/>
      <c r="EHO1448"/>
      <c r="EHP1448"/>
      <c r="EHQ1448"/>
      <c r="EHR1448"/>
      <c r="EHS1448"/>
      <c r="EHT1448"/>
      <c r="EHU1448"/>
      <c r="EHV1448"/>
      <c r="EHW1448"/>
      <c r="EHX1448"/>
      <c r="EHY1448"/>
      <c r="EHZ1448"/>
      <c r="EIA1448"/>
      <c r="EIB1448"/>
      <c r="EIC1448"/>
      <c r="EID1448"/>
      <c r="EIE1448"/>
      <c r="EIF1448"/>
      <c r="EIG1448"/>
      <c r="EIH1448"/>
      <c r="EII1448"/>
      <c r="EIJ1448"/>
      <c r="EIK1448"/>
      <c r="EIL1448"/>
      <c r="EIM1448"/>
      <c r="EIN1448"/>
      <c r="EIO1448"/>
      <c r="EIP1448"/>
      <c r="EIQ1448"/>
      <c r="EIR1448"/>
      <c r="EIS1448"/>
      <c r="EIT1448"/>
      <c r="EIU1448"/>
      <c r="EIV1448"/>
      <c r="EIW1448"/>
      <c r="EIX1448"/>
      <c r="EIY1448"/>
      <c r="EIZ1448"/>
      <c r="EJA1448"/>
      <c r="EJB1448"/>
      <c r="EJC1448"/>
      <c r="EJD1448"/>
      <c r="EJE1448"/>
      <c r="EJF1448"/>
      <c r="EJG1448"/>
      <c r="EJH1448"/>
      <c r="EJI1448"/>
      <c r="EJJ1448"/>
      <c r="EJK1448"/>
      <c r="EJL1448"/>
      <c r="EJM1448"/>
      <c r="EJN1448"/>
      <c r="EJO1448"/>
      <c r="EJP1448"/>
      <c r="EJQ1448"/>
      <c r="EJR1448"/>
      <c r="EJS1448"/>
      <c r="EJT1448"/>
      <c r="EJU1448"/>
      <c r="EJV1448"/>
      <c r="EJW1448"/>
      <c r="EJX1448"/>
      <c r="EJY1448"/>
      <c r="EJZ1448"/>
      <c r="EKA1448"/>
      <c r="EKB1448"/>
      <c r="EKC1448"/>
      <c r="EKD1448"/>
      <c r="EKE1448"/>
      <c r="EKF1448"/>
      <c r="EKG1448"/>
      <c r="EKH1448"/>
      <c r="EKI1448"/>
      <c r="EKJ1448"/>
      <c r="EKK1448"/>
      <c r="EKL1448"/>
      <c r="EKM1448"/>
      <c r="EKN1448"/>
      <c r="EKO1448"/>
      <c r="EKP1448"/>
      <c r="EKQ1448"/>
      <c r="EKR1448"/>
      <c r="EKS1448"/>
      <c r="EKT1448"/>
      <c r="EKU1448"/>
      <c r="EKV1448"/>
      <c r="EKW1448"/>
      <c r="EKX1448"/>
      <c r="EKY1448"/>
      <c r="EKZ1448"/>
      <c r="ELA1448"/>
      <c r="ELB1448"/>
      <c r="ELC1448"/>
      <c r="ELD1448"/>
      <c r="ELE1448"/>
      <c r="ELF1448"/>
      <c r="ELG1448"/>
      <c r="ELH1448"/>
      <c r="ELI1448"/>
      <c r="ELJ1448"/>
      <c r="ELK1448"/>
      <c r="ELL1448"/>
      <c r="ELM1448"/>
      <c r="ELN1448"/>
      <c r="ELO1448"/>
      <c r="ELP1448"/>
      <c r="ELQ1448"/>
      <c r="ELR1448"/>
      <c r="ELS1448"/>
      <c r="ELT1448"/>
      <c r="ELU1448"/>
      <c r="ELV1448"/>
      <c r="ELW1448"/>
      <c r="ELX1448"/>
      <c r="ELY1448"/>
      <c r="ELZ1448"/>
      <c r="EMA1448"/>
      <c r="EMB1448"/>
      <c r="EMC1448"/>
      <c r="EMD1448"/>
      <c r="EME1448"/>
      <c r="EMF1448"/>
      <c r="EMG1448"/>
      <c r="EMH1448"/>
      <c r="EMI1448"/>
      <c r="EMJ1448"/>
      <c r="EMK1448"/>
      <c r="EML1448"/>
      <c r="EMM1448"/>
      <c r="EMN1448"/>
      <c r="EMO1448"/>
      <c r="EMP1448"/>
      <c r="EMQ1448"/>
      <c r="EMR1448"/>
      <c r="EMS1448"/>
      <c r="EMT1448"/>
      <c r="EMU1448"/>
      <c r="EMV1448"/>
      <c r="EMW1448"/>
      <c r="EMX1448"/>
      <c r="EMY1448"/>
      <c r="EMZ1448"/>
      <c r="ENA1448"/>
      <c r="ENB1448"/>
      <c r="ENC1448"/>
      <c r="END1448"/>
      <c r="ENE1448"/>
      <c r="ENF1448"/>
      <c r="ENG1448"/>
      <c r="ENH1448"/>
      <c r="ENI1448"/>
      <c r="ENJ1448"/>
      <c r="ENK1448"/>
      <c r="ENL1448"/>
      <c r="ENM1448"/>
      <c r="ENN1448"/>
      <c r="ENO1448"/>
      <c r="ENP1448"/>
      <c r="ENQ1448"/>
      <c r="ENR1448"/>
      <c r="ENS1448"/>
      <c r="ENT1448"/>
      <c r="ENU1448"/>
      <c r="ENV1448"/>
      <c r="ENW1448"/>
      <c r="ENX1448"/>
      <c r="ENY1448"/>
      <c r="ENZ1448"/>
      <c r="EOA1448"/>
      <c r="EOB1448"/>
      <c r="EOC1448"/>
      <c r="EOD1448"/>
      <c r="EOE1448"/>
      <c r="EOF1448"/>
      <c r="EOG1448"/>
      <c r="EOH1448"/>
      <c r="EOI1448"/>
      <c r="EOJ1448"/>
      <c r="EOK1448"/>
      <c r="EOL1448"/>
      <c r="EOM1448"/>
      <c r="EON1448"/>
      <c r="EOO1448"/>
      <c r="EOP1448"/>
      <c r="EOQ1448"/>
      <c r="EOR1448"/>
      <c r="EOS1448"/>
      <c r="EOT1448"/>
      <c r="EOU1448"/>
      <c r="EOV1448"/>
      <c r="EOW1448"/>
      <c r="EOX1448"/>
      <c r="EOY1448"/>
      <c r="EOZ1448"/>
      <c r="EPA1448"/>
      <c r="EPB1448"/>
      <c r="EPC1448"/>
      <c r="EPD1448"/>
      <c r="EPE1448"/>
      <c r="EPF1448"/>
      <c r="EPG1448"/>
      <c r="EPH1448"/>
      <c r="EPI1448"/>
      <c r="EPJ1448"/>
      <c r="EPK1448"/>
      <c r="EPL1448"/>
      <c r="EPM1448"/>
      <c r="EPN1448"/>
      <c r="EPO1448"/>
      <c r="EPP1448"/>
      <c r="EPQ1448"/>
      <c r="EPR1448"/>
      <c r="EPS1448"/>
      <c r="EPT1448"/>
      <c r="EPU1448"/>
      <c r="EPV1448"/>
      <c r="EPW1448"/>
      <c r="EPX1448"/>
      <c r="EPY1448"/>
      <c r="EPZ1448"/>
      <c r="EQA1448"/>
      <c r="EQB1448"/>
      <c r="EQC1448"/>
      <c r="EQD1448"/>
      <c r="EQE1448"/>
      <c r="EQF1448"/>
      <c r="EQG1448"/>
      <c r="EQH1448"/>
      <c r="EQI1448"/>
      <c r="EQJ1448"/>
      <c r="EQK1448"/>
      <c r="EQL1448"/>
      <c r="EQM1448"/>
      <c r="EQN1448"/>
      <c r="EQO1448"/>
      <c r="EQP1448"/>
      <c r="EQQ1448"/>
      <c r="EQR1448"/>
      <c r="EQS1448"/>
      <c r="EQT1448"/>
      <c r="EQU1448"/>
      <c r="EQV1448"/>
      <c r="EQW1448"/>
      <c r="EQX1448"/>
      <c r="EQY1448"/>
      <c r="EQZ1448"/>
      <c r="ERA1448"/>
      <c r="ERB1448"/>
      <c r="ERC1448"/>
      <c r="ERD1448"/>
      <c r="ERE1448"/>
      <c r="ERF1448"/>
      <c r="ERG1448"/>
      <c r="ERH1448"/>
      <c r="ERI1448"/>
      <c r="ERJ1448"/>
      <c r="ERK1448"/>
      <c r="ERL1448"/>
      <c r="ERM1448"/>
      <c r="ERN1448"/>
      <c r="ERO1448"/>
      <c r="ERP1448"/>
      <c r="ERQ1448"/>
      <c r="ERR1448"/>
      <c r="ERS1448"/>
      <c r="ERT1448"/>
      <c r="ERU1448"/>
      <c r="ERV1448"/>
      <c r="ERW1448"/>
      <c r="ERX1448"/>
      <c r="ERY1448"/>
      <c r="ERZ1448"/>
      <c r="ESA1448"/>
      <c r="ESB1448"/>
      <c r="ESC1448"/>
      <c r="ESD1448"/>
      <c r="ESE1448"/>
      <c r="ESF1448"/>
      <c r="ESG1448"/>
      <c r="ESH1448"/>
      <c r="ESI1448"/>
      <c r="ESJ1448"/>
      <c r="ESK1448"/>
      <c r="ESL1448"/>
      <c r="ESM1448"/>
      <c r="ESN1448"/>
      <c r="ESO1448"/>
      <c r="ESP1448"/>
      <c r="ESQ1448"/>
      <c r="ESR1448"/>
      <c r="ESS1448"/>
      <c r="EST1448"/>
      <c r="ESU1448"/>
      <c r="ESV1448"/>
      <c r="ESW1448"/>
      <c r="ESX1448"/>
      <c r="ESY1448"/>
      <c r="ESZ1448"/>
      <c r="ETA1448"/>
      <c r="ETB1448"/>
      <c r="ETC1448"/>
      <c r="ETD1448"/>
      <c r="ETE1448"/>
      <c r="ETF1448"/>
      <c r="ETG1448"/>
      <c r="ETH1448"/>
      <c r="ETI1448"/>
      <c r="ETJ1448"/>
      <c r="ETK1448"/>
      <c r="ETL1448"/>
      <c r="ETM1448"/>
      <c r="ETN1448"/>
      <c r="ETO1448"/>
      <c r="ETP1448"/>
      <c r="ETQ1448"/>
      <c r="ETR1448"/>
      <c r="ETS1448"/>
      <c r="ETT1448"/>
      <c r="ETU1448"/>
      <c r="ETV1448"/>
      <c r="ETW1448"/>
      <c r="ETX1448"/>
      <c r="ETY1448"/>
      <c r="ETZ1448"/>
      <c r="EUA1448"/>
      <c r="EUB1448"/>
      <c r="EUC1448"/>
      <c r="EUD1448"/>
      <c r="EUE1448"/>
      <c r="EUF1448"/>
      <c r="EUG1448"/>
      <c r="EUH1448"/>
      <c r="EUI1448"/>
      <c r="EUJ1448"/>
      <c r="EUK1448"/>
      <c r="EUL1448"/>
      <c r="EUM1448"/>
      <c r="EUN1448"/>
      <c r="EUO1448"/>
      <c r="EUP1448"/>
      <c r="EUQ1448"/>
      <c r="EUR1448"/>
      <c r="EUS1448"/>
      <c r="EUT1448"/>
      <c r="EUU1448"/>
      <c r="EUV1448"/>
      <c r="EUW1448"/>
      <c r="EUX1448"/>
      <c r="EUY1448"/>
      <c r="EUZ1448"/>
      <c r="EVA1448"/>
      <c r="EVB1448"/>
      <c r="EVC1448"/>
      <c r="EVD1448"/>
      <c r="EVE1448"/>
      <c r="EVF1448"/>
      <c r="EVG1448"/>
      <c r="EVH1448"/>
      <c r="EVI1448"/>
      <c r="EVJ1448"/>
      <c r="EVK1448"/>
      <c r="EVL1448"/>
      <c r="EVM1448"/>
      <c r="EVN1448"/>
      <c r="EVO1448"/>
      <c r="EVP1448"/>
      <c r="EVQ1448"/>
      <c r="EVR1448"/>
      <c r="EVS1448"/>
      <c r="EVT1448"/>
      <c r="EVU1448"/>
      <c r="EVV1448"/>
      <c r="EVW1448"/>
      <c r="EVX1448"/>
      <c r="EVY1448"/>
      <c r="EVZ1448"/>
      <c r="EWA1448"/>
      <c r="EWB1448"/>
      <c r="EWC1448"/>
      <c r="EWD1448"/>
      <c r="EWE1448"/>
      <c r="EWF1448"/>
      <c r="EWG1448"/>
      <c r="EWH1448"/>
      <c r="EWI1448"/>
      <c r="EWJ1448"/>
      <c r="EWK1448"/>
      <c r="EWL1448"/>
      <c r="EWM1448"/>
      <c r="EWN1448"/>
      <c r="EWO1448"/>
      <c r="EWP1448"/>
      <c r="EWQ1448"/>
      <c r="EWR1448"/>
      <c r="EWS1448"/>
      <c r="EWT1448"/>
      <c r="EWU1448"/>
      <c r="EWV1448"/>
      <c r="EWW1448"/>
      <c r="EWX1448"/>
      <c r="EWY1448"/>
      <c r="EWZ1448"/>
      <c r="EXA1448"/>
      <c r="EXB1448"/>
      <c r="EXC1448"/>
      <c r="EXD1448"/>
      <c r="EXE1448"/>
      <c r="EXF1448"/>
      <c r="EXG1448"/>
      <c r="EXH1448"/>
      <c r="EXI1448"/>
      <c r="EXJ1448"/>
      <c r="EXK1448"/>
      <c r="EXL1448"/>
      <c r="EXM1448"/>
      <c r="EXN1448"/>
      <c r="EXO1448"/>
      <c r="EXP1448"/>
      <c r="EXQ1448"/>
      <c r="EXR1448"/>
      <c r="EXS1448"/>
      <c r="EXT1448"/>
      <c r="EXU1448"/>
      <c r="EXV1448"/>
      <c r="EXW1448"/>
      <c r="EXX1448"/>
      <c r="EXY1448"/>
      <c r="EXZ1448"/>
      <c r="EYA1448"/>
      <c r="EYB1448"/>
      <c r="EYC1448"/>
      <c r="EYD1448"/>
      <c r="EYE1448"/>
      <c r="EYF1448"/>
      <c r="EYG1448"/>
      <c r="EYH1448"/>
      <c r="EYI1448"/>
      <c r="EYJ1448"/>
      <c r="EYK1448"/>
      <c r="EYL1448"/>
      <c r="EYM1448"/>
      <c r="EYN1448"/>
      <c r="EYO1448"/>
      <c r="EYP1448"/>
      <c r="EYQ1448"/>
      <c r="EYR1448"/>
      <c r="EYS1448"/>
      <c r="EYT1448"/>
      <c r="EYU1448"/>
      <c r="EYV1448"/>
      <c r="EYW1448"/>
      <c r="EYX1448"/>
      <c r="EYY1448"/>
      <c r="EYZ1448"/>
      <c r="EZA1448"/>
      <c r="EZB1448"/>
      <c r="EZC1448"/>
      <c r="EZD1448"/>
      <c r="EZE1448"/>
      <c r="EZF1448"/>
      <c r="EZG1448"/>
      <c r="EZH1448"/>
      <c r="EZI1448"/>
      <c r="EZJ1448"/>
      <c r="EZK1448"/>
      <c r="EZL1448"/>
      <c r="EZM1448"/>
      <c r="EZN1448"/>
      <c r="EZO1448"/>
      <c r="EZP1448"/>
      <c r="EZQ1448"/>
      <c r="EZR1448"/>
      <c r="EZS1448"/>
      <c r="EZT1448"/>
      <c r="EZU1448"/>
      <c r="EZV1448"/>
      <c r="EZW1448"/>
      <c r="EZX1448"/>
      <c r="EZY1448"/>
      <c r="EZZ1448"/>
      <c r="FAA1448"/>
      <c r="FAB1448"/>
      <c r="FAC1448"/>
      <c r="FAD1448"/>
      <c r="FAE1448"/>
      <c r="FAF1448"/>
      <c r="FAG1448"/>
      <c r="FAH1448"/>
      <c r="FAI1448"/>
      <c r="FAJ1448"/>
      <c r="FAK1448"/>
      <c r="FAL1448"/>
      <c r="FAM1448"/>
      <c r="FAN1448"/>
      <c r="FAO1448"/>
      <c r="FAP1448"/>
      <c r="FAQ1448"/>
      <c r="FAR1448"/>
      <c r="FAS1448"/>
      <c r="FAT1448"/>
      <c r="FAU1448"/>
      <c r="FAV1448"/>
      <c r="FAW1448"/>
      <c r="FAX1448"/>
      <c r="FAY1448"/>
      <c r="FAZ1448"/>
      <c r="FBA1448"/>
      <c r="FBB1448"/>
      <c r="FBC1448"/>
      <c r="FBD1448"/>
      <c r="FBE1448"/>
      <c r="FBF1448"/>
      <c r="FBG1448"/>
      <c r="FBH1448"/>
      <c r="FBI1448"/>
      <c r="FBJ1448"/>
      <c r="FBK1448"/>
      <c r="FBL1448"/>
      <c r="FBM1448"/>
      <c r="FBN1448"/>
      <c r="FBO1448"/>
      <c r="FBP1448"/>
      <c r="FBQ1448"/>
      <c r="FBR1448"/>
      <c r="FBS1448"/>
      <c r="FBT1448"/>
      <c r="FBU1448"/>
      <c r="FBV1448"/>
      <c r="FBW1448"/>
      <c r="FBX1448"/>
      <c r="FBY1448"/>
      <c r="FBZ1448"/>
      <c r="FCA1448"/>
      <c r="FCB1448"/>
      <c r="FCC1448"/>
      <c r="FCD1448"/>
      <c r="FCE1448"/>
      <c r="FCF1448"/>
      <c r="FCG1448"/>
      <c r="FCH1448"/>
      <c r="FCI1448"/>
      <c r="FCJ1448"/>
      <c r="FCK1448"/>
      <c r="FCL1448"/>
      <c r="FCM1448"/>
      <c r="FCN1448"/>
      <c r="FCO1448"/>
      <c r="FCP1448"/>
      <c r="FCQ1448"/>
      <c r="FCR1448"/>
      <c r="FCS1448"/>
      <c r="FCT1448"/>
      <c r="FCU1448"/>
      <c r="FCV1448"/>
      <c r="FCW1448"/>
      <c r="FCX1448"/>
      <c r="FCY1448"/>
      <c r="FCZ1448"/>
      <c r="FDA1448"/>
      <c r="FDB1448"/>
      <c r="FDC1448"/>
      <c r="FDD1448"/>
      <c r="FDE1448"/>
      <c r="FDF1448"/>
      <c r="FDG1448"/>
      <c r="FDH1448"/>
      <c r="FDI1448"/>
      <c r="FDJ1448"/>
      <c r="FDK1448"/>
      <c r="FDL1448"/>
      <c r="FDM1448"/>
      <c r="FDN1448"/>
      <c r="FDO1448"/>
      <c r="FDP1448"/>
      <c r="FDQ1448"/>
      <c r="FDR1448"/>
      <c r="FDS1448"/>
      <c r="FDT1448"/>
      <c r="FDU1448"/>
      <c r="FDV1448"/>
      <c r="FDW1448"/>
      <c r="FDX1448"/>
      <c r="FDY1448"/>
      <c r="FDZ1448"/>
      <c r="FEA1448"/>
      <c r="FEB1448"/>
      <c r="FEC1448"/>
      <c r="FED1448"/>
      <c r="FEE1448"/>
      <c r="FEF1448"/>
      <c r="FEG1448"/>
      <c r="FEH1448"/>
      <c r="FEI1448"/>
      <c r="FEJ1448"/>
      <c r="FEK1448"/>
      <c r="FEL1448"/>
      <c r="FEM1448"/>
      <c r="FEN1448"/>
      <c r="FEO1448"/>
      <c r="FEP1448"/>
      <c r="FEQ1448"/>
      <c r="FER1448"/>
      <c r="FES1448"/>
      <c r="FET1448"/>
      <c r="FEU1448"/>
      <c r="FEV1448"/>
      <c r="FEW1448"/>
      <c r="FEX1448"/>
      <c r="FEY1448"/>
      <c r="FEZ1448"/>
      <c r="FFA1448"/>
      <c r="FFB1448"/>
      <c r="FFC1448"/>
      <c r="FFD1448"/>
      <c r="FFE1448"/>
      <c r="FFF1448"/>
      <c r="FFG1448"/>
      <c r="FFH1448"/>
      <c r="FFI1448"/>
      <c r="FFJ1448"/>
      <c r="FFK1448"/>
      <c r="FFL1448"/>
      <c r="FFM1448"/>
      <c r="FFN1448"/>
      <c r="FFO1448"/>
      <c r="FFP1448"/>
      <c r="FFQ1448"/>
      <c r="FFR1448"/>
      <c r="FFS1448"/>
      <c r="FFT1448"/>
      <c r="FFU1448"/>
      <c r="FFV1448"/>
      <c r="FFW1448"/>
      <c r="FFX1448"/>
      <c r="FFY1448"/>
      <c r="FFZ1448"/>
      <c r="FGA1448"/>
      <c r="FGB1448"/>
      <c r="FGC1448"/>
      <c r="FGD1448"/>
      <c r="FGE1448"/>
      <c r="FGF1448"/>
      <c r="FGG1448"/>
      <c r="FGH1448"/>
      <c r="FGI1448"/>
      <c r="FGJ1448"/>
      <c r="FGK1448"/>
      <c r="FGL1448"/>
      <c r="FGM1448"/>
      <c r="FGN1448"/>
      <c r="FGO1448"/>
      <c r="FGP1448"/>
      <c r="FGQ1448"/>
      <c r="FGR1448"/>
      <c r="FGS1448"/>
      <c r="FGT1448"/>
      <c r="FGU1448"/>
      <c r="FGV1448"/>
      <c r="FGW1448"/>
      <c r="FGX1448"/>
      <c r="FGY1448"/>
      <c r="FGZ1448"/>
      <c r="FHA1448"/>
      <c r="FHB1448"/>
      <c r="FHC1448"/>
      <c r="FHD1448"/>
      <c r="FHE1448"/>
      <c r="FHF1448"/>
      <c r="FHG1448"/>
      <c r="FHH1448"/>
      <c r="FHI1448"/>
      <c r="FHJ1448"/>
      <c r="FHK1448"/>
      <c r="FHL1448"/>
      <c r="FHM1448"/>
      <c r="FHN1448"/>
      <c r="FHO1448"/>
      <c r="FHP1448"/>
      <c r="FHQ1448"/>
      <c r="FHR1448"/>
      <c r="FHS1448"/>
      <c r="FHT1448"/>
      <c r="FHU1448"/>
      <c r="FHV1448"/>
      <c r="FHW1448"/>
      <c r="FHX1448"/>
      <c r="FHY1448"/>
      <c r="FHZ1448"/>
      <c r="FIA1448"/>
      <c r="FIB1448"/>
      <c r="FIC1448"/>
      <c r="FID1448"/>
      <c r="FIE1448"/>
      <c r="FIF1448"/>
      <c r="FIG1448"/>
      <c r="FIH1448"/>
      <c r="FII1448"/>
      <c r="FIJ1448"/>
      <c r="FIK1448"/>
      <c r="FIL1448"/>
      <c r="FIM1448"/>
      <c r="FIN1448"/>
      <c r="FIO1448"/>
      <c r="FIP1448"/>
      <c r="FIQ1448"/>
      <c r="FIR1448"/>
      <c r="FIS1448"/>
      <c r="FIT1448"/>
      <c r="FIU1448"/>
      <c r="FIV1448"/>
      <c r="FIW1448"/>
      <c r="FIX1448"/>
      <c r="FIY1448"/>
      <c r="FIZ1448"/>
      <c r="FJA1448"/>
      <c r="FJB1448"/>
      <c r="FJC1448"/>
      <c r="FJD1448"/>
      <c r="FJE1448"/>
      <c r="FJF1448"/>
      <c r="FJG1448"/>
      <c r="FJH1448"/>
      <c r="FJI1448"/>
      <c r="FJJ1448"/>
      <c r="FJK1448"/>
      <c r="FJL1448"/>
      <c r="FJM1448"/>
      <c r="FJN1448"/>
      <c r="FJO1448"/>
      <c r="FJP1448"/>
      <c r="FJQ1448"/>
      <c r="FJR1448"/>
      <c r="FJS1448"/>
      <c r="FJT1448"/>
      <c r="FJU1448"/>
      <c r="FJV1448"/>
      <c r="FJW1448"/>
      <c r="FJX1448"/>
      <c r="FJY1448"/>
      <c r="FJZ1448"/>
      <c r="FKA1448"/>
      <c r="FKB1448"/>
      <c r="FKC1448"/>
      <c r="FKD1448"/>
      <c r="FKE1448"/>
      <c r="FKF1448"/>
      <c r="FKG1448"/>
      <c r="FKH1448"/>
      <c r="FKI1448"/>
      <c r="FKJ1448"/>
      <c r="FKK1448"/>
      <c r="FKL1448"/>
      <c r="FKM1448"/>
      <c r="FKN1448"/>
      <c r="FKO1448"/>
      <c r="FKP1448"/>
      <c r="FKQ1448"/>
      <c r="FKR1448"/>
      <c r="FKS1448"/>
      <c r="FKT1448"/>
      <c r="FKU1448"/>
      <c r="FKV1448"/>
      <c r="FKW1448"/>
      <c r="FKX1448"/>
      <c r="FKY1448"/>
      <c r="FKZ1448"/>
      <c r="FLA1448"/>
      <c r="FLB1448"/>
      <c r="FLC1448"/>
      <c r="FLD1448"/>
      <c r="FLE1448"/>
      <c r="FLF1448"/>
      <c r="FLG1448"/>
      <c r="FLH1448"/>
      <c r="FLI1448"/>
      <c r="FLJ1448"/>
      <c r="FLK1448"/>
      <c r="FLL1448"/>
      <c r="FLM1448"/>
      <c r="FLN1448"/>
      <c r="FLO1448"/>
      <c r="FLP1448"/>
      <c r="FLQ1448"/>
      <c r="FLR1448"/>
      <c r="FLS1448"/>
      <c r="FLT1448"/>
      <c r="FLU1448"/>
      <c r="FLV1448"/>
      <c r="FLW1448"/>
      <c r="FLX1448"/>
      <c r="FLY1448"/>
      <c r="FLZ1448"/>
      <c r="FMA1448"/>
      <c r="FMB1448"/>
      <c r="FMC1448"/>
      <c r="FMD1448"/>
      <c r="FME1448"/>
      <c r="FMF1448"/>
      <c r="FMG1448"/>
      <c r="FMH1448"/>
      <c r="FMI1448"/>
      <c r="FMJ1448"/>
      <c r="FMK1448"/>
      <c r="FML1448"/>
      <c r="FMM1448"/>
      <c r="FMN1448"/>
      <c r="FMO1448"/>
      <c r="FMP1448"/>
      <c r="FMQ1448"/>
      <c r="FMR1448"/>
      <c r="FMS1448"/>
      <c r="FMT1448"/>
      <c r="FMU1448"/>
      <c r="FMV1448"/>
      <c r="FMW1448"/>
      <c r="FMX1448"/>
      <c r="FMY1448"/>
      <c r="FMZ1448"/>
      <c r="FNA1448"/>
      <c r="FNB1448"/>
      <c r="FNC1448"/>
      <c r="FND1448"/>
      <c r="FNE1448"/>
      <c r="FNF1448"/>
      <c r="FNG1448"/>
      <c r="FNH1448"/>
      <c r="FNI1448"/>
      <c r="FNJ1448"/>
      <c r="FNK1448"/>
      <c r="FNL1448"/>
      <c r="FNM1448"/>
      <c r="FNN1448"/>
      <c r="FNO1448"/>
      <c r="FNP1448"/>
      <c r="FNQ1448"/>
      <c r="FNR1448"/>
      <c r="FNS1448"/>
      <c r="FNT1448"/>
      <c r="FNU1448"/>
      <c r="FNV1448"/>
      <c r="FNW1448"/>
      <c r="FNX1448"/>
      <c r="FNY1448"/>
      <c r="FNZ1448"/>
      <c r="FOA1448"/>
      <c r="FOB1448"/>
      <c r="FOC1448"/>
      <c r="FOD1448"/>
      <c r="FOE1448"/>
      <c r="FOF1448"/>
      <c r="FOG1448"/>
      <c r="FOH1448"/>
      <c r="FOI1448"/>
      <c r="FOJ1448"/>
      <c r="FOK1448"/>
      <c r="FOL1448"/>
      <c r="FOM1448"/>
      <c r="FON1448"/>
      <c r="FOO1448"/>
      <c r="FOP1448"/>
      <c r="FOQ1448"/>
      <c r="FOR1448"/>
      <c r="FOS1448"/>
      <c r="FOT1448"/>
      <c r="FOU1448"/>
      <c r="FOV1448"/>
      <c r="FOW1448"/>
      <c r="FOX1448"/>
      <c r="FOY1448"/>
      <c r="FOZ1448"/>
      <c r="FPA1448"/>
      <c r="FPB1448"/>
      <c r="FPC1448"/>
      <c r="FPD1448"/>
      <c r="FPE1448"/>
      <c r="FPF1448"/>
      <c r="FPG1448"/>
      <c r="FPH1448"/>
      <c r="FPI1448"/>
      <c r="FPJ1448"/>
      <c r="FPK1448"/>
      <c r="FPL1448"/>
      <c r="FPM1448"/>
      <c r="FPN1448"/>
      <c r="FPO1448"/>
      <c r="FPP1448"/>
      <c r="FPQ1448"/>
      <c r="FPR1448"/>
      <c r="FPS1448"/>
      <c r="FPT1448"/>
      <c r="FPU1448"/>
      <c r="FPV1448"/>
      <c r="FPW1448"/>
      <c r="FPX1448"/>
      <c r="FPY1448"/>
      <c r="FPZ1448"/>
      <c r="FQA1448"/>
      <c r="FQB1448"/>
      <c r="FQC1448"/>
      <c r="FQD1448"/>
      <c r="FQE1448"/>
      <c r="FQF1448"/>
      <c r="FQG1448"/>
      <c r="FQH1448"/>
      <c r="FQI1448"/>
      <c r="FQJ1448"/>
      <c r="FQK1448"/>
      <c r="FQL1448"/>
      <c r="FQM1448"/>
      <c r="FQN1448"/>
      <c r="FQO1448"/>
      <c r="FQP1448"/>
      <c r="FQQ1448"/>
      <c r="FQR1448"/>
      <c r="FQS1448"/>
      <c r="FQT1448"/>
      <c r="FQU1448"/>
      <c r="FQV1448"/>
      <c r="FQW1448"/>
      <c r="FQX1448"/>
      <c r="FQY1448"/>
      <c r="FQZ1448"/>
      <c r="FRA1448"/>
      <c r="FRB1448"/>
      <c r="FRC1448"/>
      <c r="FRD1448"/>
      <c r="FRE1448"/>
      <c r="FRF1448"/>
      <c r="FRG1448"/>
      <c r="FRH1448"/>
      <c r="FRI1448"/>
      <c r="FRJ1448"/>
      <c r="FRK1448"/>
      <c r="FRL1448"/>
      <c r="FRM1448"/>
      <c r="FRN1448"/>
      <c r="FRO1448"/>
      <c r="FRP1448"/>
      <c r="FRQ1448"/>
      <c r="FRR1448"/>
      <c r="FRS1448"/>
      <c r="FRT1448"/>
      <c r="FRU1448"/>
      <c r="FRV1448"/>
      <c r="FRW1448"/>
      <c r="FRX1448"/>
      <c r="FRY1448"/>
      <c r="FRZ1448"/>
      <c r="FSA1448"/>
      <c r="FSB1448"/>
      <c r="FSC1448"/>
      <c r="FSD1448"/>
      <c r="FSE1448"/>
      <c r="FSF1448"/>
      <c r="FSG1448"/>
      <c r="FSH1448"/>
      <c r="FSI1448"/>
      <c r="FSJ1448"/>
      <c r="FSK1448"/>
      <c r="FSL1448"/>
      <c r="FSM1448"/>
      <c r="FSN1448"/>
      <c r="FSO1448"/>
      <c r="FSP1448"/>
      <c r="FSQ1448"/>
      <c r="FSR1448"/>
      <c r="FSS1448"/>
      <c r="FST1448"/>
      <c r="FSU1448"/>
      <c r="FSV1448"/>
      <c r="FSW1448"/>
      <c r="FSX1448"/>
      <c r="FSY1448"/>
      <c r="FSZ1448"/>
      <c r="FTA1448"/>
      <c r="FTB1448"/>
      <c r="FTC1448"/>
      <c r="FTD1448"/>
      <c r="FTE1448"/>
      <c r="FTF1448"/>
      <c r="FTG1448"/>
      <c r="FTH1448"/>
      <c r="FTI1448"/>
      <c r="FTJ1448"/>
      <c r="FTK1448"/>
      <c r="FTL1448"/>
      <c r="FTM1448"/>
      <c r="FTN1448"/>
      <c r="FTO1448"/>
      <c r="FTP1448"/>
      <c r="FTQ1448"/>
      <c r="FTR1448"/>
      <c r="FTS1448"/>
      <c r="FTT1448"/>
      <c r="FTU1448"/>
      <c r="FTV1448"/>
      <c r="FTW1448"/>
      <c r="FTX1448"/>
      <c r="FTY1448"/>
      <c r="FTZ1448"/>
      <c r="FUA1448"/>
      <c r="FUB1448"/>
      <c r="FUC1448"/>
      <c r="FUD1448"/>
      <c r="FUE1448"/>
      <c r="FUF1448"/>
      <c r="FUG1448"/>
      <c r="FUH1448"/>
      <c r="FUI1448"/>
      <c r="FUJ1448"/>
      <c r="FUK1448"/>
      <c r="FUL1448"/>
      <c r="FUM1448"/>
      <c r="FUN1448"/>
      <c r="FUO1448"/>
      <c r="FUP1448"/>
      <c r="FUQ1448"/>
      <c r="FUR1448"/>
      <c r="FUS1448"/>
      <c r="FUT1448"/>
      <c r="FUU1448"/>
      <c r="FUV1448"/>
      <c r="FUW1448"/>
      <c r="FUX1448"/>
      <c r="FUY1448"/>
      <c r="FUZ1448"/>
      <c r="FVA1448"/>
      <c r="FVB1448"/>
      <c r="FVC1448"/>
      <c r="FVD1448"/>
      <c r="FVE1448"/>
      <c r="FVF1448"/>
      <c r="FVG1448"/>
      <c r="FVH1448"/>
      <c r="FVI1448"/>
      <c r="FVJ1448"/>
      <c r="FVK1448"/>
      <c r="FVL1448"/>
      <c r="FVM1448"/>
      <c r="FVN1448"/>
      <c r="FVO1448"/>
      <c r="FVP1448"/>
      <c r="FVQ1448"/>
      <c r="FVR1448"/>
      <c r="FVS1448"/>
      <c r="FVT1448"/>
      <c r="FVU1448"/>
      <c r="FVV1448"/>
      <c r="FVW1448"/>
      <c r="FVX1448"/>
      <c r="FVY1448"/>
      <c r="FVZ1448"/>
      <c r="FWA1448"/>
      <c r="FWB1448"/>
      <c r="FWC1448"/>
      <c r="FWD1448"/>
      <c r="FWE1448"/>
      <c r="FWF1448"/>
      <c r="FWG1448"/>
      <c r="FWH1448"/>
      <c r="FWI1448"/>
      <c r="FWJ1448"/>
      <c r="FWK1448"/>
      <c r="FWL1448"/>
      <c r="FWM1448"/>
      <c r="FWN1448"/>
      <c r="FWO1448"/>
      <c r="FWP1448"/>
      <c r="FWQ1448"/>
      <c r="FWR1448"/>
      <c r="FWS1448"/>
      <c r="FWT1448"/>
      <c r="FWU1448"/>
      <c r="FWV1448"/>
      <c r="FWW1448"/>
      <c r="FWX1448"/>
      <c r="FWY1448"/>
      <c r="FWZ1448"/>
      <c r="FXA1448"/>
      <c r="FXB1448"/>
      <c r="FXC1448"/>
      <c r="FXD1448"/>
      <c r="FXE1448"/>
      <c r="FXF1448"/>
      <c r="FXG1448"/>
      <c r="FXH1448"/>
      <c r="FXI1448"/>
      <c r="FXJ1448"/>
      <c r="FXK1448"/>
      <c r="FXL1448"/>
      <c r="FXM1448"/>
      <c r="FXN1448"/>
      <c r="FXO1448"/>
      <c r="FXP1448"/>
      <c r="FXQ1448"/>
      <c r="FXR1448"/>
      <c r="FXS1448"/>
      <c r="FXT1448"/>
      <c r="FXU1448"/>
      <c r="FXV1448"/>
      <c r="FXW1448"/>
      <c r="FXX1448"/>
      <c r="FXY1448"/>
      <c r="FXZ1448"/>
      <c r="FYA1448"/>
      <c r="FYB1448"/>
      <c r="FYC1448"/>
      <c r="FYD1448"/>
      <c r="FYE1448"/>
      <c r="FYF1448"/>
      <c r="FYG1448"/>
      <c r="FYH1448"/>
      <c r="FYI1448"/>
      <c r="FYJ1448"/>
      <c r="FYK1448"/>
      <c r="FYL1448"/>
      <c r="FYM1448"/>
      <c r="FYN1448"/>
      <c r="FYO1448"/>
      <c r="FYP1448"/>
      <c r="FYQ1448"/>
      <c r="FYR1448"/>
      <c r="FYS1448"/>
      <c r="FYT1448"/>
      <c r="FYU1448"/>
      <c r="FYV1448"/>
      <c r="FYW1448"/>
      <c r="FYX1448"/>
      <c r="FYY1448"/>
      <c r="FYZ1448"/>
      <c r="FZA1448"/>
      <c r="FZB1448"/>
      <c r="FZC1448"/>
      <c r="FZD1448"/>
      <c r="FZE1448"/>
      <c r="FZF1448"/>
      <c r="FZG1448"/>
      <c r="FZH1448"/>
      <c r="FZI1448"/>
      <c r="FZJ1448"/>
      <c r="FZK1448"/>
      <c r="FZL1448"/>
      <c r="FZM1448"/>
      <c r="FZN1448"/>
      <c r="FZO1448"/>
      <c r="FZP1448"/>
      <c r="FZQ1448"/>
      <c r="FZR1448"/>
      <c r="FZS1448"/>
      <c r="FZT1448"/>
      <c r="FZU1448"/>
      <c r="FZV1448"/>
      <c r="FZW1448"/>
      <c r="FZX1448"/>
      <c r="FZY1448"/>
      <c r="FZZ1448"/>
      <c r="GAA1448"/>
      <c r="GAB1448"/>
      <c r="GAC1448"/>
      <c r="GAD1448"/>
      <c r="GAE1448"/>
      <c r="GAF1448"/>
      <c r="GAG1448"/>
      <c r="GAH1448"/>
      <c r="GAI1448"/>
      <c r="GAJ1448"/>
      <c r="GAK1448"/>
      <c r="GAL1448"/>
      <c r="GAM1448"/>
      <c r="GAN1448"/>
      <c r="GAO1448"/>
      <c r="GAP1448"/>
      <c r="GAQ1448"/>
      <c r="GAR1448"/>
      <c r="GAS1448"/>
      <c r="GAT1448"/>
      <c r="GAU1448"/>
      <c r="GAV1448"/>
      <c r="GAW1448"/>
      <c r="GAX1448"/>
      <c r="GAY1448"/>
      <c r="GAZ1448"/>
      <c r="GBA1448"/>
      <c r="GBB1448"/>
      <c r="GBC1448"/>
      <c r="GBD1448"/>
      <c r="GBE1448"/>
      <c r="GBF1448"/>
      <c r="GBG1448"/>
      <c r="GBH1448"/>
      <c r="GBI1448"/>
      <c r="GBJ1448"/>
      <c r="GBK1448"/>
      <c r="GBL1448"/>
      <c r="GBM1448"/>
      <c r="GBN1448"/>
      <c r="GBO1448"/>
      <c r="GBP1448"/>
      <c r="GBQ1448"/>
      <c r="GBR1448"/>
      <c r="GBS1448"/>
      <c r="GBT1448"/>
      <c r="GBU1448"/>
      <c r="GBV1448"/>
      <c r="GBW1448"/>
      <c r="GBX1448"/>
      <c r="GBY1448"/>
      <c r="GBZ1448"/>
      <c r="GCA1448"/>
      <c r="GCB1448"/>
      <c r="GCC1448"/>
      <c r="GCD1448"/>
      <c r="GCE1448"/>
      <c r="GCF1448"/>
      <c r="GCG1448"/>
      <c r="GCH1448"/>
      <c r="GCI1448"/>
      <c r="GCJ1448"/>
      <c r="GCK1448"/>
      <c r="GCL1448"/>
      <c r="GCM1448"/>
      <c r="GCN1448"/>
      <c r="GCO1448"/>
      <c r="GCP1448"/>
      <c r="GCQ1448"/>
      <c r="GCR1448"/>
      <c r="GCS1448"/>
      <c r="GCT1448"/>
      <c r="GCU1448"/>
      <c r="GCV1448"/>
      <c r="GCW1448"/>
      <c r="GCX1448"/>
      <c r="GCY1448"/>
      <c r="GCZ1448"/>
      <c r="GDA1448"/>
      <c r="GDB1448"/>
      <c r="GDC1448"/>
      <c r="GDD1448"/>
      <c r="GDE1448"/>
      <c r="GDF1448"/>
      <c r="GDG1448"/>
      <c r="GDH1448"/>
      <c r="GDI1448"/>
      <c r="GDJ1448"/>
      <c r="GDK1448"/>
      <c r="GDL1448"/>
      <c r="GDM1448"/>
      <c r="GDN1448"/>
      <c r="GDO1448"/>
      <c r="GDP1448"/>
      <c r="GDQ1448"/>
      <c r="GDR1448"/>
      <c r="GDS1448"/>
      <c r="GDT1448"/>
      <c r="GDU1448"/>
      <c r="GDV1448"/>
      <c r="GDW1448"/>
      <c r="GDX1448"/>
      <c r="GDY1448"/>
      <c r="GDZ1448"/>
      <c r="GEA1448"/>
      <c r="GEB1448"/>
      <c r="GEC1448"/>
      <c r="GED1448"/>
      <c r="GEE1448"/>
      <c r="GEF1448"/>
      <c r="GEG1448"/>
      <c r="GEH1448"/>
      <c r="GEI1448"/>
      <c r="GEJ1448"/>
      <c r="GEK1448"/>
      <c r="GEL1448"/>
      <c r="GEM1448"/>
      <c r="GEN1448"/>
      <c r="GEO1448"/>
      <c r="GEP1448"/>
      <c r="GEQ1448"/>
      <c r="GER1448"/>
      <c r="GES1448"/>
      <c r="GET1448"/>
      <c r="GEU1448"/>
      <c r="GEV1448"/>
      <c r="GEW1448"/>
      <c r="GEX1448"/>
      <c r="GEY1448"/>
      <c r="GEZ1448"/>
      <c r="GFA1448"/>
      <c r="GFB1448"/>
      <c r="GFC1448"/>
      <c r="GFD1448"/>
      <c r="GFE1448"/>
      <c r="GFF1448"/>
      <c r="GFG1448"/>
      <c r="GFH1448"/>
      <c r="GFI1448"/>
      <c r="GFJ1448"/>
      <c r="GFK1448"/>
      <c r="GFL1448"/>
      <c r="GFM1448"/>
      <c r="GFN1448"/>
      <c r="GFO1448"/>
      <c r="GFP1448"/>
      <c r="GFQ1448"/>
      <c r="GFR1448"/>
      <c r="GFS1448"/>
      <c r="GFT1448"/>
      <c r="GFU1448"/>
      <c r="GFV1448"/>
      <c r="GFW1448"/>
      <c r="GFX1448"/>
      <c r="GFY1448"/>
      <c r="GFZ1448"/>
      <c r="GGA1448"/>
      <c r="GGB1448"/>
      <c r="GGC1448"/>
      <c r="GGD1448"/>
      <c r="GGE1448"/>
      <c r="GGF1448"/>
      <c r="GGG1448"/>
      <c r="GGH1448"/>
      <c r="GGI1448"/>
      <c r="GGJ1448"/>
      <c r="GGK1448"/>
      <c r="GGL1448"/>
      <c r="GGM1448"/>
      <c r="GGN1448"/>
      <c r="GGO1448"/>
      <c r="GGP1448"/>
      <c r="GGQ1448"/>
      <c r="GGR1448"/>
      <c r="GGS1448"/>
      <c r="GGT1448"/>
      <c r="GGU1448"/>
      <c r="GGV1448"/>
      <c r="GGW1448"/>
      <c r="GGX1448"/>
      <c r="GGY1448"/>
      <c r="GGZ1448"/>
      <c r="GHA1448"/>
      <c r="GHB1448"/>
      <c r="GHC1448"/>
      <c r="GHD1448"/>
      <c r="GHE1448"/>
      <c r="GHF1448"/>
      <c r="GHG1448"/>
      <c r="GHH1448"/>
      <c r="GHI1448"/>
      <c r="GHJ1448"/>
      <c r="GHK1448"/>
      <c r="GHL1448"/>
      <c r="GHM1448"/>
      <c r="GHN1448"/>
      <c r="GHO1448"/>
      <c r="GHP1448"/>
      <c r="GHQ1448"/>
      <c r="GHR1448"/>
      <c r="GHS1448"/>
      <c r="GHT1448"/>
      <c r="GHU1448"/>
      <c r="GHV1448"/>
      <c r="GHW1448"/>
      <c r="GHX1448"/>
      <c r="GHY1448"/>
      <c r="GHZ1448"/>
      <c r="GIA1448"/>
      <c r="GIB1448"/>
      <c r="GIC1448"/>
      <c r="GID1448"/>
      <c r="GIE1448"/>
      <c r="GIF1448"/>
      <c r="GIG1448"/>
      <c r="GIH1448"/>
      <c r="GII1448"/>
      <c r="GIJ1448"/>
      <c r="GIK1448"/>
      <c r="GIL1448"/>
      <c r="GIM1448"/>
      <c r="GIN1448"/>
      <c r="GIO1448"/>
      <c r="GIP1448"/>
      <c r="GIQ1448"/>
      <c r="GIR1448"/>
      <c r="GIS1448"/>
      <c r="GIT1448"/>
      <c r="GIU1448"/>
      <c r="GIV1448"/>
      <c r="GIW1448"/>
      <c r="GIX1448"/>
      <c r="GIY1448"/>
      <c r="GIZ1448"/>
      <c r="GJA1448"/>
      <c r="GJB1448"/>
      <c r="GJC1448"/>
      <c r="GJD1448"/>
      <c r="GJE1448"/>
      <c r="GJF1448"/>
      <c r="GJG1448"/>
      <c r="GJH1448"/>
      <c r="GJI1448"/>
      <c r="GJJ1448"/>
      <c r="GJK1448"/>
      <c r="GJL1448"/>
      <c r="GJM1448"/>
      <c r="GJN1448"/>
      <c r="GJO1448"/>
      <c r="GJP1448"/>
      <c r="GJQ1448"/>
      <c r="GJR1448"/>
      <c r="GJS1448"/>
      <c r="GJT1448"/>
      <c r="GJU1448"/>
      <c r="GJV1448"/>
      <c r="GJW1448"/>
      <c r="GJX1448"/>
      <c r="GJY1448"/>
      <c r="GJZ1448"/>
      <c r="GKA1448"/>
      <c r="GKB1448"/>
      <c r="GKC1448"/>
      <c r="GKD1448"/>
      <c r="GKE1448"/>
      <c r="GKF1448"/>
      <c r="GKG1448"/>
      <c r="GKH1448"/>
      <c r="GKI1448"/>
      <c r="GKJ1448"/>
      <c r="GKK1448"/>
      <c r="GKL1448"/>
      <c r="GKM1448"/>
      <c r="GKN1448"/>
      <c r="GKO1448"/>
      <c r="GKP1448"/>
      <c r="GKQ1448"/>
      <c r="GKR1448"/>
      <c r="GKS1448"/>
      <c r="GKT1448"/>
      <c r="GKU1448"/>
      <c r="GKV1448"/>
      <c r="GKW1448"/>
      <c r="GKX1448"/>
      <c r="GKY1448"/>
      <c r="GKZ1448"/>
      <c r="GLA1448"/>
      <c r="GLB1448"/>
      <c r="GLC1448"/>
      <c r="GLD1448"/>
      <c r="GLE1448"/>
      <c r="GLF1448"/>
      <c r="GLG1448"/>
      <c r="GLH1448"/>
      <c r="GLI1448"/>
      <c r="GLJ1448"/>
      <c r="GLK1448"/>
      <c r="GLL1448"/>
      <c r="GLM1448"/>
      <c r="GLN1448"/>
      <c r="GLO1448"/>
      <c r="GLP1448"/>
      <c r="GLQ1448"/>
      <c r="GLR1448"/>
      <c r="GLS1448"/>
      <c r="GLT1448"/>
      <c r="GLU1448"/>
      <c r="GLV1448"/>
      <c r="GLW1448"/>
      <c r="GLX1448"/>
      <c r="GLY1448"/>
      <c r="GLZ1448"/>
      <c r="GMA1448"/>
      <c r="GMB1448"/>
      <c r="GMC1448"/>
      <c r="GMD1448"/>
      <c r="GME1448"/>
      <c r="GMF1448"/>
      <c r="GMG1448"/>
      <c r="GMH1448"/>
      <c r="GMI1448"/>
      <c r="GMJ1448"/>
      <c r="GMK1448"/>
      <c r="GML1448"/>
      <c r="GMM1448"/>
      <c r="GMN1448"/>
      <c r="GMO1448"/>
      <c r="GMP1448"/>
      <c r="GMQ1448"/>
      <c r="GMR1448"/>
      <c r="GMS1448"/>
      <c r="GMT1448"/>
      <c r="GMU1448"/>
      <c r="GMV1448"/>
      <c r="GMW1448"/>
      <c r="GMX1448"/>
      <c r="GMY1448"/>
      <c r="GMZ1448"/>
      <c r="GNA1448"/>
      <c r="GNB1448"/>
      <c r="GNC1448"/>
      <c r="GND1448"/>
      <c r="GNE1448"/>
      <c r="GNF1448"/>
      <c r="GNG1448"/>
      <c r="GNH1448"/>
      <c r="GNI1448"/>
      <c r="GNJ1448"/>
      <c r="GNK1448"/>
      <c r="GNL1448"/>
      <c r="GNM1448"/>
      <c r="GNN1448"/>
      <c r="GNO1448"/>
      <c r="GNP1448"/>
      <c r="GNQ1448"/>
      <c r="GNR1448"/>
      <c r="GNS1448"/>
      <c r="GNT1448"/>
      <c r="GNU1448"/>
      <c r="GNV1448"/>
      <c r="GNW1448"/>
      <c r="GNX1448"/>
      <c r="GNY1448"/>
      <c r="GNZ1448"/>
      <c r="GOA1448"/>
      <c r="GOB1448"/>
      <c r="GOC1448"/>
      <c r="GOD1448"/>
      <c r="GOE1448"/>
      <c r="GOF1448"/>
      <c r="GOG1448"/>
      <c r="GOH1448"/>
      <c r="GOI1448"/>
      <c r="GOJ1448"/>
      <c r="GOK1448"/>
      <c r="GOL1448"/>
      <c r="GOM1448"/>
      <c r="GON1448"/>
      <c r="GOO1448"/>
      <c r="GOP1448"/>
      <c r="GOQ1448"/>
      <c r="GOR1448"/>
      <c r="GOS1448"/>
      <c r="GOT1448"/>
      <c r="GOU1448"/>
      <c r="GOV1448"/>
      <c r="GOW1448"/>
      <c r="GOX1448"/>
      <c r="GOY1448"/>
      <c r="GOZ1448"/>
      <c r="GPA1448"/>
      <c r="GPB1448"/>
      <c r="GPC1448"/>
      <c r="GPD1448"/>
      <c r="GPE1448"/>
      <c r="GPF1448"/>
      <c r="GPG1448"/>
      <c r="GPH1448"/>
      <c r="GPI1448"/>
      <c r="GPJ1448"/>
      <c r="GPK1448"/>
      <c r="GPL1448"/>
      <c r="GPM1448"/>
      <c r="GPN1448"/>
      <c r="GPO1448"/>
      <c r="GPP1448"/>
      <c r="GPQ1448"/>
      <c r="GPR1448"/>
      <c r="GPS1448"/>
      <c r="GPT1448"/>
      <c r="GPU1448"/>
      <c r="GPV1448"/>
      <c r="GPW1448"/>
      <c r="GPX1448"/>
      <c r="GPY1448"/>
      <c r="GPZ1448"/>
      <c r="GQA1448"/>
      <c r="GQB1448"/>
      <c r="GQC1448"/>
      <c r="GQD1448"/>
      <c r="GQE1448"/>
      <c r="GQF1448"/>
      <c r="GQG1448"/>
      <c r="GQH1448"/>
      <c r="GQI1448"/>
      <c r="GQJ1448"/>
      <c r="GQK1448"/>
      <c r="GQL1448"/>
      <c r="GQM1448"/>
      <c r="GQN1448"/>
      <c r="GQO1448"/>
      <c r="GQP1448"/>
      <c r="GQQ1448"/>
      <c r="GQR1448"/>
      <c r="GQS1448"/>
      <c r="GQT1448"/>
      <c r="GQU1448"/>
      <c r="GQV1448"/>
      <c r="GQW1448"/>
      <c r="GQX1448"/>
      <c r="GQY1448"/>
      <c r="GQZ1448"/>
      <c r="GRA1448"/>
      <c r="GRB1448"/>
      <c r="GRC1448"/>
      <c r="GRD1448"/>
      <c r="GRE1448"/>
      <c r="GRF1448"/>
      <c r="GRG1448"/>
      <c r="GRH1448"/>
      <c r="GRI1448"/>
      <c r="GRJ1448"/>
      <c r="GRK1448"/>
      <c r="GRL1448"/>
      <c r="GRM1448"/>
      <c r="GRN1448"/>
      <c r="GRO1448"/>
      <c r="GRP1448"/>
      <c r="GRQ1448"/>
      <c r="GRR1448"/>
      <c r="GRS1448"/>
      <c r="GRT1448"/>
      <c r="GRU1448"/>
      <c r="GRV1448"/>
      <c r="GRW1448"/>
      <c r="GRX1448"/>
      <c r="GRY1448"/>
      <c r="GRZ1448"/>
      <c r="GSA1448"/>
      <c r="GSB1448"/>
      <c r="GSC1448"/>
      <c r="GSD1448"/>
      <c r="GSE1448"/>
      <c r="GSF1448"/>
      <c r="GSG1448"/>
      <c r="GSH1448"/>
      <c r="GSI1448"/>
      <c r="GSJ1448"/>
      <c r="GSK1448"/>
      <c r="GSL1448"/>
      <c r="GSM1448"/>
      <c r="GSN1448"/>
      <c r="GSO1448"/>
      <c r="GSP1448"/>
      <c r="GSQ1448"/>
      <c r="GSR1448"/>
      <c r="GSS1448"/>
      <c r="GST1448"/>
      <c r="GSU1448"/>
      <c r="GSV1448"/>
      <c r="GSW1448"/>
      <c r="GSX1448"/>
      <c r="GSY1448"/>
      <c r="GSZ1448"/>
      <c r="GTA1448"/>
      <c r="GTB1448"/>
      <c r="GTC1448"/>
      <c r="GTD1448"/>
      <c r="GTE1448"/>
      <c r="GTF1448"/>
      <c r="GTG1448"/>
      <c r="GTH1448"/>
      <c r="GTI1448"/>
      <c r="GTJ1448"/>
      <c r="GTK1448"/>
      <c r="GTL1448"/>
      <c r="GTM1448"/>
      <c r="GTN1448"/>
      <c r="GTO1448"/>
      <c r="GTP1448"/>
      <c r="GTQ1448"/>
      <c r="GTR1448"/>
      <c r="GTS1448"/>
      <c r="GTT1448"/>
      <c r="GTU1448"/>
      <c r="GTV1448"/>
      <c r="GTW1448"/>
      <c r="GTX1448"/>
      <c r="GTY1448"/>
      <c r="GTZ1448"/>
      <c r="GUA1448"/>
      <c r="GUB1448"/>
      <c r="GUC1448"/>
      <c r="GUD1448"/>
      <c r="GUE1448"/>
      <c r="GUF1448"/>
      <c r="GUG1448"/>
      <c r="GUH1448"/>
      <c r="GUI1448"/>
      <c r="GUJ1448"/>
      <c r="GUK1448"/>
      <c r="GUL1448"/>
      <c r="GUM1448"/>
      <c r="GUN1448"/>
      <c r="GUO1448"/>
      <c r="GUP1448"/>
      <c r="GUQ1448"/>
      <c r="GUR1448"/>
      <c r="GUS1448"/>
      <c r="GUT1448"/>
      <c r="GUU1448"/>
      <c r="GUV1448"/>
      <c r="GUW1448"/>
      <c r="GUX1448"/>
      <c r="GUY1448"/>
      <c r="GUZ1448"/>
      <c r="GVA1448"/>
      <c r="GVB1448"/>
      <c r="GVC1448"/>
      <c r="GVD1448"/>
      <c r="GVE1448"/>
      <c r="GVF1448"/>
      <c r="GVG1448"/>
      <c r="GVH1448"/>
      <c r="GVI1448"/>
      <c r="GVJ1448"/>
      <c r="GVK1448"/>
      <c r="GVL1448"/>
      <c r="GVM1448"/>
      <c r="GVN1448"/>
      <c r="GVO1448"/>
      <c r="GVP1448"/>
      <c r="GVQ1448"/>
      <c r="GVR1448"/>
      <c r="GVS1448"/>
      <c r="GVT1448"/>
      <c r="GVU1448"/>
      <c r="GVV1448"/>
      <c r="GVW1448"/>
      <c r="GVX1448"/>
      <c r="GVY1448"/>
      <c r="GVZ1448"/>
      <c r="GWA1448"/>
      <c r="GWB1448"/>
      <c r="GWC1448"/>
      <c r="GWD1448"/>
      <c r="GWE1448"/>
      <c r="GWF1448"/>
      <c r="GWG1448"/>
      <c r="GWH1448"/>
      <c r="GWI1448"/>
      <c r="GWJ1448"/>
      <c r="GWK1448"/>
      <c r="GWL1448"/>
      <c r="GWM1448"/>
      <c r="GWN1448"/>
      <c r="GWO1448"/>
      <c r="GWP1448"/>
      <c r="GWQ1448"/>
      <c r="GWR1448"/>
      <c r="GWS1448"/>
      <c r="GWT1448"/>
      <c r="GWU1448"/>
      <c r="GWV1448"/>
      <c r="GWW1448"/>
      <c r="GWX1448"/>
      <c r="GWY1448"/>
      <c r="GWZ1448"/>
      <c r="GXA1448"/>
      <c r="GXB1448"/>
      <c r="GXC1448"/>
      <c r="GXD1448"/>
      <c r="GXE1448"/>
      <c r="GXF1448"/>
      <c r="GXG1448"/>
      <c r="GXH1448"/>
      <c r="GXI1448"/>
      <c r="GXJ1448"/>
      <c r="GXK1448"/>
      <c r="GXL1448"/>
      <c r="GXM1448"/>
      <c r="GXN1448"/>
      <c r="GXO1448"/>
      <c r="GXP1448"/>
      <c r="GXQ1448"/>
      <c r="GXR1448"/>
      <c r="GXS1448"/>
      <c r="GXT1448"/>
      <c r="GXU1448"/>
      <c r="GXV1448"/>
      <c r="GXW1448"/>
      <c r="GXX1448"/>
      <c r="GXY1448"/>
      <c r="GXZ1448"/>
      <c r="GYA1448"/>
      <c r="GYB1448"/>
      <c r="GYC1448"/>
      <c r="GYD1448"/>
      <c r="GYE1448"/>
      <c r="GYF1448"/>
      <c r="GYG1448"/>
      <c r="GYH1448"/>
      <c r="GYI1448"/>
      <c r="GYJ1448"/>
      <c r="GYK1448"/>
      <c r="GYL1448"/>
      <c r="GYM1448"/>
      <c r="GYN1448"/>
      <c r="GYO1448"/>
      <c r="GYP1448"/>
      <c r="GYQ1448"/>
      <c r="GYR1448"/>
      <c r="GYS1448"/>
      <c r="GYT1448"/>
      <c r="GYU1448"/>
      <c r="GYV1448"/>
      <c r="GYW1448"/>
      <c r="GYX1448"/>
      <c r="GYY1448"/>
      <c r="GYZ1448"/>
      <c r="GZA1448"/>
      <c r="GZB1448"/>
      <c r="GZC1448"/>
      <c r="GZD1448"/>
      <c r="GZE1448"/>
      <c r="GZF1448"/>
      <c r="GZG1448"/>
      <c r="GZH1448"/>
      <c r="GZI1448"/>
      <c r="GZJ1448"/>
      <c r="GZK1448"/>
      <c r="GZL1448"/>
      <c r="GZM1448"/>
      <c r="GZN1448"/>
      <c r="GZO1448"/>
      <c r="GZP1448"/>
      <c r="GZQ1448"/>
      <c r="GZR1448"/>
      <c r="GZS1448"/>
      <c r="GZT1448"/>
      <c r="GZU1448"/>
      <c r="GZV1448"/>
      <c r="GZW1448"/>
      <c r="GZX1448"/>
      <c r="GZY1448"/>
      <c r="GZZ1448"/>
      <c r="HAA1448"/>
      <c r="HAB1448"/>
      <c r="HAC1448"/>
      <c r="HAD1448"/>
      <c r="HAE1448"/>
      <c r="HAF1448"/>
      <c r="HAG1448"/>
      <c r="HAH1448"/>
      <c r="HAI1448"/>
      <c r="HAJ1448"/>
      <c r="HAK1448"/>
      <c r="HAL1448"/>
      <c r="HAM1448"/>
      <c r="HAN1448"/>
      <c r="HAO1448"/>
      <c r="HAP1448"/>
      <c r="HAQ1448"/>
      <c r="HAR1448"/>
      <c r="HAS1448"/>
      <c r="HAT1448"/>
      <c r="HAU1448"/>
      <c r="HAV1448"/>
      <c r="HAW1448"/>
      <c r="HAX1448"/>
      <c r="HAY1448"/>
      <c r="HAZ1448"/>
      <c r="HBA1448"/>
      <c r="HBB1448"/>
      <c r="HBC1448"/>
      <c r="HBD1448"/>
      <c r="HBE1448"/>
      <c r="HBF1448"/>
      <c r="HBG1448"/>
      <c r="HBH1448"/>
      <c r="HBI1448"/>
      <c r="HBJ1448"/>
      <c r="HBK1448"/>
      <c r="HBL1448"/>
      <c r="HBM1448"/>
      <c r="HBN1448"/>
      <c r="HBO1448"/>
      <c r="HBP1448"/>
      <c r="HBQ1448"/>
      <c r="HBR1448"/>
      <c r="HBS1448"/>
      <c r="HBT1448"/>
      <c r="HBU1448"/>
      <c r="HBV1448"/>
      <c r="HBW1448"/>
      <c r="HBX1448"/>
      <c r="HBY1448"/>
      <c r="HBZ1448"/>
      <c r="HCA1448"/>
      <c r="HCB1448"/>
      <c r="HCC1448"/>
      <c r="HCD1448"/>
      <c r="HCE1448"/>
      <c r="HCF1448"/>
      <c r="HCG1448"/>
      <c r="HCH1448"/>
      <c r="HCI1448"/>
      <c r="HCJ1448"/>
      <c r="HCK1448"/>
      <c r="HCL1448"/>
      <c r="HCM1448"/>
      <c r="HCN1448"/>
      <c r="HCO1448"/>
      <c r="HCP1448"/>
      <c r="HCQ1448"/>
      <c r="HCR1448"/>
      <c r="HCS1448"/>
      <c r="HCT1448"/>
      <c r="HCU1448"/>
      <c r="HCV1448"/>
      <c r="HCW1448"/>
      <c r="HCX1448"/>
      <c r="HCY1448"/>
      <c r="HCZ1448"/>
      <c r="HDA1448"/>
      <c r="HDB1448"/>
      <c r="HDC1448"/>
      <c r="HDD1448"/>
      <c r="HDE1448"/>
      <c r="HDF1448"/>
      <c r="HDG1448"/>
      <c r="HDH1448"/>
      <c r="HDI1448"/>
      <c r="HDJ1448"/>
      <c r="HDK1448"/>
      <c r="HDL1448"/>
      <c r="HDM1448"/>
      <c r="HDN1448"/>
      <c r="HDO1448"/>
      <c r="HDP1448"/>
      <c r="HDQ1448"/>
      <c r="HDR1448"/>
      <c r="HDS1448"/>
      <c r="HDT1448"/>
      <c r="HDU1448"/>
      <c r="HDV1448"/>
      <c r="HDW1448"/>
      <c r="HDX1448"/>
      <c r="HDY1448"/>
      <c r="HDZ1448"/>
      <c r="HEA1448"/>
      <c r="HEB1448"/>
      <c r="HEC1448"/>
      <c r="HED1448"/>
      <c r="HEE1448"/>
      <c r="HEF1448"/>
      <c r="HEG1448"/>
      <c r="HEH1448"/>
      <c r="HEI1448"/>
      <c r="HEJ1448"/>
      <c r="HEK1448"/>
      <c r="HEL1448"/>
      <c r="HEM1448"/>
      <c r="HEN1448"/>
      <c r="HEO1448"/>
      <c r="HEP1448"/>
      <c r="HEQ1448"/>
      <c r="HER1448"/>
      <c r="HES1448"/>
      <c r="HET1448"/>
      <c r="HEU1448"/>
      <c r="HEV1448"/>
      <c r="HEW1448"/>
      <c r="HEX1448"/>
      <c r="HEY1448"/>
      <c r="HEZ1448"/>
      <c r="HFA1448"/>
      <c r="HFB1448"/>
      <c r="HFC1448"/>
      <c r="HFD1448"/>
      <c r="HFE1448"/>
      <c r="HFF1448"/>
      <c r="HFG1448"/>
      <c r="HFH1448"/>
      <c r="HFI1448"/>
      <c r="HFJ1448"/>
      <c r="HFK1448"/>
      <c r="HFL1448"/>
      <c r="HFM1448"/>
      <c r="HFN1448"/>
      <c r="HFO1448"/>
      <c r="HFP1448"/>
      <c r="HFQ1448"/>
      <c r="HFR1448"/>
      <c r="HFS1448"/>
      <c r="HFT1448"/>
      <c r="HFU1448"/>
      <c r="HFV1448"/>
      <c r="HFW1448"/>
      <c r="HFX1448"/>
      <c r="HFY1448"/>
      <c r="HFZ1448"/>
      <c r="HGA1448"/>
      <c r="HGB1448"/>
      <c r="HGC1448"/>
      <c r="HGD1448"/>
      <c r="HGE1448"/>
      <c r="HGF1448"/>
      <c r="HGG1448"/>
      <c r="HGH1448"/>
      <c r="HGI1448"/>
      <c r="HGJ1448"/>
      <c r="HGK1448"/>
      <c r="HGL1448"/>
      <c r="HGM1448"/>
      <c r="HGN1448"/>
      <c r="HGO1448"/>
      <c r="HGP1448"/>
      <c r="HGQ1448"/>
      <c r="HGR1448"/>
      <c r="HGS1448"/>
      <c r="HGT1448"/>
      <c r="HGU1448"/>
      <c r="HGV1448"/>
      <c r="HGW1448"/>
      <c r="HGX1448"/>
      <c r="HGY1448"/>
      <c r="HGZ1448"/>
      <c r="HHA1448"/>
      <c r="HHB1448"/>
      <c r="HHC1448"/>
      <c r="HHD1448"/>
      <c r="HHE1448"/>
      <c r="HHF1448"/>
      <c r="HHG1448"/>
      <c r="HHH1448"/>
      <c r="HHI1448"/>
      <c r="HHJ1448"/>
      <c r="HHK1448"/>
      <c r="HHL1448"/>
      <c r="HHM1448"/>
      <c r="HHN1448"/>
      <c r="HHO1448"/>
      <c r="HHP1448"/>
      <c r="HHQ1448"/>
      <c r="HHR1448"/>
      <c r="HHS1448"/>
      <c r="HHT1448"/>
      <c r="HHU1448"/>
      <c r="HHV1448"/>
      <c r="HHW1448"/>
      <c r="HHX1448"/>
      <c r="HHY1448"/>
      <c r="HHZ1448"/>
      <c r="HIA1448"/>
      <c r="HIB1448"/>
      <c r="HIC1448"/>
      <c r="HID1448"/>
      <c r="HIE1448"/>
      <c r="HIF1448"/>
      <c r="HIG1448"/>
      <c r="HIH1448"/>
      <c r="HII1448"/>
      <c r="HIJ1448"/>
      <c r="HIK1448"/>
      <c r="HIL1448"/>
      <c r="HIM1448"/>
      <c r="HIN1448"/>
      <c r="HIO1448"/>
      <c r="HIP1448"/>
      <c r="HIQ1448"/>
      <c r="HIR1448"/>
      <c r="HIS1448"/>
      <c r="HIT1448"/>
      <c r="HIU1448"/>
      <c r="HIV1448"/>
      <c r="HIW1448"/>
      <c r="HIX1448"/>
      <c r="HIY1448"/>
      <c r="HIZ1448"/>
      <c r="HJA1448"/>
      <c r="HJB1448"/>
      <c r="HJC1448"/>
      <c r="HJD1448"/>
      <c r="HJE1448"/>
      <c r="HJF1448"/>
      <c r="HJG1448"/>
      <c r="HJH1448"/>
      <c r="HJI1448"/>
      <c r="HJJ1448"/>
      <c r="HJK1448"/>
      <c r="HJL1448"/>
      <c r="HJM1448"/>
      <c r="HJN1448"/>
      <c r="HJO1448"/>
      <c r="HJP1448"/>
      <c r="HJQ1448"/>
      <c r="HJR1448"/>
      <c r="HJS1448"/>
      <c r="HJT1448"/>
      <c r="HJU1448"/>
      <c r="HJV1448"/>
      <c r="HJW1448"/>
      <c r="HJX1448"/>
      <c r="HJY1448"/>
      <c r="HJZ1448"/>
      <c r="HKA1448"/>
      <c r="HKB1448"/>
      <c r="HKC1448"/>
      <c r="HKD1448"/>
      <c r="HKE1448"/>
      <c r="HKF1448"/>
      <c r="HKG1448"/>
      <c r="HKH1448"/>
      <c r="HKI1448"/>
      <c r="HKJ1448"/>
      <c r="HKK1448"/>
      <c r="HKL1448"/>
      <c r="HKM1448"/>
      <c r="HKN1448"/>
      <c r="HKO1448"/>
      <c r="HKP1448"/>
      <c r="HKQ1448"/>
      <c r="HKR1448"/>
      <c r="HKS1448"/>
      <c r="HKT1448"/>
      <c r="HKU1448"/>
      <c r="HKV1448"/>
      <c r="HKW1448"/>
      <c r="HKX1448"/>
      <c r="HKY1448"/>
      <c r="HKZ1448"/>
      <c r="HLA1448"/>
      <c r="HLB1448"/>
      <c r="HLC1448"/>
      <c r="HLD1448"/>
      <c r="HLE1448"/>
      <c r="HLF1448"/>
      <c r="HLG1448"/>
      <c r="HLH1448"/>
      <c r="HLI1448"/>
      <c r="HLJ1448"/>
      <c r="HLK1448"/>
      <c r="HLL1448"/>
      <c r="HLM1448"/>
      <c r="HLN1448"/>
      <c r="HLO1448"/>
      <c r="HLP1448"/>
      <c r="HLQ1448"/>
      <c r="HLR1448"/>
      <c r="HLS1448"/>
      <c r="HLT1448"/>
      <c r="HLU1448"/>
      <c r="HLV1448"/>
      <c r="HLW1448"/>
      <c r="HLX1448"/>
      <c r="HLY1448"/>
      <c r="HLZ1448"/>
      <c r="HMA1448"/>
      <c r="HMB1448"/>
      <c r="HMC1448"/>
      <c r="HMD1448"/>
      <c r="HME1448"/>
      <c r="HMF1448"/>
      <c r="HMG1448"/>
      <c r="HMH1448"/>
      <c r="HMI1448"/>
      <c r="HMJ1448"/>
      <c r="HMK1448"/>
      <c r="HML1448"/>
      <c r="HMM1448"/>
      <c r="HMN1448"/>
      <c r="HMO1448"/>
      <c r="HMP1448"/>
      <c r="HMQ1448"/>
      <c r="HMR1448"/>
      <c r="HMS1448"/>
      <c r="HMT1448"/>
      <c r="HMU1448"/>
      <c r="HMV1448"/>
      <c r="HMW1448"/>
      <c r="HMX1448"/>
      <c r="HMY1448"/>
      <c r="HMZ1448"/>
      <c r="HNA1448"/>
      <c r="HNB1448"/>
      <c r="HNC1448"/>
      <c r="HND1448"/>
      <c r="HNE1448"/>
      <c r="HNF1448"/>
      <c r="HNG1448"/>
      <c r="HNH1448"/>
      <c r="HNI1448"/>
      <c r="HNJ1448"/>
      <c r="HNK1448"/>
      <c r="HNL1448"/>
      <c r="HNM1448"/>
      <c r="HNN1448"/>
      <c r="HNO1448"/>
      <c r="HNP1448"/>
      <c r="HNQ1448"/>
      <c r="HNR1448"/>
      <c r="HNS1448"/>
      <c r="HNT1448"/>
      <c r="HNU1448"/>
      <c r="HNV1448"/>
      <c r="HNW1448"/>
      <c r="HNX1448"/>
      <c r="HNY1448"/>
      <c r="HNZ1448"/>
      <c r="HOA1448"/>
      <c r="HOB1448"/>
      <c r="HOC1448"/>
      <c r="HOD1448"/>
      <c r="HOE1448"/>
      <c r="HOF1448"/>
      <c r="HOG1448"/>
      <c r="HOH1448"/>
      <c r="HOI1448"/>
      <c r="HOJ1448"/>
      <c r="HOK1448"/>
      <c r="HOL1448"/>
      <c r="HOM1448"/>
      <c r="HON1448"/>
      <c r="HOO1448"/>
      <c r="HOP1448"/>
      <c r="HOQ1448"/>
      <c r="HOR1448"/>
      <c r="HOS1448"/>
      <c r="HOT1448"/>
      <c r="HOU1448"/>
      <c r="HOV1448"/>
      <c r="HOW1448"/>
      <c r="HOX1448"/>
      <c r="HOY1448"/>
      <c r="HOZ1448"/>
      <c r="HPA1448"/>
      <c r="HPB1448"/>
      <c r="HPC1448"/>
      <c r="HPD1448"/>
      <c r="HPE1448"/>
      <c r="HPF1448"/>
      <c r="HPG1448"/>
      <c r="HPH1448"/>
      <c r="HPI1448"/>
      <c r="HPJ1448"/>
      <c r="HPK1448"/>
      <c r="HPL1448"/>
      <c r="HPM1448"/>
      <c r="HPN1448"/>
      <c r="HPO1448"/>
      <c r="HPP1448"/>
      <c r="HPQ1448"/>
      <c r="HPR1448"/>
      <c r="HPS1448"/>
      <c r="HPT1448"/>
      <c r="HPU1448"/>
      <c r="HPV1448"/>
      <c r="HPW1448"/>
      <c r="HPX1448"/>
      <c r="HPY1448"/>
      <c r="HPZ1448"/>
      <c r="HQA1448"/>
      <c r="HQB1448"/>
      <c r="HQC1448"/>
      <c r="HQD1448"/>
      <c r="HQE1448"/>
      <c r="HQF1448"/>
      <c r="HQG1448"/>
      <c r="HQH1448"/>
      <c r="HQI1448"/>
      <c r="HQJ1448"/>
      <c r="HQK1448"/>
      <c r="HQL1448"/>
      <c r="HQM1448"/>
      <c r="HQN1448"/>
      <c r="HQO1448"/>
      <c r="HQP1448"/>
      <c r="HQQ1448"/>
      <c r="HQR1448"/>
      <c r="HQS1448"/>
      <c r="HQT1448"/>
      <c r="HQU1448"/>
      <c r="HQV1448"/>
      <c r="HQW1448"/>
      <c r="HQX1448"/>
      <c r="HQY1448"/>
      <c r="HQZ1448"/>
      <c r="HRA1448"/>
      <c r="HRB1448"/>
      <c r="HRC1448"/>
      <c r="HRD1448"/>
      <c r="HRE1448"/>
      <c r="HRF1448"/>
      <c r="HRG1448"/>
      <c r="HRH1448"/>
      <c r="HRI1448"/>
      <c r="HRJ1448"/>
      <c r="HRK1448"/>
      <c r="HRL1448"/>
      <c r="HRM1448"/>
      <c r="HRN1448"/>
      <c r="HRO1448"/>
      <c r="HRP1448"/>
      <c r="HRQ1448"/>
      <c r="HRR1448"/>
      <c r="HRS1448"/>
      <c r="HRT1448"/>
      <c r="HRU1448"/>
      <c r="HRV1448"/>
      <c r="HRW1448"/>
      <c r="HRX1448"/>
      <c r="HRY1448"/>
      <c r="HRZ1448"/>
      <c r="HSA1448"/>
      <c r="HSB1448"/>
      <c r="HSC1448"/>
      <c r="HSD1448"/>
      <c r="HSE1448"/>
      <c r="HSF1448"/>
      <c r="HSG1448"/>
      <c r="HSH1448"/>
      <c r="HSI1448"/>
      <c r="HSJ1448"/>
      <c r="HSK1448"/>
      <c r="HSL1448"/>
      <c r="HSM1448"/>
      <c r="HSN1448"/>
      <c r="HSO1448"/>
      <c r="HSP1448"/>
      <c r="HSQ1448"/>
      <c r="HSR1448"/>
      <c r="HSS1448"/>
      <c r="HST1448"/>
      <c r="HSU1448"/>
      <c r="HSV1448"/>
      <c r="HSW1448"/>
      <c r="HSX1448"/>
      <c r="HSY1448"/>
      <c r="HSZ1448"/>
      <c r="HTA1448"/>
      <c r="HTB1448"/>
      <c r="HTC1448"/>
      <c r="HTD1448"/>
      <c r="HTE1448"/>
      <c r="HTF1448"/>
      <c r="HTG1448"/>
      <c r="HTH1448"/>
      <c r="HTI1448"/>
      <c r="HTJ1448"/>
      <c r="HTK1448"/>
      <c r="HTL1448"/>
      <c r="HTM1448"/>
      <c r="HTN1448"/>
      <c r="HTO1448"/>
      <c r="HTP1448"/>
      <c r="HTQ1448"/>
      <c r="HTR1448"/>
      <c r="HTS1448"/>
      <c r="HTT1448"/>
      <c r="HTU1448"/>
      <c r="HTV1448"/>
      <c r="HTW1448"/>
      <c r="HTX1448"/>
      <c r="HTY1448"/>
      <c r="HTZ1448"/>
      <c r="HUA1448"/>
      <c r="HUB1448"/>
      <c r="HUC1448"/>
      <c r="HUD1448"/>
      <c r="HUE1448"/>
      <c r="HUF1448"/>
      <c r="HUG1448"/>
      <c r="HUH1448"/>
      <c r="HUI1448"/>
      <c r="HUJ1448"/>
      <c r="HUK1448"/>
      <c r="HUL1448"/>
      <c r="HUM1448"/>
      <c r="HUN1448"/>
      <c r="HUO1448"/>
      <c r="HUP1448"/>
      <c r="HUQ1448"/>
      <c r="HUR1448"/>
      <c r="HUS1448"/>
      <c r="HUT1448"/>
      <c r="HUU1448"/>
      <c r="HUV1448"/>
      <c r="HUW1448"/>
      <c r="HUX1448"/>
      <c r="HUY1448"/>
      <c r="HUZ1448"/>
      <c r="HVA1448"/>
      <c r="HVB1448"/>
      <c r="HVC1448"/>
      <c r="HVD1448"/>
      <c r="HVE1448"/>
      <c r="HVF1448"/>
      <c r="HVG1448"/>
      <c r="HVH1448"/>
      <c r="HVI1448"/>
      <c r="HVJ1448"/>
      <c r="HVK1448"/>
      <c r="HVL1448"/>
      <c r="HVM1448"/>
      <c r="HVN1448"/>
      <c r="HVO1448"/>
      <c r="HVP1448"/>
      <c r="HVQ1448"/>
      <c r="HVR1448"/>
      <c r="HVS1448"/>
      <c r="HVT1448"/>
      <c r="HVU1448"/>
      <c r="HVV1448"/>
      <c r="HVW1448"/>
      <c r="HVX1448"/>
      <c r="HVY1448"/>
      <c r="HVZ1448"/>
      <c r="HWA1448"/>
      <c r="HWB1448"/>
      <c r="HWC1448"/>
      <c r="HWD1448"/>
      <c r="HWE1448"/>
      <c r="HWF1448"/>
      <c r="HWG1448"/>
      <c r="HWH1448"/>
      <c r="HWI1448"/>
      <c r="HWJ1448"/>
      <c r="HWK1448"/>
      <c r="HWL1448"/>
      <c r="HWM1448"/>
      <c r="HWN1448"/>
      <c r="HWO1448"/>
      <c r="HWP1448"/>
      <c r="HWQ1448"/>
      <c r="HWR1448"/>
      <c r="HWS1448"/>
      <c r="HWT1448"/>
      <c r="HWU1448"/>
      <c r="HWV1448"/>
      <c r="HWW1448"/>
      <c r="HWX1448"/>
      <c r="HWY1448"/>
      <c r="HWZ1448"/>
      <c r="HXA1448"/>
      <c r="HXB1448"/>
      <c r="HXC1448"/>
      <c r="HXD1448"/>
      <c r="HXE1448"/>
      <c r="HXF1448"/>
      <c r="HXG1448"/>
      <c r="HXH1448"/>
      <c r="HXI1448"/>
      <c r="HXJ1448"/>
      <c r="HXK1448"/>
      <c r="HXL1448"/>
      <c r="HXM1448"/>
      <c r="HXN1448"/>
      <c r="HXO1448"/>
      <c r="HXP1448"/>
      <c r="HXQ1448"/>
      <c r="HXR1448"/>
      <c r="HXS1448"/>
      <c r="HXT1448"/>
      <c r="HXU1448"/>
      <c r="HXV1448"/>
      <c r="HXW1448"/>
      <c r="HXX1448"/>
      <c r="HXY1448"/>
      <c r="HXZ1448"/>
      <c r="HYA1448"/>
      <c r="HYB1448"/>
      <c r="HYC1448"/>
      <c r="HYD1448"/>
      <c r="HYE1448"/>
      <c r="HYF1448"/>
      <c r="HYG1448"/>
      <c r="HYH1448"/>
      <c r="HYI1448"/>
      <c r="HYJ1448"/>
      <c r="HYK1448"/>
      <c r="HYL1448"/>
      <c r="HYM1448"/>
      <c r="HYN1448"/>
      <c r="HYO1448"/>
      <c r="HYP1448"/>
      <c r="HYQ1448"/>
      <c r="HYR1448"/>
      <c r="HYS1448"/>
      <c r="HYT1448"/>
      <c r="HYU1448"/>
      <c r="HYV1448"/>
      <c r="HYW1448"/>
      <c r="HYX1448"/>
      <c r="HYY1448"/>
      <c r="HYZ1448"/>
      <c r="HZA1448"/>
      <c r="HZB1448"/>
      <c r="HZC1448"/>
      <c r="HZD1448"/>
      <c r="HZE1448"/>
      <c r="HZF1448"/>
      <c r="HZG1448"/>
      <c r="HZH1448"/>
      <c r="HZI1448"/>
      <c r="HZJ1448"/>
      <c r="HZK1448"/>
      <c r="HZL1448"/>
      <c r="HZM1448"/>
      <c r="HZN1448"/>
      <c r="HZO1448"/>
      <c r="HZP1448"/>
      <c r="HZQ1448"/>
      <c r="HZR1448"/>
      <c r="HZS1448"/>
      <c r="HZT1448"/>
      <c r="HZU1448"/>
      <c r="HZV1448"/>
      <c r="HZW1448"/>
      <c r="HZX1448"/>
      <c r="HZY1448"/>
      <c r="HZZ1448"/>
      <c r="IAA1448"/>
      <c r="IAB1448"/>
      <c r="IAC1448"/>
      <c r="IAD1448"/>
      <c r="IAE1448"/>
      <c r="IAF1448"/>
      <c r="IAG1448"/>
      <c r="IAH1448"/>
      <c r="IAI1448"/>
      <c r="IAJ1448"/>
      <c r="IAK1448"/>
      <c r="IAL1448"/>
      <c r="IAM1448"/>
      <c r="IAN1448"/>
      <c r="IAO1448"/>
      <c r="IAP1448"/>
      <c r="IAQ1448"/>
      <c r="IAR1448"/>
      <c r="IAS1448"/>
      <c r="IAT1448"/>
      <c r="IAU1448"/>
      <c r="IAV1448"/>
      <c r="IAW1448"/>
      <c r="IAX1448"/>
      <c r="IAY1448"/>
      <c r="IAZ1448"/>
      <c r="IBA1448"/>
      <c r="IBB1448"/>
      <c r="IBC1448"/>
      <c r="IBD1448"/>
      <c r="IBE1448"/>
      <c r="IBF1448"/>
      <c r="IBG1448"/>
      <c r="IBH1448"/>
      <c r="IBI1448"/>
      <c r="IBJ1448"/>
      <c r="IBK1448"/>
      <c r="IBL1448"/>
      <c r="IBM1448"/>
      <c r="IBN1448"/>
      <c r="IBO1448"/>
      <c r="IBP1448"/>
      <c r="IBQ1448"/>
      <c r="IBR1448"/>
      <c r="IBS1448"/>
      <c r="IBT1448"/>
      <c r="IBU1448"/>
      <c r="IBV1448"/>
      <c r="IBW1448"/>
      <c r="IBX1448"/>
      <c r="IBY1448"/>
      <c r="IBZ1448"/>
      <c r="ICA1448"/>
      <c r="ICB1448"/>
      <c r="ICC1448"/>
      <c r="ICD1448"/>
      <c r="ICE1448"/>
      <c r="ICF1448"/>
      <c r="ICG1448"/>
      <c r="ICH1448"/>
      <c r="ICI1448"/>
      <c r="ICJ1448"/>
      <c r="ICK1448"/>
      <c r="ICL1448"/>
      <c r="ICM1448"/>
      <c r="ICN1448"/>
      <c r="ICO1448"/>
      <c r="ICP1448"/>
      <c r="ICQ1448"/>
      <c r="ICR1448"/>
      <c r="ICS1448"/>
      <c r="ICT1448"/>
      <c r="ICU1448"/>
      <c r="ICV1448"/>
      <c r="ICW1448"/>
      <c r="ICX1448"/>
      <c r="ICY1448"/>
      <c r="ICZ1448"/>
      <c r="IDA1448"/>
      <c r="IDB1448"/>
      <c r="IDC1448"/>
      <c r="IDD1448"/>
      <c r="IDE1448"/>
      <c r="IDF1448"/>
      <c r="IDG1448"/>
      <c r="IDH1448"/>
      <c r="IDI1448"/>
      <c r="IDJ1448"/>
      <c r="IDK1448"/>
      <c r="IDL1448"/>
      <c r="IDM1448"/>
      <c r="IDN1448"/>
      <c r="IDO1448"/>
      <c r="IDP1448"/>
      <c r="IDQ1448"/>
      <c r="IDR1448"/>
      <c r="IDS1448"/>
      <c r="IDT1448"/>
      <c r="IDU1448"/>
      <c r="IDV1448"/>
      <c r="IDW1448"/>
      <c r="IDX1448"/>
      <c r="IDY1448"/>
      <c r="IDZ1448"/>
      <c r="IEA1448"/>
      <c r="IEB1448"/>
      <c r="IEC1448"/>
      <c r="IED1448"/>
      <c r="IEE1448"/>
      <c r="IEF1448"/>
      <c r="IEG1448"/>
      <c r="IEH1448"/>
      <c r="IEI1448"/>
      <c r="IEJ1448"/>
      <c r="IEK1448"/>
      <c r="IEL1448"/>
      <c r="IEM1448"/>
      <c r="IEN1448"/>
      <c r="IEO1448"/>
      <c r="IEP1448"/>
      <c r="IEQ1448"/>
      <c r="IER1448"/>
      <c r="IES1448"/>
      <c r="IET1448"/>
      <c r="IEU1448"/>
      <c r="IEV1448"/>
      <c r="IEW1448"/>
      <c r="IEX1448"/>
      <c r="IEY1448"/>
      <c r="IEZ1448"/>
      <c r="IFA1448"/>
      <c r="IFB1448"/>
      <c r="IFC1448"/>
      <c r="IFD1448"/>
      <c r="IFE1448"/>
      <c r="IFF1448"/>
      <c r="IFG1448"/>
      <c r="IFH1448"/>
      <c r="IFI1448"/>
      <c r="IFJ1448"/>
      <c r="IFK1448"/>
      <c r="IFL1448"/>
      <c r="IFM1448"/>
      <c r="IFN1448"/>
      <c r="IFO1448"/>
      <c r="IFP1448"/>
      <c r="IFQ1448"/>
      <c r="IFR1448"/>
      <c r="IFS1448"/>
      <c r="IFT1448"/>
      <c r="IFU1448"/>
      <c r="IFV1448"/>
      <c r="IFW1448"/>
      <c r="IFX1448"/>
      <c r="IFY1448"/>
      <c r="IFZ1448"/>
      <c r="IGA1448"/>
      <c r="IGB1448"/>
      <c r="IGC1448"/>
      <c r="IGD1448"/>
      <c r="IGE1448"/>
      <c r="IGF1448"/>
      <c r="IGG1448"/>
      <c r="IGH1448"/>
      <c r="IGI1448"/>
      <c r="IGJ1448"/>
      <c r="IGK1448"/>
      <c r="IGL1448"/>
      <c r="IGM1448"/>
      <c r="IGN1448"/>
      <c r="IGO1448"/>
      <c r="IGP1448"/>
      <c r="IGQ1448"/>
      <c r="IGR1448"/>
      <c r="IGS1448"/>
      <c r="IGT1448"/>
      <c r="IGU1448"/>
      <c r="IGV1448"/>
      <c r="IGW1448"/>
      <c r="IGX1448"/>
      <c r="IGY1448"/>
      <c r="IGZ1448"/>
      <c r="IHA1448"/>
      <c r="IHB1448"/>
      <c r="IHC1448"/>
      <c r="IHD1448"/>
      <c r="IHE1448"/>
      <c r="IHF1448"/>
      <c r="IHG1448"/>
      <c r="IHH1448"/>
      <c r="IHI1448"/>
      <c r="IHJ1448"/>
      <c r="IHK1448"/>
      <c r="IHL1448"/>
      <c r="IHM1448"/>
      <c r="IHN1448"/>
      <c r="IHO1448"/>
      <c r="IHP1448"/>
      <c r="IHQ1448"/>
      <c r="IHR1448"/>
      <c r="IHS1448"/>
      <c r="IHT1448"/>
      <c r="IHU1448"/>
      <c r="IHV1448"/>
      <c r="IHW1448"/>
      <c r="IHX1448"/>
      <c r="IHY1448"/>
      <c r="IHZ1448"/>
      <c r="IIA1448"/>
      <c r="IIB1448"/>
      <c r="IIC1448"/>
      <c r="IID1448"/>
      <c r="IIE1448"/>
      <c r="IIF1448"/>
      <c r="IIG1448"/>
      <c r="IIH1448"/>
      <c r="III1448"/>
      <c r="IIJ1448"/>
      <c r="IIK1448"/>
      <c r="IIL1448"/>
      <c r="IIM1448"/>
      <c r="IIN1448"/>
      <c r="IIO1448"/>
      <c r="IIP1448"/>
      <c r="IIQ1448"/>
      <c r="IIR1448"/>
      <c r="IIS1448"/>
      <c r="IIT1448"/>
      <c r="IIU1448"/>
      <c r="IIV1448"/>
      <c r="IIW1448"/>
      <c r="IIX1448"/>
      <c r="IIY1448"/>
      <c r="IIZ1448"/>
      <c r="IJA1448"/>
      <c r="IJB1448"/>
      <c r="IJC1448"/>
      <c r="IJD1448"/>
      <c r="IJE1448"/>
      <c r="IJF1448"/>
      <c r="IJG1448"/>
      <c r="IJH1448"/>
      <c r="IJI1448"/>
      <c r="IJJ1448"/>
      <c r="IJK1448"/>
      <c r="IJL1448"/>
      <c r="IJM1448"/>
      <c r="IJN1448"/>
      <c r="IJO1448"/>
      <c r="IJP1448"/>
      <c r="IJQ1448"/>
      <c r="IJR1448"/>
      <c r="IJS1448"/>
      <c r="IJT1448"/>
      <c r="IJU1448"/>
      <c r="IJV1448"/>
      <c r="IJW1448"/>
      <c r="IJX1448"/>
      <c r="IJY1448"/>
      <c r="IJZ1448"/>
      <c r="IKA1448"/>
      <c r="IKB1448"/>
      <c r="IKC1448"/>
      <c r="IKD1448"/>
      <c r="IKE1448"/>
      <c r="IKF1448"/>
      <c r="IKG1448"/>
      <c r="IKH1448"/>
      <c r="IKI1448"/>
      <c r="IKJ1448"/>
      <c r="IKK1448"/>
      <c r="IKL1448"/>
      <c r="IKM1448"/>
      <c r="IKN1448"/>
      <c r="IKO1448"/>
      <c r="IKP1448"/>
      <c r="IKQ1448"/>
      <c r="IKR1448"/>
      <c r="IKS1448"/>
      <c r="IKT1448"/>
      <c r="IKU1448"/>
      <c r="IKV1448"/>
      <c r="IKW1448"/>
      <c r="IKX1448"/>
      <c r="IKY1448"/>
      <c r="IKZ1448"/>
      <c r="ILA1448"/>
      <c r="ILB1448"/>
      <c r="ILC1448"/>
      <c r="ILD1448"/>
      <c r="ILE1448"/>
      <c r="ILF1448"/>
      <c r="ILG1448"/>
      <c r="ILH1448"/>
      <c r="ILI1448"/>
      <c r="ILJ1448"/>
      <c r="ILK1448"/>
      <c r="ILL1448"/>
      <c r="ILM1448"/>
      <c r="ILN1448"/>
      <c r="ILO1448"/>
      <c r="ILP1448"/>
      <c r="ILQ1448"/>
      <c r="ILR1448"/>
      <c r="ILS1448"/>
      <c r="ILT1448"/>
      <c r="ILU1448"/>
      <c r="ILV1448"/>
      <c r="ILW1448"/>
      <c r="ILX1448"/>
      <c r="ILY1448"/>
      <c r="ILZ1448"/>
      <c r="IMA1448"/>
      <c r="IMB1448"/>
      <c r="IMC1448"/>
      <c r="IMD1448"/>
      <c r="IME1448"/>
      <c r="IMF1448"/>
      <c r="IMG1448"/>
      <c r="IMH1448"/>
      <c r="IMI1448"/>
      <c r="IMJ1448"/>
      <c r="IMK1448"/>
      <c r="IML1448"/>
      <c r="IMM1448"/>
      <c r="IMN1448"/>
      <c r="IMO1448"/>
      <c r="IMP1448"/>
      <c r="IMQ1448"/>
      <c r="IMR1448"/>
      <c r="IMS1448"/>
      <c r="IMT1448"/>
      <c r="IMU1448"/>
      <c r="IMV1448"/>
      <c r="IMW1448"/>
      <c r="IMX1448"/>
      <c r="IMY1448"/>
      <c r="IMZ1448"/>
      <c r="INA1448"/>
      <c r="INB1448"/>
      <c r="INC1448"/>
      <c r="IND1448"/>
      <c r="INE1448"/>
      <c r="INF1448"/>
      <c r="ING1448"/>
      <c r="INH1448"/>
      <c r="INI1448"/>
      <c r="INJ1448"/>
      <c r="INK1448"/>
      <c r="INL1448"/>
      <c r="INM1448"/>
      <c r="INN1448"/>
      <c r="INO1448"/>
      <c r="INP1448"/>
      <c r="INQ1448"/>
      <c r="INR1448"/>
      <c r="INS1448"/>
      <c r="INT1448"/>
      <c r="INU1448"/>
      <c r="INV1448"/>
      <c r="INW1448"/>
      <c r="INX1448"/>
      <c r="INY1448"/>
      <c r="INZ1448"/>
      <c r="IOA1448"/>
      <c r="IOB1448"/>
      <c r="IOC1448"/>
      <c r="IOD1448"/>
      <c r="IOE1448"/>
      <c r="IOF1448"/>
      <c r="IOG1448"/>
      <c r="IOH1448"/>
      <c r="IOI1448"/>
      <c r="IOJ1448"/>
      <c r="IOK1448"/>
      <c r="IOL1448"/>
      <c r="IOM1448"/>
      <c r="ION1448"/>
      <c r="IOO1448"/>
      <c r="IOP1448"/>
      <c r="IOQ1448"/>
      <c r="IOR1448"/>
      <c r="IOS1448"/>
      <c r="IOT1448"/>
      <c r="IOU1448"/>
      <c r="IOV1448"/>
      <c r="IOW1448"/>
      <c r="IOX1448"/>
      <c r="IOY1448"/>
      <c r="IOZ1448"/>
      <c r="IPA1448"/>
      <c r="IPB1448"/>
      <c r="IPC1448"/>
      <c r="IPD1448"/>
      <c r="IPE1448"/>
      <c r="IPF1448"/>
      <c r="IPG1448"/>
      <c r="IPH1448"/>
      <c r="IPI1448"/>
      <c r="IPJ1448"/>
      <c r="IPK1448"/>
      <c r="IPL1448"/>
      <c r="IPM1448"/>
      <c r="IPN1448"/>
      <c r="IPO1448"/>
      <c r="IPP1448"/>
      <c r="IPQ1448"/>
      <c r="IPR1448"/>
      <c r="IPS1448"/>
      <c r="IPT1448"/>
      <c r="IPU1448"/>
      <c r="IPV1448"/>
      <c r="IPW1448"/>
      <c r="IPX1448"/>
      <c r="IPY1448"/>
      <c r="IPZ1448"/>
      <c r="IQA1448"/>
      <c r="IQB1448"/>
      <c r="IQC1448"/>
      <c r="IQD1448"/>
      <c r="IQE1448"/>
      <c r="IQF1448"/>
      <c r="IQG1448"/>
      <c r="IQH1448"/>
      <c r="IQI1448"/>
      <c r="IQJ1448"/>
      <c r="IQK1448"/>
      <c r="IQL1448"/>
      <c r="IQM1448"/>
      <c r="IQN1448"/>
      <c r="IQO1448"/>
      <c r="IQP1448"/>
      <c r="IQQ1448"/>
      <c r="IQR1448"/>
      <c r="IQS1448"/>
      <c r="IQT1448"/>
      <c r="IQU1448"/>
      <c r="IQV1448"/>
      <c r="IQW1448"/>
      <c r="IQX1448"/>
      <c r="IQY1448"/>
      <c r="IQZ1448"/>
      <c r="IRA1448"/>
      <c r="IRB1448"/>
      <c r="IRC1448"/>
      <c r="IRD1448"/>
      <c r="IRE1448"/>
      <c r="IRF1448"/>
      <c r="IRG1448"/>
      <c r="IRH1448"/>
      <c r="IRI1448"/>
      <c r="IRJ1448"/>
      <c r="IRK1448"/>
      <c r="IRL1448"/>
      <c r="IRM1448"/>
      <c r="IRN1448"/>
      <c r="IRO1448"/>
      <c r="IRP1448"/>
      <c r="IRQ1448"/>
      <c r="IRR1448"/>
      <c r="IRS1448"/>
      <c r="IRT1448"/>
      <c r="IRU1448"/>
      <c r="IRV1448"/>
      <c r="IRW1448"/>
      <c r="IRX1448"/>
      <c r="IRY1448"/>
      <c r="IRZ1448"/>
      <c r="ISA1448"/>
      <c r="ISB1448"/>
      <c r="ISC1448"/>
      <c r="ISD1448"/>
      <c r="ISE1448"/>
      <c r="ISF1448"/>
      <c r="ISG1448"/>
      <c r="ISH1448"/>
      <c r="ISI1448"/>
      <c r="ISJ1448"/>
      <c r="ISK1448"/>
      <c r="ISL1448"/>
      <c r="ISM1448"/>
      <c r="ISN1448"/>
      <c r="ISO1448"/>
      <c r="ISP1448"/>
      <c r="ISQ1448"/>
      <c r="ISR1448"/>
      <c r="ISS1448"/>
      <c r="IST1448"/>
      <c r="ISU1448"/>
      <c r="ISV1448"/>
      <c r="ISW1448"/>
      <c r="ISX1448"/>
      <c r="ISY1448"/>
      <c r="ISZ1448"/>
      <c r="ITA1448"/>
      <c r="ITB1448"/>
      <c r="ITC1448"/>
      <c r="ITD1448"/>
      <c r="ITE1448"/>
      <c r="ITF1448"/>
      <c r="ITG1448"/>
      <c r="ITH1448"/>
      <c r="ITI1448"/>
      <c r="ITJ1448"/>
      <c r="ITK1448"/>
      <c r="ITL1448"/>
      <c r="ITM1448"/>
      <c r="ITN1448"/>
      <c r="ITO1448"/>
      <c r="ITP1448"/>
      <c r="ITQ1448"/>
      <c r="ITR1448"/>
      <c r="ITS1448"/>
      <c r="ITT1448"/>
      <c r="ITU1448"/>
      <c r="ITV1448"/>
      <c r="ITW1448"/>
      <c r="ITX1448"/>
      <c r="ITY1448"/>
      <c r="ITZ1448"/>
      <c r="IUA1448"/>
      <c r="IUB1448"/>
      <c r="IUC1448"/>
      <c r="IUD1448"/>
      <c r="IUE1448"/>
      <c r="IUF1448"/>
      <c r="IUG1448"/>
      <c r="IUH1448"/>
      <c r="IUI1448"/>
      <c r="IUJ1448"/>
      <c r="IUK1448"/>
      <c r="IUL1448"/>
      <c r="IUM1448"/>
      <c r="IUN1448"/>
      <c r="IUO1448"/>
      <c r="IUP1448"/>
      <c r="IUQ1448"/>
      <c r="IUR1448"/>
      <c r="IUS1448"/>
      <c r="IUT1448"/>
      <c r="IUU1448"/>
      <c r="IUV1448"/>
      <c r="IUW1448"/>
      <c r="IUX1448"/>
      <c r="IUY1448"/>
      <c r="IUZ1448"/>
      <c r="IVA1448"/>
      <c r="IVB1448"/>
      <c r="IVC1448"/>
      <c r="IVD1448"/>
      <c r="IVE1448"/>
      <c r="IVF1448"/>
      <c r="IVG1448"/>
      <c r="IVH1448"/>
      <c r="IVI1448"/>
      <c r="IVJ1448"/>
      <c r="IVK1448"/>
      <c r="IVL1448"/>
      <c r="IVM1448"/>
      <c r="IVN1448"/>
      <c r="IVO1448"/>
      <c r="IVP1448"/>
      <c r="IVQ1448"/>
      <c r="IVR1448"/>
      <c r="IVS1448"/>
      <c r="IVT1448"/>
      <c r="IVU1448"/>
      <c r="IVV1448"/>
      <c r="IVW1448"/>
      <c r="IVX1448"/>
      <c r="IVY1448"/>
      <c r="IVZ1448"/>
      <c r="IWA1448"/>
      <c r="IWB1448"/>
      <c r="IWC1448"/>
      <c r="IWD1448"/>
      <c r="IWE1448"/>
      <c r="IWF1448"/>
      <c r="IWG1448"/>
      <c r="IWH1448"/>
      <c r="IWI1448"/>
      <c r="IWJ1448"/>
      <c r="IWK1448"/>
      <c r="IWL1448"/>
      <c r="IWM1448"/>
      <c r="IWN1448"/>
      <c r="IWO1448"/>
      <c r="IWP1448"/>
      <c r="IWQ1448"/>
      <c r="IWR1448"/>
      <c r="IWS1448"/>
      <c r="IWT1448"/>
      <c r="IWU1448"/>
      <c r="IWV1448"/>
      <c r="IWW1448"/>
      <c r="IWX1448"/>
      <c r="IWY1448"/>
      <c r="IWZ1448"/>
      <c r="IXA1448"/>
      <c r="IXB1448"/>
      <c r="IXC1448"/>
      <c r="IXD1448"/>
      <c r="IXE1448"/>
      <c r="IXF1448"/>
      <c r="IXG1448"/>
      <c r="IXH1448"/>
      <c r="IXI1448"/>
      <c r="IXJ1448"/>
      <c r="IXK1448"/>
      <c r="IXL1448"/>
      <c r="IXM1448"/>
      <c r="IXN1448"/>
      <c r="IXO1448"/>
      <c r="IXP1448"/>
      <c r="IXQ1448"/>
      <c r="IXR1448"/>
      <c r="IXS1448"/>
      <c r="IXT1448"/>
      <c r="IXU1448"/>
      <c r="IXV1448"/>
      <c r="IXW1448"/>
      <c r="IXX1448"/>
      <c r="IXY1448"/>
      <c r="IXZ1448"/>
      <c r="IYA1448"/>
      <c r="IYB1448"/>
      <c r="IYC1448"/>
      <c r="IYD1448"/>
      <c r="IYE1448"/>
      <c r="IYF1448"/>
      <c r="IYG1448"/>
      <c r="IYH1448"/>
      <c r="IYI1448"/>
      <c r="IYJ1448"/>
      <c r="IYK1448"/>
      <c r="IYL1448"/>
      <c r="IYM1448"/>
      <c r="IYN1448"/>
      <c r="IYO1448"/>
      <c r="IYP1448"/>
      <c r="IYQ1448"/>
      <c r="IYR1448"/>
      <c r="IYS1448"/>
      <c r="IYT1448"/>
      <c r="IYU1448"/>
      <c r="IYV1448"/>
      <c r="IYW1448"/>
      <c r="IYX1448"/>
      <c r="IYY1448"/>
      <c r="IYZ1448"/>
      <c r="IZA1448"/>
      <c r="IZB1448"/>
      <c r="IZC1448"/>
      <c r="IZD1448"/>
      <c r="IZE1448"/>
      <c r="IZF1448"/>
      <c r="IZG1448"/>
      <c r="IZH1448"/>
      <c r="IZI1448"/>
      <c r="IZJ1448"/>
      <c r="IZK1448"/>
      <c r="IZL1448"/>
      <c r="IZM1448"/>
      <c r="IZN1448"/>
      <c r="IZO1448"/>
      <c r="IZP1448"/>
      <c r="IZQ1448"/>
      <c r="IZR1448"/>
      <c r="IZS1448"/>
      <c r="IZT1448"/>
      <c r="IZU1448"/>
      <c r="IZV1448"/>
      <c r="IZW1448"/>
      <c r="IZX1448"/>
      <c r="IZY1448"/>
      <c r="IZZ1448"/>
      <c r="JAA1448"/>
      <c r="JAB1448"/>
      <c r="JAC1448"/>
      <c r="JAD1448"/>
      <c r="JAE1448"/>
      <c r="JAF1448"/>
      <c r="JAG1448"/>
      <c r="JAH1448"/>
      <c r="JAI1448"/>
      <c r="JAJ1448"/>
      <c r="JAK1448"/>
      <c r="JAL1448"/>
      <c r="JAM1448"/>
      <c r="JAN1448"/>
      <c r="JAO1448"/>
      <c r="JAP1448"/>
      <c r="JAQ1448"/>
      <c r="JAR1448"/>
      <c r="JAS1448"/>
      <c r="JAT1448"/>
      <c r="JAU1448"/>
      <c r="JAV1448"/>
      <c r="JAW1448"/>
      <c r="JAX1448"/>
      <c r="JAY1448"/>
      <c r="JAZ1448"/>
      <c r="JBA1448"/>
      <c r="JBB1448"/>
      <c r="JBC1448"/>
      <c r="JBD1448"/>
      <c r="JBE1448"/>
      <c r="JBF1448"/>
      <c r="JBG1448"/>
      <c r="JBH1448"/>
      <c r="JBI1448"/>
      <c r="JBJ1448"/>
      <c r="JBK1448"/>
      <c r="JBL1448"/>
      <c r="JBM1448"/>
      <c r="JBN1448"/>
      <c r="JBO1448"/>
      <c r="JBP1448"/>
      <c r="JBQ1448"/>
      <c r="JBR1448"/>
      <c r="JBS1448"/>
      <c r="JBT1448"/>
      <c r="JBU1448"/>
      <c r="JBV1448"/>
      <c r="JBW1448"/>
      <c r="JBX1448"/>
      <c r="JBY1448"/>
      <c r="JBZ1448"/>
      <c r="JCA1448"/>
      <c r="JCB1448"/>
      <c r="JCC1448"/>
      <c r="JCD1448"/>
      <c r="JCE1448"/>
      <c r="JCF1448"/>
      <c r="JCG1448"/>
      <c r="JCH1448"/>
      <c r="JCI1448"/>
      <c r="JCJ1448"/>
      <c r="JCK1448"/>
      <c r="JCL1448"/>
      <c r="JCM1448"/>
      <c r="JCN1448"/>
      <c r="JCO1448"/>
      <c r="JCP1448"/>
      <c r="JCQ1448"/>
      <c r="JCR1448"/>
      <c r="JCS1448"/>
      <c r="JCT1448"/>
      <c r="JCU1448"/>
      <c r="JCV1448"/>
      <c r="JCW1448"/>
      <c r="JCX1448"/>
      <c r="JCY1448"/>
      <c r="JCZ1448"/>
      <c r="JDA1448"/>
      <c r="JDB1448"/>
      <c r="JDC1448"/>
      <c r="JDD1448"/>
      <c r="JDE1448"/>
      <c r="JDF1448"/>
      <c r="JDG1448"/>
      <c r="JDH1448"/>
      <c r="JDI1448"/>
      <c r="JDJ1448"/>
      <c r="JDK1448"/>
      <c r="JDL1448"/>
      <c r="JDM1448"/>
      <c r="JDN1448"/>
      <c r="JDO1448"/>
      <c r="JDP1448"/>
      <c r="JDQ1448"/>
      <c r="JDR1448"/>
      <c r="JDS1448"/>
      <c r="JDT1448"/>
      <c r="JDU1448"/>
      <c r="JDV1448"/>
      <c r="JDW1448"/>
      <c r="JDX1448"/>
      <c r="JDY1448"/>
      <c r="JDZ1448"/>
      <c r="JEA1448"/>
      <c r="JEB1448"/>
      <c r="JEC1448"/>
      <c r="JED1448"/>
      <c r="JEE1448"/>
      <c r="JEF1448"/>
      <c r="JEG1448"/>
      <c r="JEH1448"/>
      <c r="JEI1448"/>
      <c r="JEJ1448"/>
      <c r="JEK1448"/>
      <c r="JEL1448"/>
      <c r="JEM1448"/>
      <c r="JEN1448"/>
      <c r="JEO1448"/>
      <c r="JEP1448"/>
      <c r="JEQ1448"/>
      <c r="JER1448"/>
      <c r="JES1448"/>
      <c r="JET1448"/>
      <c r="JEU1448"/>
      <c r="JEV1448"/>
      <c r="JEW1448"/>
      <c r="JEX1448"/>
      <c r="JEY1448"/>
      <c r="JEZ1448"/>
      <c r="JFA1448"/>
      <c r="JFB1448"/>
      <c r="JFC1448"/>
      <c r="JFD1448"/>
      <c r="JFE1448"/>
      <c r="JFF1448"/>
      <c r="JFG1448"/>
      <c r="JFH1448"/>
      <c r="JFI1448"/>
      <c r="JFJ1448"/>
      <c r="JFK1448"/>
      <c r="JFL1448"/>
      <c r="JFM1448"/>
      <c r="JFN1448"/>
      <c r="JFO1448"/>
      <c r="JFP1448"/>
      <c r="JFQ1448"/>
      <c r="JFR1448"/>
      <c r="JFS1448"/>
      <c r="JFT1448"/>
      <c r="JFU1448"/>
      <c r="JFV1448"/>
      <c r="JFW1448"/>
      <c r="JFX1448"/>
      <c r="JFY1448"/>
      <c r="JFZ1448"/>
      <c r="JGA1448"/>
      <c r="JGB1448"/>
      <c r="JGC1448"/>
      <c r="JGD1448"/>
      <c r="JGE1448"/>
      <c r="JGF1448"/>
      <c r="JGG1448"/>
      <c r="JGH1448"/>
      <c r="JGI1448"/>
      <c r="JGJ1448"/>
      <c r="JGK1448"/>
      <c r="JGL1448"/>
      <c r="JGM1448"/>
      <c r="JGN1448"/>
      <c r="JGO1448"/>
      <c r="JGP1448"/>
      <c r="JGQ1448"/>
      <c r="JGR1448"/>
      <c r="JGS1448"/>
      <c r="JGT1448"/>
      <c r="JGU1448"/>
      <c r="JGV1448"/>
      <c r="JGW1448"/>
      <c r="JGX1448"/>
      <c r="JGY1448"/>
      <c r="JGZ1448"/>
      <c r="JHA1448"/>
      <c r="JHB1448"/>
      <c r="JHC1448"/>
      <c r="JHD1448"/>
      <c r="JHE1448"/>
      <c r="JHF1448"/>
      <c r="JHG1448"/>
      <c r="JHH1448"/>
      <c r="JHI1448"/>
      <c r="JHJ1448"/>
      <c r="JHK1448"/>
      <c r="JHL1448"/>
      <c r="JHM1448"/>
      <c r="JHN1448"/>
      <c r="JHO1448"/>
      <c r="JHP1448"/>
      <c r="JHQ1448"/>
      <c r="JHR1448"/>
      <c r="JHS1448"/>
      <c r="JHT1448"/>
      <c r="JHU1448"/>
      <c r="JHV1448"/>
      <c r="JHW1448"/>
      <c r="JHX1448"/>
      <c r="JHY1448"/>
      <c r="JHZ1448"/>
      <c r="JIA1448"/>
      <c r="JIB1448"/>
      <c r="JIC1448"/>
      <c r="JID1448"/>
      <c r="JIE1448"/>
      <c r="JIF1448"/>
      <c r="JIG1448"/>
      <c r="JIH1448"/>
      <c r="JII1448"/>
      <c r="JIJ1448"/>
      <c r="JIK1448"/>
      <c r="JIL1448"/>
      <c r="JIM1448"/>
      <c r="JIN1448"/>
      <c r="JIO1448"/>
      <c r="JIP1448"/>
      <c r="JIQ1448"/>
      <c r="JIR1448"/>
      <c r="JIS1448"/>
      <c r="JIT1448"/>
      <c r="JIU1448"/>
      <c r="JIV1448"/>
      <c r="JIW1448"/>
      <c r="JIX1448"/>
      <c r="JIY1448"/>
      <c r="JIZ1448"/>
      <c r="JJA1448"/>
      <c r="JJB1448"/>
      <c r="JJC1448"/>
      <c r="JJD1448"/>
      <c r="JJE1448"/>
      <c r="JJF1448"/>
      <c r="JJG1448"/>
      <c r="JJH1448"/>
      <c r="JJI1448"/>
      <c r="JJJ1448"/>
      <c r="JJK1448"/>
      <c r="JJL1448"/>
      <c r="JJM1448"/>
      <c r="JJN1448"/>
      <c r="JJO1448"/>
      <c r="JJP1448"/>
      <c r="JJQ1448"/>
      <c r="JJR1448"/>
      <c r="JJS1448"/>
      <c r="JJT1448"/>
      <c r="JJU1448"/>
      <c r="JJV1448"/>
      <c r="JJW1448"/>
      <c r="JJX1448"/>
      <c r="JJY1448"/>
      <c r="JJZ1448"/>
      <c r="JKA1448"/>
      <c r="JKB1448"/>
      <c r="JKC1448"/>
      <c r="JKD1448"/>
      <c r="JKE1448"/>
      <c r="JKF1448"/>
      <c r="JKG1448"/>
      <c r="JKH1448"/>
      <c r="JKI1448"/>
      <c r="JKJ1448"/>
      <c r="JKK1448"/>
      <c r="JKL1448"/>
      <c r="JKM1448"/>
      <c r="JKN1448"/>
      <c r="JKO1448"/>
      <c r="JKP1448"/>
      <c r="JKQ1448"/>
      <c r="JKR1448"/>
      <c r="JKS1448"/>
      <c r="JKT1448"/>
      <c r="JKU1448"/>
      <c r="JKV1448"/>
      <c r="JKW1448"/>
      <c r="JKX1448"/>
      <c r="JKY1448"/>
      <c r="JKZ1448"/>
      <c r="JLA1448"/>
      <c r="JLB1448"/>
      <c r="JLC1448"/>
      <c r="JLD1448"/>
      <c r="JLE1448"/>
      <c r="JLF1448"/>
      <c r="JLG1448"/>
      <c r="JLH1448"/>
      <c r="JLI1448"/>
      <c r="JLJ1448"/>
      <c r="JLK1448"/>
      <c r="JLL1448"/>
      <c r="JLM1448"/>
      <c r="JLN1448"/>
      <c r="JLO1448"/>
      <c r="JLP1448"/>
      <c r="JLQ1448"/>
      <c r="JLR1448"/>
      <c r="JLS1448"/>
      <c r="JLT1448"/>
      <c r="JLU1448"/>
      <c r="JLV1448"/>
      <c r="JLW1448"/>
      <c r="JLX1448"/>
      <c r="JLY1448"/>
      <c r="JLZ1448"/>
      <c r="JMA1448"/>
      <c r="JMB1448"/>
      <c r="JMC1448"/>
      <c r="JMD1448"/>
      <c r="JME1448"/>
      <c r="JMF1448"/>
      <c r="JMG1448"/>
      <c r="JMH1448"/>
      <c r="JMI1448"/>
      <c r="JMJ1448"/>
      <c r="JMK1448"/>
      <c r="JML1448"/>
      <c r="JMM1448"/>
      <c r="JMN1448"/>
      <c r="JMO1448"/>
      <c r="JMP1448"/>
      <c r="JMQ1448"/>
      <c r="JMR1448"/>
      <c r="JMS1448"/>
      <c r="JMT1448"/>
      <c r="JMU1448"/>
      <c r="JMV1448"/>
      <c r="JMW1448"/>
      <c r="JMX1448"/>
      <c r="JMY1448"/>
      <c r="JMZ1448"/>
      <c r="JNA1448"/>
      <c r="JNB1448"/>
      <c r="JNC1448"/>
      <c r="JND1448"/>
      <c r="JNE1448"/>
      <c r="JNF1448"/>
      <c r="JNG1448"/>
      <c r="JNH1448"/>
      <c r="JNI1448"/>
      <c r="JNJ1448"/>
      <c r="JNK1448"/>
      <c r="JNL1448"/>
      <c r="JNM1448"/>
      <c r="JNN1448"/>
      <c r="JNO1448"/>
      <c r="JNP1448"/>
      <c r="JNQ1448"/>
      <c r="JNR1448"/>
      <c r="JNS1448"/>
      <c r="JNT1448"/>
      <c r="JNU1448"/>
      <c r="JNV1448"/>
      <c r="JNW1448"/>
      <c r="JNX1448"/>
      <c r="JNY1448"/>
      <c r="JNZ1448"/>
      <c r="JOA1448"/>
      <c r="JOB1448"/>
      <c r="JOC1448"/>
      <c r="JOD1448"/>
      <c r="JOE1448"/>
      <c r="JOF1448"/>
      <c r="JOG1448"/>
      <c r="JOH1448"/>
      <c r="JOI1448"/>
      <c r="JOJ1448"/>
      <c r="JOK1448"/>
      <c r="JOL1448"/>
      <c r="JOM1448"/>
      <c r="JON1448"/>
      <c r="JOO1448"/>
      <c r="JOP1448"/>
      <c r="JOQ1448"/>
      <c r="JOR1448"/>
      <c r="JOS1448"/>
      <c r="JOT1448"/>
      <c r="JOU1448"/>
      <c r="JOV1448"/>
      <c r="JOW1448"/>
      <c r="JOX1448"/>
      <c r="JOY1448"/>
      <c r="JOZ1448"/>
      <c r="JPA1448"/>
      <c r="JPB1448"/>
      <c r="JPC1448"/>
      <c r="JPD1448"/>
      <c r="JPE1448"/>
      <c r="JPF1448"/>
      <c r="JPG1448"/>
      <c r="JPH1448"/>
      <c r="JPI1448"/>
      <c r="JPJ1448"/>
      <c r="JPK1448"/>
      <c r="JPL1448"/>
      <c r="JPM1448"/>
      <c r="JPN1448"/>
      <c r="JPO1448"/>
      <c r="JPP1448"/>
      <c r="JPQ1448"/>
      <c r="JPR1448"/>
      <c r="JPS1448"/>
      <c r="JPT1448"/>
      <c r="JPU1448"/>
      <c r="JPV1448"/>
      <c r="JPW1448"/>
      <c r="JPX1448"/>
      <c r="JPY1448"/>
      <c r="JPZ1448"/>
      <c r="JQA1448"/>
      <c r="JQB1448"/>
      <c r="JQC1448"/>
      <c r="JQD1448"/>
      <c r="JQE1448"/>
      <c r="JQF1448"/>
      <c r="JQG1448"/>
      <c r="JQH1448"/>
      <c r="JQI1448"/>
      <c r="JQJ1448"/>
      <c r="JQK1448"/>
      <c r="JQL1448"/>
      <c r="JQM1448"/>
      <c r="JQN1448"/>
      <c r="JQO1448"/>
      <c r="JQP1448"/>
      <c r="JQQ1448"/>
      <c r="JQR1448"/>
      <c r="JQS1448"/>
      <c r="JQT1448"/>
      <c r="JQU1448"/>
      <c r="JQV1448"/>
      <c r="JQW1448"/>
      <c r="JQX1448"/>
      <c r="JQY1448"/>
      <c r="JQZ1448"/>
      <c r="JRA1448"/>
      <c r="JRB1448"/>
      <c r="JRC1448"/>
      <c r="JRD1448"/>
      <c r="JRE1448"/>
      <c r="JRF1448"/>
      <c r="JRG1448"/>
      <c r="JRH1448"/>
      <c r="JRI1448"/>
      <c r="JRJ1448"/>
      <c r="JRK1448"/>
      <c r="JRL1448"/>
      <c r="JRM1448"/>
      <c r="JRN1448"/>
      <c r="JRO1448"/>
      <c r="JRP1448"/>
      <c r="JRQ1448"/>
      <c r="JRR1448"/>
      <c r="JRS1448"/>
      <c r="JRT1448"/>
      <c r="JRU1448"/>
      <c r="JRV1448"/>
      <c r="JRW1448"/>
      <c r="JRX1448"/>
      <c r="JRY1448"/>
      <c r="JRZ1448"/>
      <c r="JSA1448"/>
      <c r="JSB1448"/>
      <c r="JSC1448"/>
      <c r="JSD1448"/>
      <c r="JSE1448"/>
      <c r="JSF1448"/>
      <c r="JSG1448"/>
      <c r="JSH1448"/>
      <c r="JSI1448"/>
      <c r="JSJ1448"/>
      <c r="JSK1448"/>
      <c r="JSL1448"/>
      <c r="JSM1448"/>
      <c r="JSN1448"/>
      <c r="JSO1448"/>
      <c r="JSP1448"/>
      <c r="JSQ1448"/>
      <c r="JSR1448"/>
      <c r="JSS1448"/>
      <c r="JST1448"/>
      <c r="JSU1448"/>
      <c r="JSV1448"/>
      <c r="JSW1448"/>
      <c r="JSX1448"/>
      <c r="JSY1448"/>
      <c r="JSZ1448"/>
      <c r="JTA1448"/>
      <c r="JTB1448"/>
      <c r="JTC1448"/>
      <c r="JTD1448"/>
      <c r="JTE1448"/>
      <c r="JTF1448"/>
      <c r="JTG1448"/>
      <c r="JTH1448"/>
      <c r="JTI1448"/>
      <c r="JTJ1448"/>
      <c r="JTK1448"/>
      <c r="JTL1448"/>
      <c r="JTM1448"/>
      <c r="JTN1448"/>
      <c r="JTO1448"/>
      <c r="JTP1448"/>
      <c r="JTQ1448"/>
      <c r="JTR1448"/>
      <c r="JTS1448"/>
      <c r="JTT1448"/>
      <c r="JTU1448"/>
      <c r="JTV1448"/>
      <c r="JTW1448"/>
      <c r="JTX1448"/>
      <c r="JTY1448"/>
      <c r="JTZ1448"/>
      <c r="JUA1448"/>
      <c r="JUB1448"/>
      <c r="JUC1448"/>
      <c r="JUD1448"/>
      <c r="JUE1448"/>
      <c r="JUF1448"/>
      <c r="JUG1448"/>
      <c r="JUH1448"/>
      <c r="JUI1448"/>
      <c r="JUJ1448"/>
      <c r="JUK1448"/>
      <c r="JUL1448"/>
      <c r="JUM1448"/>
      <c r="JUN1448"/>
      <c r="JUO1448"/>
      <c r="JUP1448"/>
      <c r="JUQ1448"/>
      <c r="JUR1448"/>
      <c r="JUS1448"/>
      <c r="JUT1448"/>
      <c r="JUU1448"/>
      <c r="JUV1448"/>
      <c r="JUW1448"/>
      <c r="JUX1448"/>
      <c r="JUY1448"/>
      <c r="JUZ1448"/>
      <c r="JVA1448"/>
      <c r="JVB1448"/>
      <c r="JVC1448"/>
      <c r="JVD1448"/>
      <c r="JVE1448"/>
      <c r="JVF1448"/>
      <c r="JVG1448"/>
      <c r="JVH1448"/>
      <c r="JVI1448"/>
      <c r="JVJ1448"/>
      <c r="JVK1448"/>
      <c r="JVL1448"/>
      <c r="JVM1448"/>
      <c r="JVN1448"/>
      <c r="JVO1448"/>
      <c r="JVP1448"/>
      <c r="JVQ1448"/>
      <c r="JVR1448"/>
      <c r="JVS1448"/>
      <c r="JVT1448"/>
      <c r="JVU1448"/>
      <c r="JVV1448"/>
      <c r="JVW1448"/>
      <c r="JVX1448"/>
      <c r="JVY1448"/>
      <c r="JVZ1448"/>
      <c r="JWA1448"/>
      <c r="JWB1448"/>
      <c r="JWC1448"/>
      <c r="JWD1448"/>
      <c r="JWE1448"/>
      <c r="JWF1448"/>
      <c r="JWG1448"/>
      <c r="JWH1448"/>
      <c r="JWI1448"/>
      <c r="JWJ1448"/>
      <c r="JWK1448"/>
      <c r="JWL1448"/>
      <c r="JWM1448"/>
      <c r="JWN1448"/>
      <c r="JWO1448"/>
      <c r="JWP1448"/>
      <c r="JWQ1448"/>
      <c r="JWR1448"/>
      <c r="JWS1448"/>
      <c r="JWT1448"/>
      <c r="JWU1448"/>
      <c r="JWV1448"/>
      <c r="JWW1448"/>
      <c r="JWX1448"/>
      <c r="JWY1448"/>
      <c r="JWZ1448"/>
      <c r="JXA1448"/>
      <c r="JXB1448"/>
      <c r="JXC1448"/>
      <c r="JXD1448"/>
      <c r="JXE1448"/>
      <c r="JXF1448"/>
      <c r="JXG1448"/>
      <c r="JXH1448"/>
      <c r="JXI1448"/>
      <c r="JXJ1448"/>
      <c r="JXK1448"/>
      <c r="JXL1448"/>
      <c r="JXM1448"/>
      <c r="JXN1448"/>
      <c r="JXO1448"/>
      <c r="JXP1448"/>
      <c r="JXQ1448"/>
      <c r="JXR1448"/>
      <c r="JXS1448"/>
      <c r="JXT1448"/>
      <c r="JXU1448"/>
      <c r="JXV1448"/>
      <c r="JXW1448"/>
      <c r="JXX1448"/>
      <c r="JXY1448"/>
      <c r="JXZ1448"/>
      <c r="JYA1448"/>
      <c r="JYB1448"/>
      <c r="JYC1448"/>
      <c r="JYD1448"/>
      <c r="JYE1448"/>
      <c r="JYF1448"/>
      <c r="JYG1448"/>
      <c r="JYH1448"/>
      <c r="JYI1448"/>
      <c r="JYJ1448"/>
      <c r="JYK1448"/>
      <c r="JYL1448"/>
      <c r="JYM1448"/>
      <c r="JYN1448"/>
      <c r="JYO1448"/>
      <c r="JYP1448"/>
      <c r="JYQ1448"/>
      <c r="JYR1448"/>
      <c r="JYS1448"/>
      <c r="JYT1448"/>
      <c r="JYU1448"/>
      <c r="JYV1448"/>
      <c r="JYW1448"/>
      <c r="JYX1448"/>
      <c r="JYY1448"/>
      <c r="JYZ1448"/>
      <c r="JZA1448"/>
      <c r="JZB1448"/>
      <c r="JZC1448"/>
      <c r="JZD1448"/>
      <c r="JZE1448"/>
      <c r="JZF1448"/>
      <c r="JZG1448"/>
      <c r="JZH1448"/>
      <c r="JZI1448"/>
      <c r="JZJ1448"/>
      <c r="JZK1448"/>
      <c r="JZL1448"/>
      <c r="JZM1448"/>
      <c r="JZN1448"/>
      <c r="JZO1448"/>
      <c r="JZP1448"/>
      <c r="JZQ1448"/>
      <c r="JZR1448"/>
      <c r="JZS1448"/>
      <c r="JZT1448"/>
      <c r="JZU1448"/>
      <c r="JZV1448"/>
      <c r="JZW1448"/>
      <c r="JZX1448"/>
      <c r="JZY1448"/>
      <c r="JZZ1448"/>
      <c r="KAA1448"/>
      <c r="KAB1448"/>
      <c r="KAC1448"/>
      <c r="KAD1448"/>
      <c r="KAE1448"/>
      <c r="KAF1448"/>
      <c r="KAG1448"/>
      <c r="KAH1448"/>
      <c r="KAI1448"/>
      <c r="KAJ1448"/>
      <c r="KAK1448"/>
      <c r="KAL1448"/>
      <c r="KAM1448"/>
      <c r="KAN1448"/>
      <c r="KAO1448"/>
      <c r="KAP1448"/>
      <c r="KAQ1448"/>
      <c r="KAR1448"/>
      <c r="KAS1448"/>
      <c r="KAT1448"/>
      <c r="KAU1448"/>
      <c r="KAV1448"/>
      <c r="KAW1448"/>
      <c r="KAX1448"/>
      <c r="KAY1448"/>
      <c r="KAZ1448"/>
      <c r="KBA1448"/>
      <c r="KBB1448"/>
      <c r="KBC1448"/>
      <c r="KBD1448"/>
      <c r="KBE1448"/>
      <c r="KBF1448"/>
      <c r="KBG1448"/>
      <c r="KBH1448"/>
      <c r="KBI1448"/>
      <c r="KBJ1448"/>
      <c r="KBK1448"/>
      <c r="KBL1448"/>
      <c r="KBM1448"/>
      <c r="KBN1448"/>
      <c r="KBO1448"/>
      <c r="KBP1448"/>
      <c r="KBQ1448"/>
      <c r="KBR1448"/>
      <c r="KBS1448"/>
      <c r="KBT1448"/>
      <c r="KBU1448"/>
      <c r="KBV1448"/>
      <c r="KBW1448"/>
      <c r="KBX1448"/>
      <c r="KBY1448"/>
      <c r="KBZ1448"/>
      <c r="KCA1448"/>
      <c r="KCB1448"/>
      <c r="KCC1448"/>
      <c r="KCD1448"/>
      <c r="KCE1448"/>
      <c r="KCF1448"/>
      <c r="KCG1448"/>
      <c r="KCH1448"/>
      <c r="KCI1448"/>
      <c r="KCJ1448"/>
      <c r="KCK1448"/>
      <c r="KCL1448"/>
      <c r="KCM1448"/>
      <c r="KCN1448"/>
      <c r="KCO1448"/>
      <c r="KCP1448"/>
      <c r="KCQ1448"/>
      <c r="KCR1448"/>
      <c r="KCS1448"/>
      <c r="KCT1448"/>
      <c r="KCU1448"/>
      <c r="KCV1448"/>
      <c r="KCW1448"/>
      <c r="KCX1448"/>
      <c r="KCY1448"/>
      <c r="KCZ1448"/>
      <c r="KDA1448"/>
      <c r="KDB1448"/>
      <c r="KDC1448"/>
      <c r="KDD1448"/>
      <c r="KDE1448"/>
      <c r="KDF1448"/>
      <c r="KDG1448"/>
      <c r="KDH1448"/>
      <c r="KDI1448"/>
      <c r="KDJ1448"/>
      <c r="KDK1448"/>
      <c r="KDL1448"/>
      <c r="KDM1448"/>
      <c r="KDN1448"/>
      <c r="KDO1448"/>
      <c r="KDP1448"/>
      <c r="KDQ1448"/>
      <c r="KDR1448"/>
      <c r="KDS1448"/>
      <c r="KDT1448"/>
      <c r="KDU1448"/>
      <c r="KDV1448"/>
      <c r="KDW1448"/>
      <c r="KDX1448"/>
      <c r="KDY1448"/>
      <c r="KDZ1448"/>
      <c r="KEA1448"/>
      <c r="KEB1448"/>
      <c r="KEC1448"/>
      <c r="KED1448"/>
      <c r="KEE1448"/>
      <c r="KEF1448"/>
      <c r="KEG1448"/>
      <c r="KEH1448"/>
      <c r="KEI1448"/>
      <c r="KEJ1448"/>
      <c r="KEK1448"/>
      <c r="KEL1448"/>
      <c r="KEM1448"/>
      <c r="KEN1448"/>
      <c r="KEO1448"/>
      <c r="KEP1448"/>
      <c r="KEQ1448"/>
      <c r="KER1448"/>
      <c r="KES1448"/>
      <c r="KET1448"/>
      <c r="KEU1448"/>
      <c r="KEV1448"/>
      <c r="KEW1448"/>
      <c r="KEX1448"/>
      <c r="KEY1448"/>
      <c r="KEZ1448"/>
      <c r="KFA1448"/>
      <c r="KFB1448"/>
      <c r="KFC1448"/>
      <c r="KFD1448"/>
      <c r="KFE1448"/>
      <c r="KFF1448"/>
      <c r="KFG1448"/>
      <c r="KFH1448"/>
      <c r="KFI1448"/>
      <c r="KFJ1448"/>
      <c r="KFK1448"/>
      <c r="KFL1448"/>
      <c r="KFM1448"/>
      <c r="KFN1448"/>
      <c r="KFO1448"/>
      <c r="KFP1448"/>
      <c r="KFQ1448"/>
      <c r="KFR1448"/>
      <c r="KFS1448"/>
      <c r="KFT1448"/>
      <c r="KFU1448"/>
      <c r="KFV1448"/>
      <c r="KFW1448"/>
      <c r="KFX1448"/>
      <c r="KFY1448"/>
      <c r="KFZ1448"/>
      <c r="KGA1448"/>
      <c r="KGB1448"/>
      <c r="KGC1448"/>
      <c r="KGD1448"/>
      <c r="KGE1448"/>
      <c r="KGF1448"/>
      <c r="KGG1448"/>
      <c r="KGH1448"/>
      <c r="KGI1448"/>
      <c r="KGJ1448"/>
      <c r="KGK1448"/>
      <c r="KGL1448"/>
      <c r="KGM1448"/>
      <c r="KGN1448"/>
      <c r="KGO1448"/>
      <c r="KGP1448"/>
      <c r="KGQ1448"/>
      <c r="KGR1448"/>
      <c r="KGS1448"/>
      <c r="KGT1448"/>
      <c r="KGU1448"/>
      <c r="KGV1448"/>
      <c r="KGW1448"/>
      <c r="KGX1448"/>
      <c r="KGY1448"/>
      <c r="KGZ1448"/>
      <c r="KHA1448"/>
      <c r="KHB1448"/>
      <c r="KHC1448"/>
      <c r="KHD1448"/>
      <c r="KHE1448"/>
      <c r="KHF1448"/>
      <c r="KHG1448"/>
      <c r="KHH1448"/>
      <c r="KHI1448"/>
      <c r="KHJ1448"/>
      <c r="KHK1448"/>
      <c r="KHL1448"/>
      <c r="KHM1448"/>
      <c r="KHN1448"/>
      <c r="KHO1448"/>
      <c r="KHP1448"/>
      <c r="KHQ1448"/>
      <c r="KHR1448"/>
      <c r="KHS1448"/>
      <c r="KHT1448"/>
      <c r="KHU1448"/>
      <c r="KHV1448"/>
      <c r="KHW1448"/>
      <c r="KHX1448"/>
      <c r="KHY1448"/>
      <c r="KHZ1448"/>
      <c r="KIA1448"/>
      <c r="KIB1448"/>
      <c r="KIC1448"/>
      <c r="KID1448"/>
      <c r="KIE1448"/>
      <c r="KIF1448"/>
      <c r="KIG1448"/>
      <c r="KIH1448"/>
      <c r="KII1448"/>
      <c r="KIJ1448"/>
      <c r="KIK1448"/>
      <c r="KIL1448"/>
      <c r="KIM1448"/>
      <c r="KIN1448"/>
      <c r="KIO1448"/>
      <c r="KIP1448"/>
      <c r="KIQ1448"/>
      <c r="KIR1448"/>
      <c r="KIS1448"/>
      <c r="KIT1448"/>
      <c r="KIU1448"/>
      <c r="KIV1448"/>
      <c r="KIW1448"/>
      <c r="KIX1448"/>
      <c r="KIY1448"/>
      <c r="KIZ1448"/>
      <c r="KJA1448"/>
      <c r="KJB1448"/>
      <c r="KJC1448"/>
      <c r="KJD1448"/>
      <c r="KJE1448"/>
      <c r="KJF1448"/>
      <c r="KJG1448"/>
      <c r="KJH1448"/>
      <c r="KJI1448"/>
      <c r="KJJ1448"/>
      <c r="KJK1448"/>
      <c r="KJL1448"/>
      <c r="KJM1448"/>
      <c r="KJN1448"/>
      <c r="KJO1448"/>
      <c r="KJP1448"/>
      <c r="KJQ1448"/>
      <c r="KJR1448"/>
      <c r="KJS1448"/>
      <c r="KJT1448"/>
      <c r="KJU1448"/>
      <c r="KJV1448"/>
      <c r="KJW1448"/>
      <c r="KJX1448"/>
      <c r="KJY1448"/>
      <c r="KJZ1448"/>
      <c r="KKA1448"/>
      <c r="KKB1448"/>
      <c r="KKC1448"/>
      <c r="KKD1448"/>
      <c r="KKE1448"/>
      <c r="KKF1448"/>
      <c r="KKG1448"/>
      <c r="KKH1448"/>
      <c r="KKI1448"/>
      <c r="KKJ1448"/>
      <c r="KKK1448"/>
      <c r="KKL1448"/>
      <c r="KKM1448"/>
      <c r="KKN1448"/>
      <c r="KKO1448"/>
      <c r="KKP1448"/>
      <c r="KKQ1448"/>
      <c r="KKR1448"/>
      <c r="KKS1448"/>
      <c r="KKT1448"/>
      <c r="KKU1448"/>
      <c r="KKV1448"/>
      <c r="KKW1448"/>
      <c r="KKX1448"/>
      <c r="KKY1448"/>
      <c r="KKZ1448"/>
      <c r="KLA1448"/>
      <c r="KLB1448"/>
      <c r="KLC1448"/>
      <c r="KLD1448"/>
      <c r="KLE1448"/>
      <c r="KLF1448"/>
      <c r="KLG1448"/>
      <c r="KLH1448"/>
      <c r="KLI1448"/>
      <c r="KLJ1448"/>
      <c r="KLK1448"/>
      <c r="KLL1448"/>
      <c r="KLM1448"/>
      <c r="KLN1448"/>
      <c r="KLO1448"/>
      <c r="KLP1448"/>
      <c r="KLQ1448"/>
      <c r="KLR1448"/>
      <c r="KLS1448"/>
      <c r="KLT1448"/>
      <c r="KLU1448"/>
      <c r="KLV1448"/>
      <c r="KLW1448"/>
      <c r="KLX1448"/>
      <c r="KLY1448"/>
      <c r="KLZ1448"/>
      <c r="KMA1448"/>
      <c r="KMB1448"/>
      <c r="KMC1448"/>
      <c r="KMD1448"/>
      <c r="KME1448"/>
      <c r="KMF1448"/>
      <c r="KMG1448"/>
      <c r="KMH1448"/>
      <c r="KMI1448"/>
      <c r="KMJ1448"/>
      <c r="KMK1448"/>
      <c r="KML1448"/>
      <c r="KMM1448"/>
      <c r="KMN1448"/>
      <c r="KMO1448"/>
      <c r="KMP1448"/>
      <c r="KMQ1448"/>
      <c r="KMR1448"/>
      <c r="KMS1448"/>
      <c r="KMT1448"/>
      <c r="KMU1448"/>
      <c r="KMV1448"/>
      <c r="KMW1448"/>
      <c r="KMX1448"/>
      <c r="KMY1448"/>
      <c r="KMZ1448"/>
      <c r="KNA1448"/>
      <c r="KNB1448"/>
      <c r="KNC1448"/>
      <c r="KND1448"/>
      <c r="KNE1448"/>
      <c r="KNF1448"/>
      <c r="KNG1448"/>
      <c r="KNH1448"/>
      <c r="KNI1448"/>
      <c r="KNJ1448"/>
      <c r="KNK1448"/>
      <c r="KNL1448"/>
      <c r="KNM1448"/>
      <c r="KNN1448"/>
      <c r="KNO1448"/>
      <c r="KNP1448"/>
      <c r="KNQ1448"/>
      <c r="KNR1448"/>
      <c r="KNS1448"/>
      <c r="KNT1448"/>
      <c r="KNU1448"/>
      <c r="KNV1448"/>
      <c r="KNW1448"/>
      <c r="KNX1448"/>
      <c r="KNY1448"/>
      <c r="KNZ1448"/>
      <c r="KOA1448"/>
      <c r="KOB1448"/>
      <c r="KOC1448"/>
      <c r="KOD1448"/>
      <c r="KOE1448"/>
      <c r="KOF1448"/>
      <c r="KOG1448"/>
      <c r="KOH1448"/>
      <c r="KOI1448"/>
      <c r="KOJ1448"/>
      <c r="KOK1448"/>
      <c r="KOL1448"/>
      <c r="KOM1448"/>
      <c r="KON1448"/>
      <c r="KOO1448"/>
      <c r="KOP1448"/>
      <c r="KOQ1448"/>
      <c r="KOR1448"/>
      <c r="KOS1448"/>
      <c r="KOT1448"/>
      <c r="KOU1448"/>
      <c r="KOV1448"/>
      <c r="KOW1448"/>
      <c r="KOX1448"/>
      <c r="KOY1448"/>
      <c r="KOZ1448"/>
      <c r="KPA1448"/>
      <c r="KPB1448"/>
      <c r="KPC1448"/>
      <c r="KPD1448"/>
      <c r="KPE1448"/>
      <c r="KPF1448"/>
      <c r="KPG1448"/>
      <c r="KPH1448"/>
      <c r="KPI1448"/>
      <c r="KPJ1448"/>
      <c r="KPK1448"/>
      <c r="KPL1448"/>
      <c r="KPM1448"/>
      <c r="KPN1448"/>
      <c r="KPO1448"/>
      <c r="KPP1448"/>
      <c r="KPQ1448"/>
      <c r="KPR1448"/>
      <c r="KPS1448"/>
      <c r="KPT1448"/>
      <c r="KPU1448"/>
      <c r="KPV1448"/>
      <c r="KPW1448"/>
      <c r="KPX1448"/>
      <c r="KPY1448"/>
      <c r="KPZ1448"/>
      <c r="KQA1448"/>
      <c r="KQB1448"/>
      <c r="KQC1448"/>
      <c r="KQD1448"/>
      <c r="KQE1448"/>
      <c r="KQF1448"/>
      <c r="KQG1448"/>
      <c r="KQH1448"/>
      <c r="KQI1448"/>
      <c r="KQJ1448"/>
      <c r="KQK1448"/>
      <c r="KQL1448"/>
      <c r="KQM1448"/>
      <c r="KQN1448"/>
      <c r="KQO1448"/>
      <c r="KQP1448"/>
      <c r="KQQ1448"/>
      <c r="KQR1448"/>
      <c r="KQS1448"/>
      <c r="KQT1448"/>
      <c r="KQU1448"/>
      <c r="KQV1448"/>
      <c r="KQW1448"/>
      <c r="KQX1448"/>
      <c r="KQY1448"/>
      <c r="KQZ1448"/>
      <c r="KRA1448"/>
      <c r="KRB1448"/>
      <c r="KRC1448"/>
      <c r="KRD1448"/>
      <c r="KRE1448"/>
      <c r="KRF1448"/>
      <c r="KRG1448"/>
      <c r="KRH1448"/>
      <c r="KRI1448"/>
      <c r="KRJ1448"/>
      <c r="KRK1448"/>
      <c r="KRL1448"/>
      <c r="KRM1448"/>
      <c r="KRN1448"/>
      <c r="KRO1448"/>
      <c r="KRP1448"/>
      <c r="KRQ1448"/>
      <c r="KRR1448"/>
      <c r="KRS1448"/>
      <c r="KRT1448"/>
      <c r="KRU1448"/>
      <c r="KRV1448"/>
      <c r="KRW1448"/>
      <c r="KRX1448"/>
      <c r="KRY1448"/>
      <c r="KRZ1448"/>
      <c r="KSA1448"/>
      <c r="KSB1448"/>
      <c r="KSC1448"/>
      <c r="KSD1448"/>
      <c r="KSE1448"/>
      <c r="KSF1448"/>
      <c r="KSG1448"/>
      <c r="KSH1448"/>
      <c r="KSI1448"/>
      <c r="KSJ1448"/>
      <c r="KSK1448"/>
      <c r="KSL1448"/>
      <c r="KSM1448"/>
      <c r="KSN1448"/>
      <c r="KSO1448"/>
      <c r="KSP1448"/>
      <c r="KSQ1448"/>
      <c r="KSR1448"/>
      <c r="KSS1448"/>
      <c r="KST1448"/>
      <c r="KSU1448"/>
      <c r="KSV1448"/>
      <c r="KSW1448"/>
      <c r="KSX1448"/>
      <c r="KSY1448"/>
      <c r="KSZ1448"/>
      <c r="KTA1448"/>
      <c r="KTB1448"/>
      <c r="KTC1448"/>
      <c r="KTD1448"/>
      <c r="KTE1448"/>
      <c r="KTF1448"/>
      <c r="KTG1448"/>
      <c r="KTH1448"/>
      <c r="KTI1448"/>
      <c r="KTJ1448"/>
      <c r="KTK1448"/>
      <c r="KTL1448"/>
      <c r="KTM1448"/>
      <c r="KTN1448"/>
      <c r="KTO1448"/>
      <c r="KTP1448"/>
      <c r="KTQ1448"/>
      <c r="KTR1448"/>
      <c r="KTS1448"/>
      <c r="KTT1448"/>
      <c r="KTU1448"/>
      <c r="KTV1448"/>
      <c r="KTW1448"/>
      <c r="KTX1448"/>
      <c r="KTY1448"/>
      <c r="KTZ1448"/>
      <c r="KUA1448"/>
      <c r="KUB1448"/>
      <c r="KUC1448"/>
      <c r="KUD1448"/>
      <c r="KUE1448"/>
      <c r="KUF1448"/>
      <c r="KUG1448"/>
      <c r="KUH1448"/>
      <c r="KUI1448"/>
      <c r="KUJ1448"/>
      <c r="KUK1448"/>
      <c r="KUL1448"/>
      <c r="KUM1448"/>
      <c r="KUN1448"/>
      <c r="KUO1448"/>
      <c r="KUP1448"/>
      <c r="KUQ1448"/>
      <c r="KUR1448"/>
      <c r="KUS1448"/>
      <c r="KUT1448"/>
      <c r="KUU1448"/>
      <c r="KUV1448"/>
      <c r="KUW1448"/>
      <c r="KUX1448"/>
      <c r="KUY1448"/>
      <c r="KUZ1448"/>
      <c r="KVA1448"/>
      <c r="KVB1448"/>
      <c r="KVC1448"/>
      <c r="KVD1448"/>
      <c r="KVE1448"/>
      <c r="KVF1448"/>
      <c r="KVG1448"/>
      <c r="KVH1448"/>
      <c r="KVI1448"/>
      <c r="KVJ1448"/>
      <c r="KVK1448"/>
      <c r="KVL1448"/>
      <c r="KVM1448"/>
      <c r="KVN1448"/>
      <c r="KVO1448"/>
      <c r="KVP1448"/>
      <c r="KVQ1448"/>
      <c r="KVR1448"/>
      <c r="KVS1448"/>
      <c r="KVT1448"/>
      <c r="KVU1448"/>
      <c r="KVV1448"/>
      <c r="KVW1448"/>
      <c r="KVX1448"/>
      <c r="KVY1448"/>
      <c r="KVZ1448"/>
      <c r="KWA1448"/>
      <c r="KWB1448"/>
      <c r="KWC1448"/>
      <c r="KWD1448"/>
      <c r="KWE1448"/>
      <c r="KWF1448"/>
      <c r="KWG1448"/>
      <c r="KWH1448"/>
      <c r="KWI1448"/>
      <c r="KWJ1448"/>
      <c r="KWK1448"/>
      <c r="KWL1448"/>
      <c r="KWM1448"/>
      <c r="KWN1448"/>
      <c r="KWO1448"/>
      <c r="KWP1448"/>
      <c r="KWQ1448"/>
      <c r="KWR1448"/>
      <c r="KWS1448"/>
      <c r="KWT1448"/>
      <c r="KWU1448"/>
      <c r="KWV1448"/>
      <c r="KWW1448"/>
      <c r="KWX1448"/>
      <c r="KWY1448"/>
      <c r="KWZ1448"/>
      <c r="KXA1448"/>
      <c r="KXB1448"/>
      <c r="KXC1448"/>
      <c r="KXD1448"/>
      <c r="KXE1448"/>
      <c r="KXF1448"/>
      <c r="KXG1448"/>
      <c r="KXH1448"/>
      <c r="KXI1448"/>
      <c r="KXJ1448"/>
      <c r="KXK1448"/>
      <c r="KXL1448"/>
      <c r="KXM1448"/>
      <c r="KXN1448"/>
      <c r="KXO1448"/>
      <c r="KXP1448"/>
      <c r="KXQ1448"/>
      <c r="KXR1448"/>
      <c r="KXS1448"/>
      <c r="KXT1448"/>
      <c r="KXU1448"/>
      <c r="KXV1448"/>
      <c r="KXW1448"/>
      <c r="KXX1448"/>
      <c r="KXY1448"/>
      <c r="KXZ1448"/>
      <c r="KYA1448"/>
      <c r="KYB1448"/>
      <c r="KYC1448"/>
      <c r="KYD1448"/>
      <c r="KYE1448"/>
      <c r="KYF1448"/>
      <c r="KYG1448"/>
      <c r="KYH1448"/>
      <c r="KYI1448"/>
      <c r="KYJ1448"/>
      <c r="KYK1448"/>
      <c r="KYL1448"/>
      <c r="KYM1448"/>
      <c r="KYN1448"/>
      <c r="KYO1448"/>
      <c r="KYP1448"/>
      <c r="KYQ1448"/>
      <c r="KYR1448"/>
      <c r="KYS1448"/>
      <c r="KYT1448"/>
      <c r="KYU1448"/>
      <c r="KYV1448"/>
      <c r="KYW1448"/>
      <c r="KYX1448"/>
      <c r="KYY1448"/>
      <c r="KYZ1448"/>
      <c r="KZA1448"/>
      <c r="KZB1448"/>
      <c r="KZC1448"/>
      <c r="KZD1448"/>
      <c r="KZE1448"/>
      <c r="KZF1448"/>
      <c r="KZG1448"/>
      <c r="KZH1448"/>
      <c r="KZI1448"/>
      <c r="KZJ1448"/>
      <c r="KZK1448"/>
      <c r="KZL1448"/>
      <c r="KZM1448"/>
      <c r="KZN1448"/>
      <c r="KZO1448"/>
      <c r="KZP1448"/>
      <c r="KZQ1448"/>
      <c r="KZR1448"/>
      <c r="KZS1448"/>
      <c r="KZT1448"/>
      <c r="KZU1448"/>
      <c r="KZV1448"/>
      <c r="KZW1448"/>
      <c r="KZX1448"/>
      <c r="KZY1448"/>
      <c r="KZZ1448"/>
      <c r="LAA1448"/>
      <c r="LAB1448"/>
      <c r="LAC1448"/>
      <c r="LAD1448"/>
      <c r="LAE1448"/>
      <c r="LAF1448"/>
      <c r="LAG1448"/>
      <c r="LAH1448"/>
      <c r="LAI1448"/>
      <c r="LAJ1448"/>
      <c r="LAK1448"/>
      <c r="LAL1448"/>
      <c r="LAM1448"/>
      <c r="LAN1448"/>
      <c r="LAO1448"/>
      <c r="LAP1448"/>
      <c r="LAQ1448"/>
      <c r="LAR1448"/>
      <c r="LAS1448"/>
      <c r="LAT1448"/>
      <c r="LAU1448"/>
      <c r="LAV1448"/>
      <c r="LAW1448"/>
      <c r="LAX1448"/>
      <c r="LAY1448"/>
      <c r="LAZ1448"/>
      <c r="LBA1448"/>
      <c r="LBB1448"/>
      <c r="LBC1448"/>
      <c r="LBD1448"/>
      <c r="LBE1448"/>
      <c r="LBF1448"/>
      <c r="LBG1448"/>
      <c r="LBH1448"/>
      <c r="LBI1448"/>
      <c r="LBJ1448"/>
      <c r="LBK1448"/>
      <c r="LBL1448"/>
      <c r="LBM1448"/>
      <c r="LBN1448"/>
      <c r="LBO1448"/>
      <c r="LBP1448"/>
      <c r="LBQ1448"/>
      <c r="LBR1448"/>
      <c r="LBS1448"/>
      <c r="LBT1448"/>
      <c r="LBU1448"/>
      <c r="LBV1448"/>
      <c r="LBW1448"/>
      <c r="LBX1448"/>
      <c r="LBY1448"/>
      <c r="LBZ1448"/>
      <c r="LCA1448"/>
      <c r="LCB1448"/>
      <c r="LCC1448"/>
      <c r="LCD1448"/>
      <c r="LCE1448"/>
      <c r="LCF1448"/>
      <c r="LCG1448"/>
      <c r="LCH1448"/>
      <c r="LCI1448"/>
      <c r="LCJ1448"/>
      <c r="LCK1448"/>
      <c r="LCL1448"/>
      <c r="LCM1448"/>
      <c r="LCN1448"/>
      <c r="LCO1448"/>
      <c r="LCP1448"/>
      <c r="LCQ1448"/>
      <c r="LCR1448"/>
      <c r="LCS1448"/>
      <c r="LCT1448"/>
      <c r="LCU1448"/>
      <c r="LCV1448"/>
      <c r="LCW1448"/>
      <c r="LCX1448"/>
      <c r="LCY1448"/>
      <c r="LCZ1448"/>
      <c r="LDA1448"/>
      <c r="LDB1448"/>
      <c r="LDC1448"/>
      <c r="LDD1448"/>
      <c r="LDE1448"/>
      <c r="LDF1448"/>
      <c r="LDG1448"/>
      <c r="LDH1448"/>
      <c r="LDI1448"/>
      <c r="LDJ1448"/>
      <c r="LDK1448"/>
      <c r="LDL1448"/>
      <c r="LDM1448"/>
      <c r="LDN1448"/>
      <c r="LDO1448"/>
      <c r="LDP1448"/>
      <c r="LDQ1448"/>
      <c r="LDR1448"/>
      <c r="LDS1448"/>
      <c r="LDT1448"/>
      <c r="LDU1448"/>
      <c r="LDV1448"/>
      <c r="LDW1448"/>
      <c r="LDX1448"/>
      <c r="LDY1448"/>
      <c r="LDZ1448"/>
      <c r="LEA1448"/>
      <c r="LEB1448"/>
      <c r="LEC1448"/>
      <c r="LED1448"/>
      <c r="LEE1448"/>
      <c r="LEF1448"/>
      <c r="LEG1448"/>
      <c r="LEH1448"/>
      <c r="LEI1448"/>
      <c r="LEJ1448"/>
      <c r="LEK1448"/>
      <c r="LEL1448"/>
      <c r="LEM1448"/>
      <c r="LEN1448"/>
      <c r="LEO1448"/>
      <c r="LEP1448"/>
      <c r="LEQ1448"/>
      <c r="LER1448"/>
      <c r="LES1448"/>
      <c r="LET1448"/>
      <c r="LEU1448"/>
      <c r="LEV1448"/>
      <c r="LEW1448"/>
      <c r="LEX1448"/>
      <c r="LEY1448"/>
      <c r="LEZ1448"/>
      <c r="LFA1448"/>
      <c r="LFB1448"/>
      <c r="LFC1448"/>
      <c r="LFD1448"/>
      <c r="LFE1448"/>
      <c r="LFF1448"/>
      <c r="LFG1448"/>
      <c r="LFH1448"/>
      <c r="LFI1448"/>
      <c r="LFJ1448"/>
      <c r="LFK1448"/>
      <c r="LFL1448"/>
      <c r="LFM1448"/>
      <c r="LFN1448"/>
      <c r="LFO1448"/>
      <c r="LFP1448"/>
      <c r="LFQ1448"/>
      <c r="LFR1448"/>
      <c r="LFS1448"/>
      <c r="LFT1448"/>
      <c r="LFU1448"/>
      <c r="LFV1448"/>
      <c r="LFW1448"/>
      <c r="LFX1448"/>
      <c r="LFY1448"/>
      <c r="LFZ1448"/>
      <c r="LGA1448"/>
      <c r="LGB1448"/>
      <c r="LGC1448"/>
      <c r="LGD1448"/>
      <c r="LGE1448"/>
      <c r="LGF1448"/>
      <c r="LGG1448"/>
      <c r="LGH1448"/>
      <c r="LGI1448"/>
      <c r="LGJ1448"/>
      <c r="LGK1448"/>
      <c r="LGL1448"/>
      <c r="LGM1448"/>
      <c r="LGN1448"/>
      <c r="LGO1448"/>
      <c r="LGP1448"/>
      <c r="LGQ1448"/>
      <c r="LGR1448"/>
      <c r="LGS1448"/>
      <c r="LGT1448"/>
      <c r="LGU1448"/>
      <c r="LGV1448"/>
      <c r="LGW1448"/>
      <c r="LGX1448"/>
      <c r="LGY1448"/>
      <c r="LGZ1448"/>
      <c r="LHA1448"/>
      <c r="LHB1448"/>
      <c r="LHC1448"/>
      <c r="LHD1448"/>
      <c r="LHE1448"/>
      <c r="LHF1448"/>
      <c r="LHG1448"/>
      <c r="LHH1448"/>
      <c r="LHI1448"/>
      <c r="LHJ1448"/>
      <c r="LHK1448"/>
      <c r="LHL1448"/>
      <c r="LHM1448"/>
      <c r="LHN1448"/>
      <c r="LHO1448"/>
      <c r="LHP1448"/>
      <c r="LHQ1448"/>
      <c r="LHR1448"/>
      <c r="LHS1448"/>
      <c r="LHT1448"/>
      <c r="LHU1448"/>
      <c r="LHV1448"/>
      <c r="LHW1448"/>
      <c r="LHX1448"/>
      <c r="LHY1448"/>
      <c r="LHZ1448"/>
      <c r="LIA1448"/>
      <c r="LIB1448"/>
      <c r="LIC1448"/>
      <c r="LID1448"/>
      <c r="LIE1448"/>
      <c r="LIF1448"/>
      <c r="LIG1448"/>
      <c r="LIH1448"/>
      <c r="LII1448"/>
      <c r="LIJ1448"/>
      <c r="LIK1448"/>
      <c r="LIL1448"/>
      <c r="LIM1448"/>
      <c r="LIN1448"/>
      <c r="LIO1448"/>
      <c r="LIP1448"/>
      <c r="LIQ1448"/>
      <c r="LIR1448"/>
      <c r="LIS1448"/>
      <c r="LIT1448"/>
      <c r="LIU1448"/>
      <c r="LIV1448"/>
      <c r="LIW1448"/>
      <c r="LIX1448"/>
      <c r="LIY1448"/>
      <c r="LIZ1448"/>
      <c r="LJA1448"/>
      <c r="LJB1448"/>
      <c r="LJC1448"/>
      <c r="LJD1448"/>
      <c r="LJE1448"/>
      <c r="LJF1448"/>
      <c r="LJG1448"/>
      <c r="LJH1448"/>
      <c r="LJI1448"/>
      <c r="LJJ1448"/>
      <c r="LJK1448"/>
      <c r="LJL1448"/>
      <c r="LJM1448"/>
      <c r="LJN1448"/>
      <c r="LJO1448"/>
      <c r="LJP1448"/>
      <c r="LJQ1448"/>
      <c r="LJR1448"/>
      <c r="LJS1448"/>
      <c r="LJT1448"/>
      <c r="LJU1448"/>
      <c r="LJV1448"/>
      <c r="LJW1448"/>
      <c r="LJX1448"/>
      <c r="LJY1448"/>
      <c r="LJZ1448"/>
      <c r="LKA1448"/>
      <c r="LKB1448"/>
      <c r="LKC1448"/>
      <c r="LKD1448"/>
      <c r="LKE1448"/>
      <c r="LKF1448"/>
      <c r="LKG1448"/>
      <c r="LKH1448"/>
      <c r="LKI1448"/>
      <c r="LKJ1448"/>
      <c r="LKK1448"/>
      <c r="LKL1448"/>
      <c r="LKM1448"/>
      <c r="LKN1448"/>
      <c r="LKO1448"/>
      <c r="LKP1448"/>
      <c r="LKQ1448"/>
      <c r="LKR1448"/>
      <c r="LKS1448"/>
      <c r="LKT1448"/>
      <c r="LKU1448"/>
      <c r="LKV1448"/>
      <c r="LKW1448"/>
      <c r="LKX1448"/>
      <c r="LKY1448"/>
      <c r="LKZ1448"/>
      <c r="LLA1448"/>
      <c r="LLB1448"/>
      <c r="LLC1448"/>
      <c r="LLD1448"/>
      <c r="LLE1448"/>
      <c r="LLF1448"/>
      <c r="LLG1448"/>
      <c r="LLH1448"/>
      <c r="LLI1448"/>
      <c r="LLJ1448"/>
      <c r="LLK1448"/>
      <c r="LLL1448"/>
      <c r="LLM1448"/>
      <c r="LLN1448"/>
      <c r="LLO1448"/>
      <c r="LLP1448"/>
      <c r="LLQ1448"/>
      <c r="LLR1448"/>
      <c r="LLS1448"/>
      <c r="LLT1448"/>
      <c r="LLU1448"/>
      <c r="LLV1448"/>
      <c r="LLW1448"/>
      <c r="LLX1448"/>
      <c r="LLY1448"/>
      <c r="LLZ1448"/>
      <c r="LMA1448"/>
      <c r="LMB1448"/>
      <c r="LMC1448"/>
      <c r="LMD1448"/>
      <c r="LME1448"/>
      <c r="LMF1448"/>
      <c r="LMG1448"/>
      <c r="LMH1448"/>
      <c r="LMI1448"/>
      <c r="LMJ1448"/>
      <c r="LMK1448"/>
      <c r="LML1448"/>
      <c r="LMM1448"/>
      <c r="LMN1448"/>
      <c r="LMO1448"/>
      <c r="LMP1448"/>
      <c r="LMQ1448"/>
      <c r="LMR1448"/>
      <c r="LMS1448"/>
      <c r="LMT1448"/>
      <c r="LMU1448"/>
      <c r="LMV1448"/>
      <c r="LMW1448"/>
      <c r="LMX1448"/>
      <c r="LMY1448"/>
      <c r="LMZ1448"/>
      <c r="LNA1448"/>
      <c r="LNB1448"/>
      <c r="LNC1448"/>
      <c r="LND1448"/>
      <c r="LNE1448"/>
      <c r="LNF1448"/>
      <c r="LNG1448"/>
      <c r="LNH1448"/>
      <c r="LNI1448"/>
      <c r="LNJ1448"/>
      <c r="LNK1448"/>
      <c r="LNL1448"/>
      <c r="LNM1448"/>
      <c r="LNN1448"/>
      <c r="LNO1448"/>
      <c r="LNP1448"/>
      <c r="LNQ1448"/>
      <c r="LNR1448"/>
      <c r="LNS1448"/>
      <c r="LNT1448"/>
      <c r="LNU1448"/>
      <c r="LNV1448"/>
      <c r="LNW1448"/>
      <c r="LNX1448"/>
      <c r="LNY1448"/>
      <c r="LNZ1448"/>
      <c r="LOA1448"/>
      <c r="LOB1448"/>
      <c r="LOC1448"/>
      <c r="LOD1448"/>
      <c r="LOE1448"/>
      <c r="LOF1448"/>
      <c r="LOG1448"/>
      <c r="LOH1448"/>
      <c r="LOI1448"/>
      <c r="LOJ1448"/>
      <c r="LOK1448"/>
      <c r="LOL1448"/>
      <c r="LOM1448"/>
      <c r="LON1448"/>
      <c r="LOO1448"/>
      <c r="LOP1448"/>
      <c r="LOQ1448"/>
      <c r="LOR1448"/>
      <c r="LOS1448"/>
      <c r="LOT1448"/>
      <c r="LOU1448"/>
      <c r="LOV1448"/>
      <c r="LOW1448"/>
      <c r="LOX1448"/>
      <c r="LOY1448"/>
      <c r="LOZ1448"/>
      <c r="LPA1448"/>
      <c r="LPB1448"/>
      <c r="LPC1448"/>
      <c r="LPD1448"/>
      <c r="LPE1448"/>
      <c r="LPF1448"/>
      <c r="LPG1448"/>
      <c r="LPH1448"/>
      <c r="LPI1448"/>
      <c r="LPJ1448"/>
      <c r="LPK1448"/>
      <c r="LPL1448"/>
      <c r="LPM1448"/>
      <c r="LPN1448"/>
      <c r="LPO1448"/>
      <c r="LPP1448"/>
      <c r="LPQ1448"/>
      <c r="LPR1448"/>
      <c r="LPS1448"/>
      <c r="LPT1448"/>
      <c r="LPU1448"/>
      <c r="LPV1448"/>
      <c r="LPW1448"/>
      <c r="LPX1448"/>
      <c r="LPY1448"/>
      <c r="LPZ1448"/>
      <c r="LQA1448"/>
      <c r="LQB1448"/>
      <c r="LQC1448"/>
      <c r="LQD1448"/>
      <c r="LQE1448"/>
      <c r="LQF1448"/>
      <c r="LQG1448"/>
      <c r="LQH1448"/>
      <c r="LQI1448"/>
      <c r="LQJ1448"/>
      <c r="LQK1448"/>
      <c r="LQL1448"/>
      <c r="LQM1448"/>
      <c r="LQN1448"/>
      <c r="LQO1448"/>
      <c r="LQP1448"/>
      <c r="LQQ1448"/>
      <c r="LQR1448"/>
      <c r="LQS1448"/>
      <c r="LQT1448"/>
      <c r="LQU1448"/>
      <c r="LQV1448"/>
      <c r="LQW1448"/>
      <c r="LQX1448"/>
      <c r="LQY1448"/>
      <c r="LQZ1448"/>
      <c r="LRA1448"/>
      <c r="LRB1448"/>
      <c r="LRC1448"/>
      <c r="LRD1448"/>
      <c r="LRE1448"/>
      <c r="LRF1448"/>
      <c r="LRG1448"/>
      <c r="LRH1448"/>
      <c r="LRI1448"/>
      <c r="LRJ1448"/>
      <c r="LRK1448"/>
      <c r="LRL1448"/>
      <c r="LRM1448"/>
      <c r="LRN1448"/>
      <c r="LRO1448"/>
      <c r="LRP1448"/>
      <c r="LRQ1448"/>
      <c r="LRR1448"/>
      <c r="LRS1448"/>
      <c r="LRT1448"/>
      <c r="LRU1448"/>
      <c r="LRV1448"/>
      <c r="LRW1448"/>
      <c r="LRX1448"/>
      <c r="LRY1448"/>
      <c r="LRZ1448"/>
      <c r="LSA1448"/>
      <c r="LSB1448"/>
      <c r="LSC1448"/>
      <c r="LSD1448"/>
      <c r="LSE1448"/>
      <c r="LSF1448"/>
      <c r="LSG1448"/>
      <c r="LSH1448"/>
      <c r="LSI1448"/>
      <c r="LSJ1448"/>
      <c r="LSK1448"/>
      <c r="LSL1448"/>
      <c r="LSM1448"/>
      <c r="LSN1448"/>
      <c r="LSO1448"/>
      <c r="LSP1448"/>
      <c r="LSQ1448"/>
      <c r="LSR1448"/>
      <c r="LSS1448"/>
      <c r="LST1448"/>
      <c r="LSU1448"/>
      <c r="LSV1448"/>
      <c r="LSW1448"/>
      <c r="LSX1448"/>
      <c r="LSY1448"/>
      <c r="LSZ1448"/>
      <c r="LTA1448"/>
      <c r="LTB1448"/>
      <c r="LTC1448"/>
      <c r="LTD1448"/>
      <c r="LTE1448"/>
      <c r="LTF1448"/>
      <c r="LTG1448"/>
      <c r="LTH1448"/>
      <c r="LTI1448"/>
      <c r="LTJ1448"/>
      <c r="LTK1448"/>
      <c r="LTL1448"/>
      <c r="LTM1448"/>
      <c r="LTN1448"/>
      <c r="LTO1448"/>
      <c r="LTP1448"/>
      <c r="LTQ1448"/>
      <c r="LTR1448"/>
      <c r="LTS1448"/>
      <c r="LTT1448"/>
      <c r="LTU1448"/>
      <c r="LTV1448"/>
      <c r="LTW1448"/>
      <c r="LTX1448"/>
      <c r="LTY1448"/>
      <c r="LTZ1448"/>
      <c r="LUA1448"/>
      <c r="LUB1448"/>
      <c r="LUC1448"/>
      <c r="LUD1448"/>
      <c r="LUE1448"/>
      <c r="LUF1448"/>
      <c r="LUG1448"/>
      <c r="LUH1448"/>
      <c r="LUI1448"/>
      <c r="LUJ1448"/>
      <c r="LUK1448"/>
      <c r="LUL1448"/>
      <c r="LUM1448"/>
      <c r="LUN1448"/>
      <c r="LUO1448"/>
      <c r="LUP1448"/>
      <c r="LUQ1448"/>
      <c r="LUR1448"/>
      <c r="LUS1448"/>
      <c r="LUT1448"/>
      <c r="LUU1448"/>
      <c r="LUV1448"/>
      <c r="LUW1448"/>
      <c r="LUX1448"/>
      <c r="LUY1448"/>
      <c r="LUZ1448"/>
      <c r="LVA1448"/>
      <c r="LVB1448"/>
      <c r="LVC1448"/>
      <c r="LVD1448"/>
      <c r="LVE1448"/>
      <c r="LVF1448"/>
      <c r="LVG1448"/>
      <c r="LVH1448"/>
      <c r="LVI1448"/>
      <c r="LVJ1448"/>
      <c r="LVK1448"/>
      <c r="LVL1448"/>
      <c r="LVM1448"/>
      <c r="LVN1448"/>
      <c r="LVO1448"/>
      <c r="LVP1448"/>
      <c r="LVQ1448"/>
      <c r="LVR1448"/>
      <c r="LVS1448"/>
      <c r="LVT1448"/>
      <c r="LVU1448"/>
      <c r="LVV1448"/>
      <c r="LVW1448"/>
      <c r="LVX1448"/>
      <c r="LVY1448"/>
      <c r="LVZ1448"/>
      <c r="LWA1448"/>
      <c r="LWB1448"/>
      <c r="LWC1448"/>
      <c r="LWD1448"/>
      <c r="LWE1448"/>
      <c r="LWF1448"/>
      <c r="LWG1448"/>
      <c r="LWH1448"/>
      <c r="LWI1448"/>
      <c r="LWJ1448"/>
      <c r="LWK1448"/>
      <c r="LWL1448"/>
      <c r="LWM1448"/>
      <c r="LWN1448"/>
      <c r="LWO1448"/>
      <c r="LWP1448"/>
      <c r="LWQ1448"/>
      <c r="LWR1448"/>
      <c r="LWS1448"/>
      <c r="LWT1448"/>
      <c r="LWU1448"/>
      <c r="LWV1448"/>
      <c r="LWW1448"/>
      <c r="LWX1448"/>
      <c r="LWY1448"/>
      <c r="LWZ1448"/>
      <c r="LXA1448"/>
      <c r="LXB1448"/>
      <c r="LXC1448"/>
      <c r="LXD1448"/>
      <c r="LXE1448"/>
      <c r="LXF1448"/>
      <c r="LXG1448"/>
      <c r="LXH1448"/>
      <c r="LXI1448"/>
      <c r="LXJ1448"/>
      <c r="LXK1448"/>
      <c r="LXL1448"/>
      <c r="LXM1448"/>
      <c r="LXN1448"/>
      <c r="LXO1448"/>
      <c r="LXP1448"/>
      <c r="LXQ1448"/>
      <c r="LXR1448"/>
      <c r="LXS1448"/>
      <c r="LXT1448"/>
      <c r="LXU1448"/>
      <c r="LXV1448"/>
      <c r="LXW1448"/>
      <c r="LXX1448"/>
      <c r="LXY1448"/>
      <c r="LXZ1448"/>
      <c r="LYA1448"/>
      <c r="LYB1448"/>
      <c r="LYC1448"/>
      <c r="LYD1448"/>
      <c r="LYE1448"/>
      <c r="LYF1448"/>
      <c r="LYG1448"/>
      <c r="LYH1448"/>
      <c r="LYI1448"/>
      <c r="LYJ1448"/>
      <c r="LYK1448"/>
      <c r="LYL1448"/>
      <c r="LYM1448"/>
      <c r="LYN1448"/>
      <c r="LYO1448"/>
      <c r="LYP1448"/>
      <c r="LYQ1448"/>
      <c r="LYR1448"/>
      <c r="LYS1448"/>
      <c r="LYT1448"/>
      <c r="LYU1448"/>
      <c r="LYV1448"/>
      <c r="LYW1448"/>
      <c r="LYX1448"/>
      <c r="LYY1448"/>
      <c r="LYZ1448"/>
      <c r="LZA1448"/>
      <c r="LZB1448"/>
      <c r="LZC1448"/>
      <c r="LZD1448"/>
      <c r="LZE1448"/>
      <c r="LZF1448"/>
      <c r="LZG1448"/>
      <c r="LZH1448"/>
      <c r="LZI1448"/>
      <c r="LZJ1448"/>
      <c r="LZK1448"/>
      <c r="LZL1448"/>
      <c r="LZM1448"/>
      <c r="LZN1448"/>
      <c r="LZO1448"/>
      <c r="LZP1448"/>
      <c r="LZQ1448"/>
      <c r="LZR1448"/>
      <c r="LZS1448"/>
      <c r="LZT1448"/>
      <c r="LZU1448"/>
      <c r="LZV1448"/>
      <c r="LZW1448"/>
      <c r="LZX1448"/>
      <c r="LZY1448"/>
      <c r="LZZ1448"/>
      <c r="MAA1448"/>
      <c r="MAB1448"/>
      <c r="MAC1448"/>
      <c r="MAD1448"/>
      <c r="MAE1448"/>
      <c r="MAF1448"/>
      <c r="MAG1448"/>
      <c r="MAH1448"/>
      <c r="MAI1448"/>
      <c r="MAJ1448"/>
      <c r="MAK1448"/>
      <c r="MAL1448"/>
      <c r="MAM1448"/>
      <c r="MAN1448"/>
      <c r="MAO1448"/>
      <c r="MAP1448"/>
      <c r="MAQ1448"/>
      <c r="MAR1448"/>
      <c r="MAS1448"/>
      <c r="MAT1448"/>
      <c r="MAU1448"/>
      <c r="MAV1448"/>
      <c r="MAW1448"/>
      <c r="MAX1448"/>
      <c r="MAY1448"/>
      <c r="MAZ1448"/>
      <c r="MBA1448"/>
      <c r="MBB1448"/>
      <c r="MBC1448"/>
      <c r="MBD1448"/>
      <c r="MBE1448"/>
      <c r="MBF1448"/>
      <c r="MBG1448"/>
      <c r="MBH1448"/>
      <c r="MBI1448"/>
      <c r="MBJ1448"/>
      <c r="MBK1448"/>
      <c r="MBL1448"/>
      <c r="MBM1448"/>
      <c r="MBN1448"/>
      <c r="MBO1448"/>
      <c r="MBP1448"/>
      <c r="MBQ1448"/>
      <c r="MBR1448"/>
      <c r="MBS1448"/>
      <c r="MBT1448"/>
      <c r="MBU1448"/>
      <c r="MBV1448"/>
      <c r="MBW1448"/>
      <c r="MBX1448"/>
      <c r="MBY1448"/>
      <c r="MBZ1448"/>
      <c r="MCA1448"/>
      <c r="MCB1448"/>
      <c r="MCC1448"/>
      <c r="MCD1448"/>
      <c r="MCE1448"/>
      <c r="MCF1448"/>
      <c r="MCG1448"/>
      <c r="MCH1448"/>
      <c r="MCI1448"/>
      <c r="MCJ1448"/>
      <c r="MCK1448"/>
      <c r="MCL1448"/>
      <c r="MCM1448"/>
      <c r="MCN1448"/>
      <c r="MCO1448"/>
      <c r="MCP1448"/>
      <c r="MCQ1448"/>
      <c r="MCR1448"/>
      <c r="MCS1448"/>
      <c r="MCT1448"/>
      <c r="MCU1448"/>
      <c r="MCV1448"/>
      <c r="MCW1448"/>
      <c r="MCX1448"/>
      <c r="MCY1448"/>
      <c r="MCZ1448"/>
      <c r="MDA1448"/>
      <c r="MDB1448"/>
      <c r="MDC1448"/>
      <c r="MDD1448"/>
      <c r="MDE1448"/>
      <c r="MDF1448"/>
      <c r="MDG1448"/>
      <c r="MDH1448"/>
      <c r="MDI1448"/>
      <c r="MDJ1448"/>
      <c r="MDK1448"/>
      <c r="MDL1448"/>
      <c r="MDM1448"/>
      <c r="MDN1448"/>
      <c r="MDO1448"/>
      <c r="MDP1448"/>
      <c r="MDQ1448"/>
      <c r="MDR1448"/>
      <c r="MDS1448"/>
      <c r="MDT1448"/>
      <c r="MDU1448"/>
      <c r="MDV1448"/>
      <c r="MDW1448"/>
      <c r="MDX1448"/>
      <c r="MDY1448"/>
      <c r="MDZ1448"/>
      <c r="MEA1448"/>
      <c r="MEB1448"/>
      <c r="MEC1448"/>
      <c r="MED1448"/>
      <c r="MEE1448"/>
      <c r="MEF1448"/>
      <c r="MEG1448"/>
      <c r="MEH1448"/>
      <c r="MEI1448"/>
      <c r="MEJ1448"/>
      <c r="MEK1448"/>
      <c r="MEL1448"/>
      <c r="MEM1448"/>
      <c r="MEN1448"/>
      <c r="MEO1448"/>
      <c r="MEP1448"/>
      <c r="MEQ1448"/>
      <c r="MER1448"/>
      <c r="MES1448"/>
      <c r="MET1448"/>
      <c r="MEU1448"/>
      <c r="MEV1448"/>
      <c r="MEW1448"/>
      <c r="MEX1448"/>
      <c r="MEY1448"/>
      <c r="MEZ1448"/>
      <c r="MFA1448"/>
      <c r="MFB1448"/>
      <c r="MFC1448"/>
      <c r="MFD1448"/>
      <c r="MFE1448"/>
      <c r="MFF1448"/>
      <c r="MFG1448"/>
      <c r="MFH1448"/>
      <c r="MFI1448"/>
      <c r="MFJ1448"/>
      <c r="MFK1448"/>
      <c r="MFL1448"/>
      <c r="MFM1448"/>
      <c r="MFN1448"/>
      <c r="MFO1448"/>
      <c r="MFP1448"/>
      <c r="MFQ1448"/>
      <c r="MFR1448"/>
      <c r="MFS1448"/>
      <c r="MFT1448"/>
      <c r="MFU1448"/>
      <c r="MFV1448"/>
      <c r="MFW1448"/>
      <c r="MFX1448"/>
      <c r="MFY1448"/>
      <c r="MFZ1448"/>
      <c r="MGA1448"/>
      <c r="MGB1448"/>
      <c r="MGC1448"/>
      <c r="MGD1448"/>
      <c r="MGE1448"/>
      <c r="MGF1448"/>
      <c r="MGG1448"/>
      <c r="MGH1448"/>
      <c r="MGI1448"/>
      <c r="MGJ1448"/>
      <c r="MGK1448"/>
      <c r="MGL1448"/>
      <c r="MGM1448"/>
      <c r="MGN1448"/>
      <c r="MGO1448"/>
      <c r="MGP1448"/>
      <c r="MGQ1448"/>
      <c r="MGR1448"/>
      <c r="MGS1448"/>
      <c r="MGT1448"/>
      <c r="MGU1448"/>
      <c r="MGV1448"/>
      <c r="MGW1448"/>
      <c r="MGX1448"/>
      <c r="MGY1448"/>
      <c r="MGZ1448"/>
      <c r="MHA1448"/>
      <c r="MHB1448"/>
      <c r="MHC1448"/>
      <c r="MHD1448"/>
      <c r="MHE1448"/>
      <c r="MHF1448"/>
      <c r="MHG1448"/>
      <c r="MHH1448"/>
      <c r="MHI1448"/>
      <c r="MHJ1448"/>
      <c r="MHK1448"/>
      <c r="MHL1448"/>
      <c r="MHM1448"/>
      <c r="MHN1448"/>
      <c r="MHO1448"/>
      <c r="MHP1448"/>
      <c r="MHQ1448"/>
      <c r="MHR1448"/>
      <c r="MHS1448"/>
      <c r="MHT1448"/>
      <c r="MHU1448"/>
      <c r="MHV1448"/>
      <c r="MHW1448"/>
      <c r="MHX1448"/>
      <c r="MHY1448"/>
      <c r="MHZ1448"/>
      <c r="MIA1448"/>
      <c r="MIB1448"/>
      <c r="MIC1448"/>
      <c r="MID1448"/>
      <c r="MIE1448"/>
      <c r="MIF1448"/>
      <c r="MIG1448"/>
      <c r="MIH1448"/>
      <c r="MII1448"/>
      <c r="MIJ1448"/>
      <c r="MIK1448"/>
      <c r="MIL1448"/>
      <c r="MIM1448"/>
      <c r="MIN1448"/>
      <c r="MIO1448"/>
      <c r="MIP1448"/>
      <c r="MIQ1448"/>
      <c r="MIR1448"/>
      <c r="MIS1448"/>
      <c r="MIT1448"/>
      <c r="MIU1448"/>
      <c r="MIV1448"/>
      <c r="MIW1448"/>
      <c r="MIX1448"/>
      <c r="MIY1448"/>
      <c r="MIZ1448"/>
      <c r="MJA1448"/>
      <c r="MJB1448"/>
      <c r="MJC1448"/>
      <c r="MJD1448"/>
      <c r="MJE1448"/>
      <c r="MJF1448"/>
      <c r="MJG1448"/>
      <c r="MJH1448"/>
      <c r="MJI1448"/>
      <c r="MJJ1448"/>
      <c r="MJK1448"/>
      <c r="MJL1448"/>
      <c r="MJM1448"/>
      <c r="MJN1448"/>
      <c r="MJO1448"/>
      <c r="MJP1448"/>
      <c r="MJQ1448"/>
      <c r="MJR1448"/>
      <c r="MJS1448"/>
      <c r="MJT1448"/>
      <c r="MJU1448"/>
      <c r="MJV1448"/>
      <c r="MJW1448"/>
      <c r="MJX1448"/>
      <c r="MJY1448"/>
      <c r="MJZ1448"/>
      <c r="MKA1448"/>
      <c r="MKB1448"/>
      <c r="MKC1448"/>
      <c r="MKD1448"/>
      <c r="MKE1448"/>
      <c r="MKF1448"/>
      <c r="MKG1448"/>
      <c r="MKH1448"/>
      <c r="MKI1448"/>
      <c r="MKJ1448"/>
      <c r="MKK1448"/>
      <c r="MKL1448"/>
      <c r="MKM1448"/>
      <c r="MKN1448"/>
      <c r="MKO1448"/>
      <c r="MKP1448"/>
      <c r="MKQ1448"/>
      <c r="MKR1448"/>
      <c r="MKS1448"/>
      <c r="MKT1448"/>
      <c r="MKU1448"/>
      <c r="MKV1448"/>
      <c r="MKW1448"/>
      <c r="MKX1448"/>
      <c r="MKY1448"/>
      <c r="MKZ1448"/>
      <c r="MLA1448"/>
      <c r="MLB1448"/>
      <c r="MLC1448"/>
      <c r="MLD1448"/>
      <c r="MLE1448"/>
      <c r="MLF1448"/>
      <c r="MLG1448"/>
      <c r="MLH1448"/>
      <c r="MLI1448"/>
      <c r="MLJ1448"/>
      <c r="MLK1448"/>
      <c r="MLL1448"/>
      <c r="MLM1448"/>
      <c r="MLN1448"/>
      <c r="MLO1448"/>
      <c r="MLP1448"/>
      <c r="MLQ1448"/>
      <c r="MLR1448"/>
      <c r="MLS1448"/>
      <c r="MLT1448"/>
      <c r="MLU1448"/>
      <c r="MLV1448"/>
      <c r="MLW1448"/>
      <c r="MLX1448"/>
      <c r="MLY1448"/>
      <c r="MLZ1448"/>
      <c r="MMA1448"/>
      <c r="MMB1448"/>
      <c r="MMC1448"/>
      <c r="MMD1448"/>
      <c r="MME1448"/>
      <c r="MMF1448"/>
      <c r="MMG1448"/>
      <c r="MMH1448"/>
      <c r="MMI1448"/>
      <c r="MMJ1448"/>
      <c r="MMK1448"/>
      <c r="MML1448"/>
      <c r="MMM1448"/>
      <c r="MMN1448"/>
      <c r="MMO1448"/>
      <c r="MMP1448"/>
      <c r="MMQ1448"/>
      <c r="MMR1448"/>
      <c r="MMS1448"/>
      <c r="MMT1448"/>
      <c r="MMU1448"/>
      <c r="MMV1448"/>
      <c r="MMW1448"/>
      <c r="MMX1448"/>
      <c r="MMY1448"/>
      <c r="MMZ1448"/>
      <c r="MNA1448"/>
      <c r="MNB1448"/>
      <c r="MNC1448"/>
      <c r="MND1448"/>
      <c r="MNE1448"/>
      <c r="MNF1448"/>
      <c r="MNG1448"/>
      <c r="MNH1448"/>
      <c r="MNI1448"/>
      <c r="MNJ1448"/>
      <c r="MNK1448"/>
      <c r="MNL1448"/>
      <c r="MNM1448"/>
      <c r="MNN1448"/>
      <c r="MNO1448"/>
      <c r="MNP1448"/>
      <c r="MNQ1448"/>
      <c r="MNR1448"/>
      <c r="MNS1448"/>
      <c r="MNT1448"/>
      <c r="MNU1448"/>
      <c r="MNV1448"/>
      <c r="MNW1448"/>
      <c r="MNX1448"/>
      <c r="MNY1448"/>
      <c r="MNZ1448"/>
      <c r="MOA1448"/>
      <c r="MOB1448"/>
      <c r="MOC1448"/>
      <c r="MOD1448"/>
      <c r="MOE1448"/>
      <c r="MOF1448"/>
      <c r="MOG1448"/>
      <c r="MOH1448"/>
      <c r="MOI1448"/>
      <c r="MOJ1448"/>
      <c r="MOK1448"/>
      <c r="MOL1448"/>
      <c r="MOM1448"/>
      <c r="MON1448"/>
      <c r="MOO1448"/>
      <c r="MOP1448"/>
      <c r="MOQ1448"/>
      <c r="MOR1448"/>
      <c r="MOS1448"/>
      <c r="MOT1448"/>
      <c r="MOU1448"/>
      <c r="MOV1448"/>
      <c r="MOW1448"/>
      <c r="MOX1448"/>
      <c r="MOY1448"/>
      <c r="MOZ1448"/>
      <c r="MPA1448"/>
      <c r="MPB1448"/>
      <c r="MPC1448"/>
      <c r="MPD1448"/>
      <c r="MPE1448"/>
      <c r="MPF1448"/>
      <c r="MPG1448"/>
      <c r="MPH1448"/>
      <c r="MPI1448"/>
      <c r="MPJ1448"/>
      <c r="MPK1448"/>
      <c r="MPL1448"/>
      <c r="MPM1448"/>
      <c r="MPN1448"/>
      <c r="MPO1448"/>
      <c r="MPP1448"/>
      <c r="MPQ1448"/>
      <c r="MPR1448"/>
      <c r="MPS1448"/>
      <c r="MPT1448"/>
      <c r="MPU1448"/>
      <c r="MPV1448"/>
      <c r="MPW1448"/>
      <c r="MPX1448"/>
      <c r="MPY1448"/>
      <c r="MPZ1448"/>
      <c r="MQA1448"/>
      <c r="MQB1448"/>
      <c r="MQC1448"/>
      <c r="MQD1448"/>
      <c r="MQE1448"/>
      <c r="MQF1448"/>
      <c r="MQG1448"/>
      <c r="MQH1448"/>
      <c r="MQI1448"/>
      <c r="MQJ1448"/>
      <c r="MQK1448"/>
      <c r="MQL1448"/>
      <c r="MQM1448"/>
      <c r="MQN1448"/>
      <c r="MQO1448"/>
      <c r="MQP1448"/>
      <c r="MQQ1448"/>
      <c r="MQR1448"/>
      <c r="MQS1448"/>
      <c r="MQT1448"/>
      <c r="MQU1448"/>
      <c r="MQV1448"/>
      <c r="MQW1448"/>
      <c r="MQX1448"/>
      <c r="MQY1448"/>
      <c r="MQZ1448"/>
      <c r="MRA1448"/>
      <c r="MRB1448"/>
      <c r="MRC1448"/>
      <c r="MRD1448"/>
      <c r="MRE1448"/>
      <c r="MRF1448"/>
      <c r="MRG1448"/>
      <c r="MRH1448"/>
      <c r="MRI1448"/>
      <c r="MRJ1448"/>
      <c r="MRK1448"/>
      <c r="MRL1448"/>
      <c r="MRM1448"/>
      <c r="MRN1448"/>
      <c r="MRO1448"/>
      <c r="MRP1448"/>
      <c r="MRQ1448"/>
      <c r="MRR1448"/>
      <c r="MRS1448"/>
      <c r="MRT1448"/>
      <c r="MRU1448"/>
      <c r="MRV1448"/>
      <c r="MRW1448"/>
      <c r="MRX1448"/>
      <c r="MRY1448"/>
      <c r="MRZ1448"/>
      <c r="MSA1448"/>
      <c r="MSB1448"/>
      <c r="MSC1448"/>
      <c r="MSD1448"/>
      <c r="MSE1448"/>
      <c r="MSF1448"/>
      <c r="MSG1448"/>
      <c r="MSH1448"/>
      <c r="MSI1448"/>
      <c r="MSJ1448"/>
      <c r="MSK1448"/>
      <c r="MSL1448"/>
      <c r="MSM1448"/>
      <c r="MSN1448"/>
      <c r="MSO1448"/>
      <c r="MSP1448"/>
      <c r="MSQ1448"/>
      <c r="MSR1448"/>
      <c r="MSS1448"/>
      <c r="MST1448"/>
      <c r="MSU1448"/>
      <c r="MSV1448"/>
      <c r="MSW1448"/>
      <c r="MSX1448"/>
      <c r="MSY1448"/>
      <c r="MSZ1448"/>
      <c r="MTA1448"/>
      <c r="MTB1448"/>
      <c r="MTC1448"/>
      <c r="MTD1448"/>
      <c r="MTE1448"/>
      <c r="MTF1448"/>
      <c r="MTG1448"/>
      <c r="MTH1448"/>
      <c r="MTI1448"/>
      <c r="MTJ1448"/>
      <c r="MTK1448"/>
      <c r="MTL1448"/>
      <c r="MTM1448"/>
      <c r="MTN1448"/>
      <c r="MTO1448"/>
      <c r="MTP1448"/>
      <c r="MTQ1448"/>
      <c r="MTR1448"/>
      <c r="MTS1448"/>
      <c r="MTT1448"/>
      <c r="MTU1448"/>
      <c r="MTV1448"/>
      <c r="MTW1448"/>
      <c r="MTX1448"/>
      <c r="MTY1448"/>
      <c r="MTZ1448"/>
      <c r="MUA1448"/>
      <c r="MUB1448"/>
      <c r="MUC1448"/>
      <c r="MUD1448"/>
      <c r="MUE1448"/>
      <c r="MUF1448"/>
      <c r="MUG1448"/>
      <c r="MUH1448"/>
      <c r="MUI1448"/>
      <c r="MUJ1448"/>
      <c r="MUK1448"/>
      <c r="MUL1448"/>
      <c r="MUM1448"/>
      <c r="MUN1448"/>
      <c r="MUO1448"/>
      <c r="MUP1448"/>
      <c r="MUQ1448"/>
      <c r="MUR1448"/>
      <c r="MUS1448"/>
      <c r="MUT1448"/>
      <c r="MUU1448"/>
      <c r="MUV1448"/>
      <c r="MUW1448"/>
      <c r="MUX1448"/>
      <c r="MUY1448"/>
      <c r="MUZ1448"/>
      <c r="MVA1448"/>
      <c r="MVB1448"/>
      <c r="MVC1448"/>
      <c r="MVD1448"/>
      <c r="MVE1448"/>
      <c r="MVF1448"/>
      <c r="MVG1448"/>
      <c r="MVH1448"/>
      <c r="MVI1448"/>
      <c r="MVJ1448"/>
      <c r="MVK1448"/>
      <c r="MVL1448"/>
      <c r="MVM1448"/>
      <c r="MVN1448"/>
      <c r="MVO1448"/>
      <c r="MVP1448"/>
      <c r="MVQ1448"/>
      <c r="MVR1448"/>
      <c r="MVS1448"/>
      <c r="MVT1448"/>
      <c r="MVU1448"/>
      <c r="MVV1448"/>
      <c r="MVW1448"/>
      <c r="MVX1448"/>
      <c r="MVY1448"/>
      <c r="MVZ1448"/>
      <c r="MWA1448"/>
      <c r="MWB1448"/>
      <c r="MWC1448"/>
      <c r="MWD1448"/>
      <c r="MWE1448"/>
      <c r="MWF1448"/>
      <c r="MWG1448"/>
      <c r="MWH1448"/>
      <c r="MWI1448"/>
      <c r="MWJ1448"/>
      <c r="MWK1448"/>
      <c r="MWL1448"/>
      <c r="MWM1448"/>
      <c r="MWN1448"/>
      <c r="MWO1448"/>
      <c r="MWP1448"/>
      <c r="MWQ1448"/>
      <c r="MWR1448"/>
      <c r="MWS1448"/>
      <c r="MWT1448"/>
      <c r="MWU1448"/>
      <c r="MWV1448"/>
      <c r="MWW1448"/>
      <c r="MWX1448"/>
      <c r="MWY1448"/>
      <c r="MWZ1448"/>
      <c r="MXA1448"/>
      <c r="MXB1448"/>
      <c r="MXC1448"/>
      <c r="MXD1448"/>
      <c r="MXE1448"/>
      <c r="MXF1448"/>
      <c r="MXG1448"/>
      <c r="MXH1448"/>
      <c r="MXI1448"/>
      <c r="MXJ1448"/>
      <c r="MXK1448"/>
      <c r="MXL1448"/>
      <c r="MXM1448"/>
      <c r="MXN1448"/>
      <c r="MXO1448"/>
      <c r="MXP1448"/>
      <c r="MXQ1448"/>
      <c r="MXR1448"/>
      <c r="MXS1448"/>
      <c r="MXT1448"/>
      <c r="MXU1448"/>
      <c r="MXV1448"/>
      <c r="MXW1448"/>
      <c r="MXX1448"/>
      <c r="MXY1448"/>
      <c r="MXZ1448"/>
      <c r="MYA1448"/>
      <c r="MYB1448"/>
      <c r="MYC1448"/>
      <c r="MYD1448"/>
      <c r="MYE1448"/>
      <c r="MYF1448"/>
      <c r="MYG1448"/>
      <c r="MYH1448"/>
      <c r="MYI1448"/>
      <c r="MYJ1448"/>
      <c r="MYK1448"/>
      <c r="MYL1448"/>
      <c r="MYM1448"/>
      <c r="MYN1448"/>
      <c r="MYO1448"/>
      <c r="MYP1448"/>
      <c r="MYQ1448"/>
      <c r="MYR1448"/>
      <c r="MYS1448"/>
      <c r="MYT1448"/>
      <c r="MYU1448"/>
      <c r="MYV1448"/>
      <c r="MYW1448"/>
      <c r="MYX1448"/>
      <c r="MYY1448"/>
      <c r="MYZ1448"/>
      <c r="MZA1448"/>
      <c r="MZB1448"/>
      <c r="MZC1448"/>
      <c r="MZD1448"/>
      <c r="MZE1448"/>
      <c r="MZF1448"/>
      <c r="MZG1448"/>
      <c r="MZH1448"/>
      <c r="MZI1448"/>
      <c r="MZJ1448"/>
      <c r="MZK1448"/>
      <c r="MZL1448"/>
      <c r="MZM1448"/>
      <c r="MZN1448"/>
      <c r="MZO1448"/>
      <c r="MZP1448"/>
      <c r="MZQ1448"/>
      <c r="MZR1448"/>
      <c r="MZS1448"/>
      <c r="MZT1448"/>
      <c r="MZU1448"/>
      <c r="MZV1448"/>
      <c r="MZW1448"/>
      <c r="MZX1448"/>
      <c r="MZY1448"/>
      <c r="MZZ1448"/>
      <c r="NAA1448"/>
      <c r="NAB1448"/>
      <c r="NAC1448"/>
      <c r="NAD1448"/>
      <c r="NAE1448"/>
      <c r="NAF1448"/>
      <c r="NAG1448"/>
      <c r="NAH1448"/>
      <c r="NAI1448"/>
      <c r="NAJ1448"/>
      <c r="NAK1448"/>
      <c r="NAL1448"/>
      <c r="NAM1448"/>
      <c r="NAN1448"/>
      <c r="NAO1448"/>
      <c r="NAP1448"/>
      <c r="NAQ1448"/>
      <c r="NAR1448"/>
      <c r="NAS1448"/>
      <c r="NAT1448"/>
      <c r="NAU1448"/>
      <c r="NAV1448"/>
      <c r="NAW1448"/>
      <c r="NAX1448"/>
      <c r="NAY1448"/>
      <c r="NAZ1448"/>
      <c r="NBA1448"/>
      <c r="NBB1448"/>
      <c r="NBC1448"/>
      <c r="NBD1448"/>
      <c r="NBE1448"/>
      <c r="NBF1448"/>
      <c r="NBG1448"/>
      <c r="NBH1448"/>
      <c r="NBI1448"/>
      <c r="NBJ1448"/>
      <c r="NBK1448"/>
      <c r="NBL1448"/>
      <c r="NBM1448"/>
      <c r="NBN1448"/>
      <c r="NBO1448"/>
      <c r="NBP1448"/>
      <c r="NBQ1448"/>
      <c r="NBR1448"/>
      <c r="NBS1448"/>
      <c r="NBT1448"/>
      <c r="NBU1448"/>
      <c r="NBV1448"/>
      <c r="NBW1448"/>
      <c r="NBX1448"/>
      <c r="NBY1448"/>
      <c r="NBZ1448"/>
      <c r="NCA1448"/>
      <c r="NCB1448"/>
      <c r="NCC1448"/>
      <c r="NCD1448"/>
      <c r="NCE1448"/>
      <c r="NCF1448"/>
      <c r="NCG1448"/>
      <c r="NCH1448"/>
      <c r="NCI1448"/>
      <c r="NCJ1448"/>
      <c r="NCK1448"/>
      <c r="NCL1448"/>
      <c r="NCM1448"/>
      <c r="NCN1448"/>
      <c r="NCO1448"/>
      <c r="NCP1448"/>
      <c r="NCQ1448"/>
      <c r="NCR1448"/>
      <c r="NCS1448"/>
      <c r="NCT1448"/>
      <c r="NCU1448"/>
      <c r="NCV1448"/>
      <c r="NCW1448"/>
      <c r="NCX1448"/>
      <c r="NCY1448"/>
      <c r="NCZ1448"/>
      <c r="NDA1448"/>
      <c r="NDB1448"/>
      <c r="NDC1448"/>
      <c r="NDD1448"/>
      <c r="NDE1448"/>
      <c r="NDF1448"/>
      <c r="NDG1448"/>
      <c r="NDH1448"/>
      <c r="NDI1448"/>
      <c r="NDJ1448"/>
      <c r="NDK1448"/>
      <c r="NDL1448"/>
      <c r="NDM1448"/>
      <c r="NDN1448"/>
      <c r="NDO1448"/>
      <c r="NDP1448"/>
      <c r="NDQ1448"/>
      <c r="NDR1448"/>
      <c r="NDS1448"/>
      <c r="NDT1448"/>
      <c r="NDU1448"/>
      <c r="NDV1448"/>
      <c r="NDW1448"/>
      <c r="NDX1448"/>
      <c r="NDY1448"/>
      <c r="NDZ1448"/>
      <c r="NEA1448"/>
      <c r="NEB1448"/>
      <c r="NEC1448"/>
      <c r="NED1448"/>
      <c r="NEE1448"/>
      <c r="NEF1448"/>
      <c r="NEG1448"/>
      <c r="NEH1448"/>
      <c r="NEI1448"/>
      <c r="NEJ1448"/>
      <c r="NEK1448"/>
      <c r="NEL1448"/>
      <c r="NEM1448"/>
      <c r="NEN1448"/>
      <c r="NEO1448"/>
      <c r="NEP1448"/>
      <c r="NEQ1448"/>
      <c r="NER1448"/>
      <c r="NES1448"/>
      <c r="NET1448"/>
      <c r="NEU1448"/>
      <c r="NEV1448"/>
      <c r="NEW1448"/>
      <c r="NEX1448"/>
      <c r="NEY1448"/>
      <c r="NEZ1448"/>
      <c r="NFA1448"/>
      <c r="NFB1448"/>
      <c r="NFC1448"/>
      <c r="NFD1448"/>
      <c r="NFE1448"/>
      <c r="NFF1448"/>
      <c r="NFG1448"/>
      <c r="NFH1448"/>
      <c r="NFI1448"/>
      <c r="NFJ1448"/>
      <c r="NFK1448"/>
      <c r="NFL1448"/>
      <c r="NFM1448"/>
      <c r="NFN1448"/>
      <c r="NFO1448"/>
      <c r="NFP1448"/>
      <c r="NFQ1448"/>
      <c r="NFR1448"/>
      <c r="NFS1448"/>
      <c r="NFT1448"/>
      <c r="NFU1448"/>
      <c r="NFV1448"/>
      <c r="NFW1448"/>
      <c r="NFX1448"/>
      <c r="NFY1448"/>
      <c r="NFZ1448"/>
      <c r="NGA1448"/>
      <c r="NGB1448"/>
      <c r="NGC1448"/>
      <c r="NGD1448"/>
      <c r="NGE1448"/>
      <c r="NGF1448"/>
      <c r="NGG1448"/>
      <c r="NGH1448"/>
      <c r="NGI1448"/>
      <c r="NGJ1448"/>
      <c r="NGK1448"/>
      <c r="NGL1448"/>
      <c r="NGM1448"/>
      <c r="NGN1448"/>
      <c r="NGO1448"/>
      <c r="NGP1448"/>
      <c r="NGQ1448"/>
      <c r="NGR1448"/>
      <c r="NGS1448"/>
      <c r="NGT1448"/>
      <c r="NGU1448"/>
      <c r="NGV1448"/>
      <c r="NGW1448"/>
      <c r="NGX1448"/>
      <c r="NGY1448"/>
      <c r="NGZ1448"/>
      <c r="NHA1448"/>
      <c r="NHB1448"/>
      <c r="NHC1448"/>
      <c r="NHD1448"/>
      <c r="NHE1448"/>
      <c r="NHF1448"/>
      <c r="NHG1448"/>
      <c r="NHH1448"/>
      <c r="NHI1448"/>
      <c r="NHJ1448"/>
      <c r="NHK1448"/>
      <c r="NHL1448"/>
      <c r="NHM1448"/>
      <c r="NHN1448"/>
      <c r="NHO1448"/>
      <c r="NHP1448"/>
      <c r="NHQ1448"/>
      <c r="NHR1448"/>
      <c r="NHS1448"/>
      <c r="NHT1448"/>
      <c r="NHU1448"/>
      <c r="NHV1448"/>
      <c r="NHW1448"/>
      <c r="NHX1448"/>
      <c r="NHY1448"/>
      <c r="NHZ1448"/>
      <c r="NIA1448"/>
      <c r="NIB1448"/>
      <c r="NIC1448"/>
      <c r="NID1448"/>
      <c r="NIE1448"/>
      <c r="NIF1448"/>
      <c r="NIG1448"/>
      <c r="NIH1448"/>
      <c r="NII1448"/>
      <c r="NIJ1448"/>
      <c r="NIK1448"/>
      <c r="NIL1448"/>
      <c r="NIM1448"/>
      <c r="NIN1448"/>
      <c r="NIO1448"/>
      <c r="NIP1448"/>
      <c r="NIQ1448"/>
      <c r="NIR1448"/>
      <c r="NIS1448"/>
      <c r="NIT1448"/>
      <c r="NIU1448"/>
      <c r="NIV1448"/>
      <c r="NIW1448"/>
      <c r="NIX1448"/>
      <c r="NIY1448"/>
      <c r="NIZ1448"/>
      <c r="NJA1448"/>
      <c r="NJB1448"/>
      <c r="NJC1448"/>
      <c r="NJD1448"/>
      <c r="NJE1448"/>
      <c r="NJF1448"/>
      <c r="NJG1448"/>
      <c r="NJH1448"/>
      <c r="NJI1448"/>
      <c r="NJJ1448"/>
      <c r="NJK1448"/>
      <c r="NJL1448"/>
      <c r="NJM1448"/>
      <c r="NJN1448"/>
      <c r="NJO1448"/>
      <c r="NJP1448"/>
      <c r="NJQ1448"/>
      <c r="NJR1448"/>
      <c r="NJS1448"/>
      <c r="NJT1448"/>
      <c r="NJU1448"/>
      <c r="NJV1448"/>
      <c r="NJW1448"/>
      <c r="NJX1448"/>
      <c r="NJY1448"/>
      <c r="NJZ1448"/>
      <c r="NKA1448"/>
      <c r="NKB1448"/>
      <c r="NKC1448"/>
      <c r="NKD1448"/>
      <c r="NKE1448"/>
      <c r="NKF1448"/>
      <c r="NKG1448"/>
      <c r="NKH1448"/>
      <c r="NKI1448"/>
      <c r="NKJ1448"/>
      <c r="NKK1448"/>
      <c r="NKL1448"/>
      <c r="NKM1448"/>
      <c r="NKN1448"/>
      <c r="NKO1448"/>
      <c r="NKP1448"/>
      <c r="NKQ1448"/>
      <c r="NKR1448"/>
      <c r="NKS1448"/>
      <c r="NKT1448"/>
      <c r="NKU1448"/>
      <c r="NKV1448"/>
      <c r="NKW1448"/>
      <c r="NKX1448"/>
      <c r="NKY1448"/>
      <c r="NKZ1448"/>
      <c r="NLA1448"/>
      <c r="NLB1448"/>
      <c r="NLC1448"/>
      <c r="NLD1448"/>
      <c r="NLE1448"/>
      <c r="NLF1448"/>
      <c r="NLG1448"/>
      <c r="NLH1448"/>
      <c r="NLI1448"/>
      <c r="NLJ1448"/>
      <c r="NLK1448"/>
      <c r="NLL1448"/>
      <c r="NLM1448"/>
      <c r="NLN1448"/>
      <c r="NLO1448"/>
      <c r="NLP1448"/>
      <c r="NLQ1448"/>
      <c r="NLR1448"/>
      <c r="NLS1448"/>
      <c r="NLT1448"/>
      <c r="NLU1448"/>
      <c r="NLV1448"/>
      <c r="NLW1448"/>
      <c r="NLX1448"/>
      <c r="NLY1448"/>
      <c r="NLZ1448"/>
      <c r="NMA1448"/>
      <c r="NMB1448"/>
      <c r="NMC1448"/>
      <c r="NMD1448"/>
      <c r="NME1448"/>
      <c r="NMF1448"/>
      <c r="NMG1448"/>
      <c r="NMH1448"/>
      <c r="NMI1448"/>
      <c r="NMJ1448"/>
      <c r="NMK1448"/>
      <c r="NML1448"/>
      <c r="NMM1448"/>
      <c r="NMN1448"/>
      <c r="NMO1448"/>
      <c r="NMP1448"/>
      <c r="NMQ1448"/>
      <c r="NMR1448"/>
      <c r="NMS1448"/>
      <c r="NMT1448"/>
      <c r="NMU1448"/>
      <c r="NMV1448"/>
      <c r="NMW1448"/>
      <c r="NMX1448"/>
      <c r="NMY1448"/>
      <c r="NMZ1448"/>
      <c r="NNA1448"/>
      <c r="NNB1448"/>
      <c r="NNC1448"/>
      <c r="NND1448"/>
      <c r="NNE1448"/>
      <c r="NNF1448"/>
      <c r="NNG1448"/>
      <c r="NNH1448"/>
      <c r="NNI1448"/>
      <c r="NNJ1448"/>
      <c r="NNK1448"/>
      <c r="NNL1448"/>
      <c r="NNM1448"/>
      <c r="NNN1448"/>
      <c r="NNO1448"/>
      <c r="NNP1448"/>
      <c r="NNQ1448"/>
      <c r="NNR1448"/>
      <c r="NNS1448"/>
      <c r="NNT1448"/>
      <c r="NNU1448"/>
      <c r="NNV1448"/>
      <c r="NNW1448"/>
      <c r="NNX1448"/>
      <c r="NNY1448"/>
      <c r="NNZ1448"/>
      <c r="NOA1448"/>
      <c r="NOB1448"/>
      <c r="NOC1448"/>
      <c r="NOD1448"/>
      <c r="NOE1448"/>
      <c r="NOF1448"/>
      <c r="NOG1448"/>
      <c r="NOH1448"/>
      <c r="NOI1448"/>
      <c r="NOJ1448"/>
      <c r="NOK1448"/>
      <c r="NOL1448"/>
      <c r="NOM1448"/>
      <c r="NON1448"/>
      <c r="NOO1448"/>
      <c r="NOP1448"/>
      <c r="NOQ1448"/>
      <c r="NOR1448"/>
      <c r="NOS1448"/>
      <c r="NOT1448"/>
      <c r="NOU1448"/>
      <c r="NOV1448"/>
      <c r="NOW1448"/>
      <c r="NOX1448"/>
      <c r="NOY1448"/>
      <c r="NOZ1448"/>
      <c r="NPA1448"/>
      <c r="NPB1448"/>
      <c r="NPC1448"/>
      <c r="NPD1448"/>
      <c r="NPE1448"/>
      <c r="NPF1448"/>
      <c r="NPG1448"/>
      <c r="NPH1448"/>
      <c r="NPI1448"/>
      <c r="NPJ1448"/>
      <c r="NPK1448"/>
      <c r="NPL1448"/>
      <c r="NPM1448"/>
      <c r="NPN1448"/>
      <c r="NPO1448"/>
      <c r="NPP1448"/>
      <c r="NPQ1448"/>
      <c r="NPR1448"/>
      <c r="NPS1448"/>
      <c r="NPT1448"/>
      <c r="NPU1448"/>
      <c r="NPV1448"/>
      <c r="NPW1448"/>
      <c r="NPX1448"/>
      <c r="NPY1448"/>
      <c r="NPZ1448"/>
      <c r="NQA1448"/>
      <c r="NQB1448"/>
      <c r="NQC1448"/>
      <c r="NQD1448"/>
      <c r="NQE1448"/>
      <c r="NQF1448"/>
      <c r="NQG1448"/>
      <c r="NQH1448"/>
      <c r="NQI1448"/>
      <c r="NQJ1448"/>
      <c r="NQK1448"/>
      <c r="NQL1448"/>
      <c r="NQM1448"/>
      <c r="NQN1448"/>
      <c r="NQO1448"/>
      <c r="NQP1448"/>
      <c r="NQQ1448"/>
      <c r="NQR1448"/>
      <c r="NQS1448"/>
      <c r="NQT1448"/>
      <c r="NQU1448"/>
      <c r="NQV1448"/>
      <c r="NQW1448"/>
      <c r="NQX1448"/>
      <c r="NQY1448"/>
      <c r="NQZ1448"/>
      <c r="NRA1448"/>
      <c r="NRB1448"/>
      <c r="NRC1448"/>
      <c r="NRD1448"/>
      <c r="NRE1448"/>
      <c r="NRF1448"/>
      <c r="NRG1448"/>
      <c r="NRH1448"/>
      <c r="NRI1448"/>
      <c r="NRJ1448"/>
      <c r="NRK1448"/>
      <c r="NRL1448"/>
      <c r="NRM1448"/>
      <c r="NRN1448"/>
      <c r="NRO1448"/>
      <c r="NRP1448"/>
      <c r="NRQ1448"/>
      <c r="NRR1448"/>
      <c r="NRS1448"/>
      <c r="NRT1448"/>
      <c r="NRU1448"/>
      <c r="NRV1448"/>
      <c r="NRW1448"/>
      <c r="NRX1448"/>
      <c r="NRY1448"/>
      <c r="NRZ1448"/>
      <c r="NSA1448"/>
      <c r="NSB1448"/>
      <c r="NSC1448"/>
      <c r="NSD1448"/>
      <c r="NSE1448"/>
      <c r="NSF1448"/>
      <c r="NSG1448"/>
      <c r="NSH1448"/>
      <c r="NSI1448"/>
      <c r="NSJ1448"/>
      <c r="NSK1448"/>
      <c r="NSL1448"/>
      <c r="NSM1448"/>
      <c r="NSN1448"/>
      <c r="NSO1448"/>
      <c r="NSP1448"/>
      <c r="NSQ1448"/>
      <c r="NSR1448"/>
      <c r="NSS1448"/>
      <c r="NST1448"/>
      <c r="NSU1448"/>
      <c r="NSV1448"/>
      <c r="NSW1448"/>
      <c r="NSX1448"/>
      <c r="NSY1448"/>
      <c r="NSZ1448"/>
      <c r="NTA1448"/>
      <c r="NTB1448"/>
      <c r="NTC1448"/>
      <c r="NTD1448"/>
      <c r="NTE1448"/>
      <c r="NTF1448"/>
      <c r="NTG1448"/>
      <c r="NTH1448"/>
      <c r="NTI1448"/>
      <c r="NTJ1448"/>
      <c r="NTK1448"/>
      <c r="NTL1448"/>
      <c r="NTM1448"/>
      <c r="NTN1448"/>
      <c r="NTO1448"/>
      <c r="NTP1448"/>
      <c r="NTQ1448"/>
      <c r="NTR1448"/>
      <c r="NTS1448"/>
      <c r="NTT1448"/>
      <c r="NTU1448"/>
      <c r="NTV1448"/>
      <c r="NTW1448"/>
      <c r="NTX1448"/>
      <c r="NTY1448"/>
      <c r="NTZ1448"/>
      <c r="NUA1448"/>
      <c r="NUB1448"/>
      <c r="NUC1448"/>
      <c r="NUD1448"/>
      <c r="NUE1448"/>
      <c r="NUF1448"/>
      <c r="NUG1448"/>
      <c r="NUH1448"/>
      <c r="NUI1448"/>
      <c r="NUJ1448"/>
      <c r="NUK1448"/>
      <c r="NUL1448"/>
      <c r="NUM1448"/>
      <c r="NUN1448"/>
      <c r="NUO1448"/>
      <c r="NUP1448"/>
      <c r="NUQ1448"/>
      <c r="NUR1448"/>
      <c r="NUS1448"/>
      <c r="NUT1448"/>
      <c r="NUU1448"/>
      <c r="NUV1448"/>
      <c r="NUW1448"/>
      <c r="NUX1448"/>
      <c r="NUY1448"/>
      <c r="NUZ1448"/>
      <c r="NVA1448"/>
      <c r="NVB1448"/>
      <c r="NVC1448"/>
      <c r="NVD1448"/>
      <c r="NVE1448"/>
      <c r="NVF1448"/>
      <c r="NVG1448"/>
      <c r="NVH1448"/>
      <c r="NVI1448"/>
      <c r="NVJ1448"/>
      <c r="NVK1448"/>
      <c r="NVL1448"/>
      <c r="NVM1448"/>
      <c r="NVN1448"/>
      <c r="NVO1448"/>
      <c r="NVP1448"/>
      <c r="NVQ1448"/>
      <c r="NVR1448"/>
      <c r="NVS1448"/>
      <c r="NVT1448"/>
      <c r="NVU1448"/>
      <c r="NVV1448"/>
      <c r="NVW1448"/>
      <c r="NVX1448"/>
      <c r="NVY1448"/>
      <c r="NVZ1448"/>
      <c r="NWA1448"/>
      <c r="NWB1448"/>
      <c r="NWC1448"/>
      <c r="NWD1448"/>
      <c r="NWE1448"/>
      <c r="NWF1448"/>
      <c r="NWG1448"/>
      <c r="NWH1448"/>
      <c r="NWI1448"/>
      <c r="NWJ1448"/>
      <c r="NWK1448"/>
      <c r="NWL1448"/>
      <c r="NWM1448"/>
      <c r="NWN1448"/>
      <c r="NWO1448"/>
      <c r="NWP1448"/>
      <c r="NWQ1448"/>
      <c r="NWR1448"/>
      <c r="NWS1448"/>
      <c r="NWT1448"/>
      <c r="NWU1448"/>
      <c r="NWV1448"/>
      <c r="NWW1448"/>
      <c r="NWX1448"/>
      <c r="NWY1448"/>
      <c r="NWZ1448"/>
      <c r="NXA1448"/>
      <c r="NXB1448"/>
      <c r="NXC1448"/>
      <c r="NXD1448"/>
      <c r="NXE1448"/>
      <c r="NXF1448"/>
      <c r="NXG1448"/>
      <c r="NXH1448"/>
      <c r="NXI1448"/>
      <c r="NXJ1448"/>
      <c r="NXK1448"/>
      <c r="NXL1448"/>
      <c r="NXM1448"/>
      <c r="NXN1448"/>
      <c r="NXO1448"/>
      <c r="NXP1448"/>
      <c r="NXQ1448"/>
      <c r="NXR1448"/>
      <c r="NXS1448"/>
      <c r="NXT1448"/>
      <c r="NXU1448"/>
      <c r="NXV1448"/>
      <c r="NXW1448"/>
      <c r="NXX1448"/>
      <c r="NXY1448"/>
      <c r="NXZ1448"/>
      <c r="NYA1448"/>
      <c r="NYB1448"/>
      <c r="NYC1448"/>
      <c r="NYD1448"/>
      <c r="NYE1448"/>
      <c r="NYF1448"/>
      <c r="NYG1448"/>
      <c r="NYH1448"/>
      <c r="NYI1448"/>
      <c r="NYJ1448"/>
      <c r="NYK1448"/>
      <c r="NYL1448"/>
      <c r="NYM1448"/>
      <c r="NYN1448"/>
      <c r="NYO1448"/>
      <c r="NYP1448"/>
      <c r="NYQ1448"/>
      <c r="NYR1448"/>
      <c r="NYS1448"/>
      <c r="NYT1448"/>
      <c r="NYU1448"/>
      <c r="NYV1448"/>
      <c r="NYW1448"/>
      <c r="NYX1448"/>
      <c r="NYY1448"/>
      <c r="NYZ1448"/>
      <c r="NZA1448"/>
      <c r="NZB1448"/>
      <c r="NZC1448"/>
      <c r="NZD1448"/>
      <c r="NZE1448"/>
      <c r="NZF1448"/>
      <c r="NZG1448"/>
      <c r="NZH1448"/>
      <c r="NZI1448"/>
      <c r="NZJ1448"/>
      <c r="NZK1448"/>
      <c r="NZL1448"/>
      <c r="NZM1448"/>
      <c r="NZN1448"/>
      <c r="NZO1448"/>
      <c r="NZP1448"/>
      <c r="NZQ1448"/>
      <c r="NZR1448"/>
      <c r="NZS1448"/>
      <c r="NZT1448"/>
      <c r="NZU1448"/>
      <c r="NZV1448"/>
      <c r="NZW1448"/>
      <c r="NZX1448"/>
      <c r="NZY1448"/>
      <c r="NZZ1448"/>
      <c r="OAA1448"/>
      <c r="OAB1448"/>
      <c r="OAC1448"/>
      <c r="OAD1448"/>
      <c r="OAE1448"/>
      <c r="OAF1448"/>
      <c r="OAG1448"/>
      <c r="OAH1448"/>
      <c r="OAI1448"/>
      <c r="OAJ1448"/>
      <c r="OAK1448"/>
      <c r="OAL1448"/>
      <c r="OAM1448"/>
      <c r="OAN1448"/>
      <c r="OAO1448"/>
      <c r="OAP1448"/>
      <c r="OAQ1448"/>
      <c r="OAR1448"/>
      <c r="OAS1448"/>
      <c r="OAT1448"/>
      <c r="OAU1448"/>
      <c r="OAV1448"/>
      <c r="OAW1448"/>
      <c r="OAX1448"/>
      <c r="OAY1448"/>
      <c r="OAZ1448"/>
      <c r="OBA1448"/>
      <c r="OBB1448"/>
      <c r="OBC1448"/>
      <c r="OBD1448"/>
      <c r="OBE1448"/>
      <c r="OBF1448"/>
      <c r="OBG1448"/>
      <c r="OBH1448"/>
      <c r="OBI1448"/>
      <c r="OBJ1448"/>
      <c r="OBK1448"/>
      <c r="OBL1448"/>
      <c r="OBM1448"/>
      <c r="OBN1448"/>
      <c r="OBO1448"/>
      <c r="OBP1448"/>
      <c r="OBQ1448"/>
      <c r="OBR1448"/>
      <c r="OBS1448"/>
      <c r="OBT1448"/>
      <c r="OBU1448"/>
      <c r="OBV1448"/>
      <c r="OBW1448"/>
      <c r="OBX1448"/>
      <c r="OBY1448"/>
      <c r="OBZ1448"/>
      <c r="OCA1448"/>
      <c r="OCB1448"/>
      <c r="OCC1448"/>
      <c r="OCD1448"/>
      <c r="OCE1448"/>
      <c r="OCF1448"/>
      <c r="OCG1448"/>
      <c r="OCH1448"/>
      <c r="OCI1448"/>
      <c r="OCJ1448"/>
      <c r="OCK1448"/>
      <c r="OCL1448"/>
      <c r="OCM1448"/>
      <c r="OCN1448"/>
      <c r="OCO1448"/>
      <c r="OCP1448"/>
      <c r="OCQ1448"/>
      <c r="OCR1448"/>
      <c r="OCS1448"/>
      <c r="OCT1448"/>
      <c r="OCU1448"/>
      <c r="OCV1448"/>
      <c r="OCW1448"/>
      <c r="OCX1448"/>
      <c r="OCY1448"/>
      <c r="OCZ1448"/>
      <c r="ODA1448"/>
      <c r="ODB1448"/>
      <c r="ODC1448"/>
      <c r="ODD1448"/>
      <c r="ODE1448"/>
      <c r="ODF1448"/>
      <c r="ODG1448"/>
      <c r="ODH1448"/>
      <c r="ODI1448"/>
      <c r="ODJ1448"/>
      <c r="ODK1448"/>
      <c r="ODL1448"/>
      <c r="ODM1448"/>
      <c r="ODN1448"/>
      <c r="ODO1448"/>
      <c r="ODP1448"/>
      <c r="ODQ1448"/>
      <c r="ODR1448"/>
      <c r="ODS1448"/>
      <c r="ODT1448"/>
      <c r="ODU1448"/>
      <c r="ODV1448"/>
      <c r="ODW1448"/>
      <c r="ODX1448"/>
      <c r="ODY1448"/>
      <c r="ODZ1448"/>
      <c r="OEA1448"/>
      <c r="OEB1448"/>
      <c r="OEC1448"/>
      <c r="OED1448"/>
      <c r="OEE1448"/>
      <c r="OEF1448"/>
      <c r="OEG1448"/>
      <c r="OEH1448"/>
      <c r="OEI1448"/>
      <c r="OEJ1448"/>
      <c r="OEK1448"/>
      <c r="OEL1448"/>
      <c r="OEM1448"/>
      <c r="OEN1448"/>
      <c r="OEO1448"/>
      <c r="OEP1448"/>
      <c r="OEQ1448"/>
      <c r="OER1448"/>
      <c r="OES1448"/>
      <c r="OET1448"/>
      <c r="OEU1448"/>
      <c r="OEV1448"/>
      <c r="OEW1448"/>
      <c r="OEX1448"/>
      <c r="OEY1448"/>
      <c r="OEZ1448"/>
      <c r="OFA1448"/>
      <c r="OFB1448"/>
      <c r="OFC1448"/>
      <c r="OFD1448"/>
      <c r="OFE1448"/>
      <c r="OFF1448"/>
      <c r="OFG1448"/>
      <c r="OFH1448"/>
      <c r="OFI1448"/>
      <c r="OFJ1448"/>
      <c r="OFK1448"/>
      <c r="OFL1448"/>
      <c r="OFM1448"/>
      <c r="OFN1448"/>
      <c r="OFO1448"/>
      <c r="OFP1448"/>
      <c r="OFQ1448"/>
      <c r="OFR1448"/>
      <c r="OFS1448"/>
      <c r="OFT1448"/>
      <c r="OFU1448"/>
      <c r="OFV1448"/>
      <c r="OFW1448"/>
      <c r="OFX1448"/>
      <c r="OFY1448"/>
      <c r="OFZ1448"/>
      <c r="OGA1448"/>
      <c r="OGB1448"/>
      <c r="OGC1448"/>
      <c r="OGD1448"/>
      <c r="OGE1448"/>
      <c r="OGF1448"/>
      <c r="OGG1448"/>
      <c r="OGH1448"/>
      <c r="OGI1448"/>
      <c r="OGJ1448"/>
      <c r="OGK1448"/>
      <c r="OGL1448"/>
      <c r="OGM1448"/>
      <c r="OGN1448"/>
      <c r="OGO1448"/>
      <c r="OGP1448"/>
      <c r="OGQ1448"/>
      <c r="OGR1448"/>
      <c r="OGS1448"/>
      <c r="OGT1448"/>
      <c r="OGU1448"/>
      <c r="OGV1448"/>
      <c r="OGW1448"/>
      <c r="OGX1448"/>
      <c r="OGY1448"/>
      <c r="OGZ1448"/>
      <c r="OHA1448"/>
      <c r="OHB1448"/>
      <c r="OHC1448"/>
      <c r="OHD1448"/>
      <c r="OHE1448"/>
      <c r="OHF1448"/>
      <c r="OHG1448"/>
      <c r="OHH1448"/>
      <c r="OHI1448"/>
      <c r="OHJ1448"/>
      <c r="OHK1448"/>
      <c r="OHL1448"/>
      <c r="OHM1448"/>
      <c r="OHN1448"/>
      <c r="OHO1448"/>
      <c r="OHP1448"/>
      <c r="OHQ1448"/>
      <c r="OHR1448"/>
      <c r="OHS1448"/>
      <c r="OHT1448"/>
      <c r="OHU1448"/>
      <c r="OHV1448"/>
      <c r="OHW1448"/>
      <c r="OHX1448"/>
      <c r="OHY1448"/>
      <c r="OHZ1448"/>
      <c r="OIA1448"/>
      <c r="OIB1448"/>
      <c r="OIC1448"/>
      <c r="OID1448"/>
      <c r="OIE1448"/>
      <c r="OIF1448"/>
      <c r="OIG1448"/>
      <c r="OIH1448"/>
      <c r="OII1448"/>
      <c r="OIJ1448"/>
      <c r="OIK1448"/>
      <c r="OIL1448"/>
      <c r="OIM1448"/>
      <c r="OIN1448"/>
      <c r="OIO1448"/>
      <c r="OIP1448"/>
      <c r="OIQ1448"/>
      <c r="OIR1448"/>
      <c r="OIS1448"/>
      <c r="OIT1448"/>
      <c r="OIU1448"/>
      <c r="OIV1448"/>
      <c r="OIW1448"/>
      <c r="OIX1448"/>
      <c r="OIY1448"/>
      <c r="OIZ1448"/>
      <c r="OJA1448"/>
      <c r="OJB1448"/>
      <c r="OJC1448"/>
      <c r="OJD1448"/>
      <c r="OJE1448"/>
      <c r="OJF1448"/>
      <c r="OJG1448"/>
      <c r="OJH1448"/>
      <c r="OJI1448"/>
      <c r="OJJ1448"/>
      <c r="OJK1448"/>
      <c r="OJL1448"/>
      <c r="OJM1448"/>
      <c r="OJN1448"/>
      <c r="OJO1448"/>
      <c r="OJP1448"/>
      <c r="OJQ1448"/>
      <c r="OJR1448"/>
      <c r="OJS1448"/>
      <c r="OJT1448"/>
      <c r="OJU1448"/>
      <c r="OJV1448"/>
      <c r="OJW1448"/>
      <c r="OJX1448"/>
      <c r="OJY1448"/>
      <c r="OJZ1448"/>
      <c r="OKA1448"/>
      <c r="OKB1448"/>
      <c r="OKC1448"/>
      <c r="OKD1448"/>
      <c r="OKE1448"/>
      <c r="OKF1448"/>
      <c r="OKG1448"/>
      <c r="OKH1448"/>
      <c r="OKI1448"/>
      <c r="OKJ1448"/>
      <c r="OKK1448"/>
      <c r="OKL1448"/>
      <c r="OKM1448"/>
      <c r="OKN1448"/>
      <c r="OKO1448"/>
      <c r="OKP1448"/>
      <c r="OKQ1448"/>
      <c r="OKR1448"/>
      <c r="OKS1448"/>
      <c r="OKT1448"/>
      <c r="OKU1448"/>
      <c r="OKV1448"/>
      <c r="OKW1448"/>
      <c r="OKX1448"/>
      <c r="OKY1448"/>
      <c r="OKZ1448"/>
      <c r="OLA1448"/>
      <c r="OLB1448"/>
      <c r="OLC1448"/>
      <c r="OLD1448"/>
      <c r="OLE1448"/>
      <c r="OLF1448"/>
      <c r="OLG1448"/>
      <c r="OLH1448"/>
      <c r="OLI1448"/>
      <c r="OLJ1448"/>
      <c r="OLK1448"/>
      <c r="OLL1448"/>
      <c r="OLM1448"/>
      <c r="OLN1448"/>
      <c r="OLO1448"/>
      <c r="OLP1448"/>
      <c r="OLQ1448"/>
      <c r="OLR1448"/>
      <c r="OLS1448"/>
      <c r="OLT1448"/>
      <c r="OLU1448"/>
      <c r="OLV1448"/>
      <c r="OLW1448"/>
      <c r="OLX1448"/>
      <c r="OLY1448"/>
      <c r="OLZ1448"/>
      <c r="OMA1448"/>
      <c r="OMB1448"/>
      <c r="OMC1448"/>
      <c r="OMD1448"/>
      <c r="OME1448"/>
      <c r="OMF1448"/>
      <c r="OMG1448"/>
      <c r="OMH1448"/>
      <c r="OMI1448"/>
      <c r="OMJ1448"/>
      <c r="OMK1448"/>
      <c r="OML1448"/>
      <c r="OMM1448"/>
      <c r="OMN1448"/>
      <c r="OMO1448"/>
      <c r="OMP1448"/>
      <c r="OMQ1448"/>
      <c r="OMR1448"/>
      <c r="OMS1448"/>
      <c r="OMT1448"/>
      <c r="OMU1448"/>
      <c r="OMV1448"/>
      <c r="OMW1448"/>
      <c r="OMX1448"/>
      <c r="OMY1448"/>
      <c r="OMZ1448"/>
      <c r="ONA1448"/>
      <c r="ONB1448"/>
      <c r="ONC1448"/>
      <c r="OND1448"/>
      <c r="ONE1448"/>
      <c r="ONF1448"/>
      <c r="ONG1448"/>
      <c r="ONH1448"/>
      <c r="ONI1448"/>
      <c r="ONJ1448"/>
      <c r="ONK1448"/>
      <c r="ONL1448"/>
      <c r="ONM1448"/>
      <c r="ONN1448"/>
      <c r="ONO1448"/>
      <c r="ONP1448"/>
      <c r="ONQ1448"/>
      <c r="ONR1448"/>
      <c r="ONS1448"/>
      <c r="ONT1448"/>
      <c r="ONU1448"/>
      <c r="ONV1448"/>
      <c r="ONW1448"/>
      <c r="ONX1448"/>
      <c r="ONY1448"/>
      <c r="ONZ1448"/>
      <c r="OOA1448"/>
      <c r="OOB1448"/>
      <c r="OOC1448"/>
      <c r="OOD1448"/>
      <c r="OOE1448"/>
      <c r="OOF1448"/>
      <c r="OOG1448"/>
      <c r="OOH1448"/>
      <c r="OOI1448"/>
      <c r="OOJ1448"/>
      <c r="OOK1448"/>
      <c r="OOL1448"/>
      <c r="OOM1448"/>
      <c r="OON1448"/>
      <c r="OOO1448"/>
      <c r="OOP1448"/>
      <c r="OOQ1448"/>
      <c r="OOR1448"/>
      <c r="OOS1448"/>
      <c r="OOT1448"/>
      <c r="OOU1448"/>
      <c r="OOV1448"/>
      <c r="OOW1448"/>
      <c r="OOX1448"/>
      <c r="OOY1448"/>
      <c r="OOZ1448"/>
      <c r="OPA1448"/>
      <c r="OPB1448"/>
      <c r="OPC1448"/>
      <c r="OPD1448"/>
      <c r="OPE1448"/>
      <c r="OPF1448"/>
      <c r="OPG1448"/>
      <c r="OPH1448"/>
      <c r="OPI1448"/>
      <c r="OPJ1448"/>
      <c r="OPK1448"/>
      <c r="OPL1448"/>
      <c r="OPM1448"/>
      <c r="OPN1448"/>
      <c r="OPO1448"/>
      <c r="OPP1448"/>
      <c r="OPQ1448"/>
      <c r="OPR1448"/>
      <c r="OPS1448"/>
      <c r="OPT1448"/>
      <c r="OPU1448"/>
      <c r="OPV1448"/>
      <c r="OPW1448"/>
      <c r="OPX1448"/>
      <c r="OPY1448"/>
      <c r="OPZ1448"/>
      <c r="OQA1448"/>
      <c r="OQB1448"/>
      <c r="OQC1448"/>
      <c r="OQD1448"/>
      <c r="OQE1448"/>
      <c r="OQF1448"/>
      <c r="OQG1448"/>
      <c r="OQH1448"/>
      <c r="OQI1448"/>
      <c r="OQJ1448"/>
      <c r="OQK1448"/>
      <c r="OQL1448"/>
      <c r="OQM1448"/>
      <c r="OQN1448"/>
      <c r="OQO1448"/>
      <c r="OQP1448"/>
      <c r="OQQ1448"/>
      <c r="OQR1448"/>
      <c r="OQS1448"/>
      <c r="OQT1448"/>
      <c r="OQU1448"/>
      <c r="OQV1448"/>
      <c r="OQW1448"/>
      <c r="OQX1448"/>
      <c r="OQY1448"/>
      <c r="OQZ1448"/>
      <c r="ORA1448"/>
      <c r="ORB1448"/>
      <c r="ORC1448"/>
      <c r="ORD1448"/>
      <c r="ORE1448"/>
      <c r="ORF1448"/>
      <c r="ORG1448"/>
      <c r="ORH1448"/>
      <c r="ORI1448"/>
      <c r="ORJ1448"/>
      <c r="ORK1448"/>
      <c r="ORL1448"/>
      <c r="ORM1448"/>
      <c r="ORN1448"/>
      <c r="ORO1448"/>
      <c r="ORP1448"/>
      <c r="ORQ1448"/>
      <c r="ORR1448"/>
      <c r="ORS1448"/>
      <c r="ORT1448"/>
      <c r="ORU1448"/>
      <c r="ORV1448"/>
      <c r="ORW1448"/>
      <c r="ORX1448"/>
      <c r="ORY1448"/>
      <c r="ORZ1448"/>
      <c r="OSA1448"/>
      <c r="OSB1448"/>
      <c r="OSC1448"/>
      <c r="OSD1448"/>
      <c r="OSE1448"/>
      <c r="OSF1448"/>
      <c r="OSG1448"/>
      <c r="OSH1448"/>
      <c r="OSI1448"/>
      <c r="OSJ1448"/>
      <c r="OSK1448"/>
      <c r="OSL1448"/>
      <c r="OSM1448"/>
      <c r="OSN1448"/>
      <c r="OSO1448"/>
      <c r="OSP1448"/>
      <c r="OSQ1448"/>
      <c r="OSR1448"/>
      <c r="OSS1448"/>
      <c r="OST1448"/>
      <c r="OSU1448"/>
      <c r="OSV1448"/>
      <c r="OSW1448"/>
      <c r="OSX1448"/>
      <c r="OSY1448"/>
      <c r="OSZ1448"/>
      <c r="OTA1448"/>
      <c r="OTB1448"/>
      <c r="OTC1448"/>
      <c r="OTD1448"/>
      <c r="OTE1448"/>
      <c r="OTF1448"/>
      <c r="OTG1448"/>
      <c r="OTH1448"/>
      <c r="OTI1448"/>
      <c r="OTJ1448"/>
      <c r="OTK1448"/>
      <c r="OTL1448"/>
      <c r="OTM1448"/>
      <c r="OTN1448"/>
      <c r="OTO1448"/>
      <c r="OTP1448"/>
      <c r="OTQ1448"/>
      <c r="OTR1448"/>
      <c r="OTS1448"/>
      <c r="OTT1448"/>
      <c r="OTU1448"/>
      <c r="OTV1448"/>
      <c r="OTW1448"/>
      <c r="OTX1448"/>
      <c r="OTY1448"/>
      <c r="OTZ1448"/>
      <c r="OUA1448"/>
      <c r="OUB1448"/>
      <c r="OUC1448"/>
      <c r="OUD1448"/>
      <c r="OUE1448"/>
      <c r="OUF1448"/>
      <c r="OUG1448"/>
      <c r="OUH1448"/>
      <c r="OUI1448"/>
      <c r="OUJ1448"/>
      <c r="OUK1448"/>
      <c r="OUL1448"/>
      <c r="OUM1448"/>
      <c r="OUN1448"/>
      <c r="OUO1448"/>
      <c r="OUP1448"/>
      <c r="OUQ1448"/>
      <c r="OUR1448"/>
      <c r="OUS1448"/>
      <c r="OUT1448"/>
      <c r="OUU1448"/>
      <c r="OUV1448"/>
      <c r="OUW1448"/>
      <c r="OUX1448"/>
      <c r="OUY1448"/>
      <c r="OUZ1448"/>
      <c r="OVA1448"/>
      <c r="OVB1448"/>
      <c r="OVC1448"/>
      <c r="OVD1448"/>
      <c r="OVE1448"/>
      <c r="OVF1448"/>
      <c r="OVG1448"/>
      <c r="OVH1448"/>
      <c r="OVI1448"/>
      <c r="OVJ1448"/>
      <c r="OVK1448"/>
      <c r="OVL1448"/>
      <c r="OVM1448"/>
      <c r="OVN1448"/>
      <c r="OVO1448"/>
      <c r="OVP1448"/>
      <c r="OVQ1448"/>
      <c r="OVR1448"/>
      <c r="OVS1448"/>
      <c r="OVT1448"/>
      <c r="OVU1448"/>
      <c r="OVV1448"/>
      <c r="OVW1448"/>
      <c r="OVX1448"/>
      <c r="OVY1448"/>
      <c r="OVZ1448"/>
      <c r="OWA1448"/>
      <c r="OWB1448"/>
      <c r="OWC1448"/>
      <c r="OWD1448"/>
      <c r="OWE1448"/>
      <c r="OWF1448"/>
      <c r="OWG1448"/>
      <c r="OWH1448"/>
      <c r="OWI1448"/>
      <c r="OWJ1448"/>
      <c r="OWK1448"/>
      <c r="OWL1448"/>
      <c r="OWM1448"/>
      <c r="OWN1448"/>
      <c r="OWO1448"/>
      <c r="OWP1448"/>
      <c r="OWQ1448"/>
      <c r="OWR1448"/>
      <c r="OWS1448"/>
      <c r="OWT1448"/>
      <c r="OWU1448"/>
      <c r="OWV1448"/>
      <c r="OWW1448"/>
      <c r="OWX1448"/>
      <c r="OWY1448"/>
      <c r="OWZ1448"/>
      <c r="OXA1448"/>
      <c r="OXB1448"/>
      <c r="OXC1448"/>
      <c r="OXD1448"/>
      <c r="OXE1448"/>
      <c r="OXF1448"/>
      <c r="OXG1448"/>
      <c r="OXH1448"/>
      <c r="OXI1448"/>
      <c r="OXJ1448"/>
      <c r="OXK1448"/>
      <c r="OXL1448"/>
      <c r="OXM1448"/>
      <c r="OXN1448"/>
      <c r="OXO1448"/>
      <c r="OXP1448"/>
      <c r="OXQ1448"/>
      <c r="OXR1448"/>
      <c r="OXS1448"/>
      <c r="OXT1448"/>
      <c r="OXU1448"/>
      <c r="OXV1448"/>
      <c r="OXW1448"/>
      <c r="OXX1448"/>
      <c r="OXY1448"/>
      <c r="OXZ1448"/>
      <c r="OYA1448"/>
      <c r="OYB1448"/>
      <c r="OYC1448"/>
      <c r="OYD1448"/>
      <c r="OYE1448"/>
      <c r="OYF1448"/>
      <c r="OYG1448"/>
      <c r="OYH1448"/>
      <c r="OYI1448"/>
      <c r="OYJ1448"/>
      <c r="OYK1448"/>
      <c r="OYL1448"/>
      <c r="OYM1448"/>
      <c r="OYN1448"/>
      <c r="OYO1448"/>
      <c r="OYP1448"/>
      <c r="OYQ1448"/>
      <c r="OYR1448"/>
      <c r="OYS1448"/>
      <c r="OYT1448"/>
      <c r="OYU1448"/>
      <c r="OYV1448"/>
      <c r="OYW1448"/>
      <c r="OYX1448"/>
      <c r="OYY1448"/>
      <c r="OYZ1448"/>
      <c r="OZA1448"/>
      <c r="OZB1448"/>
      <c r="OZC1448"/>
      <c r="OZD1448"/>
      <c r="OZE1448"/>
      <c r="OZF1448"/>
      <c r="OZG1448"/>
      <c r="OZH1448"/>
      <c r="OZI1448"/>
      <c r="OZJ1448"/>
      <c r="OZK1448"/>
      <c r="OZL1448"/>
      <c r="OZM1448"/>
      <c r="OZN1448"/>
      <c r="OZO1448"/>
      <c r="OZP1448"/>
      <c r="OZQ1448"/>
      <c r="OZR1448"/>
      <c r="OZS1448"/>
      <c r="OZT1448"/>
      <c r="OZU1448"/>
      <c r="OZV1448"/>
      <c r="OZW1448"/>
      <c r="OZX1448"/>
      <c r="OZY1448"/>
      <c r="OZZ1448"/>
      <c r="PAA1448"/>
      <c r="PAB1448"/>
      <c r="PAC1448"/>
      <c r="PAD1448"/>
      <c r="PAE1448"/>
      <c r="PAF1448"/>
      <c r="PAG1448"/>
      <c r="PAH1448"/>
      <c r="PAI1448"/>
      <c r="PAJ1448"/>
      <c r="PAK1448"/>
      <c r="PAL1448"/>
      <c r="PAM1448"/>
      <c r="PAN1448"/>
      <c r="PAO1448"/>
      <c r="PAP1448"/>
      <c r="PAQ1448"/>
      <c r="PAR1448"/>
      <c r="PAS1448"/>
      <c r="PAT1448"/>
      <c r="PAU1448"/>
      <c r="PAV1448"/>
      <c r="PAW1448"/>
      <c r="PAX1448"/>
      <c r="PAY1448"/>
      <c r="PAZ1448"/>
      <c r="PBA1448"/>
      <c r="PBB1448"/>
      <c r="PBC1448"/>
      <c r="PBD1448"/>
      <c r="PBE1448"/>
      <c r="PBF1448"/>
      <c r="PBG1448"/>
      <c r="PBH1448"/>
      <c r="PBI1448"/>
      <c r="PBJ1448"/>
      <c r="PBK1448"/>
      <c r="PBL1448"/>
      <c r="PBM1448"/>
      <c r="PBN1448"/>
      <c r="PBO1448"/>
      <c r="PBP1448"/>
      <c r="PBQ1448"/>
      <c r="PBR1448"/>
      <c r="PBS1448"/>
      <c r="PBT1448"/>
      <c r="PBU1448"/>
      <c r="PBV1448"/>
      <c r="PBW1448"/>
      <c r="PBX1448"/>
      <c r="PBY1448"/>
      <c r="PBZ1448"/>
      <c r="PCA1448"/>
      <c r="PCB1448"/>
      <c r="PCC1448"/>
      <c r="PCD1448"/>
      <c r="PCE1448"/>
      <c r="PCF1448"/>
      <c r="PCG1448"/>
      <c r="PCH1448"/>
      <c r="PCI1448"/>
      <c r="PCJ1448"/>
      <c r="PCK1448"/>
      <c r="PCL1448"/>
      <c r="PCM1448"/>
      <c r="PCN1448"/>
      <c r="PCO1448"/>
      <c r="PCP1448"/>
      <c r="PCQ1448"/>
      <c r="PCR1448"/>
      <c r="PCS1448"/>
      <c r="PCT1448"/>
      <c r="PCU1448"/>
      <c r="PCV1448"/>
      <c r="PCW1448"/>
      <c r="PCX1448"/>
      <c r="PCY1448"/>
      <c r="PCZ1448"/>
      <c r="PDA1448"/>
      <c r="PDB1448"/>
      <c r="PDC1448"/>
      <c r="PDD1448"/>
      <c r="PDE1448"/>
      <c r="PDF1448"/>
      <c r="PDG1448"/>
      <c r="PDH1448"/>
      <c r="PDI1448"/>
      <c r="PDJ1448"/>
      <c r="PDK1448"/>
      <c r="PDL1448"/>
      <c r="PDM1448"/>
      <c r="PDN1448"/>
      <c r="PDO1448"/>
      <c r="PDP1448"/>
      <c r="PDQ1448"/>
      <c r="PDR1448"/>
      <c r="PDS1448"/>
      <c r="PDT1448"/>
      <c r="PDU1448"/>
      <c r="PDV1448"/>
      <c r="PDW1448"/>
      <c r="PDX1448"/>
      <c r="PDY1448"/>
      <c r="PDZ1448"/>
      <c r="PEA1448"/>
      <c r="PEB1448"/>
      <c r="PEC1448"/>
      <c r="PED1448"/>
      <c r="PEE1448"/>
      <c r="PEF1448"/>
      <c r="PEG1448"/>
      <c r="PEH1448"/>
      <c r="PEI1448"/>
      <c r="PEJ1448"/>
      <c r="PEK1448"/>
      <c r="PEL1448"/>
      <c r="PEM1448"/>
      <c r="PEN1448"/>
      <c r="PEO1448"/>
      <c r="PEP1448"/>
      <c r="PEQ1448"/>
      <c r="PER1448"/>
      <c r="PES1448"/>
      <c r="PET1448"/>
      <c r="PEU1448"/>
      <c r="PEV1448"/>
      <c r="PEW1448"/>
      <c r="PEX1448"/>
      <c r="PEY1448"/>
      <c r="PEZ1448"/>
      <c r="PFA1448"/>
      <c r="PFB1448"/>
      <c r="PFC1448"/>
      <c r="PFD1448"/>
      <c r="PFE1448"/>
      <c r="PFF1448"/>
      <c r="PFG1448"/>
      <c r="PFH1448"/>
      <c r="PFI1448"/>
      <c r="PFJ1448"/>
      <c r="PFK1448"/>
      <c r="PFL1448"/>
      <c r="PFM1448"/>
      <c r="PFN1448"/>
      <c r="PFO1448"/>
      <c r="PFP1448"/>
      <c r="PFQ1448"/>
      <c r="PFR1448"/>
      <c r="PFS1448"/>
      <c r="PFT1448"/>
      <c r="PFU1448"/>
      <c r="PFV1448"/>
      <c r="PFW1448"/>
      <c r="PFX1448"/>
      <c r="PFY1448"/>
      <c r="PFZ1448"/>
      <c r="PGA1448"/>
      <c r="PGB1448"/>
      <c r="PGC1448"/>
      <c r="PGD1448"/>
      <c r="PGE1448"/>
      <c r="PGF1448"/>
      <c r="PGG1448"/>
      <c r="PGH1448"/>
      <c r="PGI1448"/>
      <c r="PGJ1448"/>
      <c r="PGK1448"/>
      <c r="PGL1448"/>
      <c r="PGM1448"/>
      <c r="PGN1448"/>
      <c r="PGO1448"/>
      <c r="PGP1448"/>
      <c r="PGQ1448"/>
      <c r="PGR1448"/>
      <c r="PGS1448"/>
      <c r="PGT1448"/>
      <c r="PGU1448"/>
      <c r="PGV1448"/>
      <c r="PGW1448"/>
      <c r="PGX1448"/>
      <c r="PGY1448"/>
      <c r="PGZ1448"/>
      <c r="PHA1448"/>
      <c r="PHB1448"/>
      <c r="PHC1448"/>
      <c r="PHD1448"/>
      <c r="PHE1448"/>
      <c r="PHF1448"/>
      <c r="PHG1448"/>
      <c r="PHH1448"/>
      <c r="PHI1448"/>
      <c r="PHJ1448"/>
      <c r="PHK1448"/>
      <c r="PHL1448"/>
      <c r="PHM1448"/>
      <c r="PHN1448"/>
      <c r="PHO1448"/>
      <c r="PHP1448"/>
      <c r="PHQ1448"/>
      <c r="PHR1448"/>
      <c r="PHS1448"/>
      <c r="PHT1448"/>
      <c r="PHU1448"/>
      <c r="PHV1448"/>
      <c r="PHW1448"/>
      <c r="PHX1448"/>
      <c r="PHY1448"/>
      <c r="PHZ1448"/>
      <c r="PIA1448"/>
      <c r="PIB1448"/>
      <c r="PIC1448"/>
      <c r="PID1448"/>
      <c r="PIE1448"/>
      <c r="PIF1448"/>
      <c r="PIG1448"/>
      <c r="PIH1448"/>
      <c r="PII1448"/>
      <c r="PIJ1448"/>
      <c r="PIK1448"/>
      <c r="PIL1448"/>
      <c r="PIM1448"/>
      <c r="PIN1448"/>
      <c r="PIO1448"/>
      <c r="PIP1448"/>
      <c r="PIQ1448"/>
      <c r="PIR1448"/>
      <c r="PIS1448"/>
      <c r="PIT1448"/>
      <c r="PIU1448"/>
      <c r="PIV1448"/>
      <c r="PIW1448"/>
      <c r="PIX1448"/>
      <c r="PIY1448"/>
      <c r="PIZ1448"/>
      <c r="PJA1448"/>
      <c r="PJB1448"/>
      <c r="PJC1448"/>
      <c r="PJD1448"/>
      <c r="PJE1448"/>
      <c r="PJF1448"/>
      <c r="PJG1448"/>
      <c r="PJH1448"/>
      <c r="PJI1448"/>
      <c r="PJJ1448"/>
      <c r="PJK1448"/>
      <c r="PJL1448"/>
      <c r="PJM1448"/>
      <c r="PJN1448"/>
      <c r="PJO1448"/>
      <c r="PJP1448"/>
      <c r="PJQ1448"/>
      <c r="PJR1448"/>
      <c r="PJS1448"/>
      <c r="PJT1448"/>
      <c r="PJU1448"/>
      <c r="PJV1448"/>
      <c r="PJW1448"/>
      <c r="PJX1448"/>
      <c r="PJY1448"/>
      <c r="PJZ1448"/>
      <c r="PKA1448"/>
      <c r="PKB1448"/>
      <c r="PKC1448"/>
      <c r="PKD1448"/>
      <c r="PKE1448"/>
      <c r="PKF1448"/>
      <c r="PKG1448"/>
      <c r="PKH1448"/>
      <c r="PKI1448"/>
      <c r="PKJ1448"/>
      <c r="PKK1448"/>
      <c r="PKL1448"/>
      <c r="PKM1448"/>
      <c r="PKN1448"/>
      <c r="PKO1448"/>
      <c r="PKP1448"/>
      <c r="PKQ1448"/>
      <c r="PKR1448"/>
      <c r="PKS1448"/>
      <c r="PKT1448"/>
      <c r="PKU1448"/>
      <c r="PKV1448"/>
      <c r="PKW1448"/>
      <c r="PKX1448"/>
      <c r="PKY1448"/>
      <c r="PKZ1448"/>
      <c r="PLA1448"/>
      <c r="PLB1448"/>
      <c r="PLC1448"/>
      <c r="PLD1448"/>
      <c r="PLE1448"/>
      <c r="PLF1448"/>
      <c r="PLG1448"/>
      <c r="PLH1448"/>
      <c r="PLI1448"/>
      <c r="PLJ1448"/>
      <c r="PLK1448"/>
      <c r="PLL1448"/>
      <c r="PLM1448"/>
      <c r="PLN1448"/>
      <c r="PLO1448"/>
      <c r="PLP1448"/>
      <c r="PLQ1448"/>
      <c r="PLR1448"/>
      <c r="PLS1448"/>
      <c r="PLT1448"/>
      <c r="PLU1448"/>
      <c r="PLV1448"/>
      <c r="PLW1448"/>
      <c r="PLX1448"/>
      <c r="PLY1448"/>
      <c r="PLZ1448"/>
      <c r="PMA1448"/>
      <c r="PMB1448"/>
      <c r="PMC1448"/>
      <c r="PMD1448"/>
      <c r="PME1448"/>
      <c r="PMF1448"/>
      <c r="PMG1448"/>
      <c r="PMH1448"/>
      <c r="PMI1448"/>
      <c r="PMJ1448"/>
      <c r="PMK1448"/>
      <c r="PML1448"/>
      <c r="PMM1448"/>
      <c r="PMN1448"/>
      <c r="PMO1448"/>
      <c r="PMP1448"/>
      <c r="PMQ1448"/>
      <c r="PMR1448"/>
      <c r="PMS1448"/>
      <c r="PMT1448"/>
      <c r="PMU1448"/>
      <c r="PMV1448"/>
      <c r="PMW1448"/>
      <c r="PMX1448"/>
      <c r="PMY1448"/>
      <c r="PMZ1448"/>
      <c r="PNA1448"/>
      <c r="PNB1448"/>
      <c r="PNC1448"/>
      <c r="PND1448"/>
      <c r="PNE1448"/>
      <c r="PNF1448"/>
      <c r="PNG1448"/>
      <c r="PNH1448"/>
      <c r="PNI1448"/>
      <c r="PNJ1448"/>
      <c r="PNK1448"/>
      <c r="PNL1448"/>
      <c r="PNM1448"/>
      <c r="PNN1448"/>
      <c r="PNO1448"/>
      <c r="PNP1448"/>
      <c r="PNQ1448"/>
      <c r="PNR1448"/>
      <c r="PNS1448"/>
      <c r="PNT1448"/>
      <c r="PNU1448"/>
      <c r="PNV1448"/>
      <c r="PNW1448"/>
      <c r="PNX1448"/>
      <c r="PNY1448"/>
      <c r="PNZ1448"/>
      <c r="POA1448"/>
      <c r="POB1448"/>
      <c r="POC1448"/>
      <c r="POD1448"/>
      <c r="POE1448"/>
      <c r="POF1448"/>
      <c r="POG1448"/>
      <c r="POH1448"/>
      <c r="POI1448"/>
      <c r="POJ1448"/>
      <c r="POK1448"/>
      <c r="POL1448"/>
      <c r="POM1448"/>
      <c r="PON1448"/>
      <c r="POO1448"/>
      <c r="POP1448"/>
      <c r="POQ1448"/>
      <c r="POR1448"/>
      <c r="POS1448"/>
      <c r="POT1448"/>
      <c r="POU1448"/>
      <c r="POV1448"/>
      <c r="POW1448"/>
      <c r="POX1448"/>
      <c r="POY1448"/>
      <c r="POZ1448"/>
      <c r="PPA1448"/>
      <c r="PPB1448"/>
      <c r="PPC1448"/>
      <c r="PPD1448"/>
      <c r="PPE1448"/>
      <c r="PPF1448"/>
      <c r="PPG1448"/>
      <c r="PPH1448"/>
      <c r="PPI1448"/>
      <c r="PPJ1448"/>
      <c r="PPK1448"/>
      <c r="PPL1448"/>
      <c r="PPM1448"/>
      <c r="PPN1448"/>
      <c r="PPO1448"/>
      <c r="PPP1448"/>
      <c r="PPQ1448"/>
      <c r="PPR1448"/>
      <c r="PPS1448"/>
      <c r="PPT1448"/>
      <c r="PPU1448"/>
      <c r="PPV1448"/>
      <c r="PPW1448"/>
      <c r="PPX1448"/>
      <c r="PPY1448"/>
      <c r="PPZ1448"/>
      <c r="PQA1448"/>
      <c r="PQB1448"/>
      <c r="PQC1448"/>
      <c r="PQD1448"/>
      <c r="PQE1448"/>
      <c r="PQF1448"/>
      <c r="PQG1448"/>
      <c r="PQH1448"/>
      <c r="PQI1448"/>
      <c r="PQJ1448"/>
      <c r="PQK1448"/>
      <c r="PQL1448"/>
      <c r="PQM1448"/>
      <c r="PQN1448"/>
      <c r="PQO1448"/>
      <c r="PQP1448"/>
      <c r="PQQ1448"/>
      <c r="PQR1448"/>
      <c r="PQS1448"/>
      <c r="PQT1448"/>
      <c r="PQU1448"/>
      <c r="PQV1448"/>
      <c r="PQW1448"/>
      <c r="PQX1448"/>
      <c r="PQY1448"/>
      <c r="PQZ1448"/>
      <c r="PRA1448"/>
      <c r="PRB1448"/>
      <c r="PRC1448"/>
      <c r="PRD1448"/>
      <c r="PRE1448"/>
      <c r="PRF1448"/>
      <c r="PRG1448"/>
      <c r="PRH1448"/>
      <c r="PRI1448"/>
      <c r="PRJ1448"/>
      <c r="PRK1448"/>
      <c r="PRL1448"/>
      <c r="PRM1448"/>
      <c r="PRN1448"/>
      <c r="PRO1448"/>
      <c r="PRP1448"/>
      <c r="PRQ1448"/>
      <c r="PRR1448"/>
      <c r="PRS1448"/>
      <c r="PRT1448"/>
      <c r="PRU1448"/>
      <c r="PRV1448"/>
      <c r="PRW1448"/>
      <c r="PRX1448"/>
      <c r="PRY1448"/>
      <c r="PRZ1448"/>
      <c r="PSA1448"/>
      <c r="PSB1448"/>
      <c r="PSC1448"/>
      <c r="PSD1448"/>
      <c r="PSE1448"/>
      <c r="PSF1448"/>
      <c r="PSG1448"/>
      <c r="PSH1448"/>
      <c r="PSI1448"/>
      <c r="PSJ1448"/>
      <c r="PSK1448"/>
      <c r="PSL1448"/>
      <c r="PSM1448"/>
      <c r="PSN1448"/>
      <c r="PSO1448"/>
      <c r="PSP1448"/>
      <c r="PSQ1448"/>
      <c r="PSR1448"/>
      <c r="PSS1448"/>
      <c r="PST1448"/>
      <c r="PSU1448"/>
      <c r="PSV1448"/>
      <c r="PSW1448"/>
      <c r="PSX1448"/>
      <c r="PSY1448"/>
      <c r="PSZ1448"/>
      <c r="PTA1448"/>
      <c r="PTB1448"/>
      <c r="PTC1448"/>
      <c r="PTD1448"/>
      <c r="PTE1448"/>
      <c r="PTF1448"/>
      <c r="PTG1448"/>
      <c r="PTH1448"/>
      <c r="PTI1448"/>
      <c r="PTJ1448"/>
      <c r="PTK1448"/>
      <c r="PTL1448"/>
      <c r="PTM1448"/>
      <c r="PTN1448"/>
      <c r="PTO1448"/>
      <c r="PTP1448"/>
      <c r="PTQ1448"/>
      <c r="PTR1448"/>
      <c r="PTS1448"/>
      <c r="PTT1448"/>
      <c r="PTU1448"/>
      <c r="PTV1448"/>
      <c r="PTW1448"/>
      <c r="PTX1448"/>
      <c r="PTY1448"/>
      <c r="PTZ1448"/>
      <c r="PUA1448"/>
      <c r="PUB1448"/>
      <c r="PUC1448"/>
      <c r="PUD1448"/>
      <c r="PUE1448"/>
      <c r="PUF1448"/>
      <c r="PUG1448"/>
      <c r="PUH1448"/>
      <c r="PUI1448"/>
      <c r="PUJ1448"/>
      <c r="PUK1448"/>
      <c r="PUL1448"/>
      <c r="PUM1448"/>
      <c r="PUN1448"/>
      <c r="PUO1448"/>
      <c r="PUP1448"/>
      <c r="PUQ1448"/>
      <c r="PUR1448"/>
      <c r="PUS1448"/>
      <c r="PUT1448"/>
      <c r="PUU1448"/>
      <c r="PUV1448"/>
      <c r="PUW1448"/>
      <c r="PUX1448"/>
      <c r="PUY1448"/>
      <c r="PUZ1448"/>
      <c r="PVA1448"/>
      <c r="PVB1448"/>
      <c r="PVC1448"/>
      <c r="PVD1448"/>
      <c r="PVE1448"/>
      <c r="PVF1448"/>
      <c r="PVG1448"/>
      <c r="PVH1448"/>
      <c r="PVI1448"/>
      <c r="PVJ1448"/>
      <c r="PVK1448"/>
      <c r="PVL1448"/>
      <c r="PVM1448"/>
      <c r="PVN1448"/>
      <c r="PVO1448"/>
      <c r="PVP1448"/>
      <c r="PVQ1448"/>
      <c r="PVR1448"/>
      <c r="PVS1448"/>
      <c r="PVT1448"/>
      <c r="PVU1448"/>
      <c r="PVV1448"/>
      <c r="PVW1448"/>
      <c r="PVX1448"/>
      <c r="PVY1448"/>
      <c r="PVZ1448"/>
      <c r="PWA1448"/>
      <c r="PWB1448"/>
      <c r="PWC1448"/>
      <c r="PWD1448"/>
      <c r="PWE1448"/>
      <c r="PWF1448"/>
      <c r="PWG1448"/>
      <c r="PWH1448"/>
      <c r="PWI1448"/>
      <c r="PWJ1448"/>
      <c r="PWK1448"/>
      <c r="PWL1448"/>
      <c r="PWM1448"/>
      <c r="PWN1448"/>
      <c r="PWO1448"/>
      <c r="PWP1448"/>
      <c r="PWQ1448"/>
      <c r="PWR1448"/>
      <c r="PWS1448"/>
      <c r="PWT1448"/>
      <c r="PWU1448"/>
      <c r="PWV1448"/>
      <c r="PWW1448"/>
      <c r="PWX1448"/>
      <c r="PWY1448"/>
      <c r="PWZ1448"/>
      <c r="PXA1448"/>
      <c r="PXB1448"/>
      <c r="PXC1448"/>
      <c r="PXD1448"/>
      <c r="PXE1448"/>
      <c r="PXF1448"/>
      <c r="PXG1448"/>
      <c r="PXH1448"/>
      <c r="PXI1448"/>
      <c r="PXJ1448"/>
      <c r="PXK1448"/>
      <c r="PXL1448"/>
      <c r="PXM1448"/>
      <c r="PXN1448"/>
      <c r="PXO1448"/>
      <c r="PXP1448"/>
      <c r="PXQ1448"/>
      <c r="PXR1448"/>
      <c r="PXS1448"/>
      <c r="PXT1448"/>
      <c r="PXU1448"/>
      <c r="PXV1448"/>
      <c r="PXW1448"/>
      <c r="PXX1448"/>
      <c r="PXY1448"/>
      <c r="PXZ1448"/>
      <c r="PYA1448"/>
      <c r="PYB1448"/>
      <c r="PYC1448"/>
      <c r="PYD1448"/>
      <c r="PYE1448"/>
      <c r="PYF1448"/>
      <c r="PYG1448"/>
      <c r="PYH1448"/>
      <c r="PYI1448"/>
      <c r="PYJ1448"/>
      <c r="PYK1448"/>
      <c r="PYL1448"/>
      <c r="PYM1448"/>
      <c r="PYN1448"/>
      <c r="PYO1448"/>
      <c r="PYP1448"/>
      <c r="PYQ1448"/>
      <c r="PYR1448"/>
      <c r="PYS1448"/>
      <c r="PYT1448"/>
      <c r="PYU1448"/>
      <c r="PYV1448"/>
      <c r="PYW1448"/>
      <c r="PYX1448"/>
      <c r="PYY1448"/>
      <c r="PYZ1448"/>
      <c r="PZA1448"/>
      <c r="PZB1448"/>
      <c r="PZC1448"/>
      <c r="PZD1448"/>
      <c r="PZE1448"/>
      <c r="PZF1448"/>
      <c r="PZG1448"/>
      <c r="PZH1448"/>
      <c r="PZI1448"/>
      <c r="PZJ1448"/>
      <c r="PZK1448"/>
      <c r="PZL1448"/>
      <c r="PZM1448"/>
      <c r="PZN1448"/>
      <c r="PZO1448"/>
      <c r="PZP1448"/>
      <c r="PZQ1448"/>
      <c r="PZR1448"/>
      <c r="PZS1448"/>
      <c r="PZT1448"/>
      <c r="PZU1448"/>
      <c r="PZV1448"/>
      <c r="PZW1448"/>
      <c r="PZX1448"/>
      <c r="PZY1448"/>
      <c r="PZZ1448"/>
      <c r="QAA1448"/>
      <c r="QAB1448"/>
      <c r="QAC1448"/>
      <c r="QAD1448"/>
      <c r="QAE1448"/>
      <c r="QAF1448"/>
      <c r="QAG1448"/>
      <c r="QAH1448"/>
      <c r="QAI1448"/>
      <c r="QAJ1448"/>
      <c r="QAK1448"/>
      <c r="QAL1448"/>
      <c r="QAM1448"/>
      <c r="QAN1448"/>
      <c r="QAO1448"/>
      <c r="QAP1448"/>
      <c r="QAQ1448"/>
      <c r="QAR1448"/>
      <c r="QAS1448"/>
      <c r="QAT1448"/>
      <c r="QAU1448"/>
      <c r="QAV1448"/>
      <c r="QAW1448"/>
      <c r="QAX1448"/>
      <c r="QAY1448"/>
      <c r="QAZ1448"/>
      <c r="QBA1448"/>
      <c r="QBB1448"/>
      <c r="QBC1448"/>
      <c r="QBD1448"/>
      <c r="QBE1448"/>
      <c r="QBF1448"/>
      <c r="QBG1448"/>
      <c r="QBH1448"/>
      <c r="QBI1448"/>
      <c r="QBJ1448"/>
      <c r="QBK1448"/>
      <c r="QBL1448"/>
      <c r="QBM1448"/>
      <c r="QBN1448"/>
      <c r="QBO1448"/>
      <c r="QBP1448"/>
      <c r="QBQ1448"/>
      <c r="QBR1448"/>
      <c r="QBS1448"/>
      <c r="QBT1448"/>
      <c r="QBU1448"/>
      <c r="QBV1448"/>
      <c r="QBW1448"/>
      <c r="QBX1448"/>
      <c r="QBY1448"/>
      <c r="QBZ1448"/>
      <c r="QCA1448"/>
      <c r="QCB1448"/>
      <c r="QCC1448"/>
      <c r="QCD1448"/>
      <c r="QCE1448"/>
      <c r="QCF1448"/>
      <c r="QCG1448"/>
      <c r="QCH1448"/>
      <c r="QCI1448"/>
      <c r="QCJ1448"/>
      <c r="QCK1448"/>
      <c r="QCL1448"/>
      <c r="QCM1448"/>
      <c r="QCN1448"/>
      <c r="QCO1448"/>
      <c r="QCP1448"/>
      <c r="QCQ1448"/>
      <c r="QCR1448"/>
      <c r="QCS1448"/>
      <c r="QCT1448"/>
      <c r="QCU1448"/>
      <c r="QCV1448"/>
      <c r="QCW1448"/>
      <c r="QCX1448"/>
      <c r="QCY1448"/>
      <c r="QCZ1448"/>
      <c r="QDA1448"/>
      <c r="QDB1448"/>
      <c r="QDC1448"/>
      <c r="QDD1448"/>
      <c r="QDE1448"/>
      <c r="QDF1448"/>
      <c r="QDG1448"/>
      <c r="QDH1448"/>
      <c r="QDI1448"/>
      <c r="QDJ1448"/>
      <c r="QDK1448"/>
      <c r="QDL1448"/>
      <c r="QDM1448"/>
      <c r="QDN1448"/>
      <c r="QDO1448"/>
      <c r="QDP1448"/>
      <c r="QDQ1448"/>
      <c r="QDR1448"/>
      <c r="QDS1448"/>
      <c r="QDT1448"/>
      <c r="QDU1448"/>
      <c r="QDV1448"/>
      <c r="QDW1448"/>
      <c r="QDX1448"/>
      <c r="QDY1448"/>
      <c r="QDZ1448"/>
      <c r="QEA1448"/>
      <c r="QEB1448"/>
      <c r="QEC1448"/>
      <c r="QED1448"/>
      <c r="QEE1448"/>
      <c r="QEF1448"/>
      <c r="QEG1448"/>
      <c r="QEH1448"/>
      <c r="QEI1448"/>
      <c r="QEJ1448"/>
      <c r="QEK1448"/>
      <c r="QEL1448"/>
      <c r="QEM1448"/>
      <c r="QEN1448"/>
      <c r="QEO1448"/>
      <c r="QEP1448"/>
      <c r="QEQ1448"/>
      <c r="QER1448"/>
      <c r="QES1448"/>
      <c r="QET1448"/>
      <c r="QEU1448"/>
      <c r="QEV1448"/>
      <c r="QEW1448"/>
      <c r="QEX1448"/>
      <c r="QEY1448"/>
      <c r="QEZ1448"/>
      <c r="QFA1448"/>
      <c r="QFB1448"/>
      <c r="QFC1448"/>
      <c r="QFD1448"/>
      <c r="QFE1448"/>
      <c r="QFF1448"/>
      <c r="QFG1448"/>
      <c r="QFH1448"/>
      <c r="QFI1448"/>
      <c r="QFJ1448"/>
      <c r="QFK1448"/>
      <c r="QFL1448"/>
      <c r="QFM1448"/>
      <c r="QFN1448"/>
      <c r="QFO1448"/>
      <c r="QFP1448"/>
      <c r="QFQ1448"/>
      <c r="QFR1448"/>
      <c r="QFS1448"/>
      <c r="QFT1448"/>
      <c r="QFU1448"/>
      <c r="QFV1448"/>
      <c r="QFW1448"/>
      <c r="QFX1448"/>
      <c r="QFY1448"/>
      <c r="QFZ1448"/>
      <c r="QGA1448"/>
      <c r="QGB1448"/>
      <c r="QGC1448"/>
      <c r="QGD1448"/>
      <c r="QGE1448"/>
      <c r="QGF1448"/>
      <c r="QGG1448"/>
      <c r="QGH1448"/>
      <c r="QGI1448"/>
      <c r="QGJ1448"/>
      <c r="QGK1448"/>
      <c r="QGL1448"/>
      <c r="QGM1448"/>
      <c r="QGN1448"/>
      <c r="QGO1448"/>
      <c r="QGP1448"/>
      <c r="QGQ1448"/>
      <c r="QGR1448"/>
      <c r="QGS1448"/>
      <c r="QGT1448"/>
      <c r="QGU1448"/>
      <c r="QGV1448"/>
      <c r="QGW1448"/>
      <c r="QGX1448"/>
      <c r="QGY1448"/>
      <c r="QGZ1448"/>
      <c r="QHA1448"/>
      <c r="QHB1448"/>
      <c r="QHC1448"/>
      <c r="QHD1448"/>
      <c r="QHE1448"/>
      <c r="QHF1448"/>
      <c r="QHG1448"/>
      <c r="QHH1448"/>
      <c r="QHI1448"/>
      <c r="QHJ1448"/>
      <c r="QHK1448"/>
      <c r="QHL1448"/>
      <c r="QHM1448"/>
      <c r="QHN1448"/>
      <c r="QHO1448"/>
      <c r="QHP1448"/>
      <c r="QHQ1448"/>
      <c r="QHR1448"/>
      <c r="QHS1448"/>
      <c r="QHT1448"/>
      <c r="QHU1448"/>
      <c r="QHV1448"/>
      <c r="QHW1448"/>
      <c r="QHX1448"/>
      <c r="QHY1448"/>
      <c r="QHZ1448"/>
      <c r="QIA1448"/>
      <c r="QIB1448"/>
      <c r="QIC1448"/>
      <c r="QID1448"/>
      <c r="QIE1448"/>
      <c r="QIF1448"/>
      <c r="QIG1448"/>
      <c r="QIH1448"/>
      <c r="QII1448"/>
      <c r="QIJ1448"/>
      <c r="QIK1448"/>
      <c r="QIL1448"/>
      <c r="QIM1448"/>
      <c r="QIN1448"/>
      <c r="QIO1448"/>
      <c r="QIP1448"/>
      <c r="QIQ1448"/>
      <c r="QIR1448"/>
      <c r="QIS1448"/>
      <c r="QIT1448"/>
      <c r="QIU1448"/>
      <c r="QIV1448"/>
      <c r="QIW1448"/>
      <c r="QIX1448"/>
      <c r="QIY1448"/>
      <c r="QIZ1448"/>
      <c r="QJA1448"/>
      <c r="QJB1448"/>
      <c r="QJC1448"/>
      <c r="QJD1448"/>
      <c r="QJE1448"/>
      <c r="QJF1448"/>
      <c r="QJG1448"/>
      <c r="QJH1448"/>
      <c r="QJI1448"/>
      <c r="QJJ1448"/>
      <c r="QJK1448"/>
      <c r="QJL1448"/>
      <c r="QJM1448"/>
      <c r="QJN1448"/>
      <c r="QJO1448"/>
      <c r="QJP1448"/>
      <c r="QJQ1448"/>
      <c r="QJR1448"/>
      <c r="QJS1448"/>
      <c r="QJT1448"/>
      <c r="QJU1448"/>
      <c r="QJV1448"/>
      <c r="QJW1448"/>
      <c r="QJX1448"/>
      <c r="QJY1448"/>
      <c r="QJZ1448"/>
      <c r="QKA1448"/>
      <c r="QKB1448"/>
      <c r="QKC1448"/>
      <c r="QKD1448"/>
      <c r="QKE1448"/>
      <c r="QKF1448"/>
      <c r="QKG1448"/>
      <c r="QKH1448"/>
      <c r="QKI1448"/>
      <c r="QKJ1448"/>
      <c r="QKK1448"/>
      <c r="QKL1448"/>
      <c r="QKM1448"/>
      <c r="QKN1448"/>
      <c r="QKO1448"/>
      <c r="QKP1448"/>
      <c r="QKQ1448"/>
      <c r="QKR1448"/>
      <c r="QKS1448"/>
      <c r="QKT1448"/>
      <c r="QKU1448"/>
      <c r="QKV1448"/>
      <c r="QKW1448"/>
      <c r="QKX1448"/>
      <c r="QKY1448"/>
      <c r="QKZ1448"/>
      <c r="QLA1448"/>
      <c r="QLB1448"/>
      <c r="QLC1448"/>
      <c r="QLD1448"/>
      <c r="QLE1448"/>
      <c r="QLF1448"/>
      <c r="QLG1448"/>
      <c r="QLH1448"/>
      <c r="QLI1448"/>
      <c r="QLJ1448"/>
      <c r="QLK1448"/>
      <c r="QLL1448"/>
      <c r="QLM1448"/>
      <c r="QLN1448"/>
      <c r="QLO1448"/>
      <c r="QLP1448"/>
      <c r="QLQ1448"/>
      <c r="QLR1448"/>
      <c r="QLS1448"/>
      <c r="QLT1448"/>
      <c r="QLU1448"/>
      <c r="QLV1448"/>
      <c r="QLW1448"/>
      <c r="QLX1448"/>
      <c r="QLY1448"/>
      <c r="QLZ1448"/>
      <c r="QMA1448"/>
      <c r="QMB1448"/>
      <c r="QMC1448"/>
      <c r="QMD1448"/>
      <c r="QME1448"/>
      <c r="QMF1448"/>
      <c r="QMG1448"/>
      <c r="QMH1448"/>
      <c r="QMI1448"/>
      <c r="QMJ1448"/>
      <c r="QMK1448"/>
      <c r="QML1448"/>
      <c r="QMM1448"/>
      <c r="QMN1448"/>
      <c r="QMO1448"/>
      <c r="QMP1448"/>
      <c r="QMQ1448"/>
      <c r="QMR1448"/>
      <c r="QMS1448"/>
      <c r="QMT1448"/>
      <c r="QMU1448"/>
      <c r="QMV1448"/>
      <c r="QMW1448"/>
      <c r="QMX1448"/>
      <c r="QMY1448"/>
      <c r="QMZ1448"/>
      <c r="QNA1448"/>
      <c r="QNB1448"/>
      <c r="QNC1448"/>
      <c r="QND1448"/>
      <c r="QNE1448"/>
      <c r="QNF1448"/>
      <c r="QNG1448"/>
      <c r="QNH1448"/>
      <c r="QNI1448"/>
      <c r="QNJ1448"/>
      <c r="QNK1448"/>
      <c r="QNL1448"/>
      <c r="QNM1448"/>
      <c r="QNN1448"/>
      <c r="QNO1448"/>
      <c r="QNP1448"/>
      <c r="QNQ1448"/>
      <c r="QNR1448"/>
      <c r="QNS1448"/>
      <c r="QNT1448"/>
      <c r="QNU1448"/>
      <c r="QNV1448"/>
      <c r="QNW1448"/>
      <c r="QNX1448"/>
      <c r="QNY1448"/>
      <c r="QNZ1448"/>
      <c r="QOA1448"/>
      <c r="QOB1448"/>
      <c r="QOC1448"/>
      <c r="QOD1448"/>
      <c r="QOE1448"/>
      <c r="QOF1448"/>
      <c r="QOG1448"/>
      <c r="QOH1448"/>
      <c r="QOI1448"/>
      <c r="QOJ1448"/>
      <c r="QOK1448"/>
      <c r="QOL1448"/>
      <c r="QOM1448"/>
      <c r="QON1448"/>
      <c r="QOO1448"/>
      <c r="QOP1448"/>
      <c r="QOQ1448"/>
      <c r="QOR1448"/>
      <c r="QOS1448"/>
      <c r="QOT1448"/>
      <c r="QOU1448"/>
      <c r="QOV1448"/>
      <c r="QOW1448"/>
      <c r="QOX1448"/>
      <c r="QOY1448"/>
      <c r="QOZ1448"/>
      <c r="QPA1448"/>
      <c r="QPB1448"/>
      <c r="QPC1448"/>
      <c r="QPD1448"/>
      <c r="QPE1448"/>
      <c r="QPF1448"/>
      <c r="QPG1448"/>
      <c r="QPH1448"/>
      <c r="QPI1448"/>
      <c r="QPJ1448"/>
      <c r="QPK1448"/>
      <c r="QPL1448"/>
      <c r="QPM1448"/>
      <c r="QPN1448"/>
      <c r="QPO1448"/>
      <c r="QPP1448"/>
      <c r="QPQ1448"/>
      <c r="QPR1448"/>
      <c r="QPS1448"/>
      <c r="QPT1448"/>
      <c r="QPU1448"/>
      <c r="QPV1448"/>
      <c r="QPW1448"/>
      <c r="QPX1448"/>
      <c r="QPY1448"/>
      <c r="QPZ1448"/>
      <c r="QQA1448"/>
      <c r="QQB1448"/>
      <c r="QQC1448"/>
      <c r="QQD1448"/>
      <c r="QQE1448"/>
      <c r="QQF1448"/>
      <c r="QQG1448"/>
      <c r="QQH1448"/>
      <c r="QQI1448"/>
      <c r="QQJ1448"/>
      <c r="QQK1448"/>
      <c r="QQL1448"/>
      <c r="QQM1448"/>
      <c r="QQN1448"/>
      <c r="QQO1448"/>
      <c r="QQP1448"/>
      <c r="QQQ1448"/>
      <c r="QQR1448"/>
      <c r="QQS1448"/>
      <c r="QQT1448"/>
      <c r="QQU1448"/>
      <c r="QQV1448"/>
      <c r="QQW1448"/>
      <c r="QQX1448"/>
      <c r="QQY1448"/>
      <c r="QQZ1448"/>
      <c r="QRA1448"/>
      <c r="QRB1448"/>
      <c r="QRC1448"/>
      <c r="QRD1448"/>
      <c r="QRE1448"/>
      <c r="QRF1448"/>
      <c r="QRG1448"/>
      <c r="QRH1448"/>
      <c r="QRI1448"/>
      <c r="QRJ1448"/>
      <c r="QRK1448"/>
      <c r="QRL1448"/>
      <c r="QRM1448"/>
      <c r="QRN1448"/>
      <c r="QRO1448"/>
      <c r="QRP1448"/>
      <c r="QRQ1448"/>
      <c r="QRR1448"/>
      <c r="QRS1448"/>
      <c r="QRT1448"/>
      <c r="QRU1448"/>
      <c r="QRV1448"/>
      <c r="QRW1448"/>
      <c r="QRX1448"/>
      <c r="QRY1448"/>
      <c r="QRZ1448"/>
      <c r="QSA1448"/>
      <c r="QSB1448"/>
      <c r="QSC1448"/>
      <c r="QSD1448"/>
      <c r="QSE1448"/>
      <c r="QSF1448"/>
      <c r="QSG1448"/>
      <c r="QSH1448"/>
      <c r="QSI1448"/>
      <c r="QSJ1448"/>
      <c r="QSK1448"/>
      <c r="QSL1448"/>
      <c r="QSM1448"/>
      <c r="QSN1448"/>
      <c r="QSO1448"/>
      <c r="QSP1448"/>
      <c r="QSQ1448"/>
      <c r="QSR1448"/>
      <c r="QSS1448"/>
      <c r="QST1448"/>
      <c r="QSU1448"/>
      <c r="QSV1448"/>
      <c r="QSW1448"/>
      <c r="QSX1448"/>
      <c r="QSY1448"/>
      <c r="QSZ1448"/>
      <c r="QTA1448"/>
      <c r="QTB1448"/>
      <c r="QTC1448"/>
      <c r="QTD1448"/>
      <c r="QTE1448"/>
      <c r="QTF1448"/>
      <c r="QTG1448"/>
      <c r="QTH1448"/>
      <c r="QTI1448"/>
      <c r="QTJ1448"/>
      <c r="QTK1448"/>
      <c r="QTL1448"/>
      <c r="QTM1448"/>
      <c r="QTN1448"/>
      <c r="QTO1448"/>
      <c r="QTP1448"/>
      <c r="QTQ1448"/>
      <c r="QTR1448"/>
      <c r="QTS1448"/>
      <c r="QTT1448"/>
      <c r="QTU1448"/>
      <c r="QTV1448"/>
      <c r="QTW1448"/>
      <c r="QTX1448"/>
      <c r="QTY1448"/>
      <c r="QTZ1448"/>
      <c r="QUA1448"/>
      <c r="QUB1448"/>
      <c r="QUC1448"/>
      <c r="QUD1448"/>
      <c r="QUE1448"/>
      <c r="QUF1448"/>
      <c r="QUG1448"/>
      <c r="QUH1448"/>
      <c r="QUI1448"/>
      <c r="QUJ1448"/>
      <c r="QUK1448"/>
      <c r="QUL1448"/>
      <c r="QUM1448"/>
      <c r="QUN1448"/>
      <c r="QUO1448"/>
      <c r="QUP1448"/>
      <c r="QUQ1448"/>
      <c r="QUR1448"/>
      <c r="QUS1448"/>
      <c r="QUT1448"/>
      <c r="QUU1448"/>
      <c r="QUV1448"/>
      <c r="QUW1448"/>
      <c r="QUX1448"/>
      <c r="QUY1448"/>
      <c r="QUZ1448"/>
      <c r="QVA1448"/>
      <c r="QVB1448"/>
      <c r="QVC1448"/>
      <c r="QVD1448"/>
      <c r="QVE1448"/>
      <c r="QVF1448"/>
      <c r="QVG1448"/>
      <c r="QVH1448"/>
      <c r="QVI1448"/>
      <c r="QVJ1448"/>
      <c r="QVK1448"/>
      <c r="QVL1448"/>
      <c r="QVM1448"/>
      <c r="QVN1448"/>
      <c r="QVO1448"/>
      <c r="QVP1448"/>
      <c r="QVQ1448"/>
      <c r="QVR1448"/>
      <c r="QVS1448"/>
      <c r="QVT1448"/>
      <c r="QVU1448"/>
      <c r="QVV1448"/>
      <c r="QVW1448"/>
      <c r="QVX1448"/>
      <c r="QVY1448"/>
      <c r="QVZ1448"/>
      <c r="QWA1448"/>
      <c r="QWB1448"/>
      <c r="QWC1448"/>
      <c r="QWD1448"/>
      <c r="QWE1448"/>
      <c r="QWF1448"/>
      <c r="QWG1448"/>
      <c r="QWH1448"/>
      <c r="QWI1448"/>
      <c r="QWJ1448"/>
      <c r="QWK1448"/>
      <c r="QWL1448"/>
      <c r="QWM1448"/>
      <c r="QWN1448"/>
      <c r="QWO1448"/>
      <c r="QWP1448"/>
      <c r="QWQ1448"/>
      <c r="QWR1448"/>
      <c r="QWS1448"/>
      <c r="QWT1448"/>
      <c r="QWU1448"/>
      <c r="QWV1448"/>
      <c r="QWW1448"/>
      <c r="QWX1448"/>
      <c r="QWY1448"/>
      <c r="QWZ1448"/>
      <c r="QXA1448"/>
      <c r="QXB1448"/>
      <c r="QXC1448"/>
      <c r="QXD1448"/>
      <c r="QXE1448"/>
      <c r="QXF1448"/>
      <c r="QXG1448"/>
      <c r="QXH1448"/>
      <c r="QXI1448"/>
      <c r="QXJ1448"/>
      <c r="QXK1448"/>
      <c r="QXL1448"/>
      <c r="QXM1448"/>
      <c r="QXN1448"/>
      <c r="QXO1448"/>
      <c r="QXP1448"/>
      <c r="QXQ1448"/>
      <c r="QXR1448"/>
      <c r="QXS1448"/>
      <c r="QXT1448"/>
      <c r="QXU1448"/>
      <c r="QXV1448"/>
      <c r="QXW1448"/>
      <c r="QXX1448"/>
      <c r="QXY1448"/>
      <c r="QXZ1448"/>
      <c r="QYA1448"/>
      <c r="QYB1448"/>
      <c r="QYC1448"/>
      <c r="QYD1448"/>
      <c r="QYE1448"/>
      <c r="QYF1448"/>
      <c r="QYG1448"/>
      <c r="QYH1448"/>
      <c r="QYI1448"/>
      <c r="QYJ1448"/>
      <c r="QYK1448"/>
      <c r="QYL1448"/>
      <c r="QYM1448"/>
      <c r="QYN1448"/>
      <c r="QYO1448"/>
      <c r="QYP1448"/>
      <c r="QYQ1448"/>
      <c r="QYR1448"/>
      <c r="QYS1448"/>
      <c r="QYT1448"/>
      <c r="QYU1448"/>
      <c r="QYV1448"/>
      <c r="QYW1448"/>
      <c r="QYX1448"/>
      <c r="QYY1448"/>
      <c r="QYZ1448"/>
      <c r="QZA1448"/>
      <c r="QZB1448"/>
      <c r="QZC1448"/>
      <c r="QZD1448"/>
      <c r="QZE1448"/>
      <c r="QZF1448"/>
      <c r="QZG1448"/>
      <c r="QZH1448"/>
      <c r="QZI1448"/>
      <c r="QZJ1448"/>
      <c r="QZK1448"/>
      <c r="QZL1448"/>
      <c r="QZM1448"/>
      <c r="QZN1448"/>
      <c r="QZO1448"/>
      <c r="QZP1448"/>
      <c r="QZQ1448"/>
      <c r="QZR1448"/>
      <c r="QZS1448"/>
      <c r="QZT1448"/>
      <c r="QZU1448"/>
      <c r="QZV1448"/>
      <c r="QZW1448"/>
      <c r="QZX1448"/>
      <c r="QZY1448"/>
      <c r="QZZ1448"/>
      <c r="RAA1448"/>
      <c r="RAB1448"/>
      <c r="RAC1448"/>
      <c r="RAD1448"/>
      <c r="RAE1448"/>
      <c r="RAF1448"/>
      <c r="RAG1448"/>
      <c r="RAH1448"/>
      <c r="RAI1448"/>
      <c r="RAJ1448"/>
      <c r="RAK1448"/>
      <c r="RAL1448"/>
      <c r="RAM1448"/>
      <c r="RAN1448"/>
      <c r="RAO1448"/>
      <c r="RAP1448"/>
      <c r="RAQ1448"/>
      <c r="RAR1448"/>
      <c r="RAS1448"/>
      <c r="RAT1448"/>
      <c r="RAU1448"/>
      <c r="RAV1448"/>
      <c r="RAW1448"/>
      <c r="RAX1448"/>
      <c r="RAY1448"/>
      <c r="RAZ1448"/>
      <c r="RBA1448"/>
      <c r="RBB1448"/>
      <c r="RBC1448"/>
      <c r="RBD1448"/>
      <c r="RBE1448"/>
      <c r="RBF1448"/>
      <c r="RBG1448"/>
      <c r="RBH1448"/>
      <c r="RBI1448"/>
      <c r="RBJ1448"/>
      <c r="RBK1448"/>
      <c r="RBL1448"/>
      <c r="RBM1448"/>
      <c r="RBN1448"/>
      <c r="RBO1448"/>
      <c r="RBP1448"/>
      <c r="RBQ1448"/>
      <c r="RBR1448"/>
      <c r="RBS1448"/>
      <c r="RBT1448"/>
      <c r="RBU1448"/>
      <c r="RBV1448"/>
      <c r="RBW1448"/>
      <c r="RBX1448"/>
      <c r="RBY1448"/>
      <c r="RBZ1448"/>
      <c r="RCA1448"/>
      <c r="RCB1448"/>
      <c r="RCC1448"/>
      <c r="RCD1448"/>
      <c r="RCE1448"/>
      <c r="RCF1448"/>
      <c r="RCG1448"/>
      <c r="RCH1448"/>
      <c r="RCI1448"/>
      <c r="RCJ1448"/>
      <c r="RCK1448"/>
      <c r="RCL1448"/>
      <c r="RCM1448"/>
      <c r="RCN1448"/>
      <c r="RCO1448"/>
      <c r="RCP1448"/>
      <c r="RCQ1448"/>
      <c r="RCR1448"/>
      <c r="RCS1448"/>
      <c r="RCT1448"/>
      <c r="RCU1448"/>
      <c r="RCV1448"/>
      <c r="RCW1448"/>
      <c r="RCX1448"/>
      <c r="RCY1448"/>
      <c r="RCZ1448"/>
      <c r="RDA1448"/>
      <c r="RDB1448"/>
      <c r="RDC1448"/>
      <c r="RDD1448"/>
      <c r="RDE1448"/>
      <c r="RDF1448"/>
      <c r="RDG1448"/>
      <c r="RDH1448"/>
      <c r="RDI1448"/>
      <c r="RDJ1448"/>
      <c r="RDK1448"/>
      <c r="RDL1448"/>
      <c r="RDM1448"/>
      <c r="RDN1448"/>
      <c r="RDO1448"/>
      <c r="RDP1448"/>
      <c r="RDQ1448"/>
      <c r="RDR1448"/>
      <c r="RDS1448"/>
      <c r="RDT1448"/>
      <c r="RDU1448"/>
      <c r="RDV1448"/>
      <c r="RDW1448"/>
      <c r="RDX1448"/>
      <c r="RDY1448"/>
      <c r="RDZ1448"/>
      <c r="REA1448"/>
      <c r="REB1448"/>
      <c r="REC1448"/>
      <c r="RED1448"/>
      <c r="REE1448"/>
      <c r="REF1448"/>
      <c r="REG1448"/>
      <c r="REH1448"/>
      <c r="REI1448"/>
      <c r="REJ1448"/>
      <c r="REK1448"/>
      <c r="REL1448"/>
      <c r="REM1448"/>
      <c r="REN1448"/>
      <c r="REO1448"/>
      <c r="REP1448"/>
      <c r="REQ1448"/>
      <c r="RER1448"/>
      <c r="RES1448"/>
      <c r="RET1448"/>
      <c r="REU1448"/>
      <c r="REV1448"/>
      <c r="REW1448"/>
      <c r="REX1448"/>
      <c r="REY1448"/>
      <c r="REZ1448"/>
      <c r="RFA1448"/>
      <c r="RFB1448"/>
      <c r="RFC1448"/>
      <c r="RFD1448"/>
      <c r="RFE1448"/>
      <c r="RFF1448"/>
      <c r="RFG1448"/>
      <c r="RFH1448"/>
      <c r="RFI1448"/>
      <c r="RFJ1448"/>
      <c r="RFK1448"/>
      <c r="RFL1448"/>
      <c r="RFM1448"/>
      <c r="RFN1448"/>
      <c r="RFO1448"/>
      <c r="RFP1448"/>
      <c r="RFQ1448"/>
      <c r="RFR1448"/>
      <c r="RFS1448"/>
      <c r="RFT1448"/>
      <c r="RFU1448"/>
      <c r="RFV1448"/>
      <c r="RFW1448"/>
      <c r="RFX1448"/>
      <c r="RFY1448"/>
      <c r="RFZ1448"/>
      <c r="RGA1448"/>
      <c r="RGB1448"/>
      <c r="RGC1448"/>
      <c r="RGD1448"/>
      <c r="RGE1448"/>
      <c r="RGF1448"/>
      <c r="RGG1448"/>
      <c r="RGH1448"/>
      <c r="RGI1448"/>
      <c r="RGJ1448"/>
      <c r="RGK1448"/>
      <c r="RGL1448"/>
      <c r="RGM1448"/>
      <c r="RGN1448"/>
      <c r="RGO1448"/>
      <c r="RGP1448"/>
      <c r="RGQ1448"/>
      <c r="RGR1448"/>
      <c r="RGS1448"/>
      <c r="RGT1448"/>
      <c r="RGU1448"/>
      <c r="RGV1448"/>
      <c r="RGW1448"/>
      <c r="RGX1448"/>
      <c r="RGY1448"/>
      <c r="RGZ1448"/>
      <c r="RHA1448"/>
      <c r="RHB1448"/>
      <c r="RHC1448"/>
      <c r="RHD1448"/>
      <c r="RHE1448"/>
      <c r="RHF1448"/>
      <c r="RHG1448"/>
      <c r="RHH1448"/>
      <c r="RHI1448"/>
      <c r="RHJ1448"/>
      <c r="RHK1448"/>
      <c r="RHL1448"/>
      <c r="RHM1448"/>
      <c r="RHN1448"/>
      <c r="RHO1448"/>
      <c r="RHP1448"/>
      <c r="RHQ1448"/>
      <c r="RHR1448"/>
      <c r="RHS1448"/>
      <c r="RHT1448"/>
      <c r="RHU1448"/>
      <c r="RHV1448"/>
      <c r="RHW1448"/>
      <c r="RHX1448"/>
      <c r="RHY1448"/>
      <c r="RHZ1448"/>
      <c r="RIA1448"/>
      <c r="RIB1448"/>
      <c r="RIC1448"/>
      <c r="RID1448"/>
      <c r="RIE1448"/>
      <c r="RIF1448"/>
      <c r="RIG1448"/>
      <c r="RIH1448"/>
      <c r="RII1448"/>
      <c r="RIJ1448"/>
      <c r="RIK1448"/>
      <c r="RIL1448"/>
      <c r="RIM1448"/>
      <c r="RIN1448"/>
      <c r="RIO1448"/>
      <c r="RIP1448"/>
      <c r="RIQ1448"/>
      <c r="RIR1448"/>
      <c r="RIS1448"/>
      <c r="RIT1448"/>
      <c r="RIU1448"/>
      <c r="RIV1448"/>
      <c r="RIW1448"/>
      <c r="RIX1448"/>
      <c r="RIY1448"/>
      <c r="RIZ1448"/>
      <c r="RJA1448"/>
      <c r="RJB1448"/>
      <c r="RJC1448"/>
      <c r="RJD1448"/>
      <c r="RJE1448"/>
      <c r="RJF1448"/>
      <c r="RJG1448"/>
      <c r="RJH1448"/>
      <c r="RJI1448"/>
      <c r="RJJ1448"/>
      <c r="RJK1448"/>
      <c r="RJL1448"/>
      <c r="RJM1448"/>
      <c r="RJN1448"/>
      <c r="RJO1448"/>
      <c r="RJP1448"/>
      <c r="RJQ1448"/>
      <c r="RJR1448"/>
      <c r="RJS1448"/>
      <c r="RJT1448"/>
      <c r="RJU1448"/>
      <c r="RJV1448"/>
      <c r="RJW1448"/>
      <c r="RJX1448"/>
      <c r="RJY1448"/>
      <c r="RJZ1448"/>
      <c r="RKA1448"/>
      <c r="RKB1448"/>
      <c r="RKC1448"/>
      <c r="RKD1448"/>
      <c r="RKE1448"/>
      <c r="RKF1448"/>
      <c r="RKG1448"/>
      <c r="RKH1448"/>
      <c r="RKI1448"/>
      <c r="RKJ1448"/>
      <c r="RKK1448"/>
      <c r="RKL1448"/>
      <c r="RKM1448"/>
      <c r="RKN1448"/>
      <c r="RKO1448"/>
      <c r="RKP1448"/>
      <c r="RKQ1448"/>
      <c r="RKR1448"/>
      <c r="RKS1448"/>
      <c r="RKT1448"/>
      <c r="RKU1448"/>
      <c r="RKV1448"/>
      <c r="RKW1448"/>
      <c r="RKX1448"/>
      <c r="RKY1448"/>
      <c r="RKZ1448"/>
      <c r="RLA1448"/>
      <c r="RLB1448"/>
      <c r="RLC1448"/>
      <c r="RLD1448"/>
      <c r="RLE1448"/>
      <c r="RLF1448"/>
      <c r="RLG1448"/>
      <c r="RLH1448"/>
      <c r="RLI1448"/>
      <c r="RLJ1448"/>
      <c r="RLK1448"/>
      <c r="RLL1448"/>
      <c r="RLM1448"/>
      <c r="RLN1448"/>
      <c r="RLO1448"/>
      <c r="RLP1448"/>
      <c r="RLQ1448"/>
      <c r="RLR1448"/>
      <c r="RLS1448"/>
      <c r="RLT1448"/>
      <c r="RLU1448"/>
      <c r="RLV1448"/>
      <c r="RLW1448"/>
      <c r="RLX1448"/>
      <c r="RLY1448"/>
      <c r="RLZ1448"/>
      <c r="RMA1448"/>
      <c r="RMB1448"/>
      <c r="RMC1448"/>
      <c r="RMD1448"/>
      <c r="RME1448"/>
      <c r="RMF1448"/>
      <c r="RMG1448"/>
      <c r="RMH1448"/>
      <c r="RMI1448"/>
      <c r="RMJ1448"/>
      <c r="RMK1448"/>
      <c r="RML1448"/>
      <c r="RMM1448"/>
      <c r="RMN1448"/>
      <c r="RMO1448"/>
      <c r="RMP1448"/>
      <c r="RMQ1448"/>
      <c r="RMR1448"/>
      <c r="RMS1448"/>
      <c r="RMT1448"/>
      <c r="RMU1448"/>
      <c r="RMV1448"/>
      <c r="RMW1448"/>
      <c r="RMX1448"/>
      <c r="RMY1448"/>
      <c r="RMZ1448"/>
      <c r="RNA1448"/>
      <c r="RNB1448"/>
      <c r="RNC1448"/>
      <c r="RND1448"/>
      <c r="RNE1448"/>
      <c r="RNF1448"/>
      <c r="RNG1448"/>
      <c r="RNH1448"/>
      <c r="RNI1448"/>
      <c r="RNJ1448"/>
      <c r="RNK1448"/>
      <c r="RNL1448"/>
      <c r="RNM1448"/>
      <c r="RNN1448"/>
      <c r="RNO1448"/>
      <c r="RNP1448"/>
      <c r="RNQ1448"/>
      <c r="RNR1448"/>
      <c r="RNS1448"/>
      <c r="RNT1448"/>
      <c r="RNU1448"/>
      <c r="RNV1448"/>
      <c r="RNW1448"/>
      <c r="RNX1448"/>
      <c r="RNY1448"/>
      <c r="RNZ1448"/>
      <c r="ROA1448"/>
      <c r="ROB1448"/>
      <c r="ROC1448"/>
      <c r="ROD1448"/>
      <c r="ROE1448"/>
      <c r="ROF1448"/>
      <c r="ROG1448"/>
      <c r="ROH1448"/>
      <c r="ROI1448"/>
      <c r="ROJ1448"/>
      <c r="ROK1448"/>
      <c r="ROL1448"/>
      <c r="ROM1448"/>
      <c r="RON1448"/>
      <c r="ROO1448"/>
      <c r="ROP1448"/>
      <c r="ROQ1448"/>
      <c r="ROR1448"/>
      <c r="ROS1448"/>
      <c r="ROT1448"/>
      <c r="ROU1448"/>
      <c r="ROV1448"/>
      <c r="ROW1448"/>
      <c r="ROX1448"/>
      <c r="ROY1448"/>
      <c r="ROZ1448"/>
      <c r="RPA1448"/>
      <c r="RPB1448"/>
      <c r="RPC1448"/>
      <c r="RPD1448"/>
      <c r="RPE1448"/>
      <c r="RPF1448"/>
      <c r="RPG1448"/>
      <c r="RPH1448"/>
      <c r="RPI1448"/>
      <c r="RPJ1448"/>
      <c r="RPK1448"/>
      <c r="RPL1448"/>
      <c r="RPM1448"/>
      <c r="RPN1448"/>
      <c r="RPO1448"/>
      <c r="RPP1448"/>
      <c r="RPQ1448"/>
      <c r="RPR1448"/>
      <c r="RPS1448"/>
      <c r="RPT1448"/>
      <c r="RPU1448"/>
      <c r="RPV1448"/>
      <c r="RPW1448"/>
      <c r="RPX1448"/>
      <c r="RPY1448"/>
      <c r="RPZ1448"/>
      <c r="RQA1448"/>
      <c r="RQB1448"/>
      <c r="RQC1448"/>
      <c r="RQD1448"/>
      <c r="RQE1448"/>
      <c r="RQF1448"/>
      <c r="RQG1448"/>
      <c r="RQH1448"/>
      <c r="RQI1448"/>
      <c r="RQJ1448"/>
      <c r="RQK1448"/>
      <c r="RQL1448"/>
      <c r="RQM1448"/>
      <c r="RQN1448"/>
      <c r="RQO1448"/>
      <c r="RQP1448"/>
      <c r="RQQ1448"/>
      <c r="RQR1448"/>
      <c r="RQS1448"/>
      <c r="RQT1448"/>
      <c r="RQU1448"/>
      <c r="RQV1448"/>
      <c r="RQW1448"/>
      <c r="RQX1448"/>
      <c r="RQY1448"/>
      <c r="RQZ1448"/>
      <c r="RRA1448"/>
      <c r="RRB1448"/>
      <c r="RRC1448"/>
      <c r="RRD1448"/>
      <c r="RRE1448"/>
      <c r="RRF1448"/>
      <c r="RRG1448"/>
      <c r="RRH1448"/>
      <c r="RRI1448"/>
      <c r="RRJ1448"/>
      <c r="RRK1448"/>
      <c r="RRL1448"/>
      <c r="RRM1448"/>
      <c r="RRN1448"/>
      <c r="RRO1448"/>
      <c r="RRP1448"/>
      <c r="RRQ1448"/>
      <c r="RRR1448"/>
      <c r="RRS1448"/>
      <c r="RRT1448"/>
      <c r="RRU1448"/>
      <c r="RRV1448"/>
      <c r="RRW1448"/>
      <c r="RRX1448"/>
      <c r="RRY1448"/>
      <c r="RRZ1448"/>
      <c r="RSA1448"/>
      <c r="RSB1448"/>
      <c r="RSC1448"/>
      <c r="RSD1448"/>
      <c r="RSE1448"/>
      <c r="RSF1448"/>
      <c r="RSG1448"/>
      <c r="RSH1448"/>
      <c r="RSI1448"/>
      <c r="RSJ1448"/>
      <c r="RSK1448"/>
      <c r="RSL1448"/>
      <c r="RSM1448"/>
      <c r="RSN1448"/>
      <c r="RSO1448"/>
      <c r="RSP1448"/>
      <c r="RSQ1448"/>
      <c r="RSR1448"/>
      <c r="RSS1448"/>
      <c r="RST1448"/>
      <c r="RSU1448"/>
      <c r="RSV1448"/>
      <c r="RSW1448"/>
      <c r="RSX1448"/>
      <c r="RSY1448"/>
      <c r="RSZ1448"/>
      <c r="RTA1448"/>
      <c r="RTB1448"/>
      <c r="RTC1448"/>
      <c r="RTD1448"/>
      <c r="RTE1448"/>
      <c r="RTF1448"/>
      <c r="RTG1448"/>
      <c r="RTH1448"/>
      <c r="RTI1448"/>
      <c r="RTJ1448"/>
      <c r="RTK1448"/>
      <c r="RTL1448"/>
      <c r="RTM1448"/>
      <c r="RTN1448"/>
      <c r="RTO1448"/>
      <c r="RTP1448"/>
      <c r="RTQ1448"/>
      <c r="RTR1448"/>
      <c r="RTS1448"/>
      <c r="RTT1448"/>
      <c r="RTU1448"/>
      <c r="RTV1448"/>
      <c r="RTW1448"/>
      <c r="RTX1448"/>
      <c r="RTY1448"/>
      <c r="RTZ1448"/>
      <c r="RUA1448"/>
      <c r="RUB1448"/>
      <c r="RUC1448"/>
      <c r="RUD1448"/>
      <c r="RUE1448"/>
      <c r="RUF1448"/>
      <c r="RUG1448"/>
      <c r="RUH1448"/>
      <c r="RUI1448"/>
      <c r="RUJ1448"/>
      <c r="RUK1448"/>
      <c r="RUL1448"/>
      <c r="RUM1448"/>
      <c r="RUN1448"/>
      <c r="RUO1448"/>
      <c r="RUP1448"/>
      <c r="RUQ1448"/>
      <c r="RUR1448"/>
      <c r="RUS1448"/>
      <c r="RUT1448"/>
      <c r="RUU1448"/>
      <c r="RUV1448"/>
      <c r="RUW1448"/>
      <c r="RUX1448"/>
      <c r="RUY1448"/>
      <c r="RUZ1448"/>
      <c r="RVA1448"/>
      <c r="RVB1448"/>
      <c r="RVC1448"/>
      <c r="RVD1448"/>
      <c r="RVE1448"/>
      <c r="RVF1448"/>
      <c r="RVG1448"/>
      <c r="RVH1448"/>
      <c r="RVI1448"/>
      <c r="RVJ1448"/>
      <c r="RVK1448"/>
      <c r="RVL1448"/>
      <c r="RVM1448"/>
      <c r="RVN1448"/>
      <c r="RVO1448"/>
      <c r="RVP1448"/>
      <c r="RVQ1448"/>
      <c r="RVR1448"/>
      <c r="RVS1448"/>
      <c r="RVT1448"/>
      <c r="RVU1448"/>
      <c r="RVV1448"/>
      <c r="RVW1448"/>
      <c r="RVX1448"/>
      <c r="RVY1448"/>
      <c r="RVZ1448"/>
      <c r="RWA1448"/>
      <c r="RWB1448"/>
      <c r="RWC1448"/>
      <c r="RWD1448"/>
      <c r="RWE1448"/>
      <c r="RWF1448"/>
      <c r="RWG1448"/>
      <c r="RWH1448"/>
      <c r="RWI1448"/>
      <c r="RWJ1448"/>
      <c r="RWK1448"/>
      <c r="RWL1448"/>
      <c r="RWM1448"/>
      <c r="RWN1448"/>
      <c r="RWO1448"/>
      <c r="RWP1448"/>
      <c r="RWQ1448"/>
      <c r="RWR1448"/>
      <c r="RWS1448"/>
      <c r="RWT1448"/>
      <c r="RWU1448"/>
      <c r="RWV1448"/>
      <c r="RWW1448"/>
      <c r="RWX1448"/>
      <c r="RWY1448"/>
      <c r="RWZ1448"/>
      <c r="RXA1448"/>
      <c r="RXB1448"/>
      <c r="RXC1448"/>
      <c r="RXD1448"/>
      <c r="RXE1448"/>
      <c r="RXF1448"/>
      <c r="RXG1448"/>
      <c r="RXH1448"/>
      <c r="RXI1448"/>
      <c r="RXJ1448"/>
      <c r="RXK1448"/>
      <c r="RXL1448"/>
      <c r="RXM1448"/>
      <c r="RXN1448"/>
      <c r="RXO1448"/>
      <c r="RXP1448"/>
      <c r="RXQ1448"/>
      <c r="RXR1448"/>
      <c r="RXS1448"/>
      <c r="RXT1448"/>
      <c r="RXU1448"/>
      <c r="RXV1448"/>
      <c r="RXW1448"/>
      <c r="RXX1448"/>
      <c r="RXY1448"/>
      <c r="RXZ1448"/>
      <c r="RYA1448"/>
      <c r="RYB1448"/>
      <c r="RYC1448"/>
      <c r="RYD1448"/>
      <c r="RYE1448"/>
      <c r="RYF1448"/>
      <c r="RYG1448"/>
      <c r="RYH1448"/>
      <c r="RYI1448"/>
      <c r="RYJ1448"/>
      <c r="RYK1448"/>
      <c r="RYL1448"/>
      <c r="RYM1448"/>
      <c r="RYN1448"/>
      <c r="RYO1448"/>
      <c r="RYP1448"/>
      <c r="RYQ1448"/>
      <c r="RYR1448"/>
      <c r="RYS1448"/>
      <c r="RYT1448"/>
      <c r="RYU1448"/>
      <c r="RYV1448"/>
      <c r="RYW1448"/>
      <c r="RYX1448"/>
      <c r="RYY1448"/>
      <c r="RYZ1448"/>
      <c r="RZA1448"/>
      <c r="RZB1448"/>
      <c r="RZC1448"/>
      <c r="RZD1448"/>
      <c r="RZE1448"/>
      <c r="RZF1448"/>
      <c r="RZG1448"/>
      <c r="RZH1448"/>
      <c r="RZI1448"/>
      <c r="RZJ1448"/>
      <c r="RZK1448"/>
      <c r="RZL1448"/>
      <c r="RZM1448"/>
      <c r="RZN1448"/>
      <c r="RZO1448"/>
      <c r="RZP1448"/>
      <c r="RZQ1448"/>
      <c r="RZR1448"/>
      <c r="RZS1448"/>
      <c r="RZT1448"/>
      <c r="RZU1448"/>
      <c r="RZV1448"/>
      <c r="RZW1448"/>
      <c r="RZX1448"/>
      <c r="RZY1448"/>
      <c r="RZZ1448"/>
      <c r="SAA1448"/>
      <c r="SAB1448"/>
      <c r="SAC1448"/>
      <c r="SAD1448"/>
      <c r="SAE1448"/>
      <c r="SAF1448"/>
      <c r="SAG1448"/>
      <c r="SAH1448"/>
      <c r="SAI1448"/>
      <c r="SAJ1448"/>
      <c r="SAK1448"/>
      <c r="SAL1448"/>
      <c r="SAM1448"/>
      <c r="SAN1448"/>
      <c r="SAO1448"/>
      <c r="SAP1448"/>
      <c r="SAQ1448"/>
      <c r="SAR1448"/>
      <c r="SAS1448"/>
      <c r="SAT1448"/>
      <c r="SAU1448"/>
      <c r="SAV1448"/>
      <c r="SAW1448"/>
      <c r="SAX1448"/>
      <c r="SAY1448"/>
      <c r="SAZ1448"/>
      <c r="SBA1448"/>
      <c r="SBB1448"/>
      <c r="SBC1448"/>
      <c r="SBD1448"/>
      <c r="SBE1448"/>
      <c r="SBF1448"/>
      <c r="SBG1448"/>
      <c r="SBH1448"/>
      <c r="SBI1448"/>
      <c r="SBJ1448"/>
      <c r="SBK1448"/>
      <c r="SBL1448"/>
      <c r="SBM1448"/>
      <c r="SBN1448"/>
      <c r="SBO1448"/>
      <c r="SBP1448"/>
      <c r="SBQ1448"/>
      <c r="SBR1448"/>
      <c r="SBS1448"/>
      <c r="SBT1448"/>
      <c r="SBU1448"/>
      <c r="SBV1448"/>
      <c r="SBW1448"/>
      <c r="SBX1448"/>
      <c r="SBY1448"/>
      <c r="SBZ1448"/>
      <c r="SCA1448"/>
      <c r="SCB1448"/>
      <c r="SCC1448"/>
      <c r="SCD1448"/>
      <c r="SCE1448"/>
      <c r="SCF1448"/>
      <c r="SCG1448"/>
      <c r="SCH1448"/>
      <c r="SCI1448"/>
      <c r="SCJ1448"/>
      <c r="SCK1448"/>
      <c r="SCL1448"/>
      <c r="SCM1448"/>
      <c r="SCN1448"/>
      <c r="SCO1448"/>
      <c r="SCP1448"/>
      <c r="SCQ1448"/>
      <c r="SCR1448"/>
      <c r="SCS1448"/>
      <c r="SCT1448"/>
      <c r="SCU1448"/>
      <c r="SCV1448"/>
      <c r="SCW1448"/>
      <c r="SCX1448"/>
      <c r="SCY1448"/>
      <c r="SCZ1448"/>
      <c r="SDA1448"/>
      <c r="SDB1448"/>
      <c r="SDC1448"/>
      <c r="SDD1448"/>
      <c r="SDE1448"/>
      <c r="SDF1448"/>
      <c r="SDG1448"/>
      <c r="SDH1448"/>
      <c r="SDI1448"/>
      <c r="SDJ1448"/>
      <c r="SDK1448"/>
      <c r="SDL1448"/>
      <c r="SDM1448"/>
      <c r="SDN1448"/>
      <c r="SDO1448"/>
      <c r="SDP1448"/>
      <c r="SDQ1448"/>
      <c r="SDR1448"/>
      <c r="SDS1448"/>
      <c r="SDT1448"/>
      <c r="SDU1448"/>
      <c r="SDV1448"/>
      <c r="SDW1448"/>
      <c r="SDX1448"/>
      <c r="SDY1448"/>
      <c r="SDZ1448"/>
      <c r="SEA1448"/>
      <c r="SEB1448"/>
      <c r="SEC1448"/>
      <c r="SED1448"/>
      <c r="SEE1448"/>
      <c r="SEF1448"/>
      <c r="SEG1448"/>
      <c r="SEH1448"/>
      <c r="SEI1448"/>
      <c r="SEJ1448"/>
      <c r="SEK1448"/>
      <c r="SEL1448"/>
      <c r="SEM1448"/>
      <c r="SEN1448"/>
      <c r="SEO1448"/>
      <c r="SEP1448"/>
      <c r="SEQ1448"/>
      <c r="SER1448"/>
      <c r="SES1448"/>
      <c r="SET1448"/>
      <c r="SEU1448"/>
      <c r="SEV1448"/>
      <c r="SEW1448"/>
      <c r="SEX1448"/>
      <c r="SEY1448"/>
      <c r="SEZ1448"/>
      <c r="SFA1448"/>
      <c r="SFB1448"/>
      <c r="SFC1448"/>
      <c r="SFD1448"/>
      <c r="SFE1448"/>
      <c r="SFF1448"/>
      <c r="SFG1448"/>
      <c r="SFH1448"/>
      <c r="SFI1448"/>
      <c r="SFJ1448"/>
      <c r="SFK1448"/>
      <c r="SFL1448"/>
      <c r="SFM1448"/>
      <c r="SFN1448"/>
      <c r="SFO1448"/>
      <c r="SFP1448"/>
      <c r="SFQ1448"/>
      <c r="SFR1448"/>
      <c r="SFS1448"/>
      <c r="SFT1448"/>
      <c r="SFU1448"/>
      <c r="SFV1448"/>
      <c r="SFW1448"/>
      <c r="SFX1448"/>
      <c r="SFY1448"/>
      <c r="SFZ1448"/>
      <c r="SGA1448"/>
      <c r="SGB1448"/>
      <c r="SGC1448"/>
      <c r="SGD1448"/>
      <c r="SGE1448"/>
      <c r="SGF1448"/>
      <c r="SGG1448"/>
      <c r="SGH1448"/>
      <c r="SGI1448"/>
      <c r="SGJ1448"/>
      <c r="SGK1448"/>
      <c r="SGL1448"/>
      <c r="SGM1448"/>
      <c r="SGN1448"/>
      <c r="SGO1448"/>
      <c r="SGP1448"/>
      <c r="SGQ1448"/>
      <c r="SGR1448"/>
      <c r="SGS1448"/>
      <c r="SGT1448"/>
      <c r="SGU1448"/>
      <c r="SGV1448"/>
      <c r="SGW1448"/>
      <c r="SGX1448"/>
      <c r="SGY1448"/>
      <c r="SGZ1448"/>
      <c r="SHA1448"/>
      <c r="SHB1448"/>
      <c r="SHC1448"/>
      <c r="SHD1448"/>
      <c r="SHE1448"/>
      <c r="SHF1448"/>
      <c r="SHG1448"/>
      <c r="SHH1448"/>
      <c r="SHI1448"/>
      <c r="SHJ1448"/>
      <c r="SHK1448"/>
      <c r="SHL1448"/>
      <c r="SHM1448"/>
      <c r="SHN1448"/>
      <c r="SHO1448"/>
      <c r="SHP1448"/>
      <c r="SHQ1448"/>
      <c r="SHR1448"/>
      <c r="SHS1448"/>
      <c r="SHT1448"/>
      <c r="SHU1448"/>
      <c r="SHV1448"/>
      <c r="SHW1448"/>
      <c r="SHX1448"/>
      <c r="SHY1448"/>
      <c r="SHZ1448"/>
      <c r="SIA1448"/>
      <c r="SIB1448"/>
      <c r="SIC1448"/>
      <c r="SID1448"/>
      <c r="SIE1448"/>
      <c r="SIF1448"/>
      <c r="SIG1448"/>
      <c r="SIH1448"/>
      <c r="SII1448"/>
      <c r="SIJ1448"/>
      <c r="SIK1448"/>
      <c r="SIL1448"/>
      <c r="SIM1448"/>
      <c r="SIN1448"/>
      <c r="SIO1448"/>
      <c r="SIP1448"/>
      <c r="SIQ1448"/>
      <c r="SIR1448"/>
      <c r="SIS1448"/>
      <c r="SIT1448"/>
      <c r="SIU1448"/>
      <c r="SIV1448"/>
      <c r="SIW1448"/>
      <c r="SIX1448"/>
      <c r="SIY1448"/>
      <c r="SIZ1448"/>
      <c r="SJA1448"/>
      <c r="SJB1448"/>
      <c r="SJC1448"/>
      <c r="SJD1448"/>
      <c r="SJE1448"/>
      <c r="SJF1448"/>
      <c r="SJG1448"/>
      <c r="SJH1448"/>
      <c r="SJI1448"/>
      <c r="SJJ1448"/>
      <c r="SJK1448"/>
      <c r="SJL1448"/>
      <c r="SJM1448"/>
      <c r="SJN1448"/>
      <c r="SJO1448"/>
      <c r="SJP1448"/>
      <c r="SJQ1448"/>
      <c r="SJR1448"/>
      <c r="SJS1448"/>
      <c r="SJT1448"/>
      <c r="SJU1448"/>
      <c r="SJV1448"/>
      <c r="SJW1448"/>
      <c r="SJX1448"/>
      <c r="SJY1448"/>
      <c r="SJZ1448"/>
      <c r="SKA1448"/>
      <c r="SKB1448"/>
      <c r="SKC1448"/>
      <c r="SKD1448"/>
      <c r="SKE1448"/>
      <c r="SKF1448"/>
      <c r="SKG1448"/>
      <c r="SKH1448"/>
      <c r="SKI1448"/>
      <c r="SKJ1448"/>
      <c r="SKK1448"/>
      <c r="SKL1448"/>
      <c r="SKM1448"/>
      <c r="SKN1448"/>
      <c r="SKO1448"/>
      <c r="SKP1448"/>
      <c r="SKQ1448"/>
      <c r="SKR1448"/>
      <c r="SKS1448"/>
      <c r="SKT1448"/>
      <c r="SKU1448"/>
      <c r="SKV1448"/>
      <c r="SKW1448"/>
      <c r="SKX1448"/>
      <c r="SKY1448"/>
      <c r="SKZ1448"/>
      <c r="SLA1448"/>
      <c r="SLB1448"/>
      <c r="SLC1448"/>
      <c r="SLD1448"/>
      <c r="SLE1448"/>
      <c r="SLF1448"/>
      <c r="SLG1448"/>
      <c r="SLH1448"/>
      <c r="SLI1448"/>
      <c r="SLJ1448"/>
      <c r="SLK1448"/>
      <c r="SLL1448"/>
      <c r="SLM1448"/>
      <c r="SLN1448"/>
      <c r="SLO1448"/>
      <c r="SLP1448"/>
      <c r="SLQ1448"/>
      <c r="SLR1448"/>
      <c r="SLS1448"/>
      <c r="SLT1448"/>
      <c r="SLU1448"/>
      <c r="SLV1448"/>
      <c r="SLW1448"/>
      <c r="SLX1448"/>
      <c r="SLY1448"/>
      <c r="SLZ1448"/>
      <c r="SMA1448"/>
      <c r="SMB1448"/>
      <c r="SMC1448"/>
      <c r="SMD1448"/>
      <c r="SME1448"/>
      <c r="SMF1448"/>
      <c r="SMG1448"/>
      <c r="SMH1448"/>
      <c r="SMI1448"/>
      <c r="SMJ1448"/>
      <c r="SMK1448"/>
      <c r="SML1448"/>
      <c r="SMM1448"/>
      <c r="SMN1448"/>
      <c r="SMO1448"/>
      <c r="SMP1448"/>
      <c r="SMQ1448"/>
      <c r="SMR1448"/>
      <c r="SMS1448"/>
      <c r="SMT1448"/>
      <c r="SMU1448"/>
      <c r="SMV1448"/>
      <c r="SMW1448"/>
      <c r="SMX1448"/>
      <c r="SMY1448"/>
      <c r="SMZ1448"/>
      <c r="SNA1448"/>
      <c r="SNB1448"/>
      <c r="SNC1448"/>
      <c r="SND1448"/>
      <c r="SNE1448"/>
      <c r="SNF1448"/>
      <c r="SNG1448"/>
      <c r="SNH1448"/>
      <c r="SNI1448"/>
      <c r="SNJ1448"/>
      <c r="SNK1448"/>
      <c r="SNL1448"/>
      <c r="SNM1448"/>
      <c r="SNN1448"/>
      <c r="SNO1448"/>
      <c r="SNP1448"/>
      <c r="SNQ1448"/>
      <c r="SNR1448"/>
      <c r="SNS1448"/>
      <c r="SNT1448"/>
      <c r="SNU1448"/>
      <c r="SNV1448"/>
      <c r="SNW1448"/>
      <c r="SNX1448"/>
      <c r="SNY1448"/>
      <c r="SNZ1448"/>
      <c r="SOA1448"/>
      <c r="SOB1448"/>
      <c r="SOC1448"/>
      <c r="SOD1448"/>
      <c r="SOE1448"/>
      <c r="SOF1448"/>
      <c r="SOG1448"/>
      <c r="SOH1448"/>
      <c r="SOI1448"/>
      <c r="SOJ1448"/>
      <c r="SOK1448"/>
      <c r="SOL1448"/>
      <c r="SOM1448"/>
      <c r="SON1448"/>
      <c r="SOO1448"/>
      <c r="SOP1448"/>
      <c r="SOQ1448"/>
      <c r="SOR1448"/>
      <c r="SOS1448"/>
      <c r="SOT1448"/>
      <c r="SOU1448"/>
      <c r="SOV1448"/>
      <c r="SOW1448"/>
      <c r="SOX1448"/>
      <c r="SOY1448"/>
      <c r="SOZ1448"/>
      <c r="SPA1448"/>
      <c r="SPB1448"/>
      <c r="SPC1448"/>
      <c r="SPD1448"/>
      <c r="SPE1448"/>
      <c r="SPF1448"/>
      <c r="SPG1448"/>
      <c r="SPH1448"/>
      <c r="SPI1448"/>
      <c r="SPJ1448"/>
      <c r="SPK1448"/>
      <c r="SPL1448"/>
      <c r="SPM1448"/>
      <c r="SPN1448"/>
      <c r="SPO1448"/>
      <c r="SPP1448"/>
      <c r="SPQ1448"/>
      <c r="SPR1448"/>
      <c r="SPS1448"/>
      <c r="SPT1448"/>
      <c r="SPU1448"/>
      <c r="SPV1448"/>
      <c r="SPW1448"/>
      <c r="SPX1448"/>
      <c r="SPY1448"/>
      <c r="SPZ1448"/>
      <c r="SQA1448"/>
      <c r="SQB1448"/>
      <c r="SQC1448"/>
      <c r="SQD1448"/>
      <c r="SQE1448"/>
      <c r="SQF1448"/>
      <c r="SQG1448"/>
      <c r="SQH1448"/>
      <c r="SQI1448"/>
      <c r="SQJ1448"/>
      <c r="SQK1448"/>
      <c r="SQL1448"/>
      <c r="SQM1448"/>
      <c r="SQN1448"/>
      <c r="SQO1448"/>
      <c r="SQP1448"/>
      <c r="SQQ1448"/>
      <c r="SQR1448"/>
      <c r="SQS1448"/>
      <c r="SQT1448"/>
      <c r="SQU1448"/>
      <c r="SQV1448"/>
      <c r="SQW1448"/>
      <c r="SQX1448"/>
      <c r="SQY1448"/>
      <c r="SQZ1448"/>
      <c r="SRA1448"/>
      <c r="SRB1448"/>
      <c r="SRC1448"/>
      <c r="SRD1448"/>
      <c r="SRE1448"/>
      <c r="SRF1448"/>
      <c r="SRG1448"/>
      <c r="SRH1448"/>
      <c r="SRI1448"/>
      <c r="SRJ1448"/>
      <c r="SRK1448"/>
      <c r="SRL1448"/>
      <c r="SRM1448"/>
      <c r="SRN1448"/>
      <c r="SRO1448"/>
      <c r="SRP1448"/>
      <c r="SRQ1448"/>
      <c r="SRR1448"/>
      <c r="SRS1448"/>
      <c r="SRT1448"/>
      <c r="SRU1448"/>
      <c r="SRV1448"/>
      <c r="SRW1448"/>
      <c r="SRX1448"/>
      <c r="SRY1448"/>
      <c r="SRZ1448"/>
      <c r="SSA1448"/>
      <c r="SSB1448"/>
      <c r="SSC1448"/>
      <c r="SSD1448"/>
      <c r="SSE1448"/>
      <c r="SSF1448"/>
      <c r="SSG1448"/>
      <c r="SSH1448"/>
      <c r="SSI1448"/>
      <c r="SSJ1448"/>
      <c r="SSK1448"/>
      <c r="SSL1448"/>
      <c r="SSM1448"/>
      <c r="SSN1448"/>
      <c r="SSO1448"/>
      <c r="SSP1448"/>
      <c r="SSQ1448"/>
      <c r="SSR1448"/>
      <c r="SSS1448"/>
      <c r="SST1448"/>
      <c r="SSU1448"/>
      <c r="SSV1448"/>
      <c r="SSW1448"/>
      <c r="SSX1448"/>
      <c r="SSY1448"/>
      <c r="SSZ1448"/>
      <c r="STA1448"/>
      <c r="STB1448"/>
      <c r="STC1448"/>
      <c r="STD1448"/>
      <c r="STE1448"/>
      <c r="STF1448"/>
      <c r="STG1448"/>
      <c r="STH1448"/>
      <c r="STI1448"/>
      <c r="STJ1448"/>
      <c r="STK1448"/>
      <c r="STL1448"/>
      <c r="STM1448"/>
      <c r="STN1448"/>
      <c r="STO1448"/>
      <c r="STP1448"/>
      <c r="STQ1448"/>
      <c r="STR1448"/>
      <c r="STS1448"/>
      <c r="STT1448"/>
      <c r="STU1448"/>
      <c r="STV1448"/>
      <c r="STW1448"/>
      <c r="STX1448"/>
      <c r="STY1448"/>
      <c r="STZ1448"/>
      <c r="SUA1448"/>
      <c r="SUB1448"/>
      <c r="SUC1448"/>
      <c r="SUD1448"/>
      <c r="SUE1448"/>
      <c r="SUF1448"/>
      <c r="SUG1448"/>
      <c r="SUH1448"/>
      <c r="SUI1448"/>
      <c r="SUJ1448"/>
      <c r="SUK1448"/>
      <c r="SUL1448"/>
      <c r="SUM1448"/>
      <c r="SUN1448"/>
      <c r="SUO1448"/>
      <c r="SUP1448"/>
      <c r="SUQ1448"/>
      <c r="SUR1448"/>
      <c r="SUS1448"/>
      <c r="SUT1448"/>
      <c r="SUU1448"/>
      <c r="SUV1448"/>
      <c r="SUW1448"/>
      <c r="SUX1448"/>
      <c r="SUY1448"/>
      <c r="SUZ1448"/>
      <c r="SVA1448"/>
      <c r="SVB1448"/>
      <c r="SVC1448"/>
      <c r="SVD1448"/>
      <c r="SVE1448"/>
      <c r="SVF1448"/>
      <c r="SVG1448"/>
      <c r="SVH1448"/>
      <c r="SVI1448"/>
      <c r="SVJ1448"/>
      <c r="SVK1448"/>
      <c r="SVL1448"/>
      <c r="SVM1448"/>
      <c r="SVN1448"/>
      <c r="SVO1448"/>
      <c r="SVP1448"/>
      <c r="SVQ1448"/>
      <c r="SVR1448"/>
      <c r="SVS1448"/>
      <c r="SVT1448"/>
      <c r="SVU1448"/>
      <c r="SVV1448"/>
      <c r="SVW1448"/>
      <c r="SVX1448"/>
      <c r="SVY1448"/>
      <c r="SVZ1448"/>
      <c r="SWA1448"/>
      <c r="SWB1448"/>
      <c r="SWC1448"/>
      <c r="SWD1448"/>
      <c r="SWE1448"/>
      <c r="SWF1448"/>
      <c r="SWG1448"/>
      <c r="SWH1448"/>
      <c r="SWI1448"/>
      <c r="SWJ1448"/>
      <c r="SWK1448"/>
      <c r="SWL1448"/>
      <c r="SWM1448"/>
      <c r="SWN1448"/>
      <c r="SWO1448"/>
      <c r="SWP1448"/>
      <c r="SWQ1448"/>
      <c r="SWR1448"/>
      <c r="SWS1448"/>
      <c r="SWT1448"/>
      <c r="SWU1448"/>
      <c r="SWV1448"/>
      <c r="SWW1448"/>
      <c r="SWX1448"/>
      <c r="SWY1448"/>
      <c r="SWZ1448"/>
      <c r="SXA1448"/>
      <c r="SXB1448"/>
      <c r="SXC1448"/>
      <c r="SXD1448"/>
      <c r="SXE1448"/>
      <c r="SXF1448"/>
      <c r="SXG1448"/>
      <c r="SXH1448"/>
      <c r="SXI1448"/>
      <c r="SXJ1448"/>
      <c r="SXK1448"/>
      <c r="SXL1448"/>
      <c r="SXM1448"/>
      <c r="SXN1448"/>
      <c r="SXO1448"/>
      <c r="SXP1448"/>
      <c r="SXQ1448"/>
      <c r="SXR1448"/>
      <c r="SXS1448"/>
      <c r="SXT1448"/>
      <c r="SXU1448"/>
      <c r="SXV1448"/>
      <c r="SXW1448"/>
      <c r="SXX1448"/>
      <c r="SXY1448"/>
      <c r="SXZ1448"/>
      <c r="SYA1448"/>
      <c r="SYB1448"/>
      <c r="SYC1448"/>
      <c r="SYD1448"/>
      <c r="SYE1448"/>
      <c r="SYF1448"/>
      <c r="SYG1448"/>
      <c r="SYH1448"/>
      <c r="SYI1448"/>
      <c r="SYJ1448"/>
      <c r="SYK1448"/>
      <c r="SYL1448"/>
      <c r="SYM1448"/>
      <c r="SYN1448"/>
      <c r="SYO1448"/>
      <c r="SYP1448"/>
      <c r="SYQ1448"/>
      <c r="SYR1448"/>
      <c r="SYS1448"/>
      <c r="SYT1448"/>
      <c r="SYU1448"/>
      <c r="SYV1448"/>
      <c r="SYW1448"/>
      <c r="SYX1448"/>
      <c r="SYY1448"/>
      <c r="SYZ1448"/>
      <c r="SZA1448"/>
      <c r="SZB1448"/>
      <c r="SZC1448"/>
      <c r="SZD1448"/>
      <c r="SZE1448"/>
      <c r="SZF1448"/>
      <c r="SZG1448"/>
      <c r="SZH1448"/>
      <c r="SZI1448"/>
      <c r="SZJ1448"/>
      <c r="SZK1448"/>
      <c r="SZL1448"/>
      <c r="SZM1448"/>
      <c r="SZN1448"/>
      <c r="SZO1448"/>
      <c r="SZP1448"/>
      <c r="SZQ1448"/>
      <c r="SZR1448"/>
      <c r="SZS1448"/>
      <c r="SZT1448"/>
      <c r="SZU1448"/>
      <c r="SZV1448"/>
      <c r="SZW1448"/>
      <c r="SZX1448"/>
      <c r="SZY1448"/>
      <c r="SZZ1448"/>
      <c r="TAA1448"/>
      <c r="TAB1448"/>
      <c r="TAC1448"/>
      <c r="TAD1448"/>
      <c r="TAE1448"/>
      <c r="TAF1448"/>
      <c r="TAG1448"/>
      <c r="TAH1448"/>
      <c r="TAI1448"/>
      <c r="TAJ1448"/>
      <c r="TAK1448"/>
      <c r="TAL1448"/>
      <c r="TAM1448"/>
      <c r="TAN1448"/>
      <c r="TAO1448"/>
      <c r="TAP1448"/>
      <c r="TAQ1448"/>
      <c r="TAR1448"/>
      <c r="TAS1448"/>
      <c r="TAT1448"/>
      <c r="TAU1448"/>
      <c r="TAV1448"/>
      <c r="TAW1448"/>
      <c r="TAX1448"/>
      <c r="TAY1448"/>
      <c r="TAZ1448"/>
      <c r="TBA1448"/>
      <c r="TBB1448"/>
      <c r="TBC1448"/>
      <c r="TBD1448"/>
      <c r="TBE1448"/>
      <c r="TBF1448"/>
      <c r="TBG1448"/>
      <c r="TBH1448"/>
      <c r="TBI1448"/>
      <c r="TBJ1448"/>
      <c r="TBK1448"/>
      <c r="TBL1448"/>
      <c r="TBM1448"/>
      <c r="TBN1448"/>
      <c r="TBO1448"/>
      <c r="TBP1448"/>
      <c r="TBQ1448"/>
      <c r="TBR1448"/>
      <c r="TBS1448"/>
      <c r="TBT1448"/>
      <c r="TBU1448"/>
      <c r="TBV1448"/>
      <c r="TBW1448"/>
      <c r="TBX1448"/>
      <c r="TBY1448"/>
      <c r="TBZ1448"/>
      <c r="TCA1448"/>
      <c r="TCB1448"/>
      <c r="TCC1448"/>
      <c r="TCD1448"/>
      <c r="TCE1448"/>
      <c r="TCF1448"/>
      <c r="TCG1448"/>
      <c r="TCH1448"/>
      <c r="TCI1448"/>
      <c r="TCJ1448"/>
      <c r="TCK1448"/>
      <c r="TCL1448"/>
      <c r="TCM1448"/>
      <c r="TCN1448"/>
      <c r="TCO1448"/>
      <c r="TCP1448"/>
      <c r="TCQ1448"/>
      <c r="TCR1448"/>
      <c r="TCS1448"/>
      <c r="TCT1448"/>
      <c r="TCU1448"/>
      <c r="TCV1448"/>
      <c r="TCW1448"/>
      <c r="TCX1448"/>
      <c r="TCY1448"/>
      <c r="TCZ1448"/>
      <c r="TDA1448"/>
      <c r="TDB1448"/>
      <c r="TDC1448"/>
      <c r="TDD1448"/>
      <c r="TDE1448"/>
      <c r="TDF1448"/>
      <c r="TDG1448"/>
      <c r="TDH1448"/>
      <c r="TDI1448"/>
      <c r="TDJ1448"/>
      <c r="TDK1448"/>
      <c r="TDL1448"/>
      <c r="TDM1448"/>
      <c r="TDN1448"/>
      <c r="TDO1448"/>
      <c r="TDP1448"/>
      <c r="TDQ1448"/>
      <c r="TDR1448"/>
      <c r="TDS1448"/>
      <c r="TDT1448"/>
      <c r="TDU1448"/>
      <c r="TDV1448"/>
      <c r="TDW1448"/>
      <c r="TDX1448"/>
      <c r="TDY1448"/>
      <c r="TDZ1448"/>
      <c r="TEA1448"/>
      <c r="TEB1448"/>
      <c r="TEC1448"/>
      <c r="TED1448"/>
      <c r="TEE1448"/>
      <c r="TEF1448"/>
      <c r="TEG1448"/>
      <c r="TEH1448"/>
      <c r="TEI1448"/>
      <c r="TEJ1448"/>
      <c r="TEK1448"/>
      <c r="TEL1448"/>
      <c r="TEM1448"/>
      <c r="TEN1448"/>
      <c r="TEO1448"/>
      <c r="TEP1448"/>
      <c r="TEQ1448"/>
      <c r="TER1448"/>
      <c r="TES1448"/>
      <c r="TET1448"/>
      <c r="TEU1448"/>
      <c r="TEV1448"/>
      <c r="TEW1448"/>
      <c r="TEX1448"/>
      <c r="TEY1448"/>
      <c r="TEZ1448"/>
      <c r="TFA1448"/>
      <c r="TFB1448"/>
      <c r="TFC1448"/>
      <c r="TFD1448"/>
      <c r="TFE1448"/>
      <c r="TFF1448"/>
      <c r="TFG1448"/>
      <c r="TFH1448"/>
      <c r="TFI1448"/>
      <c r="TFJ1448"/>
      <c r="TFK1448"/>
      <c r="TFL1448"/>
      <c r="TFM1448"/>
      <c r="TFN1448"/>
      <c r="TFO1448"/>
      <c r="TFP1448"/>
      <c r="TFQ1448"/>
      <c r="TFR1448"/>
      <c r="TFS1448"/>
      <c r="TFT1448"/>
      <c r="TFU1448"/>
      <c r="TFV1448"/>
      <c r="TFW1448"/>
      <c r="TFX1448"/>
      <c r="TFY1448"/>
      <c r="TFZ1448"/>
      <c r="TGA1448"/>
      <c r="TGB1448"/>
      <c r="TGC1448"/>
      <c r="TGD1448"/>
      <c r="TGE1448"/>
      <c r="TGF1448"/>
      <c r="TGG1448"/>
      <c r="TGH1448"/>
      <c r="TGI1448"/>
      <c r="TGJ1448"/>
      <c r="TGK1448"/>
      <c r="TGL1448"/>
      <c r="TGM1448"/>
      <c r="TGN1448"/>
      <c r="TGO1448"/>
      <c r="TGP1448"/>
      <c r="TGQ1448"/>
      <c r="TGR1448"/>
      <c r="TGS1448"/>
      <c r="TGT1448"/>
      <c r="TGU1448"/>
      <c r="TGV1448"/>
      <c r="TGW1448"/>
      <c r="TGX1448"/>
      <c r="TGY1448"/>
      <c r="TGZ1448"/>
      <c r="THA1448"/>
      <c r="THB1448"/>
      <c r="THC1448"/>
      <c r="THD1448"/>
      <c r="THE1448"/>
      <c r="THF1448"/>
      <c r="THG1448"/>
      <c r="THH1448"/>
      <c r="THI1448"/>
      <c r="THJ1448"/>
      <c r="THK1448"/>
      <c r="THL1448"/>
      <c r="THM1448"/>
      <c r="THN1448"/>
      <c r="THO1448"/>
      <c r="THP1448"/>
      <c r="THQ1448"/>
      <c r="THR1448"/>
      <c r="THS1448"/>
      <c r="THT1448"/>
      <c r="THU1448"/>
      <c r="THV1448"/>
      <c r="THW1448"/>
      <c r="THX1448"/>
      <c r="THY1448"/>
      <c r="THZ1448"/>
      <c r="TIA1448"/>
      <c r="TIB1448"/>
      <c r="TIC1448"/>
      <c r="TID1448"/>
      <c r="TIE1448"/>
      <c r="TIF1448"/>
      <c r="TIG1448"/>
      <c r="TIH1448"/>
      <c r="TII1448"/>
      <c r="TIJ1448"/>
      <c r="TIK1448"/>
      <c r="TIL1448"/>
      <c r="TIM1448"/>
      <c r="TIN1448"/>
      <c r="TIO1448"/>
      <c r="TIP1448"/>
      <c r="TIQ1448"/>
      <c r="TIR1448"/>
      <c r="TIS1448"/>
      <c r="TIT1448"/>
      <c r="TIU1448"/>
      <c r="TIV1448"/>
      <c r="TIW1448"/>
      <c r="TIX1448"/>
      <c r="TIY1448"/>
      <c r="TIZ1448"/>
      <c r="TJA1448"/>
      <c r="TJB1448"/>
      <c r="TJC1448"/>
      <c r="TJD1448"/>
      <c r="TJE1448"/>
      <c r="TJF1448"/>
      <c r="TJG1448"/>
      <c r="TJH1448"/>
      <c r="TJI1448"/>
      <c r="TJJ1448"/>
      <c r="TJK1448"/>
      <c r="TJL1448"/>
      <c r="TJM1448"/>
      <c r="TJN1448"/>
      <c r="TJO1448"/>
      <c r="TJP1448"/>
      <c r="TJQ1448"/>
      <c r="TJR1448"/>
      <c r="TJS1448"/>
      <c r="TJT1448"/>
      <c r="TJU1448"/>
      <c r="TJV1448"/>
      <c r="TJW1448"/>
      <c r="TJX1448"/>
      <c r="TJY1448"/>
      <c r="TJZ1448"/>
      <c r="TKA1448"/>
      <c r="TKB1448"/>
      <c r="TKC1448"/>
      <c r="TKD1448"/>
      <c r="TKE1448"/>
      <c r="TKF1448"/>
      <c r="TKG1448"/>
      <c r="TKH1448"/>
      <c r="TKI1448"/>
      <c r="TKJ1448"/>
      <c r="TKK1448"/>
      <c r="TKL1448"/>
      <c r="TKM1448"/>
      <c r="TKN1448"/>
      <c r="TKO1448"/>
      <c r="TKP1448"/>
      <c r="TKQ1448"/>
      <c r="TKR1448"/>
      <c r="TKS1448"/>
      <c r="TKT1448"/>
      <c r="TKU1448"/>
      <c r="TKV1448"/>
      <c r="TKW1448"/>
      <c r="TKX1448"/>
      <c r="TKY1448"/>
      <c r="TKZ1448"/>
      <c r="TLA1448"/>
      <c r="TLB1448"/>
      <c r="TLC1448"/>
      <c r="TLD1448"/>
      <c r="TLE1448"/>
      <c r="TLF1448"/>
      <c r="TLG1448"/>
      <c r="TLH1448"/>
      <c r="TLI1448"/>
      <c r="TLJ1448"/>
      <c r="TLK1448"/>
      <c r="TLL1448"/>
      <c r="TLM1448"/>
      <c r="TLN1448"/>
      <c r="TLO1448"/>
      <c r="TLP1448"/>
      <c r="TLQ1448"/>
      <c r="TLR1448"/>
      <c r="TLS1448"/>
      <c r="TLT1448"/>
      <c r="TLU1448"/>
      <c r="TLV1448"/>
      <c r="TLW1448"/>
      <c r="TLX1448"/>
      <c r="TLY1448"/>
      <c r="TLZ1448"/>
      <c r="TMA1448"/>
      <c r="TMB1448"/>
      <c r="TMC1448"/>
      <c r="TMD1448"/>
      <c r="TME1448"/>
      <c r="TMF1448"/>
      <c r="TMG1448"/>
      <c r="TMH1448"/>
      <c r="TMI1448"/>
      <c r="TMJ1448"/>
      <c r="TMK1448"/>
      <c r="TML1448"/>
      <c r="TMM1448"/>
      <c r="TMN1448"/>
      <c r="TMO1448"/>
      <c r="TMP1448"/>
      <c r="TMQ1448"/>
      <c r="TMR1448"/>
      <c r="TMS1448"/>
      <c r="TMT1448"/>
      <c r="TMU1448"/>
      <c r="TMV1448"/>
      <c r="TMW1448"/>
      <c r="TMX1448"/>
      <c r="TMY1448"/>
      <c r="TMZ1448"/>
      <c r="TNA1448"/>
      <c r="TNB1448"/>
      <c r="TNC1448"/>
      <c r="TND1448"/>
      <c r="TNE1448"/>
      <c r="TNF1448"/>
      <c r="TNG1448"/>
      <c r="TNH1448"/>
      <c r="TNI1448"/>
      <c r="TNJ1448"/>
      <c r="TNK1448"/>
      <c r="TNL1448"/>
      <c r="TNM1448"/>
      <c r="TNN1448"/>
      <c r="TNO1448"/>
      <c r="TNP1448"/>
      <c r="TNQ1448"/>
      <c r="TNR1448"/>
      <c r="TNS1448"/>
      <c r="TNT1448"/>
      <c r="TNU1448"/>
      <c r="TNV1448"/>
      <c r="TNW1448"/>
      <c r="TNX1448"/>
      <c r="TNY1448"/>
      <c r="TNZ1448"/>
      <c r="TOA1448"/>
      <c r="TOB1448"/>
      <c r="TOC1448"/>
      <c r="TOD1448"/>
      <c r="TOE1448"/>
      <c r="TOF1448"/>
      <c r="TOG1448"/>
      <c r="TOH1448"/>
      <c r="TOI1448"/>
      <c r="TOJ1448"/>
      <c r="TOK1448"/>
      <c r="TOL1448"/>
      <c r="TOM1448"/>
      <c r="TON1448"/>
      <c r="TOO1448"/>
      <c r="TOP1448"/>
      <c r="TOQ1448"/>
      <c r="TOR1448"/>
      <c r="TOS1448"/>
      <c r="TOT1448"/>
      <c r="TOU1448"/>
      <c r="TOV1448"/>
      <c r="TOW1448"/>
      <c r="TOX1448"/>
      <c r="TOY1448"/>
      <c r="TOZ1448"/>
      <c r="TPA1448"/>
      <c r="TPB1448"/>
      <c r="TPC1448"/>
      <c r="TPD1448"/>
      <c r="TPE1448"/>
      <c r="TPF1448"/>
      <c r="TPG1448"/>
      <c r="TPH1448"/>
      <c r="TPI1448"/>
      <c r="TPJ1448"/>
      <c r="TPK1448"/>
      <c r="TPL1448"/>
      <c r="TPM1448"/>
      <c r="TPN1448"/>
      <c r="TPO1448"/>
      <c r="TPP1448"/>
      <c r="TPQ1448"/>
      <c r="TPR1448"/>
      <c r="TPS1448"/>
      <c r="TPT1448"/>
      <c r="TPU1448"/>
      <c r="TPV1448"/>
      <c r="TPW1448"/>
      <c r="TPX1448"/>
      <c r="TPY1448"/>
      <c r="TPZ1448"/>
      <c r="TQA1448"/>
      <c r="TQB1448"/>
      <c r="TQC1448"/>
      <c r="TQD1448"/>
      <c r="TQE1448"/>
      <c r="TQF1448"/>
      <c r="TQG1448"/>
      <c r="TQH1448"/>
      <c r="TQI1448"/>
      <c r="TQJ1448"/>
      <c r="TQK1448"/>
      <c r="TQL1448"/>
      <c r="TQM1448"/>
      <c r="TQN1448"/>
      <c r="TQO1448"/>
      <c r="TQP1448"/>
      <c r="TQQ1448"/>
      <c r="TQR1448"/>
      <c r="TQS1448"/>
      <c r="TQT1448"/>
      <c r="TQU1448"/>
      <c r="TQV1448"/>
      <c r="TQW1448"/>
      <c r="TQX1448"/>
      <c r="TQY1448"/>
      <c r="TQZ1448"/>
      <c r="TRA1448"/>
      <c r="TRB1448"/>
      <c r="TRC1448"/>
      <c r="TRD1448"/>
      <c r="TRE1448"/>
      <c r="TRF1448"/>
      <c r="TRG1448"/>
      <c r="TRH1448"/>
      <c r="TRI1448"/>
      <c r="TRJ1448"/>
      <c r="TRK1448"/>
      <c r="TRL1448"/>
      <c r="TRM1448"/>
      <c r="TRN1448"/>
      <c r="TRO1448"/>
      <c r="TRP1448"/>
      <c r="TRQ1448"/>
      <c r="TRR1448"/>
      <c r="TRS1448"/>
      <c r="TRT1448"/>
      <c r="TRU1448"/>
      <c r="TRV1448"/>
      <c r="TRW1448"/>
      <c r="TRX1448"/>
      <c r="TRY1448"/>
      <c r="TRZ1448"/>
      <c r="TSA1448"/>
      <c r="TSB1448"/>
      <c r="TSC1448"/>
      <c r="TSD1448"/>
      <c r="TSE1448"/>
      <c r="TSF1448"/>
      <c r="TSG1448"/>
      <c r="TSH1448"/>
      <c r="TSI1448"/>
      <c r="TSJ1448"/>
      <c r="TSK1448"/>
      <c r="TSL1448"/>
      <c r="TSM1448"/>
      <c r="TSN1448"/>
      <c r="TSO1448"/>
      <c r="TSP1448"/>
      <c r="TSQ1448"/>
      <c r="TSR1448"/>
      <c r="TSS1448"/>
      <c r="TST1448"/>
      <c r="TSU1448"/>
      <c r="TSV1448"/>
      <c r="TSW1448"/>
      <c r="TSX1448"/>
      <c r="TSY1448"/>
      <c r="TSZ1448"/>
      <c r="TTA1448"/>
      <c r="TTB1448"/>
      <c r="TTC1448"/>
      <c r="TTD1448"/>
      <c r="TTE1448"/>
      <c r="TTF1448"/>
      <c r="TTG1448"/>
      <c r="TTH1448"/>
      <c r="TTI1448"/>
      <c r="TTJ1448"/>
      <c r="TTK1448"/>
      <c r="TTL1448"/>
      <c r="TTM1448"/>
      <c r="TTN1448"/>
      <c r="TTO1448"/>
      <c r="TTP1448"/>
      <c r="TTQ1448"/>
      <c r="TTR1448"/>
      <c r="TTS1448"/>
      <c r="TTT1448"/>
      <c r="TTU1448"/>
      <c r="TTV1448"/>
      <c r="TTW1448"/>
      <c r="TTX1448"/>
      <c r="TTY1448"/>
      <c r="TTZ1448"/>
      <c r="TUA1448"/>
      <c r="TUB1448"/>
      <c r="TUC1448"/>
      <c r="TUD1448"/>
      <c r="TUE1448"/>
      <c r="TUF1448"/>
      <c r="TUG1448"/>
      <c r="TUH1448"/>
      <c r="TUI1448"/>
      <c r="TUJ1448"/>
      <c r="TUK1448"/>
      <c r="TUL1448"/>
      <c r="TUM1448"/>
      <c r="TUN1448"/>
      <c r="TUO1448"/>
      <c r="TUP1448"/>
      <c r="TUQ1448"/>
      <c r="TUR1448"/>
      <c r="TUS1448"/>
      <c r="TUT1448"/>
      <c r="TUU1448"/>
      <c r="TUV1448"/>
      <c r="TUW1448"/>
      <c r="TUX1448"/>
      <c r="TUY1448"/>
      <c r="TUZ1448"/>
      <c r="TVA1448"/>
      <c r="TVB1448"/>
      <c r="TVC1448"/>
      <c r="TVD1448"/>
      <c r="TVE1448"/>
      <c r="TVF1448"/>
      <c r="TVG1448"/>
      <c r="TVH1448"/>
      <c r="TVI1448"/>
      <c r="TVJ1448"/>
      <c r="TVK1448"/>
      <c r="TVL1448"/>
      <c r="TVM1448"/>
      <c r="TVN1448"/>
      <c r="TVO1448"/>
      <c r="TVP1448"/>
      <c r="TVQ1448"/>
      <c r="TVR1448"/>
      <c r="TVS1448"/>
      <c r="TVT1448"/>
      <c r="TVU1448"/>
      <c r="TVV1448"/>
      <c r="TVW1448"/>
      <c r="TVX1448"/>
      <c r="TVY1448"/>
      <c r="TVZ1448"/>
      <c r="TWA1448"/>
      <c r="TWB1448"/>
      <c r="TWC1448"/>
      <c r="TWD1448"/>
      <c r="TWE1448"/>
      <c r="TWF1448"/>
      <c r="TWG1448"/>
      <c r="TWH1448"/>
      <c r="TWI1448"/>
      <c r="TWJ1448"/>
      <c r="TWK1448"/>
      <c r="TWL1448"/>
      <c r="TWM1448"/>
      <c r="TWN1448"/>
      <c r="TWO1448"/>
      <c r="TWP1448"/>
      <c r="TWQ1448"/>
      <c r="TWR1448"/>
      <c r="TWS1448"/>
      <c r="TWT1448"/>
      <c r="TWU1448"/>
      <c r="TWV1448"/>
      <c r="TWW1448"/>
      <c r="TWX1448"/>
      <c r="TWY1448"/>
      <c r="TWZ1448"/>
      <c r="TXA1448"/>
      <c r="TXB1448"/>
      <c r="TXC1448"/>
      <c r="TXD1448"/>
      <c r="TXE1448"/>
      <c r="TXF1448"/>
      <c r="TXG1448"/>
      <c r="TXH1448"/>
      <c r="TXI1448"/>
      <c r="TXJ1448"/>
      <c r="TXK1448"/>
      <c r="TXL1448"/>
      <c r="TXM1448"/>
      <c r="TXN1448"/>
      <c r="TXO1448"/>
      <c r="TXP1448"/>
      <c r="TXQ1448"/>
      <c r="TXR1448"/>
      <c r="TXS1448"/>
      <c r="TXT1448"/>
      <c r="TXU1448"/>
      <c r="TXV1448"/>
      <c r="TXW1448"/>
      <c r="TXX1448"/>
      <c r="TXY1448"/>
      <c r="TXZ1448"/>
      <c r="TYA1448"/>
      <c r="TYB1448"/>
      <c r="TYC1448"/>
      <c r="TYD1448"/>
      <c r="TYE1448"/>
      <c r="TYF1448"/>
      <c r="TYG1448"/>
      <c r="TYH1448"/>
      <c r="TYI1448"/>
      <c r="TYJ1448"/>
      <c r="TYK1448"/>
      <c r="TYL1448"/>
      <c r="TYM1448"/>
      <c r="TYN1448"/>
      <c r="TYO1448"/>
      <c r="TYP1448"/>
      <c r="TYQ1448"/>
      <c r="TYR1448"/>
      <c r="TYS1448"/>
      <c r="TYT1448"/>
      <c r="TYU1448"/>
      <c r="TYV1448"/>
      <c r="TYW1448"/>
      <c r="TYX1448"/>
      <c r="TYY1448"/>
      <c r="TYZ1448"/>
      <c r="TZA1448"/>
      <c r="TZB1448"/>
      <c r="TZC1448"/>
      <c r="TZD1448"/>
      <c r="TZE1448"/>
      <c r="TZF1448"/>
      <c r="TZG1448"/>
      <c r="TZH1448"/>
      <c r="TZI1448"/>
      <c r="TZJ1448"/>
      <c r="TZK1448"/>
      <c r="TZL1448"/>
      <c r="TZM1448"/>
      <c r="TZN1448"/>
      <c r="TZO1448"/>
      <c r="TZP1448"/>
      <c r="TZQ1448"/>
      <c r="TZR1448"/>
      <c r="TZS1448"/>
      <c r="TZT1448"/>
      <c r="TZU1448"/>
      <c r="TZV1448"/>
      <c r="TZW1448"/>
      <c r="TZX1448"/>
      <c r="TZY1448"/>
      <c r="TZZ1448"/>
      <c r="UAA1448"/>
      <c r="UAB1448"/>
      <c r="UAC1448"/>
      <c r="UAD1448"/>
      <c r="UAE1448"/>
      <c r="UAF1448"/>
      <c r="UAG1448"/>
      <c r="UAH1448"/>
      <c r="UAI1448"/>
      <c r="UAJ1448"/>
      <c r="UAK1448"/>
      <c r="UAL1448"/>
      <c r="UAM1448"/>
      <c r="UAN1448"/>
      <c r="UAO1448"/>
      <c r="UAP1448"/>
      <c r="UAQ1448"/>
      <c r="UAR1448"/>
      <c r="UAS1448"/>
      <c r="UAT1448"/>
      <c r="UAU1448"/>
      <c r="UAV1448"/>
      <c r="UAW1448"/>
      <c r="UAX1448"/>
      <c r="UAY1448"/>
      <c r="UAZ1448"/>
      <c r="UBA1448"/>
      <c r="UBB1448"/>
      <c r="UBC1448"/>
      <c r="UBD1448"/>
      <c r="UBE1448"/>
      <c r="UBF1448"/>
      <c r="UBG1448"/>
      <c r="UBH1448"/>
      <c r="UBI1448"/>
      <c r="UBJ1448"/>
      <c r="UBK1448"/>
      <c r="UBL1448"/>
      <c r="UBM1448"/>
      <c r="UBN1448"/>
      <c r="UBO1448"/>
      <c r="UBP1448"/>
      <c r="UBQ1448"/>
      <c r="UBR1448"/>
      <c r="UBS1448"/>
      <c r="UBT1448"/>
      <c r="UBU1448"/>
      <c r="UBV1448"/>
      <c r="UBW1448"/>
      <c r="UBX1448"/>
      <c r="UBY1448"/>
      <c r="UBZ1448"/>
      <c r="UCA1448"/>
      <c r="UCB1448"/>
      <c r="UCC1448"/>
      <c r="UCD1448"/>
      <c r="UCE1448"/>
      <c r="UCF1448"/>
      <c r="UCG1448"/>
      <c r="UCH1448"/>
      <c r="UCI1448"/>
      <c r="UCJ1448"/>
      <c r="UCK1448"/>
      <c r="UCL1448"/>
      <c r="UCM1448"/>
      <c r="UCN1448"/>
      <c r="UCO1448"/>
      <c r="UCP1448"/>
      <c r="UCQ1448"/>
      <c r="UCR1448"/>
      <c r="UCS1448"/>
      <c r="UCT1448"/>
      <c r="UCU1448"/>
      <c r="UCV1448"/>
      <c r="UCW1448"/>
      <c r="UCX1448"/>
      <c r="UCY1448"/>
      <c r="UCZ1448"/>
      <c r="UDA1448"/>
      <c r="UDB1448"/>
      <c r="UDC1448"/>
      <c r="UDD1448"/>
      <c r="UDE1448"/>
      <c r="UDF1448"/>
      <c r="UDG1448"/>
      <c r="UDH1448"/>
      <c r="UDI1448"/>
      <c r="UDJ1448"/>
      <c r="UDK1448"/>
      <c r="UDL1448"/>
      <c r="UDM1448"/>
      <c r="UDN1448"/>
      <c r="UDO1448"/>
      <c r="UDP1448"/>
      <c r="UDQ1448"/>
      <c r="UDR1448"/>
      <c r="UDS1448"/>
      <c r="UDT1448"/>
      <c r="UDU1448"/>
      <c r="UDV1448"/>
      <c r="UDW1448"/>
      <c r="UDX1448"/>
      <c r="UDY1448"/>
      <c r="UDZ1448"/>
      <c r="UEA1448"/>
      <c r="UEB1448"/>
      <c r="UEC1448"/>
      <c r="UED1448"/>
      <c r="UEE1448"/>
      <c r="UEF1448"/>
      <c r="UEG1448"/>
      <c r="UEH1448"/>
      <c r="UEI1448"/>
      <c r="UEJ1448"/>
      <c r="UEK1448"/>
      <c r="UEL1448"/>
      <c r="UEM1448"/>
      <c r="UEN1448"/>
      <c r="UEO1448"/>
      <c r="UEP1448"/>
      <c r="UEQ1448"/>
      <c r="UER1448"/>
      <c r="UES1448"/>
      <c r="UET1448"/>
      <c r="UEU1448"/>
      <c r="UEV1448"/>
      <c r="UEW1448"/>
      <c r="UEX1448"/>
      <c r="UEY1448"/>
      <c r="UEZ1448"/>
      <c r="UFA1448"/>
      <c r="UFB1448"/>
      <c r="UFC1448"/>
      <c r="UFD1448"/>
      <c r="UFE1448"/>
      <c r="UFF1448"/>
      <c r="UFG1448"/>
      <c r="UFH1448"/>
      <c r="UFI1448"/>
      <c r="UFJ1448"/>
      <c r="UFK1448"/>
      <c r="UFL1448"/>
      <c r="UFM1448"/>
      <c r="UFN1448"/>
      <c r="UFO1448"/>
      <c r="UFP1448"/>
      <c r="UFQ1448"/>
      <c r="UFR1448"/>
      <c r="UFS1448"/>
      <c r="UFT1448"/>
      <c r="UFU1448"/>
      <c r="UFV1448"/>
      <c r="UFW1448"/>
      <c r="UFX1448"/>
      <c r="UFY1448"/>
      <c r="UFZ1448"/>
      <c r="UGA1448"/>
      <c r="UGB1448"/>
      <c r="UGC1448"/>
      <c r="UGD1448"/>
      <c r="UGE1448"/>
      <c r="UGF1448"/>
      <c r="UGG1448"/>
      <c r="UGH1448"/>
      <c r="UGI1448"/>
      <c r="UGJ1448"/>
      <c r="UGK1448"/>
      <c r="UGL1448"/>
      <c r="UGM1448"/>
      <c r="UGN1448"/>
      <c r="UGO1448"/>
      <c r="UGP1448"/>
      <c r="UGQ1448"/>
      <c r="UGR1448"/>
      <c r="UGS1448"/>
      <c r="UGT1448"/>
      <c r="UGU1448"/>
      <c r="UGV1448"/>
      <c r="UGW1448"/>
      <c r="UGX1448"/>
      <c r="UGY1448"/>
      <c r="UGZ1448"/>
      <c r="UHA1448"/>
      <c r="UHB1448"/>
      <c r="UHC1448"/>
      <c r="UHD1448"/>
      <c r="UHE1448"/>
      <c r="UHF1448"/>
      <c r="UHG1448"/>
      <c r="UHH1448"/>
      <c r="UHI1448"/>
      <c r="UHJ1448"/>
      <c r="UHK1448"/>
      <c r="UHL1448"/>
      <c r="UHM1448"/>
      <c r="UHN1448"/>
      <c r="UHO1448"/>
      <c r="UHP1448"/>
      <c r="UHQ1448"/>
      <c r="UHR1448"/>
      <c r="UHS1448"/>
      <c r="UHT1448"/>
      <c r="UHU1448"/>
      <c r="UHV1448"/>
      <c r="UHW1448"/>
      <c r="UHX1448"/>
      <c r="UHY1448"/>
      <c r="UHZ1448"/>
      <c r="UIA1448"/>
      <c r="UIB1448"/>
      <c r="UIC1448"/>
      <c r="UID1448"/>
      <c r="UIE1448"/>
      <c r="UIF1448"/>
      <c r="UIG1448"/>
      <c r="UIH1448"/>
      <c r="UII1448"/>
      <c r="UIJ1448"/>
      <c r="UIK1448"/>
      <c r="UIL1448"/>
      <c r="UIM1448"/>
      <c r="UIN1448"/>
      <c r="UIO1448"/>
      <c r="UIP1448"/>
      <c r="UIQ1448"/>
      <c r="UIR1448"/>
      <c r="UIS1448"/>
      <c r="UIT1448"/>
      <c r="UIU1448"/>
      <c r="UIV1448"/>
      <c r="UIW1448"/>
      <c r="UIX1448"/>
      <c r="UIY1448"/>
      <c r="UIZ1448"/>
      <c r="UJA1448"/>
      <c r="UJB1448"/>
      <c r="UJC1448"/>
      <c r="UJD1448"/>
      <c r="UJE1448"/>
      <c r="UJF1448"/>
      <c r="UJG1448"/>
      <c r="UJH1448"/>
      <c r="UJI1448"/>
      <c r="UJJ1448"/>
      <c r="UJK1448"/>
      <c r="UJL1448"/>
      <c r="UJM1448"/>
      <c r="UJN1448"/>
      <c r="UJO1448"/>
      <c r="UJP1448"/>
      <c r="UJQ1448"/>
      <c r="UJR1448"/>
      <c r="UJS1448"/>
      <c r="UJT1448"/>
      <c r="UJU1448"/>
      <c r="UJV1448"/>
      <c r="UJW1448"/>
      <c r="UJX1448"/>
      <c r="UJY1448"/>
      <c r="UJZ1448"/>
      <c r="UKA1448"/>
      <c r="UKB1448"/>
      <c r="UKC1448"/>
      <c r="UKD1448"/>
      <c r="UKE1448"/>
      <c r="UKF1448"/>
      <c r="UKG1448"/>
      <c r="UKH1448"/>
      <c r="UKI1448"/>
      <c r="UKJ1448"/>
      <c r="UKK1448"/>
      <c r="UKL1448"/>
      <c r="UKM1448"/>
      <c r="UKN1448"/>
      <c r="UKO1448"/>
      <c r="UKP1448"/>
      <c r="UKQ1448"/>
      <c r="UKR1448"/>
      <c r="UKS1448"/>
      <c r="UKT1448"/>
      <c r="UKU1448"/>
      <c r="UKV1448"/>
      <c r="UKW1448"/>
      <c r="UKX1448"/>
      <c r="UKY1448"/>
      <c r="UKZ1448"/>
      <c r="ULA1448"/>
      <c r="ULB1448"/>
      <c r="ULC1448"/>
      <c r="ULD1448"/>
      <c r="ULE1448"/>
      <c r="ULF1448"/>
      <c r="ULG1448"/>
      <c r="ULH1448"/>
      <c r="ULI1448"/>
      <c r="ULJ1448"/>
      <c r="ULK1448"/>
      <c r="ULL1448"/>
      <c r="ULM1448"/>
      <c r="ULN1448"/>
      <c r="ULO1448"/>
      <c r="ULP1448"/>
      <c r="ULQ1448"/>
      <c r="ULR1448"/>
      <c r="ULS1448"/>
      <c r="ULT1448"/>
      <c r="ULU1448"/>
      <c r="ULV1448"/>
      <c r="ULW1448"/>
      <c r="ULX1448"/>
      <c r="ULY1448"/>
      <c r="ULZ1448"/>
      <c r="UMA1448"/>
      <c r="UMB1448"/>
      <c r="UMC1448"/>
      <c r="UMD1448"/>
      <c r="UME1448"/>
      <c r="UMF1448"/>
      <c r="UMG1448"/>
      <c r="UMH1448"/>
      <c r="UMI1448"/>
      <c r="UMJ1448"/>
      <c r="UMK1448"/>
      <c r="UML1448"/>
      <c r="UMM1448"/>
      <c r="UMN1448"/>
      <c r="UMO1448"/>
      <c r="UMP1448"/>
      <c r="UMQ1448"/>
      <c r="UMR1448"/>
      <c r="UMS1448"/>
      <c r="UMT1448"/>
      <c r="UMU1448"/>
      <c r="UMV1448"/>
      <c r="UMW1448"/>
      <c r="UMX1448"/>
      <c r="UMY1448"/>
      <c r="UMZ1448"/>
      <c r="UNA1448"/>
      <c r="UNB1448"/>
      <c r="UNC1448"/>
      <c r="UND1448"/>
      <c r="UNE1448"/>
      <c r="UNF1448"/>
      <c r="UNG1448"/>
      <c r="UNH1448"/>
      <c r="UNI1448"/>
      <c r="UNJ1448"/>
      <c r="UNK1448"/>
      <c r="UNL1448"/>
      <c r="UNM1448"/>
      <c r="UNN1448"/>
      <c r="UNO1448"/>
      <c r="UNP1448"/>
      <c r="UNQ1448"/>
      <c r="UNR1448"/>
      <c r="UNS1448"/>
      <c r="UNT1448"/>
      <c r="UNU1448"/>
      <c r="UNV1448"/>
      <c r="UNW1448"/>
      <c r="UNX1448"/>
      <c r="UNY1448"/>
      <c r="UNZ1448"/>
      <c r="UOA1448"/>
      <c r="UOB1448"/>
      <c r="UOC1448"/>
      <c r="UOD1448"/>
      <c r="UOE1448"/>
      <c r="UOF1448"/>
      <c r="UOG1448"/>
      <c r="UOH1448"/>
      <c r="UOI1448"/>
      <c r="UOJ1448"/>
      <c r="UOK1448"/>
      <c r="UOL1448"/>
      <c r="UOM1448"/>
      <c r="UON1448"/>
      <c r="UOO1448"/>
      <c r="UOP1448"/>
      <c r="UOQ1448"/>
      <c r="UOR1448"/>
      <c r="UOS1448"/>
      <c r="UOT1448"/>
      <c r="UOU1448"/>
      <c r="UOV1448"/>
      <c r="UOW1448"/>
      <c r="UOX1448"/>
      <c r="UOY1448"/>
      <c r="UOZ1448"/>
      <c r="UPA1448"/>
      <c r="UPB1448"/>
      <c r="UPC1448"/>
      <c r="UPD1448"/>
      <c r="UPE1448"/>
      <c r="UPF1448"/>
      <c r="UPG1448"/>
      <c r="UPH1448"/>
      <c r="UPI1448"/>
      <c r="UPJ1448"/>
      <c r="UPK1448"/>
      <c r="UPL1448"/>
      <c r="UPM1448"/>
      <c r="UPN1448"/>
      <c r="UPO1448"/>
      <c r="UPP1448"/>
      <c r="UPQ1448"/>
      <c r="UPR1448"/>
      <c r="UPS1448"/>
      <c r="UPT1448"/>
      <c r="UPU1448"/>
      <c r="UPV1448"/>
      <c r="UPW1448"/>
      <c r="UPX1448"/>
      <c r="UPY1448"/>
      <c r="UPZ1448"/>
      <c r="UQA1448"/>
      <c r="UQB1448"/>
      <c r="UQC1448"/>
      <c r="UQD1448"/>
      <c r="UQE1448"/>
      <c r="UQF1448"/>
      <c r="UQG1448"/>
      <c r="UQH1448"/>
      <c r="UQI1448"/>
      <c r="UQJ1448"/>
      <c r="UQK1448"/>
      <c r="UQL1448"/>
      <c r="UQM1448"/>
      <c r="UQN1448"/>
      <c r="UQO1448"/>
      <c r="UQP1448"/>
      <c r="UQQ1448"/>
      <c r="UQR1448"/>
      <c r="UQS1448"/>
      <c r="UQT1448"/>
      <c r="UQU1448"/>
      <c r="UQV1448"/>
      <c r="UQW1448"/>
      <c r="UQX1448"/>
      <c r="UQY1448"/>
      <c r="UQZ1448"/>
      <c r="URA1448"/>
      <c r="URB1448"/>
      <c r="URC1448"/>
      <c r="URD1448"/>
      <c r="URE1448"/>
      <c r="URF1448"/>
      <c r="URG1448"/>
      <c r="URH1448"/>
      <c r="URI1448"/>
      <c r="URJ1448"/>
      <c r="URK1448"/>
      <c r="URL1448"/>
      <c r="URM1448"/>
      <c r="URN1448"/>
      <c r="URO1448"/>
      <c r="URP1448"/>
      <c r="URQ1448"/>
      <c r="URR1448"/>
      <c r="URS1448"/>
      <c r="URT1448"/>
      <c r="URU1448"/>
      <c r="URV1448"/>
      <c r="URW1448"/>
      <c r="URX1448"/>
      <c r="URY1448"/>
      <c r="URZ1448"/>
      <c r="USA1448"/>
      <c r="USB1448"/>
      <c r="USC1448"/>
      <c r="USD1448"/>
      <c r="USE1448"/>
      <c r="USF1448"/>
      <c r="USG1448"/>
      <c r="USH1448"/>
      <c r="USI1448"/>
      <c r="USJ1448"/>
      <c r="USK1448"/>
      <c r="USL1448"/>
      <c r="USM1448"/>
      <c r="USN1448"/>
      <c r="USO1448"/>
      <c r="USP1448"/>
      <c r="USQ1448"/>
      <c r="USR1448"/>
      <c r="USS1448"/>
      <c r="UST1448"/>
      <c r="USU1448"/>
      <c r="USV1448"/>
      <c r="USW1448"/>
      <c r="USX1448"/>
      <c r="USY1448"/>
      <c r="USZ1448"/>
      <c r="UTA1448"/>
      <c r="UTB1448"/>
      <c r="UTC1448"/>
      <c r="UTD1448"/>
      <c r="UTE1448"/>
      <c r="UTF1448"/>
      <c r="UTG1448"/>
      <c r="UTH1448"/>
      <c r="UTI1448"/>
      <c r="UTJ1448"/>
      <c r="UTK1448"/>
      <c r="UTL1448"/>
      <c r="UTM1448"/>
      <c r="UTN1448"/>
      <c r="UTO1448"/>
      <c r="UTP1448"/>
      <c r="UTQ1448"/>
      <c r="UTR1448"/>
      <c r="UTS1448"/>
      <c r="UTT1448"/>
      <c r="UTU1448"/>
      <c r="UTV1448"/>
      <c r="UTW1448"/>
      <c r="UTX1448"/>
      <c r="UTY1448"/>
      <c r="UTZ1448"/>
      <c r="UUA1448"/>
      <c r="UUB1448"/>
      <c r="UUC1448"/>
      <c r="UUD1448"/>
      <c r="UUE1448"/>
      <c r="UUF1448"/>
      <c r="UUG1448"/>
      <c r="UUH1448"/>
      <c r="UUI1448"/>
      <c r="UUJ1448"/>
      <c r="UUK1448"/>
      <c r="UUL1448"/>
      <c r="UUM1448"/>
      <c r="UUN1448"/>
      <c r="UUO1448"/>
      <c r="UUP1448"/>
      <c r="UUQ1448"/>
      <c r="UUR1448"/>
      <c r="UUS1448"/>
      <c r="UUT1448"/>
      <c r="UUU1448"/>
      <c r="UUV1448"/>
      <c r="UUW1448"/>
      <c r="UUX1448"/>
      <c r="UUY1448"/>
      <c r="UUZ1448"/>
      <c r="UVA1448"/>
      <c r="UVB1448"/>
      <c r="UVC1448"/>
      <c r="UVD1448"/>
      <c r="UVE1448"/>
      <c r="UVF1448"/>
      <c r="UVG1448"/>
      <c r="UVH1448"/>
      <c r="UVI1448"/>
      <c r="UVJ1448"/>
      <c r="UVK1448"/>
      <c r="UVL1448"/>
      <c r="UVM1448"/>
      <c r="UVN1448"/>
      <c r="UVO1448"/>
      <c r="UVP1448"/>
      <c r="UVQ1448"/>
      <c r="UVR1448"/>
      <c r="UVS1448"/>
      <c r="UVT1448"/>
      <c r="UVU1448"/>
      <c r="UVV1448"/>
      <c r="UVW1448"/>
      <c r="UVX1448"/>
      <c r="UVY1448"/>
      <c r="UVZ1448"/>
      <c r="UWA1448"/>
      <c r="UWB1448"/>
      <c r="UWC1448"/>
      <c r="UWD1448"/>
      <c r="UWE1448"/>
      <c r="UWF1448"/>
      <c r="UWG1448"/>
      <c r="UWH1448"/>
      <c r="UWI1448"/>
      <c r="UWJ1448"/>
      <c r="UWK1448"/>
      <c r="UWL1448"/>
      <c r="UWM1448"/>
      <c r="UWN1448"/>
      <c r="UWO1448"/>
      <c r="UWP1448"/>
      <c r="UWQ1448"/>
      <c r="UWR1448"/>
      <c r="UWS1448"/>
      <c r="UWT1448"/>
      <c r="UWU1448"/>
      <c r="UWV1448"/>
      <c r="UWW1448"/>
      <c r="UWX1448"/>
      <c r="UWY1448"/>
      <c r="UWZ1448"/>
      <c r="UXA1448"/>
      <c r="UXB1448"/>
      <c r="UXC1448"/>
      <c r="UXD1448"/>
      <c r="UXE1448"/>
      <c r="UXF1448"/>
      <c r="UXG1448"/>
      <c r="UXH1448"/>
      <c r="UXI1448"/>
      <c r="UXJ1448"/>
      <c r="UXK1448"/>
      <c r="UXL1448"/>
      <c r="UXM1448"/>
      <c r="UXN1448"/>
      <c r="UXO1448"/>
      <c r="UXP1448"/>
      <c r="UXQ1448"/>
      <c r="UXR1448"/>
      <c r="UXS1448"/>
      <c r="UXT1448"/>
      <c r="UXU1448"/>
      <c r="UXV1448"/>
      <c r="UXW1448"/>
      <c r="UXX1448"/>
      <c r="UXY1448"/>
      <c r="UXZ1448"/>
      <c r="UYA1448"/>
      <c r="UYB1448"/>
      <c r="UYC1448"/>
      <c r="UYD1448"/>
      <c r="UYE1448"/>
      <c r="UYF1448"/>
      <c r="UYG1448"/>
      <c r="UYH1448"/>
      <c r="UYI1448"/>
      <c r="UYJ1448"/>
      <c r="UYK1448"/>
      <c r="UYL1448"/>
      <c r="UYM1448"/>
      <c r="UYN1448"/>
      <c r="UYO1448"/>
      <c r="UYP1448"/>
      <c r="UYQ1448"/>
      <c r="UYR1448"/>
      <c r="UYS1448"/>
      <c r="UYT1448"/>
      <c r="UYU1448"/>
      <c r="UYV1448"/>
      <c r="UYW1448"/>
      <c r="UYX1448"/>
      <c r="UYY1448"/>
      <c r="UYZ1448"/>
      <c r="UZA1448"/>
      <c r="UZB1448"/>
      <c r="UZC1448"/>
      <c r="UZD1448"/>
      <c r="UZE1448"/>
      <c r="UZF1448"/>
      <c r="UZG1448"/>
      <c r="UZH1448"/>
      <c r="UZI1448"/>
      <c r="UZJ1448"/>
      <c r="UZK1448"/>
      <c r="UZL1448"/>
      <c r="UZM1448"/>
      <c r="UZN1448"/>
      <c r="UZO1448"/>
      <c r="UZP1448"/>
      <c r="UZQ1448"/>
      <c r="UZR1448"/>
      <c r="UZS1448"/>
      <c r="UZT1448"/>
      <c r="UZU1448"/>
      <c r="UZV1448"/>
      <c r="UZW1448"/>
      <c r="UZX1448"/>
      <c r="UZY1448"/>
      <c r="UZZ1448"/>
      <c r="VAA1448"/>
      <c r="VAB1448"/>
      <c r="VAC1448"/>
      <c r="VAD1448"/>
      <c r="VAE1448"/>
      <c r="VAF1448"/>
      <c r="VAG1448"/>
      <c r="VAH1448"/>
      <c r="VAI1448"/>
      <c r="VAJ1448"/>
      <c r="VAK1448"/>
      <c r="VAL1448"/>
      <c r="VAM1448"/>
      <c r="VAN1448"/>
      <c r="VAO1448"/>
      <c r="VAP1448"/>
      <c r="VAQ1448"/>
      <c r="VAR1448"/>
      <c r="VAS1448"/>
      <c r="VAT1448"/>
      <c r="VAU1448"/>
      <c r="VAV1448"/>
      <c r="VAW1448"/>
      <c r="VAX1448"/>
      <c r="VAY1448"/>
      <c r="VAZ1448"/>
      <c r="VBA1448"/>
      <c r="VBB1448"/>
      <c r="VBC1448"/>
      <c r="VBD1448"/>
      <c r="VBE1448"/>
      <c r="VBF1448"/>
      <c r="VBG1448"/>
      <c r="VBH1448"/>
      <c r="VBI1448"/>
      <c r="VBJ1448"/>
      <c r="VBK1448"/>
      <c r="VBL1448"/>
      <c r="VBM1448"/>
      <c r="VBN1448"/>
      <c r="VBO1448"/>
      <c r="VBP1448"/>
      <c r="VBQ1448"/>
      <c r="VBR1448"/>
      <c r="VBS1448"/>
      <c r="VBT1448"/>
      <c r="VBU1448"/>
      <c r="VBV1448"/>
      <c r="VBW1448"/>
      <c r="VBX1448"/>
      <c r="VBY1448"/>
      <c r="VBZ1448"/>
      <c r="VCA1448"/>
      <c r="VCB1448"/>
      <c r="VCC1448"/>
      <c r="VCD1448"/>
      <c r="VCE1448"/>
      <c r="VCF1448"/>
      <c r="VCG1448"/>
      <c r="VCH1448"/>
      <c r="VCI1448"/>
      <c r="VCJ1448"/>
      <c r="VCK1448"/>
      <c r="VCL1448"/>
      <c r="VCM1448"/>
      <c r="VCN1448"/>
      <c r="VCO1448"/>
      <c r="VCP1448"/>
      <c r="VCQ1448"/>
      <c r="VCR1448"/>
      <c r="VCS1448"/>
      <c r="VCT1448"/>
      <c r="VCU1448"/>
      <c r="VCV1448"/>
      <c r="VCW1448"/>
      <c r="VCX1448"/>
      <c r="VCY1448"/>
      <c r="VCZ1448"/>
      <c r="VDA1448"/>
      <c r="VDB1448"/>
      <c r="VDC1448"/>
      <c r="VDD1448"/>
      <c r="VDE1448"/>
      <c r="VDF1448"/>
      <c r="VDG1448"/>
      <c r="VDH1448"/>
      <c r="VDI1448"/>
      <c r="VDJ1448"/>
      <c r="VDK1448"/>
      <c r="VDL1448"/>
      <c r="VDM1448"/>
      <c r="VDN1448"/>
      <c r="VDO1448"/>
      <c r="VDP1448"/>
      <c r="VDQ1448"/>
      <c r="VDR1448"/>
      <c r="VDS1448"/>
      <c r="VDT1448"/>
      <c r="VDU1448"/>
      <c r="VDV1448"/>
      <c r="VDW1448"/>
      <c r="VDX1448"/>
      <c r="VDY1448"/>
      <c r="VDZ1448"/>
      <c r="VEA1448"/>
      <c r="VEB1448"/>
      <c r="VEC1448"/>
      <c r="VED1448"/>
      <c r="VEE1448"/>
      <c r="VEF1448"/>
      <c r="VEG1448"/>
      <c r="VEH1448"/>
      <c r="VEI1448"/>
      <c r="VEJ1448"/>
      <c r="VEK1448"/>
      <c r="VEL1448"/>
      <c r="VEM1448"/>
      <c r="VEN1448"/>
      <c r="VEO1448"/>
      <c r="VEP1448"/>
      <c r="VEQ1448"/>
      <c r="VER1448"/>
      <c r="VES1448"/>
      <c r="VET1448"/>
      <c r="VEU1448"/>
      <c r="VEV1448"/>
      <c r="VEW1448"/>
      <c r="VEX1448"/>
      <c r="VEY1448"/>
      <c r="VEZ1448"/>
      <c r="VFA1448"/>
      <c r="VFB1448"/>
      <c r="VFC1448"/>
      <c r="VFD1448"/>
      <c r="VFE1448"/>
      <c r="VFF1448"/>
      <c r="VFG1448"/>
      <c r="VFH1448"/>
      <c r="VFI1448"/>
      <c r="VFJ1448"/>
      <c r="VFK1448"/>
      <c r="VFL1448"/>
      <c r="VFM1448"/>
      <c r="VFN1448"/>
      <c r="VFO1448"/>
      <c r="VFP1448"/>
      <c r="VFQ1448"/>
      <c r="VFR1448"/>
      <c r="VFS1448"/>
      <c r="VFT1448"/>
      <c r="VFU1448"/>
      <c r="VFV1448"/>
      <c r="VFW1448"/>
      <c r="VFX1448"/>
      <c r="VFY1448"/>
      <c r="VFZ1448"/>
      <c r="VGA1448"/>
      <c r="VGB1448"/>
      <c r="VGC1448"/>
      <c r="VGD1448"/>
      <c r="VGE1448"/>
      <c r="VGF1448"/>
      <c r="VGG1448"/>
      <c r="VGH1448"/>
      <c r="VGI1448"/>
      <c r="VGJ1448"/>
      <c r="VGK1448"/>
      <c r="VGL1448"/>
      <c r="VGM1448"/>
      <c r="VGN1448"/>
      <c r="VGO1448"/>
      <c r="VGP1448"/>
      <c r="VGQ1448"/>
      <c r="VGR1448"/>
      <c r="VGS1448"/>
      <c r="VGT1448"/>
      <c r="VGU1448"/>
      <c r="VGV1448"/>
      <c r="VGW1448"/>
      <c r="VGX1448"/>
      <c r="VGY1448"/>
      <c r="VGZ1448"/>
      <c r="VHA1448"/>
      <c r="VHB1448"/>
      <c r="VHC1448"/>
      <c r="VHD1448"/>
      <c r="VHE1448"/>
      <c r="VHF1448"/>
      <c r="VHG1448"/>
      <c r="VHH1448"/>
      <c r="VHI1448"/>
      <c r="VHJ1448"/>
      <c r="VHK1448"/>
      <c r="VHL1448"/>
      <c r="VHM1448"/>
      <c r="VHN1448"/>
      <c r="VHO1448"/>
      <c r="VHP1448"/>
      <c r="VHQ1448"/>
      <c r="VHR1448"/>
      <c r="VHS1448"/>
      <c r="VHT1448"/>
      <c r="VHU1448"/>
      <c r="VHV1448"/>
      <c r="VHW1448"/>
      <c r="VHX1448"/>
      <c r="VHY1448"/>
      <c r="VHZ1448"/>
      <c r="VIA1448"/>
      <c r="VIB1448"/>
      <c r="VIC1448"/>
      <c r="VID1448"/>
      <c r="VIE1448"/>
      <c r="VIF1448"/>
      <c r="VIG1448"/>
      <c r="VIH1448"/>
      <c r="VII1448"/>
      <c r="VIJ1448"/>
      <c r="VIK1448"/>
      <c r="VIL1448"/>
      <c r="VIM1448"/>
      <c r="VIN1448"/>
      <c r="VIO1448"/>
      <c r="VIP1448"/>
      <c r="VIQ1448"/>
      <c r="VIR1448"/>
      <c r="VIS1448"/>
      <c r="VIT1448"/>
      <c r="VIU1448"/>
      <c r="VIV1448"/>
      <c r="VIW1448"/>
      <c r="VIX1448"/>
      <c r="VIY1448"/>
      <c r="VIZ1448"/>
      <c r="VJA1448"/>
      <c r="VJB1448"/>
      <c r="VJC1448"/>
      <c r="VJD1448"/>
      <c r="VJE1448"/>
      <c r="VJF1448"/>
      <c r="VJG1448"/>
      <c r="VJH1448"/>
      <c r="VJI1448"/>
      <c r="VJJ1448"/>
      <c r="VJK1448"/>
      <c r="VJL1448"/>
      <c r="VJM1448"/>
      <c r="VJN1448"/>
      <c r="VJO1448"/>
      <c r="VJP1448"/>
      <c r="VJQ1448"/>
      <c r="VJR1448"/>
      <c r="VJS1448"/>
      <c r="VJT1448"/>
      <c r="VJU1448"/>
      <c r="VJV1448"/>
      <c r="VJW1448"/>
      <c r="VJX1448"/>
      <c r="VJY1448"/>
      <c r="VJZ1448"/>
      <c r="VKA1448"/>
      <c r="VKB1448"/>
      <c r="VKC1448"/>
      <c r="VKD1448"/>
      <c r="VKE1448"/>
      <c r="VKF1448"/>
      <c r="VKG1448"/>
      <c r="VKH1448"/>
      <c r="VKI1448"/>
      <c r="VKJ1448"/>
      <c r="VKK1448"/>
      <c r="VKL1448"/>
      <c r="VKM1448"/>
      <c r="VKN1448"/>
      <c r="VKO1448"/>
      <c r="VKP1448"/>
      <c r="VKQ1448"/>
      <c r="VKR1448"/>
      <c r="VKS1448"/>
      <c r="VKT1448"/>
      <c r="VKU1448"/>
      <c r="VKV1448"/>
      <c r="VKW1448"/>
      <c r="VKX1448"/>
      <c r="VKY1448"/>
      <c r="VKZ1448"/>
      <c r="VLA1448"/>
      <c r="VLB1448"/>
      <c r="VLC1448"/>
      <c r="VLD1448"/>
      <c r="VLE1448"/>
      <c r="VLF1448"/>
      <c r="VLG1448"/>
      <c r="VLH1448"/>
      <c r="VLI1448"/>
      <c r="VLJ1448"/>
      <c r="VLK1448"/>
      <c r="VLL1448"/>
      <c r="VLM1448"/>
      <c r="VLN1448"/>
      <c r="VLO1448"/>
      <c r="VLP1448"/>
      <c r="VLQ1448"/>
      <c r="VLR1448"/>
      <c r="VLS1448"/>
      <c r="VLT1448"/>
      <c r="VLU1448"/>
      <c r="VLV1448"/>
      <c r="VLW1448"/>
      <c r="VLX1448"/>
      <c r="VLY1448"/>
      <c r="VLZ1448"/>
      <c r="VMA1448"/>
      <c r="VMB1448"/>
      <c r="VMC1448"/>
      <c r="VMD1448"/>
      <c r="VME1448"/>
      <c r="VMF1448"/>
      <c r="VMG1448"/>
      <c r="VMH1448"/>
      <c r="VMI1448"/>
      <c r="VMJ1448"/>
      <c r="VMK1448"/>
      <c r="VML1448"/>
      <c r="VMM1448"/>
      <c r="VMN1448"/>
      <c r="VMO1448"/>
      <c r="VMP1448"/>
      <c r="VMQ1448"/>
      <c r="VMR1448"/>
      <c r="VMS1448"/>
      <c r="VMT1448"/>
      <c r="VMU1448"/>
      <c r="VMV1448"/>
      <c r="VMW1448"/>
      <c r="VMX1448"/>
      <c r="VMY1448"/>
      <c r="VMZ1448"/>
      <c r="VNA1448"/>
      <c r="VNB1448"/>
      <c r="VNC1448"/>
      <c r="VND1448"/>
      <c r="VNE1448"/>
      <c r="VNF1448"/>
      <c r="VNG1448"/>
      <c r="VNH1448"/>
      <c r="VNI1448"/>
      <c r="VNJ1448"/>
      <c r="VNK1448"/>
      <c r="VNL1448"/>
      <c r="VNM1448"/>
      <c r="VNN1448"/>
      <c r="VNO1448"/>
      <c r="VNP1448"/>
      <c r="VNQ1448"/>
      <c r="VNR1448"/>
      <c r="VNS1448"/>
      <c r="VNT1448"/>
      <c r="VNU1448"/>
      <c r="VNV1448"/>
      <c r="VNW1448"/>
      <c r="VNX1448"/>
      <c r="VNY1448"/>
      <c r="VNZ1448"/>
      <c r="VOA1448"/>
      <c r="VOB1448"/>
      <c r="VOC1448"/>
      <c r="VOD1448"/>
      <c r="VOE1448"/>
      <c r="VOF1448"/>
      <c r="VOG1448"/>
      <c r="VOH1448"/>
      <c r="VOI1448"/>
      <c r="VOJ1448"/>
      <c r="VOK1448"/>
      <c r="VOL1448"/>
      <c r="VOM1448"/>
      <c r="VON1448"/>
      <c r="VOO1448"/>
      <c r="VOP1448"/>
      <c r="VOQ1448"/>
      <c r="VOR1448"/>
      <c r="VOS1448"/>
      <c r="VOT1448"/>
      <c r="VOU1448"/>
      <c r="VOV1448"/>
      <c r="VOW1448"/>
      <c r="VOX1448"/>
      <c r="VOY1448"/>
      <c r="VOZ1448"/>
      <c r="VPA1448"/>
      <c r="VPB1448"/>
      <c r="VPC1448"/>
      <c r="VPD1448"/>
      <c r="VPE1448"/>
      <c r="VPF1448"/>
      <c r="VPG1448"/>
      <c r="VPH1448"/>
      <c r="VPI1448"/>
      <c r="VPJ1448"/>
      <c r="VPK1448"/>
      <c r="VPL1448"/>
      <c r="VPM1448"/>
      <c r="VPN1448"/>
      <c r="VPO1448"/>
      <c r="VPP1448"/>
      <c r="VPQ1448"/>
      <c r="VPR1448"/>
      <c r="VPS1448"/>
      <c r="VPT1448"/>
      <c r="VPU1448"/>
      <c r="VPV1448"/>
      <c r="VPW1448"/>
      <c r="VPX1448"/>
      <c r="VPY1448"/>
      <c r="VPZ1448"/>
      <c r="VQA1448"/>
      <c r="VQB1448"/>
      <c r="VQC1448"/>
      <c r="VQD1448"/>
      <c r="VQE1448"/>
      <c r="VQF1448"/>
      <c r="VQG1448"/>
      <c r="VQH1448"/>
      <c r="VQI1448"/>
      <c r="VQJ1448"/>
      <c r="VQK1448"/>
      <c r="VQL1448"/>
      <c r="VQM1448"/>
      <c r="VQN1448"/>
      <c r="VQO1448"/>
      <c r="VQP1448"/>
      <c r="VQQ1448"/>
      <c r="VQR1448"/>
      <c r="VQS1448"/>
      <c r="VQT1448"/>
      <c r="VQU1448"/>
      <c r="VQV1448"/>
      <c r="VQW1448"/>
      <c r="VQX1448"/>
      <c r="VQY1448"/>
      <c r="VQZ1448"/>
      <c r="VRA1448"/>
      <c r="VRB1448"/>
      <c r="VRC1448"/>
      <c r="VRD1448"/>
      <c r="VRE1448"/>
      <c r="VRF1448"/>
      <c r="VRG1448"/>
      <c r="VRH1448"/>
      <c r="VRI1448"/>
      <c r="VRJ1448"/>
      <c r="VRK1448"/>
      <c r="VRL1448"/>
      <c r="VRM1448"/>
      <c r="VRN1448"/>
      <c r="VRO1448"/>
      <c r="VRP1448"/>
      <c r="VRQ1448"/>
      <c r="VRR1448"/>
      <c r="VRS1448"/>
      <c r="VRT1448"/>
      <c r="VRU1448"/>
      <c r="VRV1448"/>
      <c r="VRW1448"/>
      <c r="VRX1448"/>
      <c r="VRY1448"/>
      <c r="VRZ1448"/>
      <c r="VSA1448"/>
      <c r="VSB1448"/>
      <c r="VSC1448"/>
      <c r="VSD1448"/>
      <c r="VSE1448"/>
      <c r="VSF1448"/>
      <c r="VSG1448"/>
      <c r="VSH1448"/>
      <c r="VSI1448"/>
      <c r="VSJ1448"/>
      <c r="VSK1448"/>
      <c r="VSL1448"/>
      <c r="VSM1448"/>
      <c r="VSN1448"/>
      <c r="VSO1448"/>
      <c r="VSP1448"/>
      <c r="VSQ1448"/>
      <c r="VSR1448"/>
      <c r="VSS1448"/>
      <c r="VST1448"/>
      <c r="VSU1448"/>
      <c r="VSV1448"/>
      <c r="VSW1448"/>
      <c r="VSX1448"/>
      <c r="VSY1448"/>
      <c r="VSZ1448"/>
      <c r="VTA1448"/>
      <c r="VTB1448"/>
      <c r="VTC1448"/>
      <c r="VTD1448"/>
      <c r="VTE1448"/>
      <c r="VTF1448"/>
      <c r="VTG1448"/>
      <c r="VTH1448"/>
      <c r="VTI1448"/>
      <c r="VTJ1448"/>
      <c r="VTK1448"/>
      <c r="VTL1448"/>
      <c r="VTM1448"/>
      <c r="VTN1448"/>
      <c r="VTO1448"/>
      <c r="VTP1448"/>
      <c r="VTQ1448"/>
      <c r="VTR1448"/>
      <c r="VTS1448"/>
      <c r="VTT1448"/>
      <c r="VTU1448"/>
      <c r="VTV1448"/>
      <c r="VTW1448"/>
      <c r="VTX1448"/>
      <c r="VTY1448"/>
      <c r="VTZ1448"/>
      <c r="VUA1448"/>
      <c r="VUB1448"/>
      <c r="VUC1448"/>
      <c r="VUD1448"/>
      <c r="VUE1448"/>
      <c r="VUF1448"/>
      <c r="VUG1448"/>
      <c r="VUH1448"/>
      <c r="VUI1448"/>
      <c r="VUJ1448"/>
      <c r="VUK1448"/>
      <c r="VUL1448"/>
      <c r="VUM1448"/>
      <c r="VUN1448"/>
      <c r="VUO1448"/>
      <c r="VUP1448"/>
      <c r="VUQ1448"/>
      <c r="VUR1448"/>
      <c r="VUS1448"/>
      <c r="VUT1448"/>
      <c r="VUU1448"/>
      <c r="VUV1448"/>
      <c r="VUW1448"/>
      <c r="VUX1448"/>
      <c r="VUY1448"/>
      <c r="VUZ1448"/>
      <c r="VVA1448"/>
      <c r="VVB1448"/>
      <c r="VVC1448"/>
      <c r="VVD1448"/>
      <c r="VVE1448"/>
      <c r="VVF1448"/>
      <c r="VVG1448"/>
      <c r="VVH1448"/>
      <c r="VVI1448"/>
      <c r="VVJ1448"/>
      <c r="VVK1448"/>
      <c r="VVL1448"/>
      <c r="VVM1448"/>
      <c r="VVN1448"/>
      <c r="VVO1448"/>
      <c r="VVP1448"/>
      <c r="VVQ1448"/>
      <c r="VVR1448"/>
      <c r="VVS1448"/>
      <c r="VVT1448"/>
      <c r="VVU1448"/>
      <c r="VVV1448"/>
      <c r="VVW1448"/>
      <c r="VVX1448"/>
      <c r="VVY1448"/>
      <c r="VVZ1448"/>
      <c r="VWA1448"/>
      <c r="VWB1448"/>
      <c r="VWC1448"/>
      <c r="VWD1448"/>
      <c r="VWE1448"/>
      <c r="VWF1448"/>
      <c r="VWG1448"/>
      <c r="VWH1448"/>
      <c r="VWI1448"/>
      <c r="VWJ1448"/>
      <c r="VWK1448"/>
      <c r="VWL1448"/>
      <c r="VWM1448"/>
      <c r="VWN1448"/>
      <c r="VWO1448"/>
      <c r="VWP1448"/>
      <c r="VWQ1448"/>
      <c r="VWR1448"/>
      <c r="VWS1448"/>
      <c r="VWT1448"/>
      <c r="VWU1448"/>
      <c r="VWV1448"/>
      <c r="VWW1448"/>
      <c r="VWX1448"/>
      <c r="VWY1448"/>
      <c r="VWZ1448"/>
      <c r="VXA1448"/>
      <c r="VXB1448"/>
      <c r="VXC1448"/>
      <c r="VXD1448"/>
      <c r="VXE1448"/>
      <c r="VXF1448"/>
      <c r="VXG1448"/>
      <c r="VXH1448"/>
      <c r="VXI1448"/>
      <c r="VXJ1448"/>
      <c r="VXK1448"/>
      <c r="VXL1448"/>
      <c r="VXM1448"/>
      <c r="VXN1448"/>
      <c r="VXO1448"/>
      <c r="VXP1448"/>
      <c r="VXQ1448"/>
      <c r="VXR1448"/>
      <c r="VXS1448"/>
      <c r="VXT1448"/>
      <c r="VXU1448"/>
      <c r="VXV1448"/>
      <c r="VXW1448"/>
      <c r="VXX1448"/>
      <c r="VXY1448"/>
      <c r="VXZ1448"/>
      <c r="VYA1448"/>
      <c r="VYB1448"/>
      <c r="VYC1448"/>
      <c r="VYD1448"/>
      <c r="VYE1448"/>
      <c r="VYF1448"/>
      <c r="VYG1448"/>
      <c r="VYH1448"/>
      <c r="VYI1448"/>
      <c r="VYJ1448"/>
      <c r="VYK1448"/>
      <c r="VYL1448"/>
      <c r="VYM1448"/>
      <c r="VYN1448"/>
      <c r="VYO1448"/>
      <c r="VYP1448"/>
      <c r="VYQ1448"/>
      <c r="VYR1448"/>
      <c r="VYS1448"/>
      <c r="VYT1448"/>
      <c r="VYU1448"/>
      <c r="VYV1448"/>
      <c r="VYW1448"/>
      <c r="VYX1448"/>
      <c r="VYY1448"/>
      <c r="VYZ1448"/>
      <c r="VZA1448"/>
      <c r="VZB1448"/>
      <c r="VZC1448"/>
      <c r="VZD1448"/>
      <c r="VZE1448"/>
      <c r="VZF1448"/>
      <c r="VZG1448"/>
      <c r="VZH1448"/>
      <c r="VZI1448"/>
      <c r="VZJ1448"/>
      <c r="VZK1448"/>
      <c r="VZL1448"/>
      <c r="VZM1448"/>
      <c r="VZN1448"/>
      <c r="VZO1448"/>
      <c r="VZP1448"/>
      <c r="VZQ1448"/>
      <c r="VZR1448"/>
      <c r="VZS1448"/>
      <c r="VZT1448"/>
      <c r="VZU1448"/>
      <c r="VZV1448"/>
      <c r="VZW1448"/>
      <c r="VZX1448"/>
      <c r="VZY1448"/>
      <c r="VZZ1448"/>
      <c r="WAA1448"/>
      <c r="WAB1448"/>
      <c r="WAC1448"/>
      <c r="WAD1448"/>
      <c r="WAE1448"/>
      <c r="WAF1448"/>
      <c r="WAG1448"/>
      <c r="WAH1448"/>
      <c r="WAI1448"/>
      <c r="WAJ1448"/>
      <c r="WAK1448"/>
      <c r="WAL1448"/>
      <c r="WAM1448"/>
      <c r="WAN1448"/>
      <c r="WAO1448"/>
      <c r="WAP1448"/>
      <c r="WAQ1448"/>
      <c r="WAR1448"/>
      <c r="WAS1448"/>
      <c r="WAT1448"/>
      <c r="WAU1448"/>
      <c r="WAV1448"/>
      <c r="WAW1448"/>
      <c r="WAX1448"/>
      <c r="WAY1448"/>
      <c r="WAZ1448"/>
      <c r="WBA1448"/>
      <c r="WBB1448"/>
      <c r="WBC1448"/>
      <c r="WBD1448"/>
      <c r="WBE1448"/>
      <c r="WBF1448"/>
      <c r="WBG1448"/>
      <c r="WBH1448"/>
      <c r="WBI1448"/>
      <c r="WBJ1448"/>
      <c r="WBK1448"/>
      <c r="WBL1448"/>
      <c r="WBM1448"/>
      <c r="WBN1448"/>
      <c r="WBO1448"/>
      <c r="WBP1448"/>
      <c r="WBQ1448"/>
      <c r="WBR1448"/>
      <c r="WBS1448"/>
      <c r="WBT1448"/>
      <c r="WBU1448"/>
      <c r="WBV1448"/>
      <c r="WBW1448"/>
      <c r="WBX1448"/>
      <c r="WBY1448"/>
      <c r="WBZ1448"/>
      <c r="WCA1448"/>
      <c r="WCB1448"/>
      <c r="WCC1448"/>
      <c r="WCD1448"/>
      <c r="WCE1448"/>
      <c r="WCF1448"/>
      <c r="WCG1448"/>
      <c r="WCH1448"/>
      <c r="WCI1448"/>
      <c r="WCJ1448"/>
      <c r="WCK1448"/>
      <c r="WCL1448"/>
      <c r="WCM1448"/>
      <c r="WCN1448"/>
      <c r="WCO1448"/>
      <c r="WCP1448"/>
      <c r="WCQ1448"/>
      <c r="WCR1448"/>
      <c r="WCS1448"/>
      <c r="WCT1448"/>
      <c r="WCU1448"/>
      <c r="WCV1448"/>
      <c r="WCW1448"/>
      <c r="WCX1448"/>
      <c r="WCY1448"/>
      <c r="WCZ1448"/>
      <c r="WDA1448"/>
      <c r="WDB1448"/>
      <c r="WDC1448"/>
      <c r="WDD1448"/>
      <c r="WDE1448"/>
      <c r="WDF1448"/>
      <c r="WDG1448"/>
      <c r="WDH1448"/>
      <c r="WDI1448"/>
      <c r="WDJ1448"/>
      <c r="WDK1448"/>
      <c r="WDL1448"/>
      <c r="WDM1448"/>
      <c r="WDN1448"/>
      <c r="WDO1448"/>
      <c r="WDP1448"/>
      <c r="WDQ1448"/>
      <c r="WDR1448"/>
      <c r="WDS1448"/>
      <c r="WDT1448"/>
      <c r="WDU1448"/>
      <c r="WDV1448"/>
      <c r="WDW1448"/>
      <c r="WDX1448"/>
      <c r="WDY1448"/>
      <c r="WDZ1448"/>
      <c r="WEA1448"/>
      <c r="WEB1448"/>
      <c r="WEC1448"/>
      <c r="WED1448"/>
      <c r="WEE1448"/>
      <c r="WEF1448"/>
      <c r="WEG1448"/>
      <c r="WEH1448"/>
      <c r="WEI1448"/>
      <c r="WEJ1448"/>
      <c r="WEK1448"/>
      <c r="WEL1448"/>
      <c r="WEM1448"/>
      <c r="WEN1448"/>
      <c r="WEO1448"/>
      <c r="WEP1448"/>
      <c r="WEQ1448"/>
      <c r="WER1448"/>
      <c r="WES1448"/>
      <c r="WET1448"/>
      <c r="WEU1448"/>
      <c r="WEV1448"/>
      <c r="WEW1448"/>
      <c r="WEX1448"/>
      <c r="WEY1448"/>
      <c r="WEZ1448"/>
      <c r="WFA1448"/>
      <c r="WFB1448"/>
      <c r="WFC1448"/>
      <c r="WFD1448"/>
      <c r="WFE1448"/>
      <c r="WFF1448"/>
      <c r="WFG1448"/>
      <c r="WFH1448"/>
      <c r="WFI1448"/>
      <c r="WFJ1448"/>
      <c r="WFK1448"/>
      <c r="WFL1448"/>
      <c r="WFM1448"/>
      <c r="WFN1448"/>
      <c r="WFO1448"/>
      <c r="WFP1448"/>
      <c r="WFQ1448"/>
      <c r="WFR1448"/>
      <c r="WFS1448"/>
      <c r="WFT1448"/>
      <c r="WFU1448"/>
      <c r="WFV1448"/>
      <c r="WFW1448"/>
      <c r="WFX1448"/>
      <c r="WFY1448"/>
      <c r="WFZ1448"/>
      <c r="WGA1448"/>
      <c r="WGB1448"/>
      <c r="WGC1448"/>
      <c r="WGD1448"/>
      <c r="WGE1448"/>
      <c r="WGF1448"/>
      <c r="WGG1448"/>
      <c r="WGH1448"/>
      <c r="WGI1448"/>
      <c r="WGJ1448"/>
      <c r="WGK1448"/>
      <c r="WGL1448"/>
      <c r="WGM1448"/>
      <c r="WGN1448"/>
      <c r="WGO1448"/>
      <c r="WGP1448"/>
      <c r="WGQ1448"/>
      <c r="WGR1448"/>
      <c r="WGS1448"/>
      <c r="WGT1448"/>
      <c r="WGU1448"/>
      <c r="WGV1448"/>
      <c r="WGW1448"/>
      <c r="WGX1448"/>
      <c r="WGY1448"/>
      <c r="WGZ1448"/>
      <c r="WHA1448"/>
      <c r="WHB1448"/>
      <c r="WHC1448"/>
      <c r="WHD1448"/>
      <c r="WHE1448"/>
      <c r="WHF1448"/>
      <c r="WHG1448"/>
      <c r="WHH1448"/>
      <c r="WHI1448"/>
      <c r="WHJ1448"/>
      <c r="WHK1448"/>
      <c r="WHL1448"/>
      <c r="WHM1448"/>
      <c r="WHN1448"/>
      <c r="WHO1448"/>
      <c r="WHP1448"/>
      <c r="WHQ1448"/>
      <c r="WHR1448"/>
      <c r="WHS1448"/>
      <c r="WHT1448"/>
      <c r="WHU1448"/>
      <c r="WHV1448"/>
      <c r="WHW1448"/>
      <c r="WHX1448"/>
      <c r="WHY1448"/>
      <c r="WHZ1448"/>
      <c r="WIA1448"/>
      <c r="WIB1448"/>
      <c r="WIC1448"/>
      <c r="WID1448"/>
      <c r="WIE1448"/>
      <c r="WIF1448"/>
      <c r="WIG1448"/>
      <c r="WIH1448"/>
      <c r="WII1448"/>
      <c r="WIJ1448"/>
      <c r="WIK1448"/>
      <c r="WIL1448"/>
      <c r="WIM1448"/>
      <c r="WIN1448"/>
      <c r="WIO1448"/>
      <c r="WIP1448"/>
      <c r="WIQ1448"/>
      <c r="WIR1448"/>
      <c r="WIS1448"/>
      <c r="WIT1448"/>
      <c r="WIU1448"/>
      <c r="WIV1448"/>
      <c r="WIW1448"/>
      <c r="WIX1448"/>
      <c r="WIY1448"/>
      <c r="WIZ1448"/>
      <c r="WJA1448"/>
      <c r="WJB1448"/>
      <c r="WJC1448"/>
      <c r="WJD1448"/>
      <c r="WJE1448"/>
      <c r="WJF1448"/>
      <c r="WJG1448"/>
      <c r="WJH1448"/>
      <c r="WJI1448"/>
      <c r="WJJ1448"/>
      <c r="WJK1448"/>
      <c r="WJL1448"/>
      <c r="WJM1448"/>
      <c r="WJN1448"/>
      <c r="WJO1448"/>
      <c r="WJP1448"/>
      <c r="WJQ1448"/>
      <c r="WJR1448"/>
      <c r="WJS1448"/>
      <c r="WJT1448"/>
      <c r="WJU1448"/>
      <c r="WJV1448"/>
      <c r="WJW1448"/>
      <c r="WJX1448"/>
      <c r="WJY1448"/>
      <c r="WJZ1448"/>
      <c r="WKA1448"/>
      <c r="WKB1448"/>
      <c r="WKC1448"/>
      <c r="WKD1448"/>
      <c r="WKE1448"/>
      <c r="WKF1448"/>
      <c r="WKG1448"/>
      <c r="WKH1448"/>
      <c r="WKI1448"/>
      <c r="WKJ1448"/>
      <c r="WKK1448"/>
      <c r="WKL1448"/>
      <c r="WKM1448"/>
      <c r="WKN1448"/>
      <c r="WKO1448"/>
      <c r="WKP1448"/>
      <c r="WKQ1448"/>
      <c r="WKR1448"/>
      <c r="WKS1448"/>
      <c r="WKT1448"/>
      <c r="WKU1448"/>
      <c r="WKV1448"/>
      <c r="WKW1448"/>
      <c r="WKX1448"/>
      <c r="WKY1448"/>
      <c r="WKZ1448"/>
      <c r="WLA1448"/>
      <c r="WLB1448"/>
      <c r="WLC1448"/>
      <c r="WLD1448"/>
      <c r="WLE1448"/>
      <c r="WLF1448"/>
      <c r="WLG1448"/>
      <c r="WLH1448"/>
      <c r="WLI1448"/>
      <c r="WLJ1448"/>
      <c r="WLK1448"/>
      <c r="WLL1448"/>
      <c r="WLM1448"/>
      <c r="WLN1448"/>
      <c r="WLO1448"/>
      <c r="WLP1448"/>
      <c r="WLQ1448"/>
      <c r="WLR1448"/>
      <c r="WLS1448"/>
      <c r="WLT1448"/>
      <c r="WLU1448"/>
      <c r="WLV1448"/>
      <c r="WLW1448"/>
      <c r="WLX1448"/>
      <c r="WLY1448"/>
      <c r="WLZ1448"/>
      <c r="WMA1448"/>
      <c r="WMB1448"/>
      <c r="WMC1448"/>
      <c r="WMD1448"/>
      <c r="WME1448"/>
      <c r="WMF1448"/>
      <c r="WMG1448"/>
      <c r="WMH1448"/>
      <c r="WMI1448"/>
      <c r="WMJ1448"/>
      <c r="WMK1448"/>
      <c r="WML1448"/>
      <c r="WMM1448"/>
      <c r="WMN1448"/>
      <c r="WMO1448"/>
      <c r="WMP1448"/>
      <c r="WMQ1448"/>
      <c r="WMR1448"/>
      <c r="WMS1448"/>
      <c r="WMT1448"/>
      <c r="WMU1448"/>
      <c r="WMV1448"/>
      <c r="WMW1448"/>
      <c r="WMX1448"/>
      <c r="WMY1448"/>
      <c r="WMZ1448"/>
      <c r="WNA1448"/>
      <c r="WNB1448"/>
      <c r="WNC1448"/>
      <c r="WND1448"/>
      <c r="WNE1448"/>
      <c r="WNF1448"/>
      <c r="WNG1448"/>
      <c r="WNH1448"/>
      <c r="WNI1448"/>
      <c r="WNJ1448"/>
      <c r="WNK1448"/>
      <c r="WNL1448"/>
      <c r="WNM1448"/>
      <c r="WNN1448"/>
      <c r="WNO1448"/>
      <c r="WNP1448"/>
      <c r="WNQ1448"/>
      <c r="WNR1448"/>
      <c r="WNS1448"/>
      <c r="WNT1448"/>
      <c r="WNU1448"/>
      <c r="WNV1448"/>
      <c r="WNW1448"/>
      <c r="WNX1448"/>
      <c r="WNY1448"/>
      <c r="WNZ1448"/>
      <c r="WOA1448"/>
      <c r="WOB1448"/>
      <c r="WOC1448"/>
      <c r="WOD1448"/>
      <c r="WOE1448"/>
      <c r="WOF1448"/>
      <c r="WOG1448"/>
      <c r="WOH1448"/>
      <c r="WOI1448"/>
      <c r="WOJ1448"/>
      <c r="WOK1448"/>
      <c r="WOL1448"/>
      <c r="WOM1448"/>
      <c r="WON1448"/>
      <c r="WOO1448"/>
      <c r="WOP1448"/>
      <c r="WOQ1448"/>
      <c r="WOR1448"/>
      <c r="WOS1448"/>
      <c r="WOT1448"/>
      <c r="WOU1448"/>
      <c r="WOV1448"/>
      <c r="WOW1448"/>
      <c r="WOX1448"/>
      <c r="WOY1448"/>
      <c r="WOZ1448"/>
      <c r="WPA1448"/>
      <c r="WPB1448"/>
      <c r="WPC1448"/>
      <c r="WPD1448"/>
      <c r="WPE1448"/>
      <c r="WPF1448"/>
      <c r="WPG1448"/>
      <c r="WPH1448"/>
      <c r="WPI1448"/>
      <c r="WPJ1448"/>
      <c r="WPK1448"/>
      <c r="WPL1448"/>
      <c r="WPM1448"/>
      <c r="WPN1448"/>
      <c r="WPO1448"/>
      <c r="WPP1448"/>
      <c r="WPQ1448"/>
      <c r="WPR1448"/>
      <c r="WPS1448"/>
      <c r="WPT1448"/>
      <c r="WPU1448"/>
      <c r="WPV1448"/>
      <c r="WPW1448"/>
      <c r="WPX1448"/>
      <c r="WPY1448"/>
      <c r="WPZ1448"/>
      <c r="WQA1448"/>
      <c r="WQB1448"/>
      <c r="WQC1448"/>
      <c r="WQD1448"/>
      <c r="WQE1448"/>
      <c r="WQF1448"/>
      <c r="WQG1448"/>
      <c r="WQH1448"/>
      <c r="WQI1448"/>
      <c r="WQJ1448"/>
      <c r="WQK1448"/>
      <c r="WQL1448"/>
      <c r="WQM1448"/>
      <c r="WQN1448"/>
      <c r="WQO1448"/>
      <c r="WQP1448"/>
      <c r="WQQ1448"/>
      <c r="WQR1448"/>
      <c r="WQS1448"/>
      <c r="WQT1448"/>
      <c r="WQU1448"/>
      <c r="WQV1448"/>
      <c r="WQW1448"/>
      <c r="WQX1448"/>
      <c r="WQY1448"/>
      <c r="WQZ1448"/>
      <c r="WRA1448"/>
      <c r="WRB1448"/>
      <c r="WRC1448"/>
      <c r="WRD1448"/>
      <c r="WRE1448"/>
      <c r="WRF1448"/>
      <c r="WRG1448"/>
      <c r="WRH1448"/>
      <c r="WRI1448"/>
      <c r="WRJ1448"/>
      <c r="WRK1448"/>
      <c r="WRL1448"/>
      <c r="WRM1448"/>
      <c r="WRN1448"/>
      <c r="WRO1448"/>
      <c r="WRP1448"/>
      <c r="WRQ1448"/>
      <c r="WRR1448"/>
      <c r="WRS1448"/>
      <c r="WRT1448"/>
      <c r="WRU1448"/>
      <c r="WRV1448"/>
      <c r="WRW1448"/>
      <c r="WRX1448"/>
      <c r="WRY1448"/>
      <c r="WRZ1448"/>
      <c r="WSA1448"/>
      <c r="WSB1448"/>
      <c r="WSC1448"/>
      <c r="WSD1448"/>
      <c r="WSE1448"/>
      <c r="WSF1448"/>
      <c r="WSG1448"/>
      <c r="WSH1448"/>
      <c r="WSI1448"/>
      <c r="WSJ1448"/>
      <c r="WSK1448"/>
      <c r="WSL1448"/>
      <c r="WSM1448"/>
      <c r="WSN1448"/>
      <c r="WSO1448"/>
      <c r="WSP1448"/>
      <c r="WSQ1448"/>
      <c r="WSR1448"/>
      <c r="WSS1448"/>
      <c r="WST1448"/>
      <c r="WSU1448"/>
      <c r="WSV1448"/>
      <c r="WSW1448"/>
      <c r="WSX1448"/>
      <c r="WSY1448"/>
      <c r="WSZ1448"/>
      <c r="WTA1448"/>
      <c r="WTB1448"/>
      <c r="WTC1448"/>
      <c r="WTD1448"/>
      <c r="WTE1448"/>
      <c r="WTF1448"/>
      <c r="WTG1448"/>
      <c r="WTH1448"/>
      <c r="WTI1448"/>
      <c r="WTJ1448"/>
      <c r="WTK1448"/>
      <c r="WTL1448"/>
      <c r="WTM1448"/>
      <c r="WTN1448"/>
      <c r="WTO1448"/>
      <c r="WTP1448"/>
      <c r="WTQ1448"/>
      <c r="WTR1448"/>
      <c r="WTS1448"/>
      <c r="WTT1448"/>
      <c r="WTU1448"/>
      <c r="WTV1448"/>
      <c r="WTW1448"/>
      <c r="WTX1448"/>
      <c r="WTY1448"/>
      <c r="WTZ1448"/>
      <c r="WUA1448"/>
      <c r="WUB1448"/>
      <c r="WUC1448"/>
      <c r="WUD1448"/>
      <c r="WUE1448"/>
      <c r="WUF1448"/>
      <c r="WUG1448"/>
      <c r="WUH1448"/>
      <c r="WUI1448"/>
      <c r="WUJ1448"/>
      <c r="WUK1448"/>
      <c r="WUL1448"/>
      <c r="WUM1448"/>
      <c r="WUN1448"/>
      <c r="WUO1448"/>
      <c r="WUP1448"/>
      <c r="WUQ1448"/>
      <c r="WUR1448"/>
      <c r="WUS1448"/>
      <c r="WUT1448"/>
      <c r="WUU1448"/>
      <c r="WUV1448"/>
      <c r="WUW1448"/>
      <c r="WUX1448"/>
      <c r="WUY1448"/>
      <c r="WUZ1448"/>
      <c r="WVA1448"/>
      <c r="WVB1448"/>
      <c r="WVC1448"/>
      <c r="WVD1448"/>
      <c r="WVE1448"/>
      <c r="WVF1448"/>
      <c r="WVG1448"/>
      <c r="WVH1448"/>
      <c r="WVI1448"/>
      <c r="WVJ1448"/>
      <c r="WVK1448"/>
      <c r="WVL1448"/>
      <c r="WVM1448"/>
      <c r="WVN1448"/>
      <c r="WVO1448"/>
      <c r="WVP1448"/>
      <c r="WVQ1448"/>
      <c r="WVR1448"/>
      <c r="WVS1448"/>
      <c r="WVT1448"/>
      <c r="WVU1448"/>
      <c r="WVV1448"/>
      <c r="WVW1448"/>
      <c r="WVX1448"/>
      <c r="WVY1448"/>
      <c r="WVZ1448"/>
      <c r="WWA1448"/>
      <c r="WWB1448"/>
      <c r="WWC1448"/>
      <c r="WWD1448"/>
      <c r="WWE1448"/>
      <c r="WWF1448"/>
      <c r="WWG1448"/>
      <c r="WWH1448"/>
      <c r="WWI1448"/>
      <c r="WWJ1448"/>
      <c r="WWK1448"/>
      <c r="WWL1448"/>
      <c r="WWM1448"/>
      <c r="WWN1448"/>
      <c r="WWO1448"/>
      <c r="WWP1448"/>
      <c r="WWQ1448"/>
      <c r="WWR1448"/>
      <c r="WWS1448"/>
      <c r="WWT1448"/>
      <c r="WWU1448"/>
      <c r="WWV1448"/>
      <c r="WWW1448"/>
      <c r="WWX1448"/>
      <c r="WWY1448"/>
      <c r="WWZ1448"/>
      <c r="WXA1448"/>
      <c r="WXB1448"/>
      <c r="WXC1448"/>
      <c r="WXD1448"/>
      <c r="WXE1448"/>
      <c r="WXF1448"/>
      <c r="WXG1448"/>
      <c r="WXH1448"/>
      <c r="WXI1448"/>
      <c r="WXJ1448"/>
      <c r="WXK1448"/>
      <c r="WXL1448"/>
      <c r="WXM1448"/>
      <c r="WXN1448"/>
      <c r="WXO1448"/>
      <c r="WXP1448"/>
      <c r="WXQ1448"/>
      <c r="WXR1448"/>
      <c r="WXS1448"/>
      <c r="WXT1448"/>
      <c r="WXU1448"/>
      <c r="WXV1448"/>
      <c r="WXW1448"/>
      <c r="WXX1448"/>
      <c r="WXY1448"/>
      <c r="WXZ1448"/>
      <c r="WYA1448"/>
      <c r="WYB1448"/>
      <c r="WYC1448"/>
      <c r="WYD1448"/>
      <c r="WYE1448"/>
      <c r="WYF1448"/>
      <c r="WYG1448"/>
      <c r="WYH1448"/>
      <c r="WYI1448"/>
      <c r="WYJ1448"/>
      <c r="WYK1448"/>
      <c r="WYL1448"/>
      <c r="WYM1448"/>
      <c r="WYN1448"/>
      <c r="WYO1448"/>
      <c r="WYP1448"/>
      <c r="WYQ1448"/>
      <c r="WYR1448"/>
      <c r="WYS1448"/>
      <c r="WYT1448"/>
      <c r="WYU1448"/>
      <c r="WYV1448"/>
      <c r="WYW1448"/>
      <c r="WYX1448"/>
      <c r="WYY1448"/>
      <c r="WYZ1448"/>
      <c r="WZA1448"/>
      <c r="WZB1448"/>
      <c r="WZC1448"/>
      <c r="WZD1448"/>
      <c r="WZE1448"/>
      <c r="WZF1448"/>
      <c r="WZG1448"/>
      <c r="WZH1448"/>
      <c r="WZI1448"/>
      <c r="WZJ1448"/>
      <c r="WZK1448"/>
      <c r="WZL1448"/>
      <c r="WZM1448"/>
      <c r="WZN1448"/>
      <c r="WZO1448"/>
      <c r="WZP1448"/>
      <c r="WZQ1448"/>
      <c r="WZR1448"/>
      <c r="WZS1448"/>
      <c r="WZT1448"/>
      <c r="WZU1448"/>
      <c r="WZV1448"/>
      <c r="WZW1448"/>
      <c r="WZX1448"/>
      <c r="WZY1448"/>
      <c r="WZZ1448"/>
      <c r="XAA1448"/>
      <c r="XAB1448"/>
      <c r="XAC1448"/>
      <c r="XAD1448"/>
      <c r="XAE1448"/>
      <c r="XAF1448"/>
      <c r="XAG1448"/>
      <c r="XAH1448"/>
      <c r="XAI1448"/>
      <c r="XAJ1448"/>
      <c r="XAK1448"/>
      <c r="XAL1448"/>
      <c r="XAM1448"/>
      <c r="XAN1448"/>
      <c r="XAO1448"/>
      <c r="XAP1448"/>
      <c r="XAQ1448"/>
      <c r="XAR1448"/>
      <c r="XAS1448"/>
      <c r="XAT1448"/>
      <c r="XAU1448"/>
      <c r="XAV1448"/>
      <c r="XAW1448"/>
      <c r="XAX1448"/>
      <c r="XAY1448"/>
      <c r="XAZ1448"/>
      <c r="XBA1448"/>
      <c r="XBB1448"/>
      <c r="XBC1448"/>
      <c r="XBD1448"/>
      <c r="XBE1448"/>
      <c r="XBF1448"/>
      <c r="XBG1448"/>
      <c r="XBH1448"/>
      <c r="XBI1448"/>
      <c r="XBJ1448"/>
      <c r="XBK1448"/>
      <c r="XBL1448"/>
      <c r="XBM1448"/>
      <c r="XBN1448"/>
      <c r="XBO1448"/>
      <c r="XBP1448"/>
      <c r="XBQ1448"/>
      <c r="XBR1448"/>
      <c r="XBS1448"/>
      <c r="XBT1448"/>
      <c r="XBU1448"/>
      <c r="XBV1448"/>
      <c r="XBW1448"/>
      <c r="XBX1448"/>
      <c r="XBY1448"/>
      <c r="XBZ1448"/>
      <c r="XCA1448"/>
      <c r="XCB1448"/>
      <c r="XCC1448"/>
      <c r="XCD1448"/>
      <c r="XCE1448"/>
      <c r="XCF1448"/>
      <c r="XCG1448"/>
      <c r="XCH1448"/>
      <c r="XCI1448"/>
      <c r="XCJ1448"/>
      <c r="XCK1448"/>
      <c r="XCL1448"/>
      <c r="XCM1448"/>
      <c r="XCN1448"/>
      <c r="XCO1448"/>
      <c r="XCP1448"/>
      <c r="XCQ1448"/>
      <c r="XCR1448"/>
      <c r="XCS1448"/>
      <c r="XCT1448"/>
      <c r="XCU1448"/>
      <c r="XCV1448"/>
      <c r="XCW1448"/>
      <c r="XCX1448"/>
      <c r="XCY1448"/>
      <c r="XCZ1448"/>
      <c r="XDA1448"/>
      <c r="XDB1448"/>
      <c r="XDC1448"/>
      <c r="XDD1448"/>
      <c r="XDE1448"/>
      <c r="XDF1448"/>
      <c r="XDG1448"/>
      <c r="XDH1448"/>
      <c r="XDI1448"/>
      <c r="XDJ1448"/>
      <c r="XDK1448"/>
      <c r="XDL1448"/>
      <c r="XDM1448"/>
      <c r="XDN1448"/>
      <c r="XDO1448"/>
      <c r="XDP1448"/>
      <c r="XDQ1448"/>
      <c r="XDR1448"/>
      <c r="XDS1448"/>
      <c r="XDT1448"/>
      <c r="XDU1448"/>
      <c r="XDV1448"/>
      <c r="XDW1448"/>
      <c r="XDX1448"/>
      <c r="XDY1448"/>
      <c r="XDZ1448"/>
      <c r="XEA1448"/>
      <c r="XEB1448"/>
      <c r="XEC1448"/>
      <c r="XED1448"/>
      <c r="XEE1448"/>
      <c r="XEF1448"/>
      <c r="XEG1448"/>
      <c r="XEH1448"/>
      <c r="XEI1448"/>
      <c r="XEJ1448"/>
      <c r="XEK1448"/>
      <c r="XEL1448"/>
      <c r="XEM1448"/>
      <c r="XEN1448"/>
      <c r="XEO1448"/>
      <c r="XEP1448"/>
      <c r="XEQ1448"/>
      <c r="XER1448"/>
      <c r="XES1448"/>
      <c r="XET1448"/>
      <c r="XEU1448"/>
      <c r="XEV1448"/>
      <c r="XEW1448"/>
      <c r="XEX1448"/>
      <c r="XEY1448"/>
      <c r="XEZ1448"/>
    </row>
    <row r="1449" spans="1:16380" s="103" customFormat="1" ht="15.95" customHeight="1" x14ac:dyDescent="0.25">
      <c r="A1449" s="166" t="s">
        <v>1727</v>
      </c>
      <c r="B1449" s="166"/>
      <c r="C1449" s="166"/>
      <c r="D1449" s="166" t="s">
        <v>1720</v>
      </c>
      <c r="E1449" s="166" t="s">
        <v>1739</v>
      </c>
      <c r="F1449" s="166">
        <v>2020</v>
      </c>
      <c r="G1449" s="166" t="s">
        <v>1721</v>
      </c>
      <c r="H1449" s="166" t="s">
        <v>1390</v>
      </c>
      <c r="I1449" s="166" t="s">
        <v>1740</v>
      </c>
      <c r="J1449" s="166" t="s">
        <v>517</v>
      </c>
      <c r="K1449" s="166" t="s">
        <v>518</v>
      </c>
      <c r="L1449" s="166" t="s">
        <v>1728</v>
      </c>
      <c r="M1449" s="166" t="s">
        <v>518</v>
      </c>
      <c r="N1449" s="19" t="s">
        <v>66</v>
      </c>
      <c r="O1449" s="166"/>
      <c r="P1449" s="166" t="s">
        <v>1390</v>
      </c>
      <c r="Q1449" s="166"/>
      <c r="R1449" s="166" t="s">
        <v>1729</v>
      </c>
      <c r="S1449" s="166"/>
      <c r="T1449" s="166" t="s">
        <v>49</v>
      </c>
      <c r="U1449" s="19" t="s">
        <v>49</v>
      </c>
      <c r="V1449" s="166">
        <v>4</v>
      </c>
      <c r="W1449" s="166" t="s">
        <v>45</v>
      </c>
      <c r="X1449" s="166" t="s">
        <v>46</v>
      </c>
      <c r="Y1449" s="166"/>
      <c r="Z1449" s="166"/>
      <c r="AA1449" s="166"/>
      <c r="AB1449" s="166">
        <v>53</v>
      </c>
      <c r="AC1449" s="166" t="s">
        <v>214</v>
      </c>
      <c r="AD1449" s="166"/>
      <c r="AE1449" s="169">
        <v>3.5</v>
      </c>
      <c r="AF1449" s="166"/>
      <c r="AG1449" s="166"/>
      <c r="AH1449" s="166"/>
      <c r="AI1449" s="166"/>
      <c r="AJ1449" s="167">
        <v>6.8</v>
      </c>
      <c r="AK1449" s="169" t="s">
        <v>1746</v>
      </c>
      <c r="AL1449" s="169" t="s">
        <v>1732</v>
      </c>
      <c r="AM1449" s="166"/>
      <c r="AN1449" s="169">
        <v>3</v>
      </c>
      <c r="AO1449" s="166"/>
      <c r="AP1449" s="168">
        <v>1.4</v>
      </c>
      <c r="AQ1449" s="169" t="s">
        <v>1755</v>
      </c>
      <c r="AR1449" s="169" t="s">
        <v>1762</v>
      </c>
      <c r="AS1449" s="166"/>
      <c r="AT1449" s="65" t="str">
        <f>IF(F1449&lt;1980,"N",IF(AC1449="M","Y",IF(AC1449="SM","Y","N")))</f>
        <v>Y</v>
      </c>
      <c r="AU1449" s="65" t="str">
        <f>IF(AT1449="N","N",IF(AJ1449&lt;6,"N",IF(AJ1449&gt;8.5,"N","Y")))</f>
        <v>Y</v>
      </c>
      <c r="AV1449" s="65" t="str">
        <f>AU1449</f>
        <v>Y</v>
      </c>
      <c r="AW1449" s="99"/>
      <c r="AX1449" s="99"/>
      <c r="AY1449" s="20"/>
      <c r="AZ1449" s="96" t="str">
        <f>IF(AV1449="N","n",T1449)</f>
        <v>EC10</v>
      </c>
      <c r="BA1449" s="96">
        <f>IF(AZ1449="n","n",VLOOKUP(AZ1449,'Conversion factors'!$C$4:$D$24,2,FALSE))</f>
        <v>1</v>
      </c>
      <c r="BB1449" s="96">
        <f>IF(BA1449="n","n",AB1449/BA1449)</f>
        <v>53</v>
      </c>
      <c r="BC1449" s="97"/>
      <c r="BD1449" s="96" t="str">
        <f>IF(AV1449="N","n",X1449)</f>
        <v>Chronic</v>
      </c>
      <c r="BE1449" s="96" t="str">
        <f>IF(BD1449="chronic","y","n")</f>
        <v>y</v>
      </c>
      <c r="BF1449" s="98" t="str">
        <f>IF(BE1449="n","",AZ1449)</f>
        <v>EC10</v>
      </c>
      <c r="BG1449" s="96" t="str">
        <f>IF(BF1449="","",IF(ISNUMBER(VLOOKUP(BF1449,'Conversion factors'!$B$35:$C$52,2,FALSE)),"y","n"))</f>
        <v>y</v>
      </c>
      <c r="BH1449" s="131"/>
      <c r="BI1449" s="126"/>
      <c r="BJ1449" s="126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  <c r="DB1449"/>
      <c r="DC1449"/>
      <c r="DD1449"/>
      <c r="DE1449"/>
      <c r="DF1449"/>
      <c r="DG1449"/>
      <c r="DH1449"/>
      <c r="DI1449"/>
      <c r="DJ1449"/>
      <c r="DK1449"/>
      <c r="DL1449"/>
      <c r="DM1449"/>
      <c r="DN1449"/>
      <c r="DO1449"/>
      <c r="DP1449"/>
      <c r="DQ1449"/>
      <c r="DR1449"/>
      <c r="DS1449"/>
      <c r="DT1449"/>
      <c r="DU1449"/>
      <c r="DV1449"/>
      <c r="DW1449"/>
      <c r="DX1449"/>
      <c r="DY1449"/>
      <c r="DZ1449"/>
      <c r="EA1449"/>
      <c r="EB1449"/>
      <c r="EC1449"/>
      <c r="ED1449"/>
      <c r="EE1449"/>
      <c r="EF1449"/>
      <c r="EG1449"/>
      <c r="EH1449"/>
      <c r="EI1449"/>
      <c r="EJ1449"/>
      <c r="EK1449"/>
      <c r="EL1449"/>
      <c r="EM1449"/>
      <c r="EN1449"/>
      <c r="EO1449"/>
      <c r="EP1449"/>
      <c r="EQ1449"/>
      <c r="ER1449"/>
      <c r="ES1449"/>
      <c r="ET1449"/>
      <c r="EU1449"/>
      <c r="EV1449"/>
      <c r="EW1449"/>
      <c r="EX1449"/>
      <c r="EY1449"/>
      <c r="EZ1449"/>
      <c r="FA1449"/>
      <c r="FB1449"/>
      <c r="FC1449"/>
      <c r="FD1449"/>
      <c r="FE1449"/>
      <c r="FF1449"/>
      <c r="FG1449"/>
      <c r="FH1449"/>
      <c r="FI1449"/>
      <c r="FJ1449"/>
      <c r="FK1449"/>
      <c r="FL1449"/>
      <c r="FM1449"/>
      <c r="FN1449"/>
      <c r="FO1449"/>
      <c r="FP1449"/>
      <c r="FQ1449"/>
      <c r="FR1449"/>
      <c r="FS1449"/>
      <c r="FT1449"/>
      <c r="FU1449"/>
      <c r="FV1449"/>
      <c r="FW1449"/>
      <c r="FX1449"/>
      <c r="FY1449"/>
      <c r="FZ1449"/>
      <c r="GA1449"/>
      <c r="GB1449"/>
      <c r="GC1449"/>
      <c r="GD1449"/>
      <c r="GE1449"/>
      <c r="GF1449"/>
      <c r="GG1449"/>
      <c r="GH1449"/>
      <c r="GI1449"/>
      <c r="GJ1449"/>
      <c r="GK1449"/>
      <c r="GL1449"/>
      <c r="GM1449"/>
      <c r="GN1449"/>
      <c r="GO1449"/>
      <c r="GP1449"/>
      <c r="GQ1449"/>
      <c r="GR1449"/>
      <c r="GS1449"/>
      <c r="GT1449"/>
      <c r="GU1449"/>
      <c r="GV1449"/>
      <c r="GW1449"/>
      <c r="GX1449"/>
      <c r="GY1449"/>
      <c r="GZ1449"/>
      <c r="HA1449"/>
      <c r="HB1449"/>
      <c r="HC1449"/>
      <c r="HD1449"/>
      <c r="HE1449"/>
      <c r="HF1449"/>
      <c r="HG1449"/>
      <c r="HH1449"/>
      <c r="HI1449"/>
      <c r="HJ1449"/>
      <c r="HK1449"/>
      <c r="HL1449"/>
      <c r="HM1449"/>
      <c r="HN1449"/>
      <c r="HO1449"/>
      <c r="HP1449"/>
      <c r="HQ1449"/>
      <c r="HR1449"/>
      <c r="HS1449"/>
      <c r="HT1449"/>
      <c r="HU1449"/>
      <c r="HV1449"/>
      <c r="HW1449"/>
      <c r="HX1449"/>
      <c r="HY1449"/>
      <c r="HZ1449"/>
      <c r="IA1449"/>
      <c r="IB1449"/>
      <c r="IC1449"/>
      <c r="ID1449"/>
      <c r="IE1449"/>
      <c r="IF1449"/>
      <c r="IG1449"/>
      <c r="IH1449"/>
      <c r="II1449"/>
      <c r="IJ1449"/>
      <c r="IK1449"/>
      <c r="IL1449"/>
      <c r="IM1449"/>
      <c r="IN1449"/>
      <c r="IO1449"/>
      <c r="IP1449"/>
      <c r="IQ1449"/>
      <c r="IR1449"/>
      <c r="IS1449"/>
      <c r="IT1449"/>
      <c r="IU1449"/>
      <c r="IV1449"/>
      <c r="IW1449"/>
      <c r="IX1449"/>
      <c r="IY1449"/>
      <c r="IZ1449"/>
      <c r="JA1449"/>
      <c r="JB1449"/>
      <c r="JC1449"/>
      <c r="JD1449"/>
      <c r="JE1449"/>
      <c r="JF1449"/>
      <c r="JG1449"/>
      <c r="JH1449"/>
      <c r="JI1449"/>
      <c r="JJ1449"/>
      <c r="JK1449"/>
      <c r="JL1449"/>
      <c r="JM1449"/>
      <c r="JN1449"/>
      <c r="JO1449"/>
      <c r="JP1449"/>
      <c r="JQ1449"/>
      <c r="JR1449"/>
      <c r="JS1449"/>
      <c r="JT1449"/>
      <c r="JU1449"/>
      <c r="JV1449"/>
      <c r="JW1449"/>
      <c r="JX1449"/>
      <c r="JY1449"/>
      <c r="JZ1449"/>
      <c r="KA1449"/>
      <c r="KB1449"/>
      <c r="KC1449"/>
      <c r="KD1449"/>
      <c r="KE1449"/>
      <c r="KF1449"/>
      <c r="KG1449"/>
      <c r="KH1449"/>
      <c r="KI1449"/>
      <c r="KJ1449"/>
      <c r="KK1449"/>
      <c r="KL1449"/>
      <c r="KM1449"/>
      <c r="KN1449"/>
      <c r="KO1449"/>
      <c r="KP1449"/>
      <c r="KQ1449"/>
      <c r="KR1449"/>
      <c r="KS1449"/>
      <c r="KT1449"/>
      <c r="KU1449"/>
      <c r="KV1449"/>
      <c r="KW1449"/>
      <c r="KX1449"/>
      <c r="KY1449"/>
      <c r="KZ1449"/>
      <c r="LA1449"/>
      <c r="LB1449"/>
      <c r="LC1449"/>
      <c r="LD1449"/>
      <c r="LE1449"/>
      <c r="LF1449"/>
      <c r="LG1449"/>
      <c r="LH1449"/>
      <c r="LI1449"/>
      <c r="LJ1449"/>
      <c r="LK1449"/>
      <c r="LL1449"/>
      <c r="LM1449"/>
      <c r="LN1449"/>
      <c r="LO1449"/>
      <c r="LP1449"/>
      <c r="LQ1449"/>
      <c r="LR1449"/>
      <c r="LS1449"/>
      <c r="LT1449"/>
      <c r="LU1449"/>
      <c r="LV1449"/>
      <c r="LW1449"/>
      <c r="LX1449"/>
      <c r="LY1449"/>
      <c r="LZ1449"/>
      <c r="MA1449"/>
      <c r="MB1449"/>
      <c r="MC1449"/>
      <c r="MD1449"/>
      <c r="ME1449"/>
      <c r="MF1449"/>
      <c r="MG1449"/>
      <c r="MH1449"/>
      <c r="MI1449"/>
      <c r="MJ1449"/>
      <c r="MK1449"/>
      <c r="ML1449"/>
      <c r="MM1449"/>
      <c r="MN1449"/>
      <c r="MO1449"/>
      <c r="MP1449"/>
      <c r="MQ1449"/>
      <c r="MR1449"/>
      <c r="MS1449"/>
      <c r="MT1449"/>
      <c r="MU1449"/>
      <c r="MV1449"/>
      <c r="MW1449"/>
      <c r="MX1449"/>
      <c r="MY1449"/>
      <c r="MZ1449"/>
      <c r="NA1449"/>
      <c r="NB1449"/>
      <c r="NC1449"/>
      <c r="ND1449"/>
      <c r="NE1449"/>
      <c r="NF1449"/>
      <c r="NG1449"/>
      <c r="NH1449"/>
      <c r="NI1449"/>
      <c r="NJ1449"/>
      <c r="NK1449"/>
      <c r="NL1449"/>
      <c r="NM1449"/>
      <c r="NN1449"/>
      <c r="NO1449"/>
      <c r="NP1449"/>
      <c r="NQ1449"/>
      <c r="NR1449"/>
      <c r="NS1449"/>
      <c r="NT1449"/>
      <c r="NU1449"/>
      <c r="NV1449"/>
      <c r="NW1449"/>
      <c r="NX1449"/>
      <c r="NY1449"/>
      <c r="NZ1449"/>
      <c r="OA1449"/>
      <c r="OB1449"/>
      <c r="OC1449"/>
      <c r="OD1449"/>
      <c r="OE1449"/>
      <c r="OF1449"/>
      <c r="OG1449"/>
      <c r="OH1449"/>
      <c r="OI1449"/>
      <c r="OJ1449"/>
      <c r="OK1449"/>
      <c r="OL1449"/>
      <c r="OM1449"/>
      <c r="ON1449"/>
      <c r="OO1449"/>
      <c r="OP1449"/>
      <c r="OQ1449"/>
      <c r="OR1449"/>
      <c r="OS1449"/>
      <c r="OT1449"/>
      <c r="OU1449"/>
      <c r="OV1449"/>
      <c r="OW1449"/>
      <c r="OX1449"/>
      <c r="OY1449"/>
      <c r="OZ1449"/>
      <c r="PA1449"/>
      <c r="PB1449"/>
      <c r="PC1449"/>
      <c r="PD1449"/>
      <c r="PE1449"/>
      <c r="PF1449"/>
      <c r="PG1449"/>
      <c r="PH1449"/>
      <c r="PI1449"/>
      <c r="PJ1449"/>
      <c r="PK1449"/>
      <c r="PL1449"/>
      <c r="PM1449"/>
      <c r="PN1449"/>
      <c r="PO1449"/>
      <c r="PP1449"/>
      <c r="PQ1449"/>
      <c r="PR1449"/>
      <c r="PS1449"/>
      <c r="PT1449"/>
      <c r="PU1449"/>
      <c r="PV1449"/>
      <c r="PW1449"/>
      <c r="PX1449"/>
      <c r="PY1449"/>
      <c r="PZ1449"/>
      <c r="QA1449"/>
      <c r="QB1449"/>
      <c r="QC1449"/>
      <c r="QD1449"/>
      <c r="QE1449"/>
      <c r="QF1449"/>
      <c r="QG1449"/>
      <c r="QH1449"/>
      <c r="QI1449"/>
      <c r="QJ1449"/>
      <c r="QK1449"/>
      <c r="QL1449"/>
      <c r="QM1449"/>
      <c r="QN1449"/>
      <c r="QO1449"/>
      <c r="QP1449"/>
      <c r="QQ1449"/>
      <c r="QR1449"/>
      <c r="QS1449"/>
      <c r="QT1449"/>
      <c r="QU1449"/>
      <c r="QV1449"/>
      <c r="QW1449"/>
      <c r="QX1449"/>
      <c r="QY1449"/>
      <c r="QZ1449"/>
      <c r="RA1449"/>
      <c r="RB1449"/>
      <c r="RC1449"/>
      <c r="RD1449"/>
      <c r="RE1449"/>
      <c r="RF1449"/>
      <c r="RG1449"/>
      <c r="RH1449"/>
      <c r="RI1449"/>
      <c r="RJ1449"/>
      <c r="RK1449"/>
      <c r="RL1449"/>
      <c r="RM1449"/>
      <c r="RN1449"/>
      <c r="RO1449"/>
      <c r="RP1449"/>
      <c r="RQ1449"/>
      <c r="RR1449"/>
      <c r="RS1449"/>
      <c r="RT1449"/>
      <c r="RU1449"/>
      <c r="RV1449"/>
      <c r="RW1449"/>
      <c r="RX1449"/>
      <c r="RY1449"/>
      <c r="RZ1449"/>
      <c r="SA1449"/>
      <c r="SB1449"/>
      <c r="SC1449"/>
      <c r="SD1449"/>
      <c r="SE1449"/>
      <c r="SF1449"/>
      <c r="SG1449"/>
      <c r="SH1449"/>
      <c r="SI1449"/>
      <c r="SJ1449"/>
      <c r="SK1449"/>
      <c r="SL1449"/>
      <c r="SM1449"/>
      <c r="SN1449"/>
      <c r="SO1449"/>
      <c r="SP1449"/>
      <c r="SQ1449"/>
      <c r="SR1449"/>
      <c r="SS1449"/>
      <c r="ST1449"/>
      <c r="SU1449"/>
      <c r="SV1449"/>
      <c r="SW1449"/>
      <c r="SX1449"/>
      <c r="SY1449"/>
      <c r="SZ1449"/>
      <c r="TA1449"/>
      <c r="TB1449"/>
      <c r="TC1449"/>
      <c r="TD1449"/>
      <c r="TE1449"/>
      <c r="TF1449"/>
      <c r="TG1449"/>
      <c r="TH1449"/>
      <c r="TI1449"/>
      <c r="TJ1449"/>
      <c r="TK1449"/>
      <c r="TL1449"/>
      <c r="TM1449"/>
      <c r="TN1449"/>
      <c r="TO1449"/>
      <c r="TP1449"/>
      <c r="TQ1449"/>
      <c r="TR1449"/>
      <c r="TS1449"/>
      <c r="TT1449"/>
      <c r="TU1449"/>
      <c r="TV1449"/>
      <c r="TW1449"/>
      <c r="TX1449"/>
      <c r="TY1449"/>
      <c r="TZ1449"/>
      <c r="UA1449"/>
      <c r="UB1449"/>
      <c r="UC1449"/>
      <c r="UD1449"/>
      <c r="UE1449"/>
      <c r="UF1449"/>
      <c r="UG1449"/>
      <c r="UH1449"/>
      <c r="UI1449"/>
      <c r="UJ1449"/>
      <c r="UK1449"/>
      <c r="UL1449"/>
      <c r="UM1449"/>
      <c r="UN1449"/>
      <c r="UO1449"/>
      <c r="UP1449"/>
      <c r="UQ1449"/>
      <c r="UR1449"/>
      <c r="US1449"/>
      <c r="UT1449"/>
      <c r="UU1449"/>
      <c r="UV1449"/>
      <c r="UW1449"/>
      <c r="UX1449"/>
      <c r="UY1449"/>
      <c r="UZ1449"/>
      <c r="VA1449"/>
      <c r="VB1449"/>
      <c r="VC1449"/>
      <c r="VD1449"/>
      <c r="VE1449"/>
      <c r="VF1449"/>
      <c r="VG1449"/>
      <c r="VH1449"/>
      <c r="VI1449"/>
      <c r="VJ1449"/>
      <c r="VK1449"/>
      <c r="VL1449"/>
      <c r="VM1449"/>
      <c r="VN1449"/>
      <c r="VO1449"/>
      <c r="VP1449"/>
      <c r="VQ1449"/>
      <c r="VR1449"/>
      <c r="VS1449"/>
      <c r="VT1449"/>
      <c r="VU1449"/>
      <c r="VV1449"/>
      <c r="VW1449"/>
      <c r="VX1449"/>
      <c r="VY1449"/>
      <c r="VZ1449"/>
      <c r="WA1449"/>
      <c r="WB1449"/>
      <c r="WC1449"/>
      <c r="WD1449"/>
      <c r="WE1449"/>
      <c r="WF1449"/>
      <c r="WG1449"/>
      <c r="WH1449"/>
      <c r="WI1449"/>
      <c r="WJ1449"/>
      <c r="WK1449"/>
      <c r="WL1449"/>
      <c r="WM1449"/>
      <c r="WN1449"/>
      <c r="WO1449"/>
      <c r="WP1449"/>
      <c r="WQ1449"/>
      <c r="WR1449"/>
      <c r="WS1449"/>
      <c r="WT1449"/>
      <c r="WU1449"/>
      <c r="WV1449"/>
      <c r="WW1449"/>
      <c r="WX1449"/>
      <c r="WY1449"/>
      <c r="WZ1449"/>
      <c r="XA1449"/>
      <c r="XB1449"/>
      <c r="XC1449"/>
      <c r="XD1449"/>
      <c r="XE1449"/>
      <c r="XF1449"/>
      <c r="XG1449"/>
      <c r="XH1449"/>
      <c r="XI1449"/>
      <c r="XJ1449"/>
      <c r="XK1449"/>
      <c r="XL1449"/>
      <c r="XM1449"/>
      <c r="XN1449"/>
      <c r="XO1449"/>
      <c r="XP1449"/>
      <c r="XQ1449"/>
      <c r="XR1449"/>
      <c r="XS1449"/>
      <c r="XT1449"/>
      <c r="XU1449"/>
      <c r="XV1449"/>
      <c r="XW1449"/>
      <c r="XX1449"/>
      <c r="XY1449"/>
      <c r="XZ1449"/>
      <c r="YA1449"/>
      <c r="YB1449"/>
      <c r="YC1449"/>
      <c r="YD1449"/>
      <c r="YE1449"/>
      <c r="YF1449"/>
      <c r="YG1449"/>
      <c r="YH1449"/>
      <c r="YI1449"/>
      <c r="YJ1449"/>
      <c r="YK1449"/>
      <c r="YL1449"/>
      <c r="YM1449"/>
      <c r="YN1449"/>
      <c r="YO1449"/>
      <c r="YP1449"/>
      <c r="YQ1449"/>
      <c r="YR1449"/>
      <c r="YS1449"/>
      <c r="YT1449"/>
      <c r="YU1449"/>
      <c r="YV1449"/>
      <c r="YW1449"/>
      <c r="YX1449"/>
      <c r="YY1449"/>
      <c r="YZ1449"/>
      <c r="ZA1449"/>
      <c r="ZB1449"/>
      <c r="ZC1449"/>
      <c r="ZD1449"/>
      <c r="ZE1449"/>
      <c r="ZF1449"/>
      <c r="ZG1449"/>
      <c r="ZH1449"/>
      <c r="ZI1449"/>
      <c r="ZJ1449"/>
      <c r="ZK1449"/>
      <c r="ZL1449"/>
      <c r="ZM1449"/>
      <c r="ZN1449"/>
      <c r="ZO1449"/>
      <c r="ZP1449"/>
      <c r="ZQ1449"/>
      <c r="ZR1449"/>
      <c r="ZS1449"/>
      <c r="ZT1449"/>
      <c r="ZU1449"/>
      <c r="ZV1449"/>
      <c r="ZW1449"/>
      <c r="ZX1449"/>
      <c r="ZY1449"/>
      <c r="ZZ1449"/>
      <c r="AAA1449"/>
      <c r="AAB1449"/>
      <c r="AAC1449"/>
      <c r="AAD1449"/>
      <c r="AAE1449"/>
      <c r="AAF1449"/>
      <c r="AAG1449"/>
      <c r="AAH1449"/>
      <c r="AAI1449"/>
      <c r="AAJ1449"/>
      <c r="AAK1449"/>
      <c r="AAL1449"/>
      <c r="AAM1449"/>
      <c r="AAN1449"/>
      <c r="AAO1449"/>
      <c r="AAP1449"/>
      <c r="AAQ1449"/>
      <c r="AAR1449"/>
      <c r="AAS1449"/>
      <c r="AAT1449"/>
      <c r="AAU1449"/>
      <c r="AAV1449"/>
      <c r="AAW1449"/>
      <c r="AAX1449"/>
      <c r="AAY1449"/>
      <c r="AAZ1449"/>
      <c r="ABA1449"/>
      <c r="ABB1449"/>
      <c r="ABC1449"/>
      <c r="ABD1449"/>
      <c r="ABE1449"/>
      <c r="ABF1449"/>
      <c r="ABG1449"/>
      <c r="ABH1449"/>
      <c r="ABI1449"/>
      <c r="ABJ1449"/>
      <c r="ABK1449"/>
      <c r="ABL1449"/>
      <c r="ABM1449"/>
      <c r="ABN1449"/>
      <c r="ABO1449"/>
      <c r="ABP1449"/>
      <c r="ABQ1449"/>
      <c r="ABR1449"/>
      <c r="ABS1449"/>
      <c r="ABT1449"/>
      <c r="ABU1449"/>
      <c r="ABV1449"/>
      <c r="ABW1449"/>
      <c r="ABX1449"/>
      <c r="ABY1449"/>
      <c r="ABZ1449"/>
      <c r="ACA1449"/>
      <c r="ACB1449"/>
      <c r="ACC1449"/>
      <c r="ACD1449"/>
      <c r="ACE1449"/>
      <c r="ACF1449"/>
      <c r="ACG1449"/>
      <c r="ACH1449"/>
      <c r="ACI1449"/>
      <c r="ACJ1449"/>
      <c r="ACK1449"/>
      <c r="ACL1449"/>
      <c r="ACM1449"/>
      <c r="ACN1449"/>
      <c r="ACO1449"/>
      <c r="ACP1449"/>
      <c r="ACQ1449"/>
      <c r="ACR1449"/>
      <c r="ACS1449"/>
      <c r="ACT1449"/>
      <c r="ACU1449"/>
      <c r="ACV1449"/>
      <c r="ACW1449"/>
      <c r="ACX1449"/>
      <c r="ACY1449"/>
      <c r="ACZ1449"/>
      <c r="ADA1449"/>
      <c r="ADB1449"/>
      <c r="ADC1449"/>
      <c r="ADD1449"/>
      <c r="ADE1449"/>
      <c r="ADF1449"/>
      <c r="ADG1449"/>
      <c r="ADH1449"/>
      <c r="ADI1449"/>
      <c r="ADJ1449"/>
      <c r="ADK1449"/>
      <c r="ADL1449"/>
      <c r="ADM1449"/>
      <c r="ADN1449"/>
      <c r="ADO1449"/>
      <c r="ADP1449"/>
      <c r="ADQ1449"/>
      <c r="ADR1449"/>
      <c r="ADS1449"/>
      <c r="ADT1449"/>
      <c r="ADU1449"/>
      <c r="ADV1449"/>
      <c r="ADW1449"/>
      <c r="ADX1449"/>
      <c r="ADY1449"/>
      <c r="ADZ1449"/>
      <c r="AEA1449"/>
      <c r="AEB1449"/>
      <c r="AEC1449"/>
      <c r="AED1449"/>
      <c r="AEE1449"/>
      <c r="AEF1449"/>
      <c r="AEG1449"/>
      <c r="AEH1449"/>
      <c r="AEI1449"/>
      <c r="AEJ1449"/>
      <c r="AEK1449"/>
      <c r="AEL1449"/>
      <c r="AEM1449"/>
      <c r="AEN1449"/>
      <c r="AEO1449"/>
      <c r="AEP1449"/>
      <c r="AEQ1449"/>
      <c r="AER1449"/>
      <c r="AES1449"/>
      <c r="AET1449"/>
      <c r="AEU1449"/>
      <c r="AEV1449"/>
      <c r="AEW1449"/>
      <c r="AEX1449"/>
      <c r="AEY1449"/>
      <c r="AEZ1449"/>
      <c r="AFA1449"/>
      <c r="AFB1449"/>
      <c r="AFC1449"/>
      <c r="AFD1449"/>
      <c r="AFE1449"/>
      <c r="AFF1449"/>
      <c r="AFG1449"/>
      <c r="AFH1449"/>
      <c r="AFI1449"/>
      <c r="AFJ1449"/>
      <c r="AFK1449"/>
      <c r="AFL1449"/>
      <c r="AFM1449"/>
      <c r="AFN1449"/>
      <c r="AFO1449"/>
      <c r="AFP1449"/>
      <c r="AFQ1449"/>
      <c r="AFR1449"/>
      <c r="AFS1449"/>
      <c r="AFT1449"/>
      <c r="AFU1449"/>
      <c r="AFV1449"/>
      <c r="AFW1449"/>
      <c r="AFX1449"/>
      <c r="AFY1449"/>
      <c r="AFZ1449"/>
      <c r="AGA1449"/>
      <c r="AGB1449"/>
      <c r="AGC1449"/>
      <c r="AGD1449"/>
      <c r="AGE1449"/>
      <c r="AGF1449"/>
      <c r="AGG1449"/>
      <c r="AGH1449"/>
      <c r="AGI1449"/>
      <c r="AGJ1449"/>
      <c r="AGK1449"/>
      <c r="AGL1449"/>
      <c r="AGM1449"/>
      <c r="AGN1449"/>
      <c r="AGO1449"/>
      <c r="AGP1449"/>
      <c r="AGQ1449"/>
      <c r="AGR1449"/>
      <c r="AGS1449"/>
      <c r="AGT1449"/>
      <c r="AGU1449"/>
      <c r="AGV1449"/>
      <c r="AGW1449"/>
      <c r="AGX1449"/>
      <c r="AGY1449"/>
      <c r="AGZ1449"/>
      <c r="AHA1449"/>
      <c r="AHB1449"/>
      <c r="AHC1449"/>
      <c r="AHD1449"/>
      <c r="AHE1449"/>
      <c r="AHF1449"/>
      <c r="AHG1449"/>
      <c r="AHH1449"/>
      <c r="AHI1449"/>
      <c r="AHJ1449"/>
      <c r="AHK1449"/>
      <c r="AHL1449"/>
      <c r="AHM1449"/>
      <c r="AHN1449"/>
      <c r="AHO1449"/>
      <c r="AHP1449"/>
      <c r="AHQ1449"/>
      <c r="AHR1449"/>
      <c r="AHS1449"/>
      <c r="AHT1449"/>
      <c r="AHU1449"/>
      <c r="AHV1449"/>
      <c r="AHW1449"/>
      <c r="AHX1449"/>
      <c r="AHY1449"/>
      <c r="AHZ1449"/>
      <c r="AIA1449"/>
      <c r="AIB1449"/>
      <c r="AIC1449"/>
      <c r="AID1449"/>
      <c r="AIE1449"/>
      <c r="AIF1449"/>
      <c r="AIG1449"/>
      <c r="AIH1449"/>
      <c r="AII1449"/>
      <c r="AIJ1449"/>
      <c r="AIK1449"/>
      <c r="AIL1449"/>
      <c r="AIM1449"/>
      <c r="AIN1449"/>
      <c r="AIO1449"/>
      <c r="AIP1449"/>
      <c r="AIQ1449"/>
      <c r="AIR1449"/>
      <c r="AIS1449"/>
      <c r="AIT1449"/>
      <c r="AIU1449"/>
      <c r="AIV1449"/>
      <c r="AIW1449"/>
      <c r="AIX1449"/>
      <c r="AIY1449"/>
      <c r="AIZ1449"/>
      <c r="AJA1449"/>
      <c r="AJB1449"/>
      <c r="AJC1449"/>
      <c r="AJD1449"/>
      <c r="AJE1449"/>
      <c r="AJF1449"/>
      <c r="AJG1449"/>
      <c r="AJH1449"/>
      <c r="AJI1449"/>
      <c r="AJJ1449"/>
      <c r="AJK1449"/>
      <c r="AJL1449"/>
      <c r="AJM1449"/>
      <c r="AJN1449"/>
      <c r="AJO1449"/>
      <c r="AJP1449"/>
      <c r="AJQ1449"/>
      <c r="AJR1449"/>
      <c r="AJS1449"/>
      <c r="AJT1449"/>
      <c r="AJU1449"/>
      <c r="AJV1449"/>
      <c r="AJW1449"/>
      <c r="AJX1449"/>
      <c r="AJY1449"/>
      <c r="AJZ1449"/>
      <c r="AKA1449"/>
      <c r="AKB1449"/>
      <c r="AKC1449"/>
      <c r="AKD1449"/>
      <c r="AKE1449"/>
      <c r="AKF1449"/>
      <c r="AKG1449"/>
      <c r="AKH1449"/>
      <c r="AKI1449"/>
      <c r="AKJ1449"/>
      <c r="AKK1449"/>
      <c r="AKL1449"/>
      <c r="AKM1449"/>
      <c r="AKN1449"/>
      <c r="AKO1449"/>
      <c r="AKP1449"/>
      <c r="AKQ1449"/>
      <c r="AKR1449"/>
      <c r="AKS1449"/>
      <c r="AKT1449"/>
      <c r="AKU1449"/>
      <c r="AKV1449"/>
      <c r="AKW1449"/>
      <c r="AKX1449"/>
      <c r="AKY1449"/>
      <c r="AKZ1449"/>
      <c r="ALA1449"/>
      <c r="ALB1449"/>
      <c r="ALC1449"/>
      <c r="ALD1449"/>
      <c r="ALE1449"/>
      <c r="ALF1449"/>
      <c r="ALG1449"/>
      <c r="ALH1449"/>
      <c r="ALI1449"/>
      <c r="ALJ1449"/>
      <c r="ALK1449"/>
      <c r="ALL1449"/>
      <c r="ALM1449"/>
      <c r="ALN1449"/>
      <c r="ALO1449"/>
      <c r="ALP1449"/>
      <c r="ALQ1449"/>
      <c r="ALR1449"/>
      <c r="ALS1449"/>
      <c r="ALT1449"/>
      <c r="ALU1449"/>
      <c r="ALV1449"/>
      <c r="ALW1449"/>
      <c r="ALX1449"/>
      <c r="ALY1449"/>
      <c r="ALZ1449"/>
      <c r="AMA1449"/>
      <c r="AMB1449"/>
      <c r="AMC1449"/>
      <c r="AMD1449"/>
      <c r="AME1449"/>
      <c r="AMF1449"/>
      <c r="AMG1449"/>
      <c r="AMH1449"/>
      <c r="AMI1449"/>
      <c r="AMJ1449"/>
      <c r="AMK1449"/>
      <c r="AML1449"/>
      <c r="AMM1449"/>
      <c r="AMN1449"/>
      <c r="AMO1449"/>
      <c r="AMP1449"/>
      <c r="AMQ1449"/>
      <c r="AMR1449"/>
      <c r="AMS1449"/>
      <c r="AMT1449"/>
      <c r="AMU1449"/>
      <c r="AMV1449"/>
      <c r="AMW1449"/>
      <c r="AMX1449"/>
      <c r="AMY1449"/>
      <c r="AMZ1449"/>
      <c r="ANA1449"/>
      <c r="ANB1449"/>
      <c r="ANC1449"/>
      <c r="AND1449"/>
      <c r="ANE1449"/>
      <c r="ANF1449"/>
      <c r="ANG1449"/>
      <c r="ANH1449"/>
      <c r="ANI1449"/>
      <c r="ANJ1449"/>
      <c r="ANK1449"/>
      <c r="ANL1449"/>
      <c r="ANM1449"/>
      <c r="ANN1449"/>
      <c r="ANO1449"/>
      <c r="ANP1449"/>
      <c r="ANQ1449"/>
      <c r="ANR1449"/>
      <c r="ANS1449"/>
      <c r="ANT1449"/>
      <c r="ANU1449"/>
      <c r="ANV1449"/>
      <c r="ANW1449"/>
      <c r="ANX1449"/>
      <c r="ANY1449"/>
      <c r="ANZ1449"/>
      <c r="AOA1449"/>
      <c r="AOB1449"/>
      <c r="AOC1449"/>
      <c r="AOD1449"/>
      <c r="AOE1449"/>
      <c r="AOF1449"/>
      <c r="AOG1449"/>
      <c r="AOH1449"/>
      <c r="AOI1449"/>
      <c r="AOJ1449"/>
      <c r="AOK1449"/>
      <c r="AOL1449"/>
      <c r="AOM1449"/>
      <c r="AON1449"/>
      <c r="AOO1449"/>
      <c r="AOP1449"/>
      <c r="AOQ1449"/>
      <c r="AOR1449"/>
      <c r="AOS1449"/>
      <c r="AOT1449"/>
      <c r="AOU1449"/>
      <c r="AOV1449"/>
      <c r="AOW1449"/>
      <c r="AOX1449"/>
      <c r="AOY1449"/>
      <c r="AOZ1449"/>
      <c r="APA1449"/>
      <c r="APB1449"/>
      <c r="APC1449"/>
      <c r="APD1449"/>
      <c r="APE1449"/>
      <c r="APF1449"/>
      <c r="APG1449"/>
      <c r="APH1449"/>
      <c r="API1449"/>
      <c r="APJ1449"/>
      <c r="APK1449"/>
      <c r="APL1449"/>
      <c r="APM1449"/>
      <c r="APN1449"/>
      <c r="APO1449"/>
      <c r="APP1449"/>
      <c r="APQ1449"/>
      <c r="APR1449"/>
      <c r="APS1449"/>
      <c r="APT1449"/>
      <c r="APU1449"/>
      <c r="APV1449"/>
      <c r="APW1449"/>
      <c r="APX1449"/>
      <c r="APY1449"/>
      <c r="APZ1449"/>
      <c r="AQA1449"/>
      <c r="AQB1449"/>
      <c r="AQC1449"/>
      <c r="AQD1449"/>
      <c r="AQE1449"/>
      <c r="AQF1449"/>
      <c r="AQG1449"/>
      <c r="AQH1449"/>
      <c r="AQI1449"/>
      <c r="AQJ1449"/>
      <c r="AQK1449"/>
      <c r="AQL1449"/>
      <c r="AQM1449"/>
      <c r="AQN1449"/>
      <c r="AQO1449"/>
      <c r="AQP1449"/>
      <c r="AQQ1449"/>
      <c r="AQR1449"/>
      <c r="AQS1449"/>
      <c r="AQT1449"/>
      <c r="AQU1449"/>
      <c r="AQV1449"/>
      <c r="AQW1449"/>
      <c r="AQX1449"/>
      <c r="AQY1449"/>
      <c r="AQZ1449"/>
      <c r="ARA1449"/>
      <c r="ARB1449"/>
      <c r="ARC1449"/>
      <c r="ARD1449"/>
      <c r="ARE1449"/>
      <c r="ARF1449"/>
      <c r="ARG1449"/>
      <c r="ARH1449"/>
      <c r="ARI1449"/>
      <c r="ARJ1449"/>
      <c r="ARK1449"/>
      <c r="ARL1449"/>
      <c r="ARM1449"/>
      <c r="ARN1449"/>
      <c r="ARO1449"/>
      <c r="ARP1449"/>
      <c r="ARQ1449"/>
      <c r="ARR1449"/>
      <c r="ARS1449"/>
      <c r="ART1449"/>
      <c r="ARU1449"/>
      <c r="ARV1449"/>
      <c r="ARW1449"/>
      <c r="ARX1449"/>
      <c r="ARY1449"/>
      <c r="ARZ1449"/>
      <c r="ASA1449"/>
      <c r="ASB1449"/>
      <c r="ASC1449"/>
      <c r="ASD1449"/>
      <c r="ASE1449"/>
      <c r="ASF1449"/>
      <c r="ASG1449"/>
      <c r="ASH1449"/>
      <c r="ASI1449"/>
      <c r="ASJ1449"/>
      <c r="ASK1449"/>
      <c r="ASL1449"/>
      <c r="ASM1449"/>
      <c r="ASN1449"/>
      <c r="ASO1449"/>
      <c r="ASP1449"/>
      <c r="ASQ1449"/>
      <c r="ASR1449"/>
      <c r="ASS1449"/>
      <c r="AST1449"/>
      <c r="ASU1449"/>
      <c r="ASV1449"/>
      <c r="ASW1449"/>
      <c r="ASX1449"/>
      <c r="ASY1449"/>
      <c r="ASZ1449"/>
      <c r="ATA1449"/>
      <c r="ATB1449"/>
      <c r="ATC1449"/>
      <c r="ATD1449"/>
      <c r="ATE1449"/>
      <c r="ATF1449"/>
      <c r="ATG1449"/>
      <c r="ATH1449"/>
      <c r="ATI1449"/>
      <c r="ATJ1449"/>
      <c r="ATK1449"/>
      <c r="ATL1449"/>
      <c r="ATM1449"/>
      <c r="ATN1449"/>
      <c r="ATO1449"/>
      <c r="ATP1449"/>
      <c r="ATQ1449"/>
      <c r="ATR1449"/>
      <c r="ATS1449"/>
      <c r="ATT1449"/>
      <c r="ATU1449"/>
      <c r="ATV1449"/>
      <c r="ATW1449"/>
      <c r="ATX1449"/>
      <c r="ATY1449"/>
      <c r="ATZ1449"/>
      <c r="AUA1449"/>
      <c r="AUB1449"/>
      <c r="AUC1449"/>
      <c r="AUD1449"/>
      <c r="AUE1449"/>
      <c r="AUF1449"/>
      <c r="AUG1449"/>
      <c r="AUH1449"/>
      <c r="AUI1449"/>
      <c r="AUJ1449"/>
      <c r="AUK1449"/>
      <c r="AUL1449"/>
      <c r="AUM1449"/>
      <c r="AUN1449"/>
      <c r="AUO1449"/>
      <c r="AUP1449"/>
      <c r="AUQ1449"/>
      <c r="AUR1449"/>
      <c r="AUS1449"/>
      <c r="AUT1449"/>
      <c r="AUU1449"/>
      <c r="AUV1449"/>
      <c r="AUW1449"/>
      <c r="AUX1449"/>
      <c r="AUY1449"/>
      <c r="AUZ1449"/>
      <c r="AVA1449"/>
      <c r="AVB1449"/>
      <c r="AVC1449"/>
      <c r="AVD1449"/>
      <c r="AVE1449"/>
      <c r="AVF1449"/>
      <c r="AVG1449"/>
      <c r="AVH1449"/>
      <c r="AVI1449"/>
      <c r="AVJ1449"/>
      <c r="AVK1449"/>
      <c r="AVL1449"/>
      <c r="AVM1449"/>
      <c r="AVN1449"/>
      <c r="AVO1449"/>
      <c r="AVP1449"/>
      <c r="AVQ1449"/>
      <c r="AVR1449"/>
      <c r="AVS1449"/>
      <c r="AVT1449"/>
      <c r="AVU1449"/>
      <c r="AVV1449"/>
      <c r="AVW1449"/>
      <c r="AVX1449"/>
      <c r="AVY1449"/>
      <c r="AVZ1449"/>
      <c r="AWA1449"/>
      <c r="AWB1449"/>
      <c r="AWC1449"/>
      <c r="AWD1449"/>
      <c r="AWE1449"/>
      <c r="AWF1449"/>
      <c r="AWG1449"/>
      <c r="AWH1449"/>
      <c r="AWI1449"/>
      <c r="AWJ1449"/>
      <c r="AWK1449"/>
      <c r="AWL1449"/>
      <c r="AWM1449"/>
      <c r="AWN1449"/>
      <c r="AWO1449"/>
      <c r="AWP1449"/>
      <c r="AWQ1449"/>
      <c r="AWR1449"/>
      <c r="AWS1449"/>
      <c r="AWT1449"/>
      <c r="AWU1449"/>
      <c r="AWV1449"/>
      <c r="AWW1449"/>
      <c r="AWX1449"/>
      <c r="AWY1449"/>
      <c r="AWZ1449"/>
      <c r="AXA1449"/>
      <c r="AXB1449"/>
      <c r="AXC1449"/>
      <c r="AXD1449"/>
      <c r="AXE1449"/>
      <c r="AXF1449"/>
      <c r="AXG1449"/>
      <c r="AXH1449"/>
      <c r="AXI1449"/>
      <c r="AXJ1449"/>
      <c r="AXK1449"/>
      <c r="AXL1449"/>
      <c r="AXM1449"/>
      <c r="AXN1449"/>
      <c r="AXO1449"/>
      <c r="AXP1449"/>
      <c r="AXQ1449"/>
      <c r="AXR1449"/>
      <c r="AXS1449"/>
      <c r="AXT1449"/>
      <c r="AXU1449"/>
      <c r="AXV1449"/>
      <c r="AXW1449"/>
      <c r="AXX1449"/>
      <c r="AXY1449"/>
      <c r="AXZ1449"/>
      <c r="AYA1449"/>
      <c r="AYB1449"/>
      <c r="AYC1449"/>
      <c r="AYD1449"/>
      <c r="AYE1449"/>
      <c r="AYF1449"/>
      <c r="AYG1449"/>
      <c r="AYH1449"/>
      <c r="AYI1449"/>
      <c r="AYJ1449"/>
      <c r="AYK1449"/>
      <c r="AYL1449"/>
      <c r="AYM1449"/>
      <c r="AYN1449"/>
      <c r="AYO1449"/>
      <c r="AYP1449"/>
      <c r="AYQ1449"/>
      <c r="AYR1449"/>
      <c r="AYS1449"/>
      <c r="AYT1449"/>
      <c r="AYU1449"/>
      <c r="AYV1449"/>
      <c r="AYW1449"/>
      <c r="AYX1449"/>
      <c r="AYY1449"/>
      <c r="AYZ1449"/>
      <c r="AZA1449"/>
      <c r="AZB1449"/>
      <c r="AZC1449"/>
      <c r="AZD1449"/>
      <c r="AZE1449"/>
      <c r="AZF1449"/>
      <c r="AZG1449"/>
      <c r="AZH1449"/>
      <c r="AZI1449"/>
      <c r="AZJ1449"/>
      <c r="AZK1449"/>
      <c r="AZL1449"/>
      <c r="AZM1449"/>
      <c r="AZN1449"/>
      <c r="AZO1449"/>
      <c r="AZP1449"/>
      <c r="AZQ1449"/>
      <c r="AZR1449"/>
      <c r="AZS1449"/>
      <c r="AZT1449"/>
      <c r="AZU1449"/>
      <c r="AZV1449"/>
      <c r="AZW1449"/>
      <c r="AZX1449"/>
      <c r="AZY1449"/>
      <c r="AZZ1449"/>
      <c r="BAA1449"/>
      <c r="BAB1449"/>
      <c r="BAC1449"/>
      <c r="BAD1449"/>
      <c r="BAE1449"/>
      <c r="BAF1449"/>
      <c r="BAG1449"/>
      <c r="BAH1449"/>
      <c r="BAI1449"/>
      <c r="BAJ1449"/>
      <c r="BAK1449"/>
      <c r="BAL1449"/>
      <c r="BAM1449"/>
      <c r="BAN1449"/>
      <c r="BAO1449"/>
      <c r="BAP1449"/>
      <c r="BAQ1449"/>
      <c r="BAR1449"/>
      <c r="BAS1449"/>
      <c r="BAT1449"/>
      <c r="BAU1449"/>
      <c r="BAV1449"/>
      <c r="BAW1449"/>
      <c r="BAX1449"/>
      <c r="BAY1449"/>
      <c r="BAZ1449"/>
      <c r="BBA1449"/>
      <c r="BBB1449"/>
      <c r="BBC1449"/>
      <c r="BBD1449"/>
      <c r="BBE1449"/>
      <c r="BBF1449"/>
      <c r="BBG1449"/>
      <c r="BBH1449"/>
      <c r="BBI1449"/>
      <c r="BBJ1449"/>
      <c r="BBK1449"/>
      <c r="BBL1449"/>
      <c r="BBM1449"/>
      <c r="BBN1449"/>
      <c r="BBO1449"/>
      <c r="BBP1449"/>
      <c r="BBQ1449"/>
      <c r="BBR1449"/>
      <c r="BBS1449"/>
      <c r="BBT1449"/>
      <c r="BBU1449"/>
      <c r="BBV1449"/>
      <c r="BBW1449"/>
      <c r="BBX1449"/>
      <c r="BBY1449"/>
      <c r="BBZ1449"/>
      <c r="BCA1449"/>
      <c r="BCB1449"/>
      <c r="BCC1449"/>
      <c r="BCD1449"/>
      <c r="BCE1449"/>
      <c r="BCF1449"/>
      <c r="BCG1449"/>
      <c r="BCH1449"/>
      <c r="BCI1449"/>
      <c r="BCJ1449"/>
      <c r="BCK1449"/>
      <c r="BCL1449"/>
      <c r="BCM1449"/>
      <c r="BCN1449"/>
      <c r="BCO1449"/>
      <c r="BCP1449"/>
      <c r="BCQ1449"/>
      <c r="BCR1449"/>
      <c r="BCS1449"/>
      <c r="BCT1449"/>
      <c r="BCU1449"/>
      <c r="BCV1449"/>
      <c r="BCW1449"/>
      <c r="BCX1449"/>
      <c r="BCY1449"/>
      <c r="BCZ1449"/>
      <c r="BDA1449"/>
      <c r="BDB1449"/>
      <c r="BDC1449"/>
      <c r="BDD1449"/>
      <c r="BDE1449"/>
      <c r="BDF1449"/>
      <c r="BDG1449"/>
      <c r="BDH1449"/>
      <c r="BDI1449"/>
      <c r="BDJ1449"/>
      <c r="BDK1449"/>
      <c r="BDL1449"/>
      <c r="BDM1449"/>
      <c r="BDN1449"/>
      <c r="BDO1449"/>
      <c r="BDP1449"/>
      <c r="BDQ1449"/>
      <c r="BDR1449"/>
      <c r="BDS1449"/>
      <c r="BDT1449"/>
      <c r="BDU1449"/>
      <c r="BDV1449"/>
      <c r="BDW1449"/>
      <c r="BDX1449"/>
      <c r="BDY1449"/>
      <c r="BDZ1449"/>
      <c r="BEA1449"/>
      <c r="BEB1449"/>
      <c r="BEC1449"/>
      <c r="BED1449"/>
      <c r="BEE1449"/>
      <c r="BEF1449"/>
      <c r="BEG1449"/>
      <c r="BEH1449"/>
      <c r="BEI1449"/>
      <c r="BEJ1449"/>
      <c r="BEK1449"/>
      <c r="BEL1449"/>
      <c r="BEM1449"/>
      <c r="BEN1449"/>
      <c r="BEO1449"/>
      <c r="BEP1449"/>
      <c r="BEQ1449"/>
      <c r="BER1449"/>
      <c r="BES1449"/>
      <c r="BET1449"/>
      <c r="BEU1449"/>
      <c r="BEV1449"/>
      <c r="BEW1449"/>
      <c r="BEX1449"/>
      <c r="BEY1449"/>
      <c r="BEZ1449"/>
      <c r="BFA1449"/>
      <c r="BFB1449"/>
      <c r="BFC1449"/>
      <c r="BFD1449"/>
      <c r="BFE1449"/>
      <c r="BFF1449"/>
      <c r="BFG1449"/>
      <c r="BFH1449"/>
      <c r="BFI1449"/>
      <c r="BFJ1449"/>
      <c r="BFK1449"/>
      <c r="BFL1449"/>
      <c r="BFM1449"/>
      <c r="BFN1449"/>
      <c r="BFO1449"/>
      <c r="BFP1449"/>
      <c r="BFQ1449"/>
      <c r="BFR1449"/>
      <c r="BFS1449"/>
      <c r="BFT1449"/>
      <c r="BFU1449"/>
      <c r="BFV1449"/>
      <c r="BFW1449"/>
      <c r="BFX1449"/>
      <c r="BFY1449"/>
      <c r="BFZ1449"/>
      <c r="BGA1449"/>
      <c r="BGB1449"/>
      <c r="BGC1449"/>
      <c r="BGD1449"/>
      <c r="BGE1449"/>
      <c r="BGF1449"/>
      <c r="BGG1449"/>
      <c r="BGH1449"/>
      <c r="BGI1449"/>
      <c r="BGJ1449"/>
      <c r="BGK1449"/>
      <c r="BGL1449"/>
      <c r="BGM1449"/>
      <c r="BGN1449"/>
      <c r="BGO1449"/>
      <c r="BGP1449"/>
      <c r="BGQ1449"/>
      <c r="BGR1449"/>
      <c r="BGS1449"/>
      <c r="BGT1449"/>
      <c r="BGU1449"/>
      <c r="BGV1449"/>
      <c r="BGW1449"/>
      <c r="BGX1449"/>
      <c r="BGY1449"/>
      <c r="BGZ1449"/>
      <c r="BHA1449"/>
      <c r="BHB1449"/>
      <c r="BHC1449"/>
      <c r="BHD1449"/>
      <c r="BHE1449"/>
      <c r="BHF1449"/>
      <c r="BHG1449"/>
      <c r="BHH1449"/>
      <c r="BHI1449"/>
      <c r="BHJ1449"/>
      <c r="BHK1449"/>
      <c r="BHL1449"/>
      <c r="BHM1449"/>
      <c r="BHN1449"/>
      <c r="BHO1449"/>
      <c r="BHP1449"/>
      <c r="BHQ1449"/>
      <c r="BHR1449"/>
      <c r="BHS1449"/>
      <c r="BHT1449"/>
      <c r="BHU1449"/>
      <c r="BHV1449"/>
      <c r="BHW1449"/>
      <c r="BHX1449"/>
      <c r="BHY1449"/>
      <c r="BHZ1449"/>
      <c r="BIA1449"/>
      <c r="BIB1449"/>
      <c r="BIC1449"/>
      <c r="BID1449"/>
      <c r="BIE1449"/>
      <c r="BIF1449"/>
      <c r="BIG1449"/>
      <c r="BIH1449"/>
      <c r="BII1449"/>
      <c r="BIJ1449"/>
      <c r="BIK1449"/>
      <c r="BIL1449"/>
      <c r="BIM1449"/>
      <c r="BIN1449"/>
      <c r="BIO1449"/>
      <c r="BIP1449"/>
      <c r="BIQ1449"/>
      <c r="BIR1449"/>
      <c r="BIS1449"/>
      <c r="BIT1449"/>
      <c r="BIU1449"/>
      <c r="BIV1449"/>
      <c r="BIW1449"/>
      <c r="BIX1449"/>
      <c r="BIY1449"/>
      <c r="BIZ1449"/>
      <c r="BJA1449"/>
      <c r="BJB1449"/>
      <c r="BJC1449"/>
      <c r="BJD1449"/>
      <c r="BJE1449"/>
      <c r="BJF1449"/>
      <c r="BJG1449"/>
      <c r="BJH1449"/>
      <c r="BJI1449"/>
      <c r="BJJ1449"/>
      <c r="BJK1449"/>
      <c r="BJL1449"/>
      <c r="BJM1449"/>
      <c r="BJN1449"/>
      <c r="BJO1449"/>
      <c r="BJP1449"/>
      <c r="BJQ1449"/>
      <c r="BJR1449"/>
      <c r="BJS1449"/>
      <c r="BJT1449"/>
      <c r="BJU1449"/>
      <c r="BJV1449"/>
      <c r="BJW1449"/>
      <c r="BJX1449"/>
      <c r="BJY1449"/>
      <c r="BJZ1449"/>
      <c r="BKA1449"/>
      <c r="BKB1449"/>
      <c r="BKC1449"/>
      <c r="BKD1449"/>
      <c r="BKE1449"/>
      <c r="BKF1449"/>
      <c r="BKG1449"/>
      <c r="BKH1449"/>
      <c r="BKI1449"/>
      <c r="BKJ1449"/>
      <c r="BKK1449"/>
      <c r="BKL1449"/>
      <c r="BKM1449"/>
      <c r="BKN1449"/>
      <c r="BKO1449"/>
      <c r="BKP1449"/>
      <c r="BKQ1449"/>
      <c r="BKR1449"/>
      <c r="BKS1449"/>
      <c r="BKT1449"/>
      <c r="BKU1449"/>
      <c r="BKV1449"/>
      <c r="BKW1449"/>
      <c r="BKX1449"/>
      <c r="BKY1449"/>
      <c r="BKZ1449"/>
      <c r="BLA1449"/>
      <c r="BLB1449"/>
      <c r="BLC1449"/>
      <c r="BLD1449"/>
      <c r="BLE1449"/>
      <c r="BLF1449"/>
      <c r="BLG1449"/>
      <c r="BLH1449"/>
      <c r="BLI1449"/>
      <c r="BLJ1449"/>
      <c r="BLK1449"/>
      <c r="BLL1449"/>
      <c r="BLM1449"/>
      <c r="BLN1449"/>
      <c r="BLO1449"/>
      <c r="BLP1449"/>
      <c r="BLQ1449"/>
      <c r="BLR1449"/>
      <c r="BLS1449"/>
      <c r="BLT1449"/>
      <c r="BLU1449"/>
      <c r="BLV1449"/>
      <c r="BLW1449"/>
      <c r="BLX1449"/>
      <c r="BLY1449"/>
      <c r="BLZ1449"/>
      <c r="BMA1449"/>
      <c r="BMB1449"/>
      <c r="BMC1449"/>
      <c r="BMD1449"/>
      <c r="BME1449"/>
      <c r="BMF1449"/>
      <c r="BMG1449"/>
      <c r="BMH1449"/>
      <c r="BMI1449"/>
      <c r="BMJ1449"/>
      <c r="BMK1449"/>
      <c r="BML1449"/>
      <c r="BMM1449"/>
      <c r="BMN1449"/>
      <c r="BMO1449"/>
      <c r="BMP1449"/>
      <c r="BMQ1449"/>
      <c r="BMR1449"/>
      <c r="BMS1449"/>
      <c r="BMT1449"/>
      <c r="BMU1449"/>
      <c r="BMV1449"/>
      <c r="BMW1449"/>
      <c r="BMX1449"/>
      <c r="BMY1449"/>
      <c r="BMZ1449"/>
      <c r="BNA1449"/>
      <c r="BNB1449"/>
      <c r="BNC1449"/>
      <c r="BND1449"/>
      <c r="BNE1449"/>
      <c r="BNF1449"/>
      <c r="BNG1449"/>
      <c r="BNH1449"/>
      <c r="BNI1449"/>
      <c r="BNJ1449"/>
      <c r="BNK1449"/>
      <c r="BNL1449"/>
      <c r="BNM1449"/>
      <c r="BNN1449"/>
      <c r="BNO1449"/>
      <c r="BNP1449"/>
      <c r="BNQ1449"/>
      <c r="BNR1449"/>
      <c r="BNS1449"/>
      <c r="BNT1449"/>
      <c r="BNU1449"/>
      <c r="BNV1449"/>
      <c r="BNW1449"/>
      <c r="BNX1449"/>
      <c r="BNY1449"/>
      <c r="BNZ1449"/>
      <c r="BOA1449"/>
      <c r="BOB1449"/>
      <c r="BOC1449"/>
      <c r="BOD1449"/>
      <c r="BOE1449"/>
      <c r="BOF1449"/>
      <c r="BOG1449"/>
      <c r="BOH1449"/>
      <c r="BOI1449"/>
      <c r="BOJ1449"/>
      <c r="BOK1449"/>
      <c r="BOL1449"/>
      <c r="BOM1449"/>
      <c r="BON1449"/>
      <c r="BOO1449"/>
      <c r="BOP1449"/>
      <c r="BOQ1449"/>
      <c r="BOR1449"/>
      <c r="BOS1449"/>
      <c r="BOT1449"/>
      <c r="BOU1449"/>
      <c r="BOV1449"/>
      <c r="BOW1449"/>
      <c r="BOX1449"/>
      <c r="BOY1449"/>
      <c r="BOZ1449"/>
      <c r="BPA1449"/>
      <c r="BPB1449"/>
      <c r="BPC1449"/>
      <c r="BPD1449"/>
      <c r="BPE1449"/>
      <c r="BPF1449"/>
      <c r="BPG1449"/>
      <c r="BPH1449"/>
      <c r="BPI1449"/>
      <c r="BPJ1449"/>
      <c r="BPK1449"/>
      <c r="BPL1449"/>
      <c r="BPM1449"/>
      <c r="BPN1449"/>
      <c r="BPO1449"/>
      <c r="BPP1449"/>
      <c r="BPQ1449"/>
      <c r="BPR1449"/>
      <c r="BPS1449"/>
      <c r="BPT1449"/>
      <c r="BPU1449"/>
      <c r="BPV1449"/>
      <c r="BPW1449"/>
      <c r="BPX1449"/>
      <c r="BPY1449"/>
      <c r="BPZ1449"/>
      <c r="BQA1449"/>
      <c r="BQB1449"/>
      <c r="BQC1449"/>
      <c r="BQD1449"/>
      <c r="BQE1449"/>
      <c r="BQF1449"/>
      <c r="BQG1449"/>
      <c r="BQH1449"/>
      <c r="BQI1449"/>
      <c r="BQJ1449"/>
      <c r="BQK1449"/>
      <c r="BQL1449"/>
      <c r="BQM1449"/>
      <c r="BQN1449"/>
      <c r="BQO1449"/>
      <c r="BQP1449"/>
      <c r="BQQ1449"/>
      <c r="BQR1449"/>
      <c r="BQS1449"/>
      <c r="BQT1449"/>
      <c r="BQU1449"/>
      <c r="BQV1449"/>
      <c r="BQW1449"/>
      <c r="BQX1449"/>
      <c r="BQY1449"/>
      <c r="BQZ1449"/>
      <c r="BRA1449"/>
      <c r="BRB1449"/>
      <c r="BRC1449"/>
      <c r="BRD1449"/>
      <c r="BRE1449"/>
      <c r="BRF1449"/>
      <c r="BRG1449"/>
      <c r="BRH1449"/>
      <c r="BRI1449"/>
      <c r="BRJ1449"/>
      <c r="BRK1449"/>
      <c r="BRL1449"/>
      <c r="BRM1449"/>
      <c r="BRN1449"/>
      <c r="BRO1449"/>
      <c r="BRP1449"/>
      <c r="BRQ1449"/>
      <c r="BRR1449"/>
      <c r="BRS1449"/>
      <c r="BRT1449"/>
      <c r="BRU1449"/>
      <c r="BRV1449"/>
      <c r="BRW1449"/>
      <c r="BRX1449"/>
      <c r="BRY1449"/>
      <c r="BRZ1449"/>
      <c r="BSA1449"/>
      <c r="BSB1449"/>
      <c r="BSC1449"/>
      <c r="BSD1449"/>
      <c r="BSE1449"/>
      <c r="BSF1449"/>
      <c r="BSG1449"/>
      <c r="BSH1449"/>
      <c r="BSI1449"/>
      <c r="BSJ1449"/>
      <c r="BSK1449"/>
      <c r="BSL1449"/>
      <c r="BSM1449"/>
      <c r="BSN1449"/>
      <c r="BSO1449"/>
      <c r="BSP1449"/>
      <c r="BSQ1449"/>
      <c r="BSR1449"/>
      <c r="BSS1449"/>
      <c r="BST1449"/>
      <c r="BSU1449"/>
      <c r="BSV1449"/>
      <c r="BSW1449"/>
      <c r="BSX1449"/>
      <c r="BSY1449"/>
      <c r="BSZ1449"/>
      <c r="BTA1449"/>
      <c r="BTB1449"/>
      <c r="BTC1449"/>
      <c r="BTD1449"/>
      <c r="BTE1449"/>
      <c r="BTF1449"/>
      <c r="BTG1449"/>
      <c r="BTH1449"/>
      <c r="BTI1449"/>
      <c r="BTJ1449"/>
      <c r="BTK1449"/>
      <c r="BTL1449"/>
      <c r="BTM1449"/>
      <c r="BTN1449"/>
      <c r="BTO1449"/>
      <c r="BTP1449"/>
      <c r="BTQ1449"/>
      <c r="BTR1449"/>
      <c r="BTS1449"/>
      <c r="BTT1449"/>
      <c r="BTU1449"/>
      <c r="BTV1449"/>
      <c r="BTW1449"/>
      <c r="BTX1449"/>
      <c r="BTY1449"/>
      <c r="BTZ1449"/>
      <c r="BUA1449"/>
      <c r="BUB1449"/>
      <c r="BUC1449"/>
      <c r="BUD1449"/>
      <c r="BUE1449"/>
      <c r="BUF1449"/>
      <c r="BUG1449"/>
      <c r="BUH1449"/>
      <c r="BUI1449"/>
      <c r="BUJ1449"/>
      <c r="BUK1449"/>
      <c r="BUL1449"/>
      <c r="BUM1449"/>
      <c r="BUN1449"/>
      <c r="BUO1449"/>
      <c r="BUP1449"/>
      <c r="BUQ1449"/>
      <c r="BUR1449"/>
      <c r="BUS1449"/>
      <c r="BUT1449"/>
      <c r="BUU1449"/>
      <c r="BUV1449"/>
      <c r="BUW1449"/>
      <c r="BUX1449"/>
      <c r="BUY1449"/>
      <c r="BUZ1449"/>
      <c r="BVA1449"/>
      <c r="BVB1449"/>
      <c r="BVC1449"/>
      <c r="BVD1449"/>
      <c r="BVE1449"/>
      <c r="BVF1449"/>
      <c r="BVG1449"/>
      <c r="BVH1449"/>
      <c r="BVI1449"/>
      <c r="BVJ1449"/>
      <c r="BVK1449"/>
      <c r="BVL1449"/>
      <c r="BVM1449"/>
      <c r="BVN1449"/>
      <c r="BVO1449"/>
      <c r="BVP1449"/>
      <c r="BVQ1449"/>
      <c r="BVR1449"/>
      <c r="BVS1449"/>
      <c r="BVT1449"/>
      <c r="BVU1449"/>
      <c r="BVV1449"/>
      <c r="BVW1449"/>
      <c r="BVX1449"/>
      <c r="BVY1449"/>
      <c r="BVZ1449"/>
      <c r="BWA1449"/>
      <c r="BWB1449"/>
      <c r="BWC1449"/>
      <c r="BWD1449"/>
      <c r="BWE1449"/>
      <c r="BWF1449"/>
      <c r="BWG1449"/>
      <c r="BWH1449"/>
      <c r="BWI1449"/>
      <c r="BWJ1449"/>
      <c r="BWK1449"/>
      <c r="BWL1449"/>
      <c r="BWM1449"/>
      <c r="BWN1449"/>
      <c r="BWO1449"/>
      <c r="BWP1449"/>
      <c r="BWQ1449"/>
      <c r="BWR1449"/>
      <c r="BWS1449"/>
      <c r="BWT1449"/>
      <c r="BWU1449"/>
      <c r="BWV1449"/>
      <c r="BWW1449"/>
      <c r="BWX1449"/>
      <c r="BWY1449"/>
      <c r="BWZ1449"/>
      <c r="BXA1449"/>
      <c r="BXB1449"/>
      <c r="BXC1449"/>
      <c r="BXD1449"/>
      <c r="BXE1449"/>
      <c r="BXF1449"/>
      <c r="BXG1449"/>
      <c r="BXH1449"/>
      <c r="BXI1449"/>
      <c r="BXJ1449"/>
      <c r="BXK1449"/>
      <c r="BXL1449"/>
      <c r="BXM1449"/>
      <c r="BXN1449"/>
      <c r="BXO1449"/>
      <c r="BXP1449"/>
      <c r="BXQ1449"/>
      <c r="BXR1449"/>
      <c r="BXS1449"/>
      <c r="BXT1449"/>
      <c r="BXU1449"/>
      <c r="BXV1449"/>
      <c r="BXW1449"/>
      <c r="BXX1449"/>
      <c r="BXY1449"/>
      <c r="BXZ1449"/>
      <c r="BYA1449"/>
      <c r="BYB1449"/>
      <c r="BYC1449"/>
      <c r="BYD1449"/>
      <c r="BYE1449"/>
      <c r="BYF1449"/>
      <c r="BYG1449"/>
      <c r="BYH1449"/>
      <c r="BYI1449"/>
      <c r="BYJ1449"/>
      <c r="BYK1449"/>
      <c r="BYL1449"/>
      <c r="BYM1449"/>
      <c r="BYN1449"/>
      <c r="BYO1449"/>
      <c r="BYP1449"/>
      <c r="BYQ1449"/>
      <c r="BYR1449"/>
      <c r="BYS1449"/>
      <c r="BYT1449"/>
      <c r="BYU1449"/>
      <c r="BYV1449"/>
      <c r="BYW1449"/>
      <c r="BYX1449"/>
      <c r="BYY1449"/>
      <c r="BYZ1449"/>
      <c r="BZA1449"/>
      <c r="BZB1449"/>
      <c r="BZC1449"/>
      <c r="BZD1449"/>
      <c r="BZE1449"/>
      <c r="BZF1449"/>
      <c r="BZG1449"/>
      <c r="BZH1449"/>
      <c r="BZI1449"/>
      <c r="BZJ1449"/>
      <c r="BZK1449"/>
      <c r="BZL1449"/>
      <c r="BZM1449"/>
      <c r="BZN1449"/>
      <c r="BZO1449"/>
      <c r="BZP1449"/>
      <c r="BZQ1449"/>
      <c r="BZR1449"/>
      <c r="BZS1449"/>
      <c r="BZT1449"/>
      <c r="BZU1449"/>
      <c r="BZV1449"/>
      <c r="BZW1449"/>
      <c r="BZX1449"/>
      <c r="BZY1449"/>
      <c r="BZZ1449"/>
      <c r="CAA1449"/>
      <c r="CAB1449"/>
      <c r="CAC1449"/>
      <c r="CAD1449"/>
      <c r="CAE1449"/>
      <c r="CAF1449"/>
      <c r="CAG1449"/>
      <c r="CAH1449"/>
      <c r="CAI1449"/>
      <c r="CAJ1449"/>
      <c r="CAK1449"/>
      <c r="CAL1449"/>
      <c r="CAM1449"/>
      <c r="CAN1449"/>
      <c r="CAO1449"/>
      <c r="CAP1449"/>
      <c r="CAQ1449"/>
      <c r="CAR1449"/>
      <c r="CAS1449"/>
      <c r="CAT1449"/>
      <c r="CAU1449"/>
      <c r="CAV1449"/>
      <c r="CAW1449"/>
      <c r="CAX1449"/>
      <c r="CAY1449"/>
      <c r="CAZ1449"/>
      <c r="CBA1449"/>
      <c r="CBB1449"/>
      <c r="CBC1449"/>
      <c r="CBD1449"/>
      <c r="CBE1449"/>
      <c r="CBF1449"/>
      <c r="CBG1449"/>
      <c r="CBH1449"/>
      <c r="CBI1449"/>
      <c r="CBJ1449"/>
      <c r="CBK1449"/>
      <c r="CBL1449"/>
      <c r="CBM1449"/>
      <c r="CBN1449"/>
      <c r="CBO1449"/>
      <c r="CBP1449"/>
      <c r="CBQ1449"/>
      <c r="CBR1449"/>
      <c r="CBS1449"/>
      <c r="CBT1449"/>
      <c r="CBU1449"/>
      <c r="CBV1449"/>
      <c r="CBW1449"/>
      <c r="CBX1449"/>
      <c r="CBY1449"/>
      <c r="CBZ1449"/>
      <c r="CCA1449"/>
      <c r="CCB1449"/>
      <c r="CCC1449"/>
      <c r="CCD1449"/>
      <c r="CCE1449"/>
      <c r="CCF1449"/>
      <c r="CCG1449"/>
      <c r="CCH1449"/>
      <c r="CCI1449"/>
      <c r="CCJ1449"/>
      <c r="CCK1449"/>
      <c r="CCL1449"/>
      <c r="CCM1449"/>
      <c r="CCN1449"/>
      <c r="CCO1449"/>
      <c r="CCP1449"/>
      <c r="CCQ1449"/>
      <c r="CCR1449"/>
      <c r="CCS1449"/>
      <c r="CCT1449"/>
      <c r="CCU1449"/>
      <c r="CCV1449"/>
      <c r="CCW1449"/>
      <c r="CCX1449"/>
      <c r="CCY1449"/>
      <c r="CCZ1449"/>
      <c r="CDA1449"/>
      <c r="CDB1449"/>
      <c r="CDC1449"/>
      <c r="CDD1449"/>
      <c r="CDE1449"/>
      <c r="CDF1449"/>
      <c r="CDG1449"/>
      <c r="CDH1449"/>
      <c r="CDI1449"/>
      <c r="CDJ1449"/>
      <c r="CDK1449"/>
      <c r="CDL1449"/>
      <c r="CDM1449"/>
      <c r="CDN1449"/>
      <c r="CDO1449"/>
      <c r="CDP1449"/>
      <c r="CDQ1449"/>
      <c r="CDR1449"/>
      <c r="CDS1449"/>
      <c r="CDT1449"/>
      <c r="CDU1449"/>
      <c r="CDV1449"/>
      <c r="CDW1449"/>
      <c r="CDX1449"/>
      <c r="CDY1449"/>
      <c r="CDZ1449"/>
      <c r="CEA1449"/>
      <c r="CEB1449"/>
      <c r="CEC1449"/>
      <c r="CED1449"/>
      <c r="CEE1449"/>
      <c r="CEF1449"/>
      <c r="CEG1449"/>
      <c r="CEH1449"/>
      <c r="CEI1449"/>
      <c r="CEJ1449"/>
      <c r="CEK1449"/>
      <c r="CEL1449"/>
      <c r="CEM1449"/>
      <c r="CEN1449"/>
      <c r="CEO1449"/>
      <c r="CEP1449"/>
      <c r="CEQ1449"/>
      <c r="CER1449"/>
      <c r="CES1449"/>
      <c r="CET1449"/>
      <c r="CEU1449"/>
      <c r="CEV1449"/>
      <c r="CEW1449"/>
      <c r="CEX1449"/>
      <c r="CEY1449"/>
      <c r="CEZ1449"/>
      <c r="CFA1449"/>
      <c r="CFB1449"/>
      <c r="CFC1449"/>
      <c r="CFD1449"/>
      <c r="CFE1449"/>
      <c r="CFF1449"/>
      <c r="CFG1449"/>
      <c r="CFH1449"/>
      <c r="CFI1449"/>
      <c r="CFJ1449"/>
      <c r="CFK1449"/>
      <c r="CFL1449"/>
      <c r="CFM1449"/>
      <c r="CFN1449"/>
      <c r="CFO1449"/>
      <c r="CFP1449"/>
      <c r="CFQ1449"/>
      <c r="CFR1449"/>
      <c r="CFS1449"/>
      <c r="CFT1449"/>
      <c r="CFU1449"/>
      <c r="CFV1449"/>
      <c r="CFW1449"/>
      <c r="CFX1449"/>
      <c r="CFY1449"/>
      <c r="CFZ1449"/>
      <c r="CGA1449"/>
      <c r="CGB1449"/>
      <c r="CGC1449"/>
      <c r="CGD1449"/>
      <c r="CGE1449"/>
      <c r="CGF1449"/>
      <c r="CGG1449"/>
      <c r="CGH1449"/>
      <c r="CGI1449"/>
      <c r="CGJ1449"/>
      <c r="CGK1449"/>
      <c r="CGL1449"/>
      <c r="CGM1449"/>
      <c r="CGN1449"/>
      <c r="CGO1449"/>
      <c r="CGP1449"/>
      <c r="CGQ1449"/>
      <c r="CGR1449"/>
      <c r="CGS1449"/>
      <c r="CGT1449"/>
      <c r="CGU1449"/>
      <c r="CGV1449"/>
      <c r="CGW1449"/>
      <c r="CGX1449"/>
      <c r="CGY1449"/>
      <c r="CGZ1449"/>
      <c r="CHA1449"/>
      <c r="CHB1449"/>
      <c r="CHC1449"/>
      <c r="CHD1449"/>
      <c r="CHE1449"/>
      <c r="CHF1449"/>
      <c r="CHG1449"/>
      <c r="CHH1449"/>
      <c r="CHI1449"/>
      <c r="CHJ1449"/>
      <c r="CHK1449"/>
      <c r="CHL1449"/>
      <c r="CHM1449"/>
      <c r="CHN1449"/>
      <c r="CHO1449"/>
      <c r="CHP1449"/>
      <c r="CHQ1449"/>
      <c r="CHR1449"/>
      <c r="CHS1449"/>
      <c r="CHT1449"/>
      <c r="CHU1449"/>
      <c r="CHV1449"/>
      <c r="CHW1449"/>
      <c r="CHX1449"/>
      <c r="CHY1449"/>
      <c r="CHZ1449"/>
      <c r="CIA1449"/>
      <c r="CIB1449"/>
      <c r="CIC1449"/>
      <c r="CID1449"/>
      <c r="CIE1449"/>
      <c r="CIF1449"/>
      <c r="CIG1449"/>
      <c r="CIH1449"/>
      <c r="CII1449"/>
      <c r="CIJ1449"/>
      <c r="CIK1449"/>
      <c r="CIL1449"/>
      <c r="CIM1449"/>
      <c r="CIN1449"/>
      <c r="CIO1449"/>
      <c r="CIP1449"/>
      <c r="CIQ1449"/>
      <c r="CIR1449"/>
      <c r="CIS1449"/>
      <c r="CIT1449"/>
      <c r="CIU1449"/>
      <c r="CIV1449"/>
      <c r="CIW1449"/>
      <c r="CIX1449"/>
      <c r="CIY1449"/>
      <c r="CIZ1449"/>
      <c r="CJA1449"/>
      <c r="CJB1449"/>
      <c r="CJC1449"/>
      <c r="CJD1449"/>
      <c r="CJE1449"/>
      <c r="CJF1449"/>
      <c r="CJG1449"/>
      <c r="CJH1449"/>
      <c r="CJI1449"/>
      <c r="CJJ1449"/>
      <c r="CJK1449"/>
      <c r="CJL1449"/>
      <c r="CJM1449"/>
      <c r="CJN1449"/>
      <c r="CJO1449"/>
      <c r="CJP1449"/>
      <c r="CJQ1449"/>
      <c r="CJR1449"/>
      <c r="CJS1449"/>
      <c r="CJT1449"/>
      <c r="CJU1449"/>
      <c r="CJV1449"/>
      <c r="CJW1449"/>
      <c r="CJX1449"/>
      <c r="CJY1449"/>
      <c r="CJZ1449"/>
      <c r="CKA1449"/>
      <c r="CKB1449"/>
      <c r="CKC1449"/>
      <c r="CKD1449"/>
      <c r="CKE1449"/>
      <c r="CKF1449"/>
      <c r="CKG1449"/>
      <c r="CKH1449"/>
      <c r="CKI1449"/>
      <c r="CKJ1449"/>
      <c r="CKK1449"/>
      <c r="CKL1449"/>
      <c r="CKM1449"/>
      <c r="CKN1449"/>
      <c r="CKO1449"/>
      <c r="CKP1449"/>
      <c r="CKQ1449"/>
      <c r="CKR1449"/>
      <c r="CKS1449"/>
      <c r="CKT1449"/>
      <c r="CKU1449"/>
      <c r="CKV1449"/>
      <c r="CKW1449"/>
      <c r="CKX1449"/>
      <c r="CKY1449"/>
      <c r="CKZ1449"/>
      <c r="CLA1449"/>
      <c r="CLB1449"/>
      <c r="CLC1449"/>
      <c r="CLD1449"/>
      <c r="CLE1449"/>
      <c r="CLF1449"/>
      <c r="CLG1449"/>
      <c r="CLH1449"/>
      <c r="CLI1449"/>
      <c r="CLJ1449"/>
      <c r="CLK1449"/>
      <c r="CLL1449"/>
      <c r="CLM1449"/>
      <c r="CLN1449"/>
      <c r="CLO1449"/>
      <c r="CLP1449"/>
      <c r="CLQ1449"/>
      <c r="CLR1449"/>
      <c r="CLS1449"/>
      <c r="CLT1449"/>
      <c r="CLU1449"/>
      <c r="CLV1449"/>
      <c r="CLW1449"/>
      <c r="CLX1449"/>
      <c r="CLY1449"/>
      <c r="CLZ1449"/>
      <c r="CMA1449"/>
      <c r="CMB1449"/>
      <c r="CMC1449"/>
      <c r="CMD1449"/>
      <c r="CME1449"/>
      <c r="CMF1449"/>
      <c r="CMG1449"/>
      <c r="CMH1449"/>
      <c r="CMI1449"/>
      <c r="CMJ1449"/>
      <c r="CMK1449"/>
      <c r="CML1449"/>
      <c r="CMM1449"/>
      <c r="CMN1449"/>
      <c r="CMO1449"/>
      <c r="CMP1449"/>
      <c r="CMQ1449"/>
      <c r="CMR1449"/>
      <c r="CMS1449"/>
      <c r="CMT1449"/>
      <c r="CMU1449"/>
      <c r="CMV1449"/>
      <c r="CMW1449"/>
      <c r="CMX1449"/>
      <c r="CMY1449"/>
      <c r="CMZ1449"/>
      <c r="CNA1449"/>
      <c r="CNB1449"/>
      <c r="CNC1449"/>
      <c r="CND1449"/>
      <c r="CNE1449"/>
      <c r="CNF1449"/>
      <c r="CNG1449"/>
      <c r="CNH1449"/>
      <c r="CNI1449"/>
      <c r="CNJ1449"/>
      <c r="CNK1449"/>
      <c r="CNL1449"/>
      <c r="CNM1449"/>
      <c r="CNN1449"/>
      <c r="CNO1449"/>
      <c r="CNP1449"/>
      <c r="CNQ1449"/>
      <c r="CNR1449"/>
      <c r="CNS1449"/>
      <c r="CNT1449"/>
      <c r="CNU1449"/>
      <c r="CNV1449"/>
      <c r="CNW1449"/>
      <c r="CNX1449"/>
      <c r="CNY1449"/>
      <c r="CNZ1449"/>
      <c r="COA1449"/>
      <c r="COB1449"/>
      <c r="COC1449"/>
      <c r="COD1449"/>
      <c r="COE1449"/>
      <c r="COF1449"/>
      <c r="COG1449"/>
      <c r="COH1449"/>
      <c r="COI1449"/>
      <c r="COJ1449"/>
      <c r="COK1449"/>
      <c r="COL1449"/>
      <c r="COM1449"/>
      <c r="CON1449"/>
      <c r="COO1449"/>
      <c r="COP1449"/>
      <c r="COQ1449"/>
      <c r="COR1449"/>
      <c r="COS1449"/>
      <c r="COT1449"/>
      <c r="COU1449"/>
      <c r="COV1449"/>
      <c r="COW1449"/>
      <c r="COX1449"/>
      <c r="COY1449"/>
      <c r="COZ1449"/>
      <c r="CPA1449"/>
      <c r="CPB1449"/>
      <c r="CPC1449"/>
      <c r="CPD1449"/>
      <c r="CPE1449"/>
      <c r="CPF1449"/>
      <c r="CPG1449"/>
      <c r="CPH1449"/>
      <c r="CPI1449"/>
      <c r="CPJ1449"/>
      <c r="CPK1449"/>
      <c r="CPL1449"/>
      <c r="CPM1449"/>
      <c r="CPN1449"/>
      <c r="CPO1449"/>
      <c r="CPP1449"/>
      <c r="CPQ1449"/>
      <c r="CPR1449"/>
      <c r="CPS1449"/>
      <c r="CPT1449"/>
      <c r="CPU1449"/>
      <c r="CPV1449"/>
      <c r="CPW1449"/>
      <c r="CPX1449"/>
      <c r="CPY1449"/>
      <c r="CPZ1449"/>
      <c r="CQA1449"/>
      <c r="CQB1449"/>
      <c r="CQC1449"/>
      <c r="CQD1449"/>
      <c r="CQE1449"/>
      <c r="CQF1449"/>
      <c r="CQG1449"/>
      <c r="CQH1449"/>
      <c r="CQI1449"/>
      <c r="CQJ1449"/>
      <c r="CQK1449"/>
      <c r="CQL1449"/>
      <c r="CQM1449"/>
      <c r="CQN1449"/>
      <c r="CQO1449"/>
      <c r="CQP1449"/>
      <c r="CQQ1449"/>
      <c r="CQR1449"/>
      <c r="CQS1449"/>
      <c r="CQT1449"/>
      <c r="CQU1449"/>
      <c r="CQV1449"/>
      <c r="CQW1449"/>
      <c r="CQX1449"/>
      <c r="CQY1449"/>
      <c r="CQZ1449"/>
      <c r="CRA1449"/>
      <c r="CRB1449"/>
      <c r="CRC1449"/>
      <c r="CRD1449"/>
      <c r="CRE1449"/>
      <c r="CRF1449"/>
      <c r="CRG1449"/>
      <c r="CRH1449"/>
      <c r="CRI1449"/>
      <c r="CRJ1449"/>
      <c r="CRK1449"/>
      <c r="CRL1449"/>
      <c r="CRM1449"/>
      <c r="CRN1449"/>
      <c r="CRO1449"/>
      <c r="CRP1449"/>
      <c r="CRQ1449"/>
      <c r="CRR1449"/>
      <c r="CRS1449"/>
      <c r="CRT1449"/>
      <c r="CRU1449"/>
      <c r="CRV1449"/>
      <c r="CRW1449"/>
      <c r="CRX1449"/>
      <c r="CRY1449"/>
      <c r="CRZ1449"/>
      <c r="CSA1449"/>
      <c r="CSB1449"/>
      <c r="CSC1449"/>
      <c r="CSD1449"/>
      <c r="CSE1449"/>
      <c r="CSF1449"/>
      <c r="CSG1449"/>
      <c r="CSH1449"/>
      <c r="CSI1449"/>
      <c r="CSJ1449"/>
      <c r="CSK1449"/>
      <c r="CSL1449"/>
      <c r="CSM1449"/>
      <c r="CSN1449"/>
      <c r="CSO1449"/>
      <c r="CSP1449"/>
      <c r="CSQ1449"/>
      <c r="CSR1449"/>
      <c r="CSS1449"/>
      <c r="CST1449"/>
      <c r="CSU1449"/>
      <c r="CSV1449"/>
      <c r="CSW1449"/>
      <c r="CSX1449"/>
      <c r="CSY1449"/>
      <c r="CSZ1449"/>
      <c r="CTA1449"/>
      <c r="CTB1449"/>
      <c r="CTC1449"/>
      <c r="CTD1449"/>
      <c r="CTE1449"/>
      <c r="CTF1449"/>
      <c r="CTG1449"/>
      <c r="CTH1449"/>
      <c r="CTI1449"/>
      <c r="CTJ1449"/>
      <c r="CTK1449"/>
      <c r="CTL1449"/>
      <c r="CTM1449"/>
      <c r="CTN1449"/>
      <c r="CTO1449"/>
      <c r="CTP1449"/>
      <c r="CTQ1449"/>
      <c r="CTR1449"/>
      <c r="CTS1449"/>
      <c r="CTT1449"/>
      <c r="CTU1449"/>
      <c r="CTV1449"/>
      <c r="CTW1449"/>
      <c r="CTX1449"/>
      <c r="CTY1449"/>
      <c r="CTZ1449"/>
      <c r="CUA1449"/>
      <c r="CUB1449"/>
      <c r="CUC1449"/>
      <c r="CUD1449"/>
      <c r="CUE1449"/>
      <c r="CUF1449"/>
      <c r="CUG1449"/>
      <c r="CUH1449"/>
      <c r="CUI1449"/>
      <c r="CUJ1449"/>
      <c r="CUK1449"/>
      <c r="CUL1449"/>
      <c r="CUM1449"/>
      <c r="CUN1449"/>
      <c r="CUO1449"/>
      <c r="CUP1449"/>
      <c r="CUQ1449"/>
      <c r="CUR1449"/>
      <c r="CUS1449"/>
      <c r="CUT1449"/>
      <c r="CUU1449"/>
      <c r="CUV1449"/>
      <c r="CUW1449"/>
      <c r="CUX1449"/>
      <c r="CUY1449"/>
      <c r="CUZ1449"/>
      <c r="CVA1449"/>
      <c r="CVB1449"/>
      <c r="CVC1449"/>
      <c r="CVD1449"/>
      <c r="CVE1449"/>
      <c r="CVF1449"/>
      <c r="CVG1449"/>
      <c r="CVH1449"/>
      <c r="CVI1449"/>
      <c r="CVJ1449"/>
      <c r="CVK1449"/>
      <c r="CVL1449"/>
      <c r="CVM1449"/>
      <c r="CVN1449"/>
      <c r="CVO1449"/>
      <c r="CVP1449"/>
      <c r="CVQ1449"/>
      <c r="CVR1449"/>
      <c r="CVS1449"/>
      <c r="CVT1449"/>
      <c r="CVU1449"/>
      <c r="CVV1449"/>
      <c r="CVW1449"/>
      <c r="CVX1449"/>
      <c r="CVY1449"/>
      <c r="CVZ1449"/>
      <c r="CWA1449"/>
      <c r="CWB1449"/>
      <c r="CWC1449"/>
      <c r="CWD1449"/>
      <c r="CWE1449"/>
      <c r="CWF1449"/>
      <c r="CWG1449"/>
      <c r="CWH1449"/>
      <c r="CWI1449"/>
      <c r="CWJ1449"/>
      <c r="CWK1449"/>
      <c r="CWL1449"/>
      <c r="CWM1449"/>
      <c r="CWN1449"/>
      <c r="CWO1449"/>
      <c r="CWP1449"/>
      <c r="CWQ1449"/>
      <c r="CWR1449"/>
      <c r="CWS1449"/>
      <c r="CWT1449"/>
      <c r="CWU1449"/>
      <c r="CWV1449"/>
      <c r="CWW1449"/>
      <c r="CWX1449"/>
      <c r="CWY1449"/>
      <c r="CWZ1449"/>
      <c r="CXA1449"/>
      <c r="CXB1449"/>
      <c r="CXC1449"/>
      <c r="CXD1449"/>
      <c r="CXE1449"/>
      <c r="CXF1449"/>
      <c r="CXG1449"/>
      <c r="CXH1449"/>
      <c r="CXI1449"/>
      <c r="CXJ1449"/>
      <c r="CXK1449"/>
      <c r="CXL1449"/>
      <c r="CXM1449"/>
      <c r="CXN1449"/>
      <c r="CXO1449"/>
      <c r="CXP1449"/>
      <c r="CXQ1449"/>
      <c r="CXR1449"/>
      <c r="CXS1449"/>
      <c r="CXT1449"/>
      <c r="CXU1449"/>
      <c r="CXV1449"/>
      <c r="CXW1449"/>
      <c r="CXX1449"/>
      <c r="CXY1449"/>
      <c r="CXZ1449"/>
      <c r="CYA1449"/>
      <c r="CYB1449"/>
      <c r="CYC1449"/>
      <c r="CYD1449"/>
      <c r="CYE1449"/>
      <c r="CYF1449"/>
      <c r="CYG1449"/>
      <c r="CYH1449"/>
      <c r="CYI1449"/>
      <c r="CYJ1449"/>
      <c r="CYK1449"/>
      <c r="CYL1449"/>
      <c r="CYM1449"/>
      <c r="CYN1449"/>
      <c r="CYO1449"/>
      <c r="CYP1449"/>
      <c r="CYQ1449"/>
      <c r="CYR1449"/>
      <c r="CYS1449"/>
      <c r="CYT1449"/>
      <c r="CYU1449"/>
      <c r="CYV1449"/>
      <c r="CYW1449"/>
      <c r="CYX1449"/>
      <c r="CYY1449"/>
      <c r="CYZ1449"/>
      <c r="CZA1449"/>
      <c r="CZB1449"/>
      <c r="CZC1449"/>
      <c r="CZD1449"/>
      <c r="CZE1449"/>
      <c r="CZF1449"/>
      <c r="CZG1449"/>
      <c r="CZH1449"/>
      <c r="CZI1449"/>
      <c r="CZJ1449"/>
      <c r="CZK1449"/>
      <c r="CZL1449"/>
      <c r="CZM1449"/>
      <c r="CZN1449"/>
      <c r="CZO1449"/>
      <c r="CZP1449"/>
      <c r="CZQ1449"/>
      <c r="CZR1449"/>
      <c r="CZS1449"/>
      <c r="CZT1449"/>
      <c r="CZU1449"/>
      <c r="CZV1449"/>
      <c r="CZW1449"/>
      <c r="CZX1449"/>
      <c r="CZY1449"/>
      <c r="CZZ1449"/>
      <c r="DAA1449"/>
      <c r="DAB1449"/>
      <c r="DAC1449"/>
      <c r="DAD1449"/>
      <c r="DAE1449"/>
      <c r="DAF1449"/>
      <c r="DAG1449"/>
      <c r="DAH1449"/>
      <c r="DAI1449"/>
      <c r="DAJ1449"/>
      <c r="DAK1449"/>
      <c r="DAL1449"/>
      <c r="DAM1449"/>
      <c r="DAN1449"/>
      <c r="DAO1449"/>
      <c r="DAP1449"/>
      <c r="DAQ1449"/>
      <c r="DAR1449"/>
      <c r="DAS1449"/>
      <c r="DAT1449"/>
      <c r="DAU1449"/>
      <c r="DAV1449"/>
      <c r="DAW1449"/>
      <c r="DAX1449"/>
      <c r="DAY1449"/>
      <c r="DAZ1449"/>
      <c r="DBA1449"/>
      <c r="DBB1449"/>
      <c r="DBC1449"/>
      <c r="DBD1449"/>
      <c r="DBE1449"/>
      <c r="DBF1449"/>
      <c r="DBG1449"/>
      <c r="DBH1449"/>
      <c r="DBI1449"/>
      <c r="DBJ1449"/>
      <c r="DBK1449"/>
      <c r="DBL1449"/>
      <c r="DBM1449"/>
      <c r="DBN1449"/>
      <c r="DBO1449"/>
      <c r="DBP1449"/>
      <c r="DBQ1449"/>
      <c r="DBR1449"/>
      <c r="DBS1449"/>
      <c r="DBT1449"/>
      <c r="DBU1449"/>
      <c r="DBV1449"/>
      <c r="DBW1449"/>
      <c r="DBX1449"/>
      <c r="DBY1449"/>
      <c r="DBZ1449"/>
      <c r="DCA1449"/>
      <c r="DCB1449"/>
      <c r="DCC1449"/>
      <c r="DCD1449"/>
      <c r="DCE1449"/>
      <c r="DCF1449"/>
      <c r="DCG1449"/>
      <c r="DCH1449"/>
      <c r="DCI1449"/>
      <c r="DCJ1449"/>
      <c r="DCK1449"/>
      <c r="DCL1449"/>
      <c r="DCM1449"/>
      <c r="DCN1449"/>
      <c r="DCO1449"/>
      <c r="DCP1449"/>
      <c r="DCQ1449"/>
      <c r="DCR1449"/>
      <c r="DCS1449"/>
      <c r="DCT1449"/>
      <c r="DCU1449"/>
      <c r="DCV1449"/>
      <c r="DCW1449"/>
      <c r="DCX1449"/>
      <c r="DCY1449"/>
      <c r="DCZ1449"/>
      <c r="DDA1449"/>
      <c r="DDB1449"/>
      <c r="DDC1449"/>
      <c r="DDD1449"/>
      <c r="DDE1449"/>
      <c r="DDF1449"/>
      <c r="DDG1449"/>
      <c r="DDH1449"/>
      <c r="DDI1449"/>
      <c r="DDJ1449"/>
      <c r="DDK1449"/>
      <c r="DDL1449"/>
      <c r="DDM1449"/>
      <c r="DDN1449"/>
      <c r="DDO1449"/>
      <c r="DDP1449"/>
      <c r="DDQ1449"/>
      <c r="DDR1449"/>
      <c r="DDS1449"/>
      <c r="DDT1449"/>
      <c r="DDU1449"/>
      <c r="DDV1449"/>
      <c r="DDW1449"/>
      <c r="DDX1449"/>
      <c r="DDY1449"/>
      <c r="DDZ1449"/>
      <c r="DEA1449"/>
      <c r="DEB1449"/>
      <c r="DEC1449"/>
      <c r="DED1449"/>
      <c r="DEE1449"/>
      <c r="DEF1449"/>
      <c r="DEG1449"/>
      <c r="DEH1449"/>
      <c r="DEI1449"/>
      <c r="DEJ1449"/>
      <c r="DEK1449"/>
      <c r="DEL1449"/>
      <c r="DEM1449"/>
      <c r="DEN1449"/>
      <c r="DEO1449"/>
      <c r="DEP1449"/>
      <c r="DEQ1449"/>
      <c r="DER1449"/>
      <c r="DES1449"/>
      <c r="DET1449"/>
      <c r="DEU1449"/>
      <c r="DEV1449"/>
      <c r="DEW1449"/>
      <c r="DEX1449"/>
      <c r="DEY1449"/>
      <c r="DEZ1449"/>
      <c r="DFA1449"/>
      <c r="DFB1449"/>
      <c r="DFC1449"/>
      <c r="DFD1449"/>
      <c r="DFE1449"/>
      <c r="DFF1449"/>
      <c r="DFG1449"/>
      <c r="DFH1449"/>
      <c r="DFI1449"/>
      <c r="DFJ1449"/>
      <c r="DFK1449"/>
      <c r="DFL1449"/>
      <c r="DFM1449"/>
      <c r="DFN1449"/>
      <c r="DFO1449"/>
      <c r="DFP1449"/>
      <c r="DFQ1449"/>
      <c r="DFR1449"/>
      <c r="DFS1449"/>
      <c r="DFT1449"/>
      <c r="DFU1449"/>
      <c r="DFV1449"/>
      <c r="DFW1449"/>
      <c r="DFX1449"/>
      <c r="DFY1449"/>
      <c r="DFZ1449"/>
      <c r="DGA1449"/>
      <c r="DGB1449"/>
      <c r="DGC1449"/>
      <c r="DGD1449"/>
      <c r="DGE1449"/>
      <c r="DGF1449"/>
      <c r="DGG1449"/>
      <c r="DGH1449"/>
      <c r="DGI1449"/>
      <c r="DGJ1449"/>
      <c r="DGK1449"/>
      <c r="DGL1449"/>
      <c r="DGM1449"/>
      <c r="DGN1449"/>
      <c r="DGO1449"/>
      <c r="DGP1449"/>
      <c r="DGQ1449"/>
      <c r="DGR1449"/>
      <c r="DGS1449"/>
      <c r="DGT1449"/>
      <c r="DGU1449"/>
      <c r="DGV1449"/>
      <c r="DGW1449"/>
      <c r="DGX1449"/>
      <c r="DGY1449"/>
      <c r="DGZ1449"/>
      <c r="DHA1449"/>
      <c r="DHB1449"/>
      <c r="DHC1449"/>
      <c r="DHD1449"/>
      <c r="DHE1449"/>
      <c r="DHF1449"/>
      <c r="DHG1449"/>
      <c r="DHH1449"/>
      <c r="DHI1449"/>
      <c r="DHJ1449"/>
      <c r="DHK1449"/>
      <c r="DHL1449"/>
      <c r="DHM1449"/>
      <c r="DHN1449"/>
      <c r="DHO1449"/>
      <c r="DHP1449"/>
      <c r="DHQ1449"/>
      <c r="DHR1449"/>
      <c r="DHS1449"/>
      <c r="DHT1449"/>
      <c r="DHU1449"/>
      <c r="DHV1449"/>
      <c r="DHW1449"/>
      <c r="DHX1449"/>
      <c r="DHY1449"/>
      <c r="DHZ1449"/>
      <c r="DIA1449"/>
      <c r="DIB1449"/>
      <c r="DIC1449"/>
      <c r="DID1449"/>
      <c r="DIE1449"/>
      <c r="DIF1449"/>
      <c r="DIG1449"/>
      <c r="DIH1449"/>
      <c r="DII1449"/>
      <c r="DIJ1449"/>
      <c r="DIK1449"/>
      <c r="DIL1449"/>
      <c r="DIM1449"/>
      <c r="DIN1449"/>
      <c r="DIO1449"/>
      <c r="DIP1449"/>
      <c r="DIQ1449"/>
      <c r="DIR1449"/>
      <c r="DIS1449"/>
      <c r="DIT1449"/>
      <c r="DIU1449"/>
      <c r="DIV1449"/>
      <c r="DIW1449"/>
      <c r="DIX1449"/>
      <c r="DIY1449"/>
      <c r="DIZ1449"/>
      <c r="DJA1449"/>
      <c r="DJB1449"/>
      <c r="DJC1449"/>
      <c r="DJD1449"/>
      <c r="DJE1449"/>
      <c r="DJF1449"/>
      <c r="DJG1449"/>
      <c r="DJH1449"/>
      <c r="DJI1449"/>
      <c r="DJJ1449"/>
      <c r="DJK1449"/>
      <c r="DJL1449"/>
      <c r="DJM1449"/>
      <c r="DJN1449"/>
      <c r="DJO1449"/>
      <c r="DJP1449"/>
      <c r="DJQ1449"/>
      <c r="DJR1449"/>
      <c r="DJS1449"/>
      <c r="DJT1449"/>
      <c r="DJU1449"/>
      <c r="DJV1449"/>
      <c r="DJW1449"/>
      <c r="DJX1449"/>
      <c r="DJY1449"/>
      <c r="DJZ1449"/>
      <c r="DKA1449"/>
      <c r="DKB1449"/>
      <c r="DKC1449"/>
      <c r="DKD1449"/>
      <c r="DKE1449"/>
      <c r="DKF1449"/>
      <c r="DKG1449"/>
      <c r="DKH1449"/>
      <c r="DKI1449"/>
      <c r="DKJ1449"/>
      <c r="DKK1449"/>
      <c r="DKL1449"/>
      <c r="DKM1449"/>
      <c r="DKN1449"/>
      <c r="DKO1449"/>
      <c r="DKP1449"/>
      <c r="DKQ1449"/>
      <c r="DKR1449"/>
      <c r="DKS1449"/>
      <c r="DKT1449"/>
      <c r="DKU1449"/>
      <c r="DKV1449"/>
      <c r="DKW1449"/>
      <c r="DKX1449"/>
      <c r="DKY1449"/>
      <c r="DKZ1449"/>
      <c r="DLA1449"/>
      <c r="DLB1449"/>
      <c r="DLC1449"/>
      <c r="DLD1449"/>
      <c r="DLE1449"/>
      <c r="DLF1449"/>
      <c r="DLG1449"/>
      <c r="DLH1449"/>
      <c r="DLI1449"/>
      <c r="DLJ1449"/>
      <c r="DLK1449"/>
      <c r="DLL1449"/>
      <c r="DLM1449"/>
      <c r="DLN1449"/>
      <c r="DLO1449"/>
      <c r="DLP1449"/>
      <c r="DLQ1449"/>
      <c r="DLR1449"/>
      <c r="DLS1449"/>
      <c r="DLT1449"/>
      <c r="DLU1449"/>
      <c r="DLV1449"/>
      <c r="DLW1449"/>
      <c r="DLX1449"/>
      <c r="DLY1449"/>
      <c r="DLZ1449"/>
      <c r="DMA1449"/>
      <c r="DMB1449"/>
      <c r="DMC1449"/>
      <c r="DMD1449"/>
      <c r="DME1449"/>
      <c r="DMF1449"/>
      <c r="DMG1449"/>
      <c r="DMH1449"/>
      <c r="DMI1449"/>
      <c r="DMJ1449"/>
      <c r="DMK1449"/>
      <c r="DML1449"/>
      <c r="DMM1449"/>
      <c r="DMN1449"/>
      <c r="DMO1449"/>
      <c r="DMP1449"/>
      <c r="DMQ1449"/>
      <c r="DMR1449"/>
      <c r="DMS1449"/>
      <c r="DMT1449"/>
      <c r="DMU1449"/>
      <c r="DMV1449"/>
      <c r="DMW1449"/>
      <c r="DMX1449"/>
      <c r="DMY1449"/>
      <c r="DMZ1449"/>
      <c r="DNA1449"/>
      <c r="DNB1449"/>
      <c r="DNC1449"/>
      <c r="DND1449"/>
      <c r="DNE1449"/>
      <c r="DNF1449"/>
      <c r="DNG1449"/>
      <c r="DNH1449"/>
      <c r="DNI1449"/>
      <c r="DNJ1449"/>
      <c r="DNK1449"/>
      <c r="DNL1449"/>
      <c r="DNM1449"/>
      <c r="DNN1449"/>
      <c r="DNO1449"/>
      <c r="DNP1449"/>
      <c r="DNQ1449"/>
      <c r="DNR1449"/>
      <c r="DNS1449"/>
      <c r="DNT1449"/>
      <c r="DNU1449"/>
      <c r="DNV1449"/>
      <c r="DNW1449"/>
      <c r="DNX1449"/>
      <c r="DNY1449"/>
      <c r="DNZ1449"/>
      <c r="DOA1449"/>
      <c r="DOB1449"/>
      <c r="DOC1449"/>
      <c r="DOD1449"/>
      <c r="DOE1449"/>
      <c r="DOF1449"/>
      <c r="DOG1449"/>
      <c r="DOH1449"/>
      <c r="DOI1449"/>
      <c r="DOJ1449"/>
      <c r="DOK1449"/>
      <c r="DOL1449"/>
      <c r="DOM1449"/>
      <c r="DON1449"/>
      <c r="DOO1449"/>
      <c r="DOP1449"/>
      <c r="DOQ1449"/>
      <c r="DOR1449"/>
      <c r="DOS1449"/>
      <c r="DOT1449"/>
      <c r="DOU1449"/>
      <c r="DOV1449"/>
      <c r="DOW1449"/>
      <c r="DOX1449"/>
      <c r="DOY1449"/>
      <c r="DOZ1449"/>
      <c r="DPA1449"/>
      <c r="DPB1449"/>
      <c r="DPC1449"/>
      <c r="DPD1449"/>
      <c r="DPE1449"/>
      <c r="DPF1449"/>
      <c r="DPG1449"/>
      <c r="DPH1449"/>
      <c r="DPI1449"/>
      <c r="DPJ1449"/>
      <c r="DPK1449"/>
      <c r="DPL1449"/>
      <c r="DPM1449"/>
      <c r="DPN1449"/>
      <c r="DPO1449"/>
      <c r="DPP1449"/>
      <c r="DPQ1449"/>
      <c r="DPR1449"/>
      <c r="DPS1449"/>
      <c r="DPT1449"/>
      <c r="DPU1449"/>
      <c r="DPV1449"/>
      <c r="DPW1449"/>
      <c r="DPX1449"/>
      <c r="DPY1449"/>
      <c r="DPZ1449"/>
      <c r="DQA1449"/>
      <c r="DQB1449"/>
      <c r="DQC1449"/>
      <c r="DQD1449"/>
      <c r="DQE1449"/>
      <c r="DQF1449"/>
      <c r="DQG1449"/>
      <c r="DQH1449"/>
      <c r="DQI1449"/>
      <c r="DQJ1449"/>
      <c r="DQK1449"/>
      <c r="DQL1449"/>
      <c r="DQM1449"/>
      <c r="DQN1449"/>
      <c r="DQO1449"/>
      <c r="DQP1449"/>
      <c r="DQQ1449"/>
      <c r="DQR1449"/>
      <c r="DQS1449"/>
      <c r="DQT1449"/>
      <c r="DQU1449"/>
      <c r="DQV1449"/>
      <c r="DQW1449"/>
      <c r="DQX1449"/>
      <c r="DQY1449"/>
      <c r="DQZ1449"/>
      <c r="DRA1449"/>
      <c r="DRB1449"/>
      <c r="DRC1449"/>
      <c r="DRD1449"/>
      <c r="DRE1449"/>
      <c r="DRF1449"/>
      <c r="DRG1449"/>
      <c r="DRH1449"/>
      <c r="DRI1449"/>
      <c r="DRJ1449"/>
      <c r="DRK1449"/>
      <c r="DRL1449"/>
      <c r="DRM1449"/>
      <c r="DRN1449"/>
      <c r="DRO1449"/>
      <c r="DRP1449"/>
      <c r="DRQ1449"/>
      <c r="DRR1449"/>
      <c r="DRS1449"/>
      <c r="DRT1449"/>
      <c r="DRU1449"/>
      <c r="DRV1449"/>
      <c r="DRW1449"/>
      <c r="DRX1449"/>
      <c r="DRY1449"/>
      <c r="DRZ1449"/>
      <c r="DSA1449"/>
      <c r="DSB1449"/>
      <c r="DSC1449"/>
      <c r="DSD1449"/>
      <c r="DSE1449"/>
      <c r="DSF1449"/>
      <c r="DSG1449"/>
      <c r="DSH1449"/>
      <c r="DSI1449"/>
      <c r="DSJ1449"/>
      <c r="DSK1449"/>
      <c r="DSL1449"/>
      <c r="DSM1449"/>
      <c r="DSN1449"/>
      <c r="DSO1449"/>
      <c r="DSP1449"/>
      <c r="DSQ1449"/>
      <c r="DSR1449"/>
      <c r="DSS1449"/>
      <c r="DST1449"/>
      <c r="DSU1449"/>
      <c r="DSV1449"/>
      <c r="DSW1449"/>
      <c r="DSX1449"/>
      <c r="DSY1449"/>
      <c r="DSZ1449"/>
      <c r="DTA1449"/>
      <c r="DTB1449"/>
      <c r="DTC1449"/>
      <c r="DTD1449"/>
      <c r="DTE1449"/>
      <c r="DTF1449"/>
      <c r="DTG1449"/>
      <c r="DTH1449"/>
      <c r="DTI1449"/>
      <c r="DTJ1449"/>
      <c r="DTK1449"/>
      <c r="DTL1449"/>
      <c r="DTM1449"/>
      <c r="DTN1449"/>
      <c r="DTO1449"/>
      <c r="DTP1449"/>
      <c r="DTQ1449"/>
      <c r="DTR1449"/>
      <c r="DTS1449"/>
      <c r="DTT1449"/>
      <c r="DTU1449"/>
      <c r="DTV1449"/>
      <c r="DTW1449"/>
      <c r="DTX1449"/>
      <c r="DTY1449"/>
      <c r="DTZ1449"/>
      <c r="DUA1449"/>
      <c r="DUB1449"/>
      <c r="DUC1449"/>
      <c r="DUD1449"/>
      <c r="DUE1449"/>
      <c r="DUF1449"/>
      <c r="DUG1449"/>
      <c r="DUH1449"/>
      <c r="DUI1449"/>
      <c r="DUJ1449"/>
      <c r="DUK1449"/>
      <c r="DUL1449"/>
      <c r="DUM1449"/>
      <c r="DUN1449"/>
      <c r="DUO1449"/>
      <c r="DUP1449"/>
      <c r="DUQ1449"/>
      <c r="DUR1449"/>
      <c r="DUS1449"/>
      <c r="DUT1449"/>
      <c r="DUU1449"/>
      <c r="DUV1449"/>
      <c r="DUW1449"/>
      <c r="DUX1449"/>
      <c r="DUY1449"/>
      <c r="DUZ1449"/>
      <c r="DVA1449"/>
      <c r="DVB1449"/>
      <c r="DVC1449"/>
      <c r="DVD1449"/>
      <c r="DVE1449"/>
      <c r="DVF1449"/>
      <c r="DVG1449"/>
      <c r="DVH1449"/>
      <c r="DVI1449"/>
      <c r="DVJ1449"/>
      <c r="DVK1449"/>
      <c r="DVL1449"/>
      <c r="DVM1449"/>
      <c r="DVN1449"/>
      <c r="DVO1449"/>
      <c r="DVP1449"/>
      <c r="DVQ1449"/>
      <c r="DVR1449"/>
      <c r="DVS1449"/>
      <c r="DVT1449"/>
      <c r="DVU1449"/>
      <c r="DVV1449"/>
      <c r="DVW1449"/>
      <c r="DVX1449"/>
      <c r="DVY1449"/>
      <c r="DVZ1449"/>
      <c r="DWA1449"/>
      <c r="DWB1449"/>
      <c r="DWC1449"/>
      <c r="DWD1449"/>
      <c r="DWE1449"/>
      <c r="DWF1449"/>
      <c r="DWG1449"/>
      <c r="DWH1449"/>
      <c r="DWI1449"/>
      <c r="DWJ1449"/>
      <c r="DWK1449"/>
      <c r="DWL1449"/>
      <c r="DWM1449"/>
      <c r="DWN1449"/>
      <c r="DWO1449"/>
      <c r="DWP1449"/>
      <c r="DWQ1449"/>
      <c r="DWR1449"/>
      <c r="DWS1449"/>
      <c r="DWT1449"/>
      <c r="DWU1449"/>
      <c r="DWV1449"/>
      <c r="DWW1449"/>
      <c r="DWX1449"/>
      <c r="DWY1449"/>
      <c r="DWZ1449"/>
      <c r="DXA1449"/>
      <c r="DXB1449"/>
      <c r="DXC1449"/>
      <c r="DXD1449"/>
      <c r="DXE1449"/>
      <c r="DXF1449"/>
      <c r="DXG1449"/>
      <c r="DXH1449"/>
      <c r="DXI1449"/>
      <c r="DXJ1449"/>
      <c r="DXK1449"/>
      <c r="DXL1449"/>
      <c r="DXM1449"/>
      <c r="DXN1449"/>
      <c r="DXO1449"/>
      <c r="DXP1449"/>
      <c r="DXQ1449"/>
      <c r="DXR1449"/>
      <c r="DXS1449"/>
      <c r="DXT1449"/>
      <c r="DXU1449"/>
      <c r="DXV1449"/>
      <c r="DXW1449"/>
      <c r="DXX1449"/>
      <c r="DXY1449"/>
      <c r="DXZ1449"/>
      <c r="DYA1449"/>
      <c r="DYB1449"/>
      <c r="DYC1449"/>
      <c r="DYD1449"/>
      <c r="DYE1449"/>
      <c r="DYF1449"/>
      <c r="DYG1449"/>
      <c r="DYH1449"/>
      <c r="DYI1449"/>
      <c r="DYJ1449"/>
      <c r="DYK1449"/>
      <c r="DYL1449"/>
      <c r="DYM1449"/>
      <c r="DYN1449"/>
      <c r="DYO1449"/>
      <c r="DYP1449"/>
      <c r="DYQ1449"/>
      <c r="DYR1449"/>
      <c r="DYS1449"/>
      <c r="DYT1449"/>
      <c r="DYU1449"/>
      <c r="DYV1449"/>
      <c r="DYW1449"/>
      <c r="DYX1449"/>
      <c r="DYY1449"/>
      <c r="DYZ1449"/>
      <c r="DZA1449"/>
      <c r="DZB1449"/>
      <c r="DZC1449"/>
      <c r="DZD1449"/>
      <c r="DZE1449"/>
      <c r="DZF1449"/>
      <c r="DZG1449"/>
      <c r="DZH1449"/>
      <c r="DZI1449"/>
      <c r="DZJ1449"/>
      <c r="DZK1449"/>
      <c r="DZL1449"/>
      <c r="DZM1449"/>
      <c r="DZN1449"/>
      <c r="DZO1449"/>
      <c r="DZP1449"/>
      <c r="DZQ1449"/>
      <c r="DZR1449"/>
      <c r="DZS1449"/>
      <c r="DZT1449"/>
      <c r="DZU1449"/>
      <c r="DZV1449"/>
      <c r="DZW1449"/>
      <c r="DZX1449"/>
      <c r="DZY1449"/>
      <c r="DZZ1449"/>
      <c r="EAA1449"/>
      <c r="EAB1449"/>
      <c r="EAC1449"/>
      <c r="EAD1449"/>
      <c r="EAE1449"/>
      <c r="EAF1449"/>
      <c r="EAG1449"/>
      <c r="EAH1449"/>
      <c r="EAI1449"/>
      <c r="EAJ1449"/>
      <c r="EAK1449"/>
      <c r="EAL1449"/>
      <c r="EAM1449"/>
      <c r="EAN1449"/>
      <c r="EAO1449"/>
      <c r="EAP1449"/>
      <c r="EAQ1449"/>
      <c r="EAR1449"/>
      <c r="EAS1449"/>
      <c r="EAT1449"/>
      <c r="EAU1449"/>
      <c r="EAV1449"/>
      <c r="EAW1449"/>
      <c r="EAX1449"/>
      <c r="EAY1449"/>
      <c r="EAZ1449"/>
      <c r="EBA1449"/>
      <c r="EBB1449"/>
      <c r="EBC1449"/>
      <c r="EBD1449"/>
      <c r="EBE1449"/>
      <c r="EBF1449"/>
      <c r="EBG1449"/>
      <c r="EBH1449"/>
      <c r="EBI1449"/>
      <c r="EBJ1449"/>
      <c r="EBK1449"/>
      <c r="EBL1449"/>
      <c r="EBM1449"/>
      <c r="EBN1449"/>
      <c r="EBO1449"/>
      <c r="EBP1449"/>
      <c r="EBQ1449"/>
      <c r="EBR1449"/>
      <c r="EBS1449"/>
      <c r="EBT1449"/>
      <c r="EBU1449"/>
      <c r="EBV1449"/>
      <c r="EBW1449"/>
      <c r="EBX1449"/>
      <c r="EBY1449"/>
      <c r="EBZ1449"/>
      <c r="ECA1449"/>
      <c r="ECB1449"/>
      <c r="ECC1449"/>
      <c r="ECD1449"/>
      <c r="ECE1449"/>
      <c r="ECF1449"/>
      <c r="ECG1449"/>
      <c r="ECH1449"/>
      <c r="ECI1449"/>
      <c r="ECJ1449"/>
      <c r="ECK1449"/>
      <c r="ECL1449"/>
      <c r="ECM1449"/>
      <c r="ECN1449"/>
      <c r="ECO1449"/>
      <c r="ECP1449"/>
      <c r="ECQ1449"/>
      <c r="ECR1449"/>
      <c r="ECS1449"/>
      <c r="ECT1449"/>
      <c r="ECU1449"/>
      <c r="ECV1449"/>
      <c r="ECW1449"/>
      <c r="ECX1449"/>
      <c r="ECY1449"/>
      <c r="ECZ1449"/>
      <c r="EDA1449"/>
      <c r="EDB1449"/>
      <c r="EDC1449"/>
      <c r="EDD1449"/>
      <c r="EDE1449"/>
      <c r="EDF1449"/>
      <c r="EDG1449"/>
      <c r="EDH1449"/>
      <c r="EDI1449"/>
      <c r="EDJ1449"/>
      <c r="EDK1449"/>
      <c r="EDL1449"/>
      <c r="EDM1449"/>
      <c r="EDN1449"/>
      <c r="EDO1449"/>
      <c r="EDP1449"/>
      <c r="EDQ1449"/>
      <c r="EDR1449"/>
      <c r="EDS1449"/>
      <c r="EDT1449"/>
      <c r="EDU1449"/>
      <c r="EDV1449"/>
      <c r="EDW1449"/>
      <c r="EDX1449"/>
      <c r="EDY1449"/>
      <c r="EDZ1449"/>
      <c r="EEA1449"/>
      <c r="EEB1449"/>
      <c r="EEC1449"/>
      <c r="EED1449"/>
      <c r="EEE1449"/>
      <c r="EEF1449"/>
      <c r="EEG1449"/>
      <c r="EEH1449"/>
      <c r="EEI1449"/>
      <c r="EEJ1449"/>
      <c r="EEK1449"/>
      <c r="EEL1449"/>
      <c r="EEM1449"/>
      <c r="EEN1449"/>
      <c r="EEO1449"/>
      <c r="EEP1449"/>
      <c r="EEQ1449"/>
      <c r="EER1449"/>
      <c r="EES1449"/>
      <c r="EET1449"/>
      <c r="EEU1449"/>
      <c r="EEV1449"/>
      <c r="EEW1449"/>
      <c r="EEX1449"/>
      <c r="EEY1449"/>
      <c r="EEZ1449"/>
      <c r="EFA1449"/>
      <c r="EFB1449"/>
      <c r="EFC1449"/>
      <c r="EFD1449"/>
      <c r="EFE1449"/>
      <c r="EFF1449"/>
      <c r="EFG1449"/>
      <c r="EFH1449"/>
      <c r="EFI1449"/>
      <c r="EFJ1449"/>
      <c r="EFK1449"/>
      <c r="EFL1449"/>
      <c r="EFM1449"/>
      <c r="EFN1449"/>
      <c r="EFO1449"/>
      <c r="EFP1449"/>
      <c r="EFQ1449"/>
      <c r="EFR1449"/>
      <c r="EFS1449"/>
      <c r="EFT1449"/>
      <c r="EFU1449"/>
      <c r="EFV1449"/>
      <c r="EFW1449"/>
      <c r="EFX1449"/>
      <c r="EFY1449"/>
      <c r="EFZ1449"/>
      <c r="EGA1449"/>
      <c r="EGB1449"/>
      <c r="EGC1449"/>
      <c r="EGD1449"/>
      <c r="EGE1449"/>
      <c r="EGF1449"/>
      <c r="EGG1449"/>
      <c r="EGH1449"/>
      <c r="EGI1449"/>
      <c r="EGJ1449"/>
      <c r="EGK1449"/>
      <c r="EGL1449"/>
      <c r="EGM1449"/>
      <c r="EGN1449"/>
      <c r="EGO1449"/>
      <c r="EGP1449"/>
      <c r="EGQ1449"/>
      <c r="EGR1449"/>
      <c r="EGS1449"/>
      <c r="EGT1449"/>
      <c r="EGU1449"/>
      <c r="EGV1449"/>
      <c r="EGW1449"/>
      <c r="EGX1449"/>
      <c r="EGY1449"/>
      <c r="EGZ1449"/>
      <c r="EHA1449"/>
      <c r="EHB1449"/>
      <c r="EHC1449"/>
      <c r="EHD1449"/>
      <c r="EHE1449"/>
      <c r="EHF1449"/>
      <c r="EHG1449"/>
      <c r="EHH1449"/>
      <c r="EHI1449"/>
      <c r="EHJ1449"/>
      <c r="EHK1449"/>
      <c r="EHL1449"/>
      <c r="EHM1449"/>
      <c r="EHN1449"/>
      <c r="EHO1449"/>
      <c r="EHP1449"/>
      <c r="EHQ1449"/>
      <c r="EHR1449"/>
      <c r="EHS1449"/>
      <c r="EHT1449"/>
      <c r="EHU1449"/>
      <c r="EHV1449"/>
      <c r="EHW1449"/>
      <c r="EHX1449"/>
      <c r="EHY1449"/>
      <c r="EHZ1449"/>
      <c r="EIA1449"/>
      <c r="EIB1449"/>
      <c r="EIC1449"/>
      <c r="EID1449"/>
      <c r="EIE1449"/>
      <c r="EIF1449"/>
      <c r="EIG1449"/>
      <c r="EIH1449"/>
      <c r="EII1449"/>
      <c r="EIJ1449"/>
      <c r="EIK1449"/>
      <c r="EIL1449"/>
      <c r="EIM1449"/>
      <c r="EIN1449"/>
      <c r="EIO1449"/>
      <c r="EIP1449"/>
      <c r="EIQ1449"/>
      <c r="EIR1449"/>
      <c r="EIS1449"/>
      <c r="EIT1449"/>
      <c r="EIU1449"/>
      <c r="EIV1449"/>
      <c r="EIW1449"/>
      <c r="EIX1449"/>
      <c r="EIY1449"/>
      <c r="EIZ1449"/>
      <c r="EJA1449"/>
      <c r="EJB1449"/>
      <c r="EJC1449"/>
      <c r="EJD1449"/>
      <c r="EJE1449"/>
      <c r="EJF1449"/>
      <c r="EJG1449"/>
      <c r="EJH1449"/>
      <c r="EJI1449"/>
      <c r="EJJ1449"/>
      <c r="EJK1449"/>
      <c r="EJL1449"/>
      <c r="EJM1449"/>
      <c r="EJN1449"/>
      <c r="EJO1449"/>
      <c r="EJP1449"/>
      <c r="EJQ1449"/>
      <c r="EJR1449"/>
      <c r="EJS1449"/>
      <c r="EJT1449"/>
      <c r="EJU1449"/>
      <c r="EJV1449"/>
      <c r="EJW1449"/>
      <c r="EJX1449"/>
      <c r="EJY1449"/>
      <c r="EJZ1449"/>
      <c r="EKA1449"/>
      <c r="EKB1449"/>
      <c r="EKC1449"/>
      <c r="EKD1449"/>
      <c r="EKE1449"/>
      <c r="EKF1449"/>
      <c r="EKG1449"/>
      <c r="EKH1449"/>
      <c r="EKI1449"/>
      <c r="EKJ1449"/>
      <c r="EKK1449"/>
      <c r="EKL1449"/>
      <c r="EKM1449"/>
      <c r="EKN1449"/>
      <c r="EKO1449"/>
      <c r="EKP1449"/>
      <c r="EKQ1449"/>
      <c r="EKR1449"/>
      <c r="EKS1449"/>
      <c r="EKT1449"/>
      <c r="EKU1449"/>
      <c r="EKV1449"/>
      <c r="EKW1449"/>
      <c r="EKX1449"/>
      <c r="EKY1449"/>
      <c r="EKZ1449"/>
      <c r="ELA1449"/>
      <c r="ELB1449"/>
      <c r="ELC1449"/>
      <c r="ELD1449"/>
      <c r="ELE1449"/>
      <c r="ELF1449"/>
      <c r="ELG1449"/>
      <c r="ELH1449"/>
      <c r="ELI1449"/>
      <c r="ELJ1449"/>
      <c r="ELK1449"/>
      <c r="ELL1449"/>
      <c r="ELM1449"/>
      <c r="ELN1449"/>
      <c r="ELO1449"/>
      <c r="ELP1449"/>
      <c r="ELQ1449"/>
      <c r="ELR1449"/>
      <c r="ELS1449"/>
      <c r="ELT1449"/>
      <c r="ELU1449"/>
      <c r="ELV1449"/>
      <c r="ELW1449"/>
      <c r="ELX1449"/>
      <c r="ELY1449"/>
      <c r="ELZ1449"/>
      <c r="EMA1449"/>
      <c r="EMB1449"/>
      <c r="EMC1449"/>
      <c r="EMD1449"/>
      <c r="EME1449"/>
      <c r="EMF1449"/>
      <c r="EMG1449"/>
      <c r="EMH1449"/>
      <c r="EMI1449"/>
      <c r="EMJ1449"/>
      <c r="EMK1449"/>
      <c r="EML1449"/>
      <c r="EMM1449"/>
      <c r="EMN1449"/>
      <c r="EMO1449"/>
      <c r="EMP1449"/>
      <c r="EMQ1449"/>
      <c r="EMR1449"/>
      <c r="EMS1449"/>
      <c r="EMT1449"/>
      <c r="EMU1449"/>
      <c r="EMV1449"/>
      <c r="EMW1449"/>
      <c r="EMX1449"/>
      <c r="EMY1449"/>
      <c r="EMZ1449"/>
      <c r="ENA1449"/>
      <c r="ENB1449"/>
      <c r="ENC1449"/>
      <c r="END1449"/>
      <c r="ENE1449"/>
      <c r="ENF1449"/>
      <c r="ENG1449"/>
      <c r="ENH1449"/>
      <c r="ENI1449"/>
      <c r="ENJ1449"/>
      <c r="ENK1449"/>
      <c r="ENL1449"/>
      <c r="ENM1449"/>
      <c r="ENN1449"/>
      <c r="ENO1449"/>
      <c r="ENP1449"/>
      <c r="ENQ1449"/>
      <c r="ENR1449"/>
      <c r="ENS1449"/>
      <c r="ENT1449"/>
      <c r="ENU1449"/>
      <c r="ENV1449"/>
      <c r="ENW1449"/>
      <c r="ENX1449"/>
      <c r="ENY1449"/>
      <c r="ENZ1449"/>
      <c r="EOA1449"/>
      <c r="EOB1449"/>
      <c r="EOC1449"/>
      <c r="EOD1449"/>
      <c r="EOE1449"/>
      <c r="EOF1449"/>
      <c r="EOG1449"/>
      <c r="EOH1449"/>
      <c r="EOI1449"/>
      <c r="EOJ1449"/>
      <c r="EOK1449"/>
      <c r="EOL1449"/>
      <c r="EOM1449"/>
      <c r="EON1449"/>
      <c r="EOO1449"/>
      <c r="EOP1449"/>
      <c r="EOQ1449"/>
      <c r="EOR1449"/>
      <c r="EOS1449"/>
      <c r="EOT1449"/>
      <c r="EOU1449"/>
      <c r="EOV1449"/>
      <c r="EOW1449"/>
      <c r="EOX1449"/>
      <c r="EOY1449"/>
      <c r="EOZ1449"/>
      <c r="EPA1449"/>
      <c r="EPB1449"/>
      <c r="EPC1449"/>
      <c r="EPD1449"/>
      <c r="EPE1449"/>
      <c r="EPF1449"/>
      <c r="EPG1449"/>
      <c r="EPH1449"/>
      <c r="EPI1449"/>
      <c r="EPJ1449"/>
      <c r="EPK1449"/>
      <c r="EPL1449"/>
      <c r="EPM1449"/>
      <c r="EPN1449"/>
      <c r="EPO1449"/>
      <c r="EPP1449"/>
      <c r="EPQ1449"/>
      <c r="EPR1449"/>
      <c r="EPS1449"/>
      <c r="EPT1449"/>
      <c r="EPU1449"/>
      <c r="EPV1449"/>
      <c r="EPW1449"/>
      <c r="EPX1449"/>
      <c r="EPY1449"/>
      <c r="EPZ1449"/>
      <c r="EQA1449"/>
      <c r="EQB1449"/>
      <c r="EQC1449"/>
      <c r="EQD1449"/>
      <c r="EQE1449"/>
      <c r="EQF1449"/>
      <c r="EQG1449"/>
      <c r="EQH1449"/>
      <c r="EQI1449"/>
      <c r="EQJ1449"/>
      <c r="EQK1449"/>
      <c r="EQL1449"/>
      <c r="EQM1449"/>
      <c r="EQN1449"/>
      <c r="EQO1449"/>
      <c r="EQP1449"/>
      <c r="EQQ1449"/>
      <c r="EQR1449"/>
      <c r="EQS1449"/>
      <c r="EQT1449"/>
      <c r="EQU1449"/>
      <c r="EQV1449"/>
      <c r="EQW1449"/>
      <c r="EQX1449"/>
      <c r="EQY1449"/>
      <c r="EQZ1449"/>
      <c r="ERA1449"/>
      <c r="ERB1449"/>
      <c r="ERC1449"/>
      <c r="ERD1449"/>
      <c r="ERE1449"/>
      <c r="ERF1449"/>
      <c r="ERG1449"/>
      <c r="ERH1449"/>
      <c r="ERI1449"/>
      <c r="ERJ1449"/>
      <c r="ERK1449"/>
      <c r="ERL1449"/>
      <c r="ERM1449"/>
      <c r="ERN1449"/>
      <c r="ERO1449"/>
      <c r="ERP1449"/>
      <c r="ERQ1449"/>
      <c r="ERR1449"/>
      <c r="ERS1449"/>
      <c r="ERT1449"/>
      <c r="ERU1449"/>
      <c r="ERV1449"/>
      <c r="ERW1449"/>
      <c r="ERX1449"/>
      <c r="ERY1449"/>
      <c r="ERZ1449"/>
      <c r="ESA1449"/>
      <c r="ESB1449"/>
      <c r="ESC1449"/>
      <c r="ESD1449"/>
      <c r="ESE1449"/>
      <c r="ESF1449"/>
      <c r="ESG1449"/>
      <c r="ESH1449"/>
      <c r="ESI1449"/>
      <c r="ESJ1449"/>
      <c r="ESK1449"/>
      <c r="ESL1449"/>
      <c r="ESM1449"/>
      <c r="ESN1449"/>
      <c r="ESO1449"/>
      <c r="ESP1449"/>
      <c r="ESQ1449"/>
      <c r="ESR1449"/>
      <c r="ESS1449"/>
      <c r="EST1449"/>
      <c r="ESU1449"/>
      <c r="ESV1449"/>
      <c r="ESW1449"/>
      <c r="ESX1449"/>
      <c r="ESY1449"/>
      <c r="ESZ1449"/>
      <c r="ETA1449"/>
      <c r="ETB1449"/>
      <c r="ETC1449"/>
      <c r="ETD1449"/>
      <c r="ETE1449"/>
      <c r="ETF1449"/>
      <c r="ETG1449"/>
      <c r="ETH1449"/>
      <c r="ETI1449"/>
      <c r="ETJ1449"/>
      <c r="ETK1449"/>
      <c r="ETL1449"/>
      <c r="ETM1449"/>
      <c r="ETN1449"/>
      <c r="ETO1449"/>
      <c r="ETP1449"/>
      <c r="ETQ1449"/>
      <c r="ETR1449"/>
      <c r="ETS1449"/>
      <c r="ETT1449"/>
      <c r="ETU1449"/>
      <c r="ETV1449"/>
      <c r="ETW1449"/>
      <c r="ETX1449"/>
      <c r="ETY1449"/>
      <c r="ETZ1449"/>
      <c r="EUA1449"/>
      <c r="EUB1449"/>
      <c r="EUC1449"/>
      <c r="EUD1449"/>
      <c r="EUE1449"/>
      <c r="EUF1449"/>
      <c r="EUG1449"/>
      <c r="EUH1449"/>
      <c r="EUI1449"/>
      <c r="EUJ1449"/>
      <c r="EUK1449"/>
      <c r="EUL1449"/>
      <c r="EUM1449"/>
      <c r="EUN1449"/>
      <c r="EUO1449"/>
      <c r="EUP1449"/>
      <c r="EUQ1449"/>
      <c r="EUR1449"/>
      <c r="EUS1449"/>
      <c r="EUT1449"/>
      <c r="EUU1449"/>
      <c r="EUV1449"/>
      <c r="EUW1449"/>
      <c r="EUX1449"/>
      <c r="EUY1449"/>
      <c r="EUZ1449"/>
      <c r="EVA1449"/>
      <c r="EVB1449"/>
      <c r="EVC1449"/>
      <c r="EVD1449"/>
      <c r="EVE1449"/>
      <c r="EVF1449"/>
      <c r="EVG1449"/>
      <c r="EVH1449"/>
      <c r="EVI1449"/>
      <c r="EVJ1449"/>
      <c r="EVK1449"/>
      <c r="EVL1449"/>
      <c r="EVM1449"/>
      <c r="EVN1449"/>
      <c r="EVO1449"/>
      <c r="EVP1449"/>
      <c r="EVQ1449"/>
      <c r="EVR1449"/>
      <c r="EVS1449"/>
      <c r="EVT1449"/>
      <c r="EVU1449"/>
      <c r="EVV1449"/>
      <c r="EVW1449"/>
      <c r="EVX1449"/>
      <c r="EVY1449"/>
      <c r="EVZ1449"/>
      <c r="EWA1449"/>
      <c r="EWB1449"/>
      <c r="EWC1449"/>
      <c r="EWD1449"/>
      <c r="EWE1449"/>
      <c r="EWF1449"/>
      <c r="EWG1449"/>
      <c r="EWH1449"/>
      <c r="EWI1449"/>
      <c r="EWJ1449"/>
      <c r="EWK1449"/>
      <c r="EWL1449"/>
      <c r="EWM1449"/>
      <c r="EWN1449"/>
      <c r="EWO1449"/>
      <c r="EWP1449"/>
      <c r="EWQ1449"/>
      <c r="EWR1449"/>
      <c r="EWS1449"/>
      <c r="EWT1449"/>
      <c r="EWU1449"/>
      <c r="EWV1449"/>
      <c r="EWW1449"/>
      <c r="EWX1449"/>
      <c r="EWY1449"/>
      <c r="EWZ1449"/>
      <c r="EXA1449"/>
      <c r="EXB1449"/>
      <c r="EXC1449"/>
      <c r="EXD1449"/>
      <c r="EXE1449"/>
      <c r="EXF1449"/>
      <c r="EXG1449"/>
      <c r="EXH1449"/>
      <c r="EXI1449"/>
      <c r="EXJ1449"/>
      <c r="EXK1449"/>
      <c r="EXL1449"/>
      <c r="EXM1449"/>
      <c r="EXN1449"/>
      <c r="EXO1449"/>
      <c r="EXP1449"/>
      <c r="EXQ1449"/>
      <c r="EXR1449"/>
      <c r="EXS1449"/>
      <c r="EXT1449"/>
      <c r="EXU1449"/>
      <c r="EXV1449"/>
      <c r="EXW1449"/>
      <c r="EXX1449"/>
      <c r="EXY1449"/>
      <c r="EXZ1449"/>
      <c r="EYA1449"/>
      <c r="EYB1449"/>
      <c r="EYC1449"/>
      <c r="EYD1449"/>
      <c r="EYE1449"/>
      <c r="EYF1449"/>
      <c r="EYG1449"/>
      <c r="EYH1449"/>
      <c r="EYI1449"/>
      <c r="EYJ1449"/>
      <c r="EYK1449"/>
      <c r="EYL1449"/>
      <c r="EYM1449"/>
      <c r="EYN1449"/>
      <c r="EYO1449"/>
      <c r="EYP1449"/>
      <c r="EYQ1449"/>
      <c r="EYR1449"/>
      <c r="EYS1449"/>
      <c r="EYT1449"/>
      <c r="EYU1449"/>
      <c r="EYV1449"/>
      <c r="EYW1449"/>
      <c r="EYX1449"/>
      <c r="EYY1449"/>
      <c r="EYZ1449"/>
      <c r="EZA1449"/>
      <c r="EZB1449"/>
      <c r="EZC1449"/>
      <c r="EZD1449"/>
      <c r="EZE1449"/>
      <c r="EZF1449"/>
      <c r="EZG1449"/>
      <c r="EZH1449"/>
      <c r="EZI1449"/>
      <c r="EZJ1449"/>
      <c r="EZK1449"/>
      <c r="EZL1449"/>
      <c r="EZM1449"/>
      <c r="EZN1449"/>
      <c r="EZO1449"/>
      <c r="EZP1449"/>
      <c r="EZQ1449"/>
      <c r="EZR1449"/>
      <c r="EZS1449"/>
      <c r="EZT1449"/>
      <c r="EZU1449"/>
      <c r="EZV1449"/>
      <c r="EZW1449"/>
      <c r="EZX1449"/>
      <c r="EZY1449"/>
      <c r="EZZ1449"/>
      <c r="FAA1449"/>
      <c r="FAB1449"/>
      <c r="FAC1449"/>
      <c r="FAD1449"/>
      <c r="FAE1449"/>
      <c r="FAF1449"/>
      <c r="FAG1449"/>
      <c r="FAH1449"/>
      <c r="FAI1449"/>
      <c r="FAJ1449"/>
      <c r="FAK1449"/>
      <c r="FAL1449"/>
      <c r="FAM1449"/>
      <c r="FAN1449"/>
      <c r="FAO1449"/>
      <c r="FAP1449"/>
      <c r="FAQ1449"/>
      <c r="FAR1449"/>
      <c r="FAS1449"/>
      <c r="FAT1449"/>
      <c r="FAU1449"/>
      <c r="FAV1449"/>
      <c r="FAW1449"/>
      <c r="FAX1449"/>
      <c r="FAY1449"/>
      <c r="FAZ1449"/>
      <c r="FBA1449"/>
      <c r="FBB1449"/>
      <c r="FBC1449"/>
      <c r="FBD1449"/>
      <c r="FBE1449"/>
      <c r="FBF1449"/>
      <c r="FBG1449"/>
      <c r="FBH1449"/>
      <c r="FBI1449"/>
      <c r="FBJ1449"/>
      <c r="FBK1449"/>
      <c r="FBL1449"/>
      <c r="FBM1449"/>
      <c r="FBN1449"/>
      <c r="FBO1449"/>
      <c r="FBP1449"/>
      <c r="FBQ1449"/>
      <c r="FBR1449"/>
      <c r="FBS1449"/>
      <c r="FBT1449"/>
      <c r="FBU1449"/>
      <c r="FBV1449"/>
      <c r="FBW1449"/>
      <c r="FBX1449"/>
      <c r="FBY1449"/>
      <c r="FBZ1449"/>
      <c r="FCA1449"/>
      <c r="FCB1449"/>
      <c r="FCC1449"/>
      <c r="FCD1449"/>
      <c r="FCE1449"/>
      <c r="FCF1449"/>
      <c r="FCG1449"/>
      <c r="FCH1449"/>
      <c r="FCI1449"/>
      <c r="FCJ1449"/>
      <c r="FCK1449"/>
      <c r="FCL1449"/>
      <c r="FCM1449"/>
      <c r="FCN1449"/>
      <c r="FCO1449"/>
      <c r="FCP1449"/>
      <c r="FCQ1449"/>
      <c r="FCR1449"/>
      <c r="FCS1449"/>
      <c r="FCT1449"/>
      <c r="FCU1449"/>
      <c r="FCV1449"/>
      <c r="FCW1449"/>
      <c r="FCX1449"/>
      <c r="FCY1449"/>
      <c r="FCZ1449"/>
      <c r="FDA1449"/>
      <c r="FDB1449"/>
      <c r="FDC1449"/>
      <c r="FDD1449"/>
      <c r="FDE1449"/>
      <c r="FDF1449"/>
      <c r="FDG1449"/>
      <c r="FDH1449"/>
      <c r="FDI1449"/>
      <c r="FDJ1449"/>
      <c r="FDK1449"/>
      <c r="FDL1449"/>
      <c r="FDM1449"/>
      <c r="FDN1449"/>
      <c r="FDO1449"/>
      <c r="FDP1449"/>
      <c r="FDQ1449"/>
      <c r="FDR1449"/>
      <c r="FDS1449"/>
      <c r="FDT1449"/>
      <c r="FDU1449"/>
      <c r="FDV1449"/>
      <c r="FDW1449"/>
      <c r="FDX1449"/>
      <c r="FDY1449"/>
      <c r="FDZ1449"/>
      <c r="FEA1449"/>
      <c r="FEB1449"/>
      <c r="FEC1449"/>
      <c r="FED1449"/>
      <c r="FEE1449"/>
      <c r="FEF1449"/>
      <c r="FEG1449"/>
      <c r="FEH1449"/>
      <c r="FEI1449"/>
      <c r="FEJ1449"/>
      <c r="FEK1449"/>
      <c r="FEL1449"/>
      <c r="FEM1449"/>
      <c r="FEN1449"/>
      <c r="FEO1449"/>
      <c r="FEP1449"/>
      <c r="FEQ1449"/>
      <c r="FER1449"/>
      <c r="FES1449"/>
      <c r="FET1449"/>
      <c r="FEU1449"/>
      <c r="FEV1449"/>
      <c r="FEW1449"/>
      <c r="FEX1449"/>
      <c r="FEY1449"/>
      <c r="FEZ1449"/>
      <c r="FFA1449"/>
      <c r="FFB1449"/>
      <c r="FFC1449"/>
      <c r="FFD1449"/>
      <c r="FFE1449"/>
      <c r="FFF1449"/>
      <c r="FFG1449"/>
      <c r="FFH1449"/>
      <c r="FFI1449"/>
      <c r="FFJ1449"/>
      <c r="FFK1449"/>
      <c r="FFL1449"/>
      <c r="FFM1449"/>
      <c r="FFN1449"/>
      <c r="FFO1449"/>
      <c r="FFP1449"/>
      <c r="FFQ1449"/>
      <c r="FFR1449"/>
      <c r="FFS1449"/>
      <c r="FFT1449"/>
      <c r="FFU1449"/>
      <c r="FFV1449"/>
      <c r="FFW1449"/>
      <c r="FFX1449"/>
      <c r="FFY1449"/>
      <c r="FFZ1449"/>
      <c r="FGA1449"/>
      <c r="FGB1449"/>
      <c r="FGC1449"/>
      <c r="FGD1449"/>
      <c r="FGE1449"/>
      <c r="FGF1449"/>
      <c r="FGG1449"/>
      <c r="FGH1449"/>
      <c r="FGI1449"/>
      <c r="FGJ1449"/>
      <c r="FGK1449"/>
      <c r="FGL1449"/>
      <c r="FGM1449"/>
      <c r="FGN1449"/>
      <c r="FGO1449"/>
      <c r="FGP1449"/>
      <c r="FGQ1449"/>
      <c r="FGR1449"/>
      <c r="FGS1449"/>
      <c r="FGT1449"/>
      <c r="FGU1449"/>
      <c r="FGV1449"/>
      <c r="FGW1449"/>
      <c r="FGX1449"/>
      <c r="FGY1449"/>
      <c r="FGZ1449"/>
      <c r="FHA1449"/>
      <c r="FHB1449"/>
      <c r="FHC1449"/>
      <c r="FHD1449"/>
      <c r="FHE1449"/>
      <c r="FHF1449"/>
      <c r="FHG1449"/>
      <c r="FHH1449"/>
      <c r="FHI1449"/>
      <c r="FHJ1449"/>
      <c r="FHK1449"/>
      <c r="FHL1449"/>
      <c r="FHM1449"/>
      <c r="FHN1449"/>
      <c r="FHO1449"/>
      <c r="FHP1449"/>
      <c r="FHQ1449"/>
      <c r="FHR1449"/>
      <c r="FHS1449"/>
      <c r="FHT1449"/>
      <c r="FHU1449"/>
      <c r="FHV1449"/>
      <c r="FHW1449"/>
      <c r="FHX1449"/>
      <c r="FHY1449"/>
      <c r="FHZ1449"/>
      <c r="FIA1449"/>
      <c r="FIB1449"/>
      <c r="FIC1449"/>
      <c r="FID1449"/>
      <c r="FIE1449"/>
      <c r="FIF1449"/>
      <c r="FIG1449"/>
      <c r="FIH1449"/>
      <c r="FII1449"/>
      <c r="FIJ1449"/>
      <c r="FIK1449"/>
      <c r="FIL1449"/>
      <c r="FIM1449"/>
      <c r="FIN1449"/>
      <c r="FIO1449"/>
      <c r="FIP1449"/>
      <c r="FIQ1449"/>
      <c r="FIR1449"/>
      <c r="FIS1449"/>
      <c r="FIT1449"/>
      <c r="FIU1449"/>
      <c r="FIV1449"/>
      <c r="FIW1449"/>
      <c r="FIX1449"/>
      <c r="FIY1449"/>
      <c r="FIZ1449"/>
      <c r="FJA1449"/>
      <c r="FJB1449"/>
      <c r="FJC1449"/>
      <c r="FJD1449"/>
      <c r="FJE1449"/>
      <c r="FJF1449"/>
      <c r="FJG1449"/>
      <c r="FJH1449"/>
      <c r="FJI1449"/>
      <c r="FJJ1449"/>
      <c r="FJK1449"/>
      <c r="FJL1449"/>
      <c r="FJM1449"/>
      <c r="FJN1449"/>
      <c r="FJO1449"/>
      <c r="FJP1449"/>
      <c r="FJQ1449"/>
      <c r="FJR1449"/>
      <c r="FJS1449"/>
      <c r="FJT1449"/>
      <c r="FJU1449"/>
      <c r="FJV1449"/>
      <c r="FJW1449"/>
      <c r="FJX1449"/>
      <c r="FJY1449"/>
      <c r="FJZ1449"/>
      <c r="FKA1449"/>
      <c r="FKB1449"/>
      <c r="FKC1449"/>
      <c r="FKD1449"/>
      <c r="FKE1449"/>
      <c r="FKF1449"/>
      <c r="FKG1449"/>
      <c r="FKH1449"/>
      <c r="FKI1449"/>
      <c r="FKJ1449"/>
      <c r="FKK1449"/>
      <c r="FKL1449"/>
      <c r="FKM1449"/>
      <c r="FKN1449"/>
      <c r="FKO1449"/>
      <c r="FKP1449"/>
      <c r="FKQ1449"/>
      <c r="FKR1449"/>
      <c r="FKS1449"/>
      <c r="FKT1449"/>
      <c r="FKU1449"/>
      <c r="FKV1449"/>
      <c r="FKW1449"/>
      <c r="FKX1449"/>
      <c r="FKY1449"/>
      <c r="FKZ1449"/>
      <c r="FLA1449"/>
      <c r="FLB1449"/>
      <c r="FLC1449"/>
      <c r="FLD1449"/>
      <c r="FLE1449"/>
      <c r="FLF1449"/>
      <c r="FLG1449"/>
      <c r="FLH1449"/>
      <c r="FLI1449"/>
      <c r="FLJ1449"/>
      <c r="FLK1449"/>
      <c r="FLL1449"/>
      <c r="FLM1449"/>
      <c r="FLN1449"/>
      <c r="FLO1449"/>
      <c r="FLP1449"/>
      <c r="FLQ1449"/>
      <c r="FLR1449"/>
      <c r="FLS1449"/>
      <c r="FLT1449"/>
      <c r="FLU1449"/>
      <c r="FLV1449"/>
      <c r="FLW1449"/>
      <c r="FLX1449"/>
      <c r="FLY1449"/>
      <c r="FLZ1449"/>
      <c r="FMA1449"/>
      <c r="FMB1449"/>
      <c r="FMC1449"/>
      <c r="FMD1449"/>
      <c r="FME1449"/>
      <c r="FMF1449"/>
      <c r="FMG1449"/>
      <c r="FMH1449"/>
      <c r="FMI1449"/>
      <c r="FMJ1449"/>
      <c r="FMK1449"/>
      <c r="FML1449"/>
      <c r="FMM1449"/>
      <c r="FMN1449"/>
      <c r="FMO1449"/>
      <c r="FMP1449"/>
      <c r="FMQ1449"/>
      <c r="FMR1449"/>
      <c r="FMS1449"/>
      <c r="FMT1449"/>
      <c r="FMU1449"/>
      <c r="FMV1449"/>
      <c r="FMW1449"/>
      <c r="FMX1449"/>
      <c r="FMY1449"/>
      <c r="FMZ1449"/>
      <c r="FNA1449"/>
      <c r="FNB1449"/>
      <c r="FNC1449"/>
      <c r="FND1449"/>
      <c r="FNE1449"/>
      <c r="FNF1449"/>
      <c r="FNG1449"/>
      <c r="FNH1449"/>
      <c r="FNI1449"/>
      <c r="FNJ1449"/>
      <c r="FNK1449"/>
      <c r="FNL1449"/>
      <c r="FNM1449"/>
      <c r="FNN1449"/>
      <c r="FNO1449"/>
      <c r="FNP1449"/>
      <c r="FNQ1449"/>
      <c r="FNR1449"/>
      <c r="FNS1449"/>
      <c r="FNT1449"/>
      <c r="FNU1449"/>
      <c r="FNV1449"/>
      <c r="FNW1449"/>
      <c r="FNX1449"/>
      <c r="FNY1449"/>
      <c r="FNZ1449"/>
      <c r="FOA1449"/>
      <c r="FOB1449"/>
      <c r="FOC1449"/>
      <c r="FOD1449"/>
      <c r="FOE1449"/>
      <c r="FOF1449"/>
      <c r="FOG1449"/>
      <c r="FOH1449"/>
      <c r="FOI1449"/>
      <c r="FOJ1449"/>
      <c r="FOK1449"/>
      <c r="FOL1449"/>
      <c r="FOM1449"/>
      <c r="FON1449"/>
      <c r="FOO1449"/>
      <c r="FOP1449"/>
      <c r="FOQ1449"/>
      <c r="FOR1449"/>
      <c r="FOS1449"/>
      <c r="FOT1449"/>
      <c r="FOU1449"/>
      <c r="FOV1449"/>
      <c r="FOW1449"/>
      <c r="FOX1449"/>
      <c r="FOY1449"/>
      <c r="FOZ1449"/>
      <c r="FPA1449"/>
      <c r="FPB1449"/>
      <c r="FPC1449"/>
      <c r="FPD1449"/>
      <c r="FPE1449"/>
      <c r="FPF1449"/>
      <c r="FPG1449"/>
      <c r="FPH1449"/>
      <c r="FPI1449"/>
      <c r="FPJ1449"/>
      <c r="FPK1449"/>
      <c r="FPL1449"/>
      <c r="FPM1449"/>
      <c r="FPN1449"/>
      <c r="FPO1449"/>
      <c r="FPP1449"/>
      <c r="FPQ1449"/>
      <c r="FPR1449"/>
      <c r="FPS1449"/>
      <c r="FPT1449"/>
      <c r="FPU1449"/>
      <c r="FPV1449"/>
      <c r="FPW1449"/>
      <c r="FPX1449"/>
      <c r="FPY1449"/>
      <c r="FPZ1449"/>
      <c r="FQA1449"/>
      <c r="FQB1449"/>
      <c r="FQC1449"/>
      <c r="FQD1449"/>
      <c r="FQE1449"/>
      <c r="FQF1449"/>
      <c r="FQG1449"/>
      <c r="FQH1449"/>
      <c r="FQI1449"/>
      <c r="FQJ1449"/>
      <c r="FQK1449"/>
      <c r="FQL1449"/>
      <c r="FQM1449"/>
      <c r="FQN1449"/>
      <c r="FQO1449"/>
      <c r="FQP1449"/>
      <c r="FQQ1449"/>
      <c r="FQR1449"/>
      <c r="FQS1449"/>
      <c r="FQT1449"/>
      <c r="FQU1449"/>
      <c r="FQV1449"/>
      <c r="FQW1449"/>
      <c r="FQX1449"/>
      <c r="FQY1449"/>
      <c r="FQZ1449"/>
      <c r="FRA1449"/>
      <c r="FRB1449"/>
      <c r="FRC1449"/>
      <c r="FRD1449"/>
      <c r="FRE1449"/>
      <c r="FRF1449"/>
      <c r="FRG1449"/>
      <c r="FRH1449"/>
      <c r="FRI1449"/>
      <c r="FRJ1449"/>
      <c r="FRK1449"/>
      <c r="FRL1449"/>
      <c r="FRM1449"/>
      <c r="FRN1449"/>
      <c r="FRO1449"/>
      <c r="FRP1449"/>
      <c r="FRQ1449"/>
      <c r="FRR1449"/>
      <c r="FRS1449"/>
      <c r="FRT1449"/>
      <c r="FRU1449"/>
      <c r="FRV1449"/>
      <c r="FRW1449"/>
      <c r="FRX1449"/>
      <c r="FRY1449"/>
      <c r="FRZ1449"/>
      <c r="FSA1449"/>
      <c r="FSB1449"/>
      <c r="FSC1449"/>
      <c r="FSD1449"/>
      <c r="FSE1449"/>
      <c r="FSF1449"/>
      <c r="FSG1449"/>
      <c r="FSH1449"/>
      <c r="FSI1449"/>
      <c r="FSJ1449"/>
      <c r="FSK1449"/>
      <c r="FSL1449"/>
      <c r="FSM1449"/>
      <c r="FSN1449"/>
      <c r="FSO1449"/>
      <c r="FSP1449"/>
      <c r="FSQ1449"/>
      <c r="FSR1449"/>
      <c r="FSS1449"/>
      <c r="FST1449"/>
      <c r="FSU1449"/>
      <c r="FSV1449"/>
      <c r="FSW1449"/>
      <c r="FSX1449"/>
      <c r="FSY1449"/>
      <c r="FSZ1449"/>
      <c r="FTA1449"/>
      <c r="FTB1449"/>
      <c r="FTC1449"/>
      <c r="FTD1449"/>
      <c r="FTE1449"/>
      <c r="FTF1449"/>
      <c r="FTG1449"/>
      <c r="FTH1449"/>
      <c r="FTI1449"/>
      <c r="FTJ1449"/>
      <c r="FTK1449"/>
      <c r="FTL1449"/>
      <c r="FTM1449"/>
      <c r="FTN1449"/>
      <c r="FTO1449"/>
      <c r="FTP1449"/>
      <c r="FTQ1449"/>
      <c r="FTR1449"/>
      <c r="FTS1449"/>
      <c r="FTT1449"/>
      <c r="FTU1449"/>
      <c r="FTV1449"/>
      <c r="FTW1449"/>
      <c r="FTX1449"/>
      <c r="FTY1449"/>
      <c r="FTZ1449"/>
      <c r="FUA1449"/>
      <c r="FUB1449"/>
      <c r="FUC1449"/>
      <c r="FUD1449"/>
      <c r="FUE1449"/>
      <c r="FUF1449"/>
      <c r="FUG1449"/>
      <c r="FUH1449"/>
      <c r="FUI1449"/>
      <c r="FUJ1449"/>
      <c r="FUK1449"/>
      <c r="FUL1449"/>
      <c r="FUM1449"/>
      <c r="FUN1449"/>
      <c r="FUO1449"/>
      <c r="FUP1449"/>
      <c r="FUQ1449"/>
      <c r="FUR1449"/>
      <c r="FUS1449"/>
      <c r="FUT1449"/>
      <c r="FUU1449"/>
      <c r="FUV1449"/>
      <c r="FUW1449"/>
      <c r="FUX1449"/>
      <c r="FUY1449"/>
      <c r="FUZ1449"/>
      <c r="FVA1449"/>
      <c r="FVB1449"/>
      <c r="FVC1449"/>
      <c r="FVD1449"/>
      <c r="FVE1449"/>
      <c r="FVF1449"/>
      <c r="FVG1449"/>
      <c r="FVH1449"/>
      <c r="FVI1449"/>
      <c r="FVJ1449"/>
      <c r="FVK1449"/>
      <c r="FVL1449"/>
      <c r="FVM1449"/>
      <c r="FVN1449"/>
      <c r="FVO1449"/>
      <c r="FVP1449"/>
      <c r="FVQ1449"/>
      <c r="FVR1449"/>
      <c r="FVS1449"/>
      <c r="FVT1449"/>
      <c r="FVU1449"/>
      <c r="FVV1449"/>
      <c r="FVW1449"/>
      <c r="FVX1449"/>
      <c r="FVY1449"/>
      <c r="FVZ1449"/>
      <c r="FWA1449"/>
      <c r="FWB1449"/>
      <c r="FWC1449"/>
      <c r="FWD1449"/>
      <c r="FWE1449"/>
      <c r="FWF1449"/>
      <c r="FWG1449"/>
      <c r="FWH1449"/>
      <c r="FWI1449"/>
      <c r="FWJ1449"/>
      <c r="FWK1449"/>
      <c r="FWL1449"/>
      <c r="FWM1449"/>
      <c r="FWN1449"/>
      <c r="FWO1449"/>
      <c r="FWP1449"/>
      <c r="FWQ1449"/>
      <c r="FWR1449"/>
      <c r="FWS1449"/>
      <c r="FWT1449"/>
      <c r="FWU1449"/>
      <c r="FWV1449"/>
      <c r="FWW1449"/>
      <c r="FWX1449"/>
      <c r="FWY1449"/>
      <c r="FWZ1449"/>
      <c r="FXA1449"/>
      <c r="FXB1449"/>
      <c r="FXC1449"/>
      <c r="FXD1449"/>
      <c r="FXE1449"/>
      <c r="FXF1449"/>
      <c r="FXG1449"/>
      <c r="FXH1449"/>
      <c r="FXI1449"/>
      <c r="FXJ1449"/>
      <c r="FXK1449"/>
      <c r="FXL1449"/>
      <c r="FXM1449"/>
      <c r="FXN1449"/>
      <c r="FXO1449"/>
      <c r="FXP1449"/>
      <c r="FXQ1449"/>
      <c r="FXR1449"/>
      <c r="FXS1449"/>
      <c r="FXT1449"/>
      <c r="FXU1449"/>
      <c r="FXV1449"/>
      <c r="FXW1449"/>
      <c r="FXX1449"/>
      <c r="FXY1449"/>
      <c r="FXZ1449"/>
      <c r="FYA1449"/>
      <c r="FYB1449"/>
      <c r="FYC1449"/>
      <c r="FYD1449"/>
      <c r="FYE1449"/>
      <c r="FYF1449"/>
      <c r="FYG1449"/>
      <c r="FYH1449"/>
      <c r="FYI1449"/>
      <c r="FYJ1449"/>
      <c r="FYK1449"/>
      <c r="FYL1449"/>
      <c r="FYM1449"/>
      <c r="FYN1449"/>
      <c r="FYO1449"/>
      <c r="FYP1449"/>
      <c r="FYQ1449"/>
      <c r="FYR1449"/>
      <c r="FYS1449"/>
      <c r="FYT1449"/>
      <c r="FYU1449"/>
      <c r="FYV1449"/>
      <c r="FYW1449"/>
      <c r="FYX1449"/>
      <c r="FYY1449"/>
      <c r="FYZ1449"/>
      <c r="FZA1449"/>
      <c r="FZB1449"/>
      <c r="FZC1449"/>
      <c r="FZD1449"/>
      <c r="FZE1449"/>
      <c r="FZF1449"/>
      <c r="FZG1449"/>
      <c r="FZH1449"/>
      <c r="FZI1449"/>
      <c r="FZJ1449"/>
      <c r="FZK1449"/>
      <c r="FZL1449"/>
      <c r="FZM1449"/>
      <c r="FZN1449"/>
      <c r="FZO1449"/>
      <c r="FZP1449"/>
      <c r="FZQ1449"/>
      <c r="FZR1449"/>
      <c r="FZS1449"/>
      <c r="FZT1449"/>
      <c r="FZU1449"/>
      <c r="FZV1449"/>
      <c r="FZW1449"/>
      <c r="FZX1449"/>
      <c r="FZY1449"/>
      <c r="FZZ1449"/>
      <c r="GAA1449"/>
      <c r="GAB1449"/>
      <c r="GAC1449"/>
      <c r="GAD1449"/>
      <c r="GAE1449"/>
      <c r="GAF1449"/>
      <c r="GAG1449"/>
      <c r="GAH1449"/>
      <c r="GAI1449"/>
      <c r="GAJ1449"/>
      <c r="GAK1449"/>
      <c r="GAL1449"/>
      <c r="GAM1449"/>
      <c r="GAN1449"/>
      <c r="GAO1449"/>
      <c r="GAP1449"/>
      <c r="GAQ1449"/>
      <c r="GAR1449"/>
      <c r="GAS1449"/>
      <c r="GAT1449"/>
      <c r="GAU1449"/>
      <c r="GAV1449"/>
      <c r="GAW1449"/>
      <c r="GAX1449"/>
      <c r="GAY1449"/>
      <c r="GAZ1449"/>
      <c r="GBA1449"/>
      <c r="GBB1449"/>
      <c r="GBC1449"/>
      <c r="GBD1449"/>
      <c r="GBE1449"/>
      <c r="GBF1449"/>
      <c r="GBG1449"/>
      <c r="GBH1449"/>
      <c r="GBI1449"/>
      <c r="GBJ1449"/>
      <c r="GBK1449"/>
      <c r="GBL1449"/>
      <c r="GBM1449"/>
      <c r="GBN1449"/>
      <c r="GBO1449"/>
      <c r="GBP1449"/>
      <c r="GBQ1449"/>
      <c r="GBR1449"/>
      <c r="GBS1449"/>
      <c r="GBT1449"/>
      <c r="GBU1449"/>
      <c r="GBV1449"/>
      <c r="GBW1449"/>
      <c r="GBX1449"/>
      <c r="GBY1449"/>
      <c r="GBZ1449"/>
      <c r="GCA1449"/>
      <c r="GCB1449"/>
      <c r="GCC1449"/>
      <c r="GCD1449"/>
      <c r="GCE1449"/>
      <c r="GCF1449"/>
      <c r="GCG1449"/>
      <c r="GCH1449"/>
      <c r="GCI1449"/>
      <c r="GCJ1449"/>
      <c r="GCK1449"/>
      <c r="GCL1449"/>
      <c r="GCM1449"/>
      <c r="GCN1449"/>
      <c r="GCO1449"/>
      <c r="GCP1449"/>
      <c r="GCQ1449"/>
      <c r="GCR1449"/>
      <c r="GCS1449"/>
      <c r="GCT1449"/>
      <c r="GCU1449"/>
      <c r="GCV1449"/>
      <c r="GCW1449"/>
      <c r="GCX1449"/>
      <c r="GCY1449"/>
      <c r="GCZ1449"/>
      <c r="GDA1449"/>
      <c r="GDB1449"/>
      <c r="GDC1449"/>
      <c r="GDD1449"/>
      <c r="GDE1449"/>
      <c r="GDF1449"/>
      <c r="GDG1449"/>
      <c r="GDH1449"/>
      <c r="GDI1449"/>
      <c r="GDJ1449"/>
      <c r="GDK1449"/>
      <c r="GDL1449"/>
      <c r="GDM1449"/>
      <c r="GDN1449"/>
      <c r="GDO1449"/>
      <c r="GDP1449"/>
      <c r="GDQ1449"/>
      <c r="GDR1449"/>
      <c r="GDS1449"/>
      <c r="GDT1449"/>
      <c r="GDU1449"/>
      <c r="GDV1449"/>
      <c r="GDW1449"/>
      <c r="GDX1449"/>
      <c r="GDY1449"/>
      <c r="GDZ1449"/>
      <c r="GEA1449"/>
      <c r="GEB1449"/>
      <c r="GEC1449"/>
      <c r="GED1449"/>
      <c r="GEE1449"/>
      <c r="GEF1449"/>
      <c r="GEG1449"/>
      <c r="GEH1449"/>
      <c r="GEI1449"/>
      <c r="GEJ1449"/>
      <c r="GEK1449"/>
      <c r="GEL1449"/>
      <c r="GEM1449"/>
      <c r="GEN1449"/>
      <c r="GEO1449"/>
      <c r="GEP1449"/>
      <c r="GEQ1449"/>
      <c r="GER1449"/>
      <c r="GES1449"/>
      <c r="GET1449"/>
      <c r="GEU1449"/>
      <c r="GEV1449"/>
      <c r="GEW1449"/>
      <c r="GEX1449"/>
      <c r="GEY1449"/>
      <c r="GEZ1449"/>
      <c r="GFA1449"/>
      <c r="GFB1449"/>
      <c r="GFC1449"/>
      <c r="GFD1449"/>
      <c r="GFE1449"/>
      <c r="GFF1449"/>
      <c r="GFG1449"/>
      <c r="GFH1449"/>
      <c r="GFI1449"/>
      <c r="GFJ1449"/>
      <c r="GFK1449"/>
      <c r="GFL1449"/>
      <c r="GFM1449"/>
      <c r="GFN1449"/>
      <c r="GFO1449"/>
      <c r="GFP1449"/>
      <c r="GFQ1449"/>
      <c r="GFR1449"/>
      <c r="GFS1449"/>
      <c r="GFT1449"/>
      <c r="GFU1449"/>
      <c r="GFV1449"/>
      <c r="GFW1449"/>
      <c r="GFX1449"/>
      <c r="GFY1449"/>
      <c r="GFZ1449"/>
      <c r="GGA1449"/>
      <c r="GGB1449"/>
      <c r="GGC1449"/>
      <c r="GGD1449"/>
      <c r="GGE1449"/>
      <c r="GGF1449"/>
      <c r="GGG1449"/>
      <c r="GGH1449"/>
      <c r="GGI1449"/>
      <c r="GGJ1449"/>
      <c r="GGK1449"/>
      <c r="GGL1449"/>
      <c r="GGM1449"/>
      <c r="GGN1449"/>
      <c r="GGO1449"/>
      <c r="GGP1449"/>
      <c r="GGQ1449"/>
      <c r="GGR1449"/>
      <c r="GGS1449"/>
      <c r="GGT1449"/>
      <c r="GGU1449"/>
      <c r="GGV1449"/>
      <c r="GGW1449"/>
      <c r="GGX1449"/>
      <c r="GGY1449"/>
      <c r="GGZ1449"/>
      <c r="GHA1449"/>
      <c r="GHB1449"/>
      <c r="GHC1449"/>
      <c r="GHD1449"/>
      <c r="GHE1449"/>
      <c r="GHF1449"/>
      <c r="GHG1449"/>
      <c r="GHH1449"/>
      <c r="GHI1449"/>
      <c r="GHJ1449"/>
      <c r="GHK1449"/>
      <c r="GHL1449"/>
      <c r="GHM1449"/>
      <c r="GHN1449"/>
      <c r="GHO1449"/>
      <c r="GHP1449"/>
      <c r="GHQ1449"/>
      <c r="GHR1449"/>
      <c r="GHS1449"/>
      <c r="GHT1449"/>
      <c r="GHU1449"/>
      <c r="GHV1449"/>
      <c r="GHW1449"/>
      <c r="GHX1449"/>
      <c r="GHY1449"/>
      <c r="GHZ1449"/>
      <c r="GIA1449"/>
      <c r="GIB1449"/>
      <c r="GIC1449"/>
      <c r="GID1449"/>
      <c r="GIE1449"/>
      <c r="GIF1449"/>
      <c r="GIG1449"/>
      <c r="GIH1449"/>
      <c r="GII1449"/>
      <c r="GIJ1449"/>
      <c r="GIK1449"/>
      <c r="GIL1449"/>
      <c r="GIM1449"/>
      <c r="GIN1449"/>
      <c r="GIO1449"/>
      <c r="GIP1449"/>
      <c r="GIQ1449"/>
      <c r="GIR1449"/>
      <c r="GIS1449"/>
      <c r="GIT1449"/>
      <c r="GIU1449"/>
      <c r="GIV1449"/>
      <c r="GIW1449"/>
      <c r="GIX1449"/>
      <c r="GIY1449"/>
      <c r="GIZ1449"/>
      <c r="GJA1449"/>
      <c r="GJB1449"/>
      <c r="GJC1449"/>
      <c r="GJD1449"/>
      <c r="GJE1449"/>
      <c r="GJF1449"/>
      <c r="GJG1449"/>
      <c r="GJH1449"/>
      <c r="GJI1449"/>
      <c r="GJJ1449"/>
      <c r="GJK1449"/>
      <c r="GJL1449"/>
      <c r="GJM1449"/>
      <c r="GJN1449"/>
      <c r="GJO1449"/>
      <c r="GJP1449"/>
      <c r="GJQ1449"/>
      <c r="GJR1449"/>
      <c r="GJS1449"/>
      <c r="GJT1449"/>
      <c r="GJU1449"/>
      <c r="GJV1449"/>
      <c r="GJW1449"/>
      <c r="GJX1449"/>
      <c r="GJY1449"/>
      <c r="GJZ1449"/>
      <c r="GKA1449"/>
      <c r="GKB1449"/>
      <c r="GKC1449"/>
      <c r="GKD1449"/>
      <c r="GKE1449"/>
      <c r="GKF1449"/>
      <c r="GKG1449"/>
      <c r="GKH1449"/>
      <c r="GKI1449"/>
      <c r="GKJ1449"/>
      <c r="GKK1449"/>
      <c r="GKL1449"/>
      <c r="GKM1449"/>
      <c r="GKN1449"/>
      <c r="GKO1449"/>
      <c r="GKP1449"/>
      <c r="GKQ1449"/>
      <c r="GKR1449"/>
      <c r="GKS1449"/>
      <c r="GKT1449"/>
      <c r="GKU1449"/>
      <c r="GKV1449"/>
      <c r="GKW1449"/>
      <c r="GKX1449"/>
      <c r="GKY1449"/>
      <c r="GKZ1449"/>
      <c r="GLA1449"/>
      <c r="GLB1449"/>
      <c r="GLC1449"/>
      <c r="GLD1449"/>
      <c r="GLE1449"/>
      <c r="GLF1449"/>
      <c r="GLG1449"/>
      <c r="GLH1449"/>
      <c r="GLI1449"/>
      <c r="GLJ1449"/>
      <c r="GLK1449"/>
      <c r="GLL1449"/>
      <c r="GLM1449"/>
      <c r="GLN1449"/>
      <c r="GLO1449"/>
      <c r="GLP1449"/>
      <c r="GLQ1449"/>
      <c r="GLR1449"/>
      <c r="GLS1449"/>
      <c r="GLT1449"/>
      <c r="GLU1449"/>
      <c r="GLV1449"/>
      <c r="GLW1449"/>
      <c r="GLX1449"/>
      <c r="GLY1449"/>
      <c r="GLZ1449"/>
      <c r="GMA1449"/>
      <c r="GMB1449"/>
      <c r="GMC1449"/>
      <c r="GMD1449"/>
      <c r="GME1449"/>
      <c r="GMF1449"/>
      <c r="GMG1449"/>
      <c r="GMH1449"/>
      <c r="GMI1449"/>
      <c r="GMJ1449"/>
      <c r="GMK1449"/>
      <c r="GML1449"/>
      <c r="GMM1449"/>
      <c r="GMN1449"/>
      <c r="GMO1449"/>
      <c r="GMP1449"/>
      <c r="GMQ1449"/>
      <c r="GMR1449"/>
      <c r="GMS1449"/>
      <c r="GMT1449"/>
      <c r="GMU1449"/>
      <c r="GMV1449"/>
      <c r="GMW1449"/>
      <c r="GMX1449"/>
      <c r="GMY1449"/>
      <c r="GMZ1449"/>
      <c r="GNA1449"/>
      <c r="GNB1449"/>
      <c r="GNC1449"/>
      <c r="GND1449"/>
      <c r="GNE1449"/>
      <c r="GNF1449"/>
      <c r="GNG1449"/>
      <c r="GNH1449"/>
      <c r="GNI1449"/>
      <c r="GNJ1449"/>
      <c r="GNK1449"/>
      <c r="GNL1449"/>
      <c r="GNM1449"/>
      <c r="GNN1449"/>
      <c r="GNO1449"/>
      <c r="GNP1449"/>
      <c r="GNQ1449"/>
      <c r="GNR1449"/>
      <c r="GNS1449"/>
      <c r="GNT1449"/>
      <c r="GNU1449"/>
      <c r="GNV1449"/>
      <c r="GNW1449"/>
      <c r="GNX1449"/>
      <c r="GNY1449"/>
      <c r="GNZ1449"/>
      <c r="GOA1449"/>
      <c r="GOB1449"/>
      <c r="GOC1449"/>
      <c r="GOD1449"/>
      <c r="GOE1449"/>
      <c r="GOF1449"/>
      <c r="GOG1449"/>
      <c r="GOH1449"/>
      <c r="GOI1449"/>
      <c r="GOJ1449"/>
      <c r="GOK1449"/>
      <c r="GOL1449"/>
      <c r="GOM1449"/>
      <c r="GON1449"/>
      <c r="GOO1449"/>
      <c r="GOP1449"/>
      <c r="GOQ1449"/>
      <c r="GOR1449"/>
      <c r="GOS1449"/>
      <c r="GOT1449"/>
      <c r="GOU1449"/>
      <c r="GOV1449"/>
      <c r="GOW1449"/>
      <c r="GOX1449"/>
      <c r="GOY1449"/>
      <c r="GOZ1449"/>
      <c r="GPA1449"/>
      <c r="GPB1449"/>
      <c r="GPC1449"/>
      <c r="GPD1449"/>
      <c r="GPE1449"/>
      <c r="GPF1449"/>
      <c r="GPG1449"/>
      <c r="GPH1449"/>
      <c r="GPI1449"/>
      <c r="GPJ1449"/>
      <c r="GPK1449"/>
      <c r="GPL1449"/>
      <c r="GPM1449"/>
      <c r="GPN1449"/>
      <c r="GPO1449"/>
      <c r="GPP1449"/>
      <c r="GPQ1449"/>
      <c r="GPR1449"/>
      <c r="GPS1449"/>
      <c r="GPT1449"/>
      <c r="GPU1449"/>
      <c r="GPV1449"/>
      <c r="GPW1449"/>
      <c r="GPX1449"/>
      <c r="GPY1449"/>
      <c r="GPZ1449"/>
      <c r="GQA1449"/>
      <c r="GQB1449"/>
      <c r="GQC1449"/>
      <c r="GQD1449"/>
      <c r="GQE1449"/>
      <c r="GQF1449"/>
      <c r="GQG1449"/>
      <c r="GQH1449"/>
      <c r="GQI1449"/>
      <c r="GQJ1449"/>
      <c r="GQK1449"/>
      <c r="GQL1449"/>
      <c r="GQM1449"/>
      <c r="GQN1449"/>
      <c r="GQO1449"/>
      <c r="GQP1449"/>
      <c r="GQQ1449"/>
      <c r="GQR1449"/>
      <c r="GQS1449"/>
      <c r="GQT1449"/>
      <c r="GQU1449"/>
      <c r="GQV1449"/>
      <c r="GQW1449"/>
      <c r="GQX1449"/>
      <c r="GQY1449"/>
      <c r="GQZ1449"/>
      <c r="GRA1449"/>
      <c r="GRB1449"/>
      <c r="GRC1449"/>
      <c r="GRD1449"/>
      <c r="GRE1449"/>
      <c r="GRF1449"/>
      <c r="GRG1449"/>
      <c r="GRH1449"/>
      <c r="GRI1449"/>
      <c r="GRJ1449"/>
      <c r="GRK1449"/>
      <c r="GRL1449"/>
      <c r="GRM1449"/>
      <c r="GRN1449"/>
      <c r="GRO1449"/>
      <c r="GRP1449"/>
      <c r="GRQ1449"/>
      <c r="GRR1449"/>
      <c r="GRS1449"/>
      <c r="GRT1449"/>
      <c r="GRU1449"/>
      <c r="GRV1449"/>
      <c r="GRW1449"/>
      <c r="GRX1449"/>
      <c r="GRY1449"/>
      <c r="GRZ1449"/>
      <c r="GSA1449"/>
      <c r="GSB1449"/>
      <c r="GSC1449"/>
      <c r="GSD1449"/>
      <c r="GSE1449"/>
      <c r="GSF1449"/>
      <c r="GSG1449"/>
      <c r="GSH1449"/>
      <c r="GSI1449"/>
      <c r="GSJ1449"/>
      <c r="GSK1449"/>
      <c r="GSL1449"/>
      <c r="GSM1449"/>
      <c r="GSN1449"/>
      <c r="GSO1449"/>
      <c r="GSP1449"/>
      <c r="GSQ1449"/>
      <c r="GSR1449"/>
      <c r="GSS1449"/>
      <c r="GST1449"/>
      <c r="GSU1449"/>
      <c r="GSV1449"/>
      <c r="GSW1449"/>
      <c r="GSX1449"/>
      <c r="GSY1449"/>
      <c r="GSZ1449"/>
      <c r="GTA1449"/>
      <c r="GTB1449"/>
      <c r="GTC1449"/>
      <c r="GTD1449"/>
      <c r="GTE1449"/>
      <c r="GTF1449"/>
      <c r="GTG1449"/>
      <c r="GTH1449"/>
      <c r="GTI1449"/>
      <c r="GTJ1449"/>
      <c r="GTK1449"/>
      <c r="GTL1449"/>
      <c r="GTM1449"/>
      <c r="GTN1449"/>
      <c r="GTO1449"/>
      <c r="GTP1449"/>
      <c r="GTQ1449"/>
      <c r="GTR1449"/>
      <c r="GTS1449"/>
      <c r="GTT1449"/>
      <c r="GTU1449"/>
      <c r="GTV1449"/>
      <c r="GTW1449"/>
      <c r="GTX1449"/>
      <c r="GTY1449"/>
      <c r="GTZ1449"/>
      <c r="GUA1449"/>
      <c r="GUB1449"/>
      <c r="GUC1449"/>
      <c r="GUD1449"/>
      <c r="GUE1449"/>
      <c r="GUF1449"/>
      <c r="GUG1449"/>
      <c r="GUH1449"/>
      <c r="GUI1449"/>
      <c r="GUJ1449"/>
      <c r="GUK1449"/>
      <c r="GUL1449"/>
      <c r="GUM1449"/>
      <c r="GUN1449"/>
      <c r="GUO1449"/>
      <c r="GUP1449"/>
      <c r="GUQ1449"/>
      <c r="GUR1449"/>
      <c r="GUS1449"/>
      <c r="GUT1449"/>
      <c r="GUU1449"/>
      <c r="GUV1449"/>
      <c r="GUW1449"/>
      <c r="GUX1449"/>
      <c r="GUY1449"/>
      <c r="GUZ1449"/>
      <c r="GVA1449"/>
      <c r="GVB1449"/>
      <c r="GVC1449"/>
      <c r="GVD1449"/>
      <c r="GVE1449"/>
      <c r="GVF1449"/>
      <c r="GVG1449"/>
      <c r="GVH1449"/>
      <c r="GVI1449"/>
      <c r="GVJ1449"/>
      <c r="GVK1449"/>
      <c r="GVL1449"/>
      <c r="GVM1449"/>
      <c r="GVN1449"/>
      <c r="GVO1449"/>
      <c r="GVP1449"/>
      <c r="GVQ1449"/>
      <c r="GVR1449"/>
      <c r="GVS1449"/>
      <c r="GVT1449"/>
      <c r="GVU1449"/>
      <c r="GVV1449"/>
      <c r="GVW1449"/>
      <c r="GVX1449"/>
      <c r="GVY1449"/>
      <c r="GVZ1449"/>
      <c r="GWA1449"/>
      <c r="GWB1449"/>
      <c r="GWC1449"/>
      <c r="GWD1449"/>
      <c r="GWE1449"/>
      <c r="GWF1449"/>
      <c r="GWG1449"/>
      <c r="GWH1449"/>
      <c r="GWI1449"/>
      <c r="GWJ1449"/>
      <c r="GWK1449"/>
      <c r="GWL1449"/>
      <c r="GWM1449"/>
      <c r="GWN1449"/>
      <c r="GWO1449"/>
      <c r="GWP1449"/>
      <c r="GWQ1449"/>
      <c r="GWR1449"/>
      <c r="GWS1449"/>
      <c r="GWT1449"/>
      <c r="GWU1449"/>
      <c r="GWV1449"/>
      <c r="GWW1449"/>
      <c r="GWX1449"/>
      <c r="GWY1449"/>
      <c r="GWZ1449"/>
      <c r="GXA1449"/>
      <c r="GXB1449"/>
      <c r="GXC1449"/>
      <c r="GXD1449"/>
      <c r="GXE1449"/>
      <c r="GXF1449"/>
      <c r="GXG1449"/>
      <c r="GXH1449"/>
      <c r="GXI1449"/>
      <c r="GXJ1449"/>
      <c r="GXK1449"/>
      <c r="GXL1449"/>
      <c r="GXM1449"/>
      <c r="GXN1449"/>
      <c r="GXO1449"/>
      <c r="GXP1449"/>
      <c r="GXQ1449"/>
      <c r="GXR1449"/>
      <c r="GXS1449"/>
      <c r="GXT1449"/>
      <c r="GXU1449"/>
      <c r="GXV1449"/>
      <c r="GXW1449"/>
      <c r="GXX1449"/>
      <c r="GXY1449"/>
      <c r="GXZ1449"/>
      <c r="GYA1449"/>
      <c r="GYB1449"/>
      <c r="GYC1449"/>
      <c r="GYD1449"/>
      <c r="GYE1449"/>
      <c r="GYF1449"/>
      <c r="GYG1449"/>
      <c r="GYH1449"/>
      <c r="GYI1449"/>
      <c r="GYJ1449"/>
      <c r="GYK1449"/>
      <c r="GYL1449"/>
      <c r="GYM1449"/>
      <c r="GYN1449"/>
      <c r="GYO1449"/>
      <c r="GYP1449"/>
      <c r="GYQ1449"/>
      <c r="GYR1449"/>
      <c r="GYS1449"/>
      <c r="GYT1449"/>
      <c r="GYU1449"/>
      <c r="GYV1449"/>
      <c r="GYW1449"/>
      <c r="GYX1449"/>
      <c r="GYY1449"/>
      <c r="GYZ1449"/>
      <c r="GZA1449"/>
      <c r="GZB1449"/>
      <c r="GZC1449"/>
      <c r="GZD1449"/>
      <c r="GZE1449"/>
      <c r="GZF1449"/>
      <c r="GZG1449"/>
      <c r="GZH1449"/>
      <c r="GZI1449"/>
      <c r="GZJ1449"/>
      <c r="GZK1449"/>
      <c r="GZL1449"/>
      <c r="GZM1449"/>
      <c r="GZN1449"/>
      <c r="GZO1449"/>
      <c r="GZP1449"/>
      <c r="GZQ1449"/>
      <c r="GZR1449"/>
      <c r="GZS1449"/>
      <c r="GZT1449"/>
      <c r="GZU1449"/>
      <c r="GZV1449"/>
      <c r="GZW1449"/>
      <c r="GZX1449"/>
      <c r="GZY1449"/>
      <c r="GZZ1449"/>
      <c r="HAA1449"/>
      <c r="HAB1449"/>
      <c r="HAC1449"/>
      <c r="HAD1449"/>
      <c r="HAE1449"/>
      <c r="HAF1449"/>
      <c r="HAG1449"/>
      <c r="HAH1449"/>
      <c r="HAI1449"/>
      <c r="HAJ1449"/>
      <c r="HAK1449"/>
      <c r="HAL1449"/>
      <c r="HAM1449"/>
      <c r="HAN1449"/>
      <c r="HAO1449"/>
      <c r="HAP1449"/>
      <c r="HAQ1449"/>
      <c r="HAR1449"/>
      <c r="HAS1449"/>
      <c r="HAT1449"/>
      <c r="HAU1449"/>
      <c r="HAV1449"/>
      <c r="HAW1449"/>
      <c r="HAX1449"/>
      <c r="HAY1449"/>
      <c r="HAZ1449"/>
      <c r="HBA1449"/>
      <c r="HBB1449"/>
      <c r="HBC1449"/>
      <c r="HBD1449"/>
      <c r="HBE1449"/>
      <c r="HBF1449"/>
      <c r="HBG1449"/>
      <c r="HBH1449"/>
      <c r="HBI1449"/>
      <c r="HBJ1449"/>
      <c r="HBK1449"/>
      <c r="HBL1449"/>
      <c r="HBM1449"/>
      <c r="HBN1449"/>
      <c r="HBO1449"/>
      <c r="HBP1449"/>
      <c r="HBQ1449"/>
      <c r="HBR1449"/>
      <c r="HBS1449"/>
      <c r="HBT1449"/>
      <c r="HBU1449"/>
      <c r="HBV1449"/>
      <c r="HBW1449"/>
      <c r="HBX1449"/>
      <c r="HBY1449"/>
      <c r="HBZ1449"/>
      <c r="HCA1449"/>
      <c r="HCB1449"/>
      <c r="HCC1449"/>
      <c r="HCD1449"/>
      <c r="HCE1449"/>
      <c r="HCF1449"/>
      <c r="HCG1449"/>
      <c r="HCH1449"/>
      <c r="HCI1449"/>
      <c r="HCJ1449"/>
      <c r="HCK1449"/>
      <c r="HCL1449"/>
      <c r="HCM1449"/>
      <c r="HCN1449"/>
      <c r="HCO1449"/>
      <c r="HCP1449"/>
      <c r="HCQ1449"/>
      <c r="HCR1449"/>
      <c r="HCS1449"/>
      <c r="HCT1449"/>
      <c r="HCU1449"/>
      <c r="HCV1449"/>
      <c r="HCW1449"/>
      <c r="HCX1449"/>
      <c r="HCY1449"/>
      <c r="HCZ1449"/>
      <c r="HDA1449"/>
      <c r="HDB1449"/>
      <c r="HDC1449"/>
      <c r="HDD1449"/>
      <c r="HDE1449"/>
      <c r="HDF1449"/>
      <c r="HDG1449"/>
      <c r="HDH1449"/>
      <c r="HDI1449"/>
      <c r="HDJ1449"/>
      <c r="HDK1449"/>
      <c r="HDL1449"/>
      <c r="HDM1449"/>
      <c r="HDN1449"/>
      <c r="HDO1449"/>
      <c r="HDP1449"/>
      <c r="HDQ1449"/>
      <c r="HDR1449"/>
      <c r="HDS1449"/>
      <c r="HDT1449"/>
      <c r="HDU1449"/>
      <c r="HDV1449"/>
      <c r="HDW1449"/>
      <c r="HDX1449"/>
      <c r="HDY1449"/>
      <c r="HDZ1449"/>
      <c r="HEA1449"/>
      <c r="HEB1449"/>
      <c r="HEC1449"/>
      <c r="HED1449"/>
      <c r="HEE1449"/>
      <c r="HEF1449"/>
      <c r="HEG1449"/>
      <c r="HEH1449"/>
      <c r="HEI1449"/>
      <c r="HEJ1449"/>
      <c r="HEK1449"/>
      <c r="HEL1449"/>
      <c r="HEM1449"/>
      <c r="HEN1449"/>
      <c r="HEO1449"/>
      <c r="HEP1449"/>
      <c r="HEQ1449"/>
      <c r="HER1449"/>
      <c r="HES1449"/>
      <c r="HET1449"/>
      <c r="HEU1449"/>
      <c r="HEV1449"/>
      <c r="HEW1449"/>
      <c r="HEX1449"/>
      <c r="HEY1449"/>
      <c r="HEZ1449"/>
      <c r="HFA1449"/>
      <c r="HFB1449"/>
      <c r="HFC1449"/>
      <c r="HFD1449"/>
      <c r="HFE1449"/>
      <c r="HFF1449"/>
      <c r="HFG1449"/>
      <c r="HFH1449"/>
      <c r="HFI1449"/>
      <c r="HFJ1449"/>
      <c r="HFK1449"/>
      <c r="HFL1449"/>
      <c r="HFM1449"/>
      <c r="HFN1449"/>
      <c r="HFO1449"/>
      <c r="HFP1449"/>
      <c r="HFQ1449"/>
      <c r="HFR1449"/>
      <c r="HFS1449"/>
      <c r="HFT1449"/>
      <c r="HFU1449"/>
      <c r="HFV1449"/>
      <c r="HFW1449"/>
      <c r="HFX1449"/>
      <c r="HFY1449"/>
      <c r="HFZ1449"/>
      <c r="HGA1449"/>
      <c r="HGB1449"/>
      <c r="HGC1449"/>
      <c r="HGD1449"/>
      <c r="HGE1449"/>
      <c r="HGF1449"/>
      <c r="HGG1449"/>
      <c r="HGH1449"/>
      <c r="HGI1449"/>
      <c r="HGJ1449"/>
      <c r="HGK1449"/>
      <c r="HGL1449"/>
      <c r="HGM1449"/>
      <c r="HGN1449"/>
      <c r="HGO1449"/>
      <c r="HGP1449"/>
      <c r="HGQ1449"/>
      <c r="HGR1449"/>
      <c r="HGS1449"/>
      <c r="HGT1449"/>
      <c r="HGU1449"/>
      <c r="HGV1449"/>
      <c r="HGW1449"/>
      <c r="HGX1449"/>
      <c r="HGY1449"/>
      <c r="HGZ1449"/>
      <c r="HHA1449"/>
      <c r="HHB1449"/>
      <c r="HHC1449"/>
      <c r="HHD1449"/>
      <c r="HHE1449"/>
      <c r="HHF1449"/>
      <c r="HHG1449"/>
      <c r="HHH1449"/>
      <c r="HHI1449"/>
      <c r="HHJ1449"/>
      <c r="HHK1449"/>
      <c r="HHL1449"/>
      <c r="HHM1449"/>
      <c r="HHN1449"/>
      <c r="HHO1449"/>
      <c r="HHP1449"/>
      <c r="HHQ1449"/>
      <c r="HHR1449"/>
      <c r="HHS1449"/>
      <c r="HHT1449"/>
      <c r="HHU1449"/>
      <c r="HHV1449"/>
      <c r="HHW1449"/>
      <c r="HHX1449"/>
      <c r="HHY1449"/>
      <c r="HHZ1449"/>
      <c r="HIA1449"/>
      <c r="HIB1449"/>
      <c r="HIC1449"/>
      <c r="HID1449"/>
      <c r="HIE1449"/>
      <c r="HIF1449"/>
      <c r="HIG1449"/>
      <c r="HIH1449"/>
      <c r="HII1449"/>
      <c r="HIJ1449"/>
      <c r="HIK1449"/>
      <c r="HIL1449"/>
      <c r="HIM1449"/>
      <c r="HIN1449"/>
      <c r="HIO1449"/>
      <c r="HIP1449"/>
      <c r="HIQ1449"/>
      <c r="HIR1449"/>
      <c r="HIS1449"/>
      <c r="HIT1449"/>
      <c r="HIU1449"/>
      <c r="HIV1449"/>
      <c r="HIW1449"/>
      <c r="HIX1449"/>
      <c r="HIY1449"/>
      <c r="HIZ1449"/>
      <c r="HJA1449"/>
      <c r="HJB1449"/>
      <c r="HJC1449"/>
      <c r="HJD1449"/>
      <c r="HJE1449"/>
      <c r="HJF1449"/>
      <c r="HJG1449"/>
      <c r="HJH1449"/>
      <c r="HJI1449"/>
      <c r="HJJ1449"/>
      <c r="HJK1449"/>
      <c r="HJL1449"/>
      <c r="HJM1449"/>
      <c r="HJN1449"/>
      <c r="HJO1449"/>
      <c r="HJP1449"/>
      <c r="HJQ1449"/>
      <c r="HJR1449"/>
      <c r="HJS1449"/>
      <c r="HJT1449"/>
      <c r="HJU1449"/>
      <c r="HJV1449"/>
      <c r="HJW1449"/>
      <c r="HJX1449"/>
      <c r="HJY1449"/>
      <c r="HJZ1449"/>
      <c r="HKA1449"/>
      <c r="HKB1449"/>
      <c r="HKC1449"/>
      <c r="HKD1449"/>
      <c r="HKE1449"/>
      <c r="HKF1449"/>
      <c r="HKG1449"/>
      <c r="HKH1449"/>
      <c r="HKI1449"/>
      <c r="HKJ1449"/>
      <c r="HKK1449"/>
      <c r="HKL1449"/>
      <c r="HKM1449"/>
      <c r="HKN1449"/>
      <c r="HKO1449"/>
      <c r="HKP1449"/>
      <c r="HKQ1449"/>
      <c r="HKR1449"/>
      <c r="HKS1449"/>
      <c r="HKT1449"/>
      <c r="HKU1449"/>
      <c r="HKV1449"/>
      <c r="HKW1449"/>
      <c r="HKX1449"/>
      <c r="HKY1449"/>
      <c r="HKZ1449"/>
      <c r="HLA1449"/>
      <c r="HLB1449"/>
      <c r="HLC1449"/>
      <c r="HLD1449"/>
      <c r="HLE1449"/>
      <c r="HLF1449"/>
      <c r="HLG1449"/>
      <c r="HLH1449"/>
      <c r="HLI1449"/>
      <c r="HLJ1449"/>
      <c r="HLK1449"/>
      <c r="HLL1449"/>
      <c r="HLM1449"/>
      <c r="HLN1449"/>
      <c r="HLO1449"/>
      <c r="HLP1449"/>
      <c r="HLQ1449"/>
      <c r="HLR1449"/>
      <c r="HLS1449"/>
      <c r="HLT1449"/>
      <c r="HLU1449"/>
      <c r="HLV1449"/>
      <c r="HLW1449"/>
      <c r="HLX1449"/>
      <c r="HLY1449"/>
      <c r="HLZ1449"/>
      <c r="HMA1449"/>
      <c r="HMB1449"/>
      <c r="HMC1449"/>
      <c r="HMD1449"/>
      <c r="HME1449"/>
      <c r="HMF1449"/>
      <c r="HMG1449"/>
      <c r="HMH1449"/>
      <c r="HMI1449"/>
      <c r="HMJ1449"/>
      <c r="HMK1449"/>
      <c r="HML1449"/>
      <c r="HMM1449"/>
      <c r="HMN1449"/>
      <c r="HMO1449"/>
      <c r="HMP1449"/>
      <c r="HMQ1449"/>
      <c r="HMR1449"/>
      <c r="HMS1449"/>
      <c r="HMT1449"/>
      <c r="HMU1449"/>
      <c r="HMV1449"/>
      <c r="HMW1449"/>
      <c r="HMX1449"/>
      <c r="HMY1449"/>
      <c r="HMZ1449"/>
      <c r="HNA1449"/>
      <c r="HNB1449"/>
      <c r="HNC1449"/>
      <c r="HND1449"/>
      <c r="HNE1449"/>
      <c r="HNF1449"/>
      <c r="HNG1449"/>
      <c r="HNH1449"/>
      <c r="HNI1449"/>
      <c r="HNJ1449"/>
      <c r="HNK1449"/>
      <c r="HNL1449"/>
      <c r="HNM1449"/>
      <c r="HNN1449"/>
      <c r="HNO1449"/>
      <c r="HNP1449"/>
      <c r="HNQ1449"/>
      <c r="HNR1449"/>
      <c r="HNS1449"/>
      <c r="HNT1449"/>
      <c r="HNU1449"/>
      <c r="HNV1449"/>
      <c r="HNW1449"/>
      <c r="HNX1449"/>
      <c r="HNY1449"/>
      <c r="HNZ1449"/>
      <c r="HOA1449"/>
      <c r="HOB1449"/>
      <c r="HOC1449"/>
      <c r="HOD1449"/>
      <c r="HOE1449"/>
      <c r="HOF1449"/>
      <c r="HOG1449"/>
      <c r="HOH1449"/>
      <c r="HOI1449"/>
      <c r="HOJ1449"/>
      <c r="HOK1449"/>
      <c r="HOL1449"/>
      <c r="HOM1449"/>
      <c r="HON1449"/>
      <c r="HOO1449"/>
      <c r="HOP1449"/>
      <c r="HOQ1449"/>
      <c r="HOR1449"/>
      <c r="HOS1449"/>
      <c r="HOT1449"/>
      <c r="HOU1449"/>
      <c r="HOV1449"/>
      <c r="HOW1449"/>
      <c r="HOX1449"/>
      <c r="HOY1449"/>
      <c r="HOZ1449"/>
      <c r="HPA1449"/>
      <c r="HPB1449"/>
      <c r="HPC1449"/>
      <c r="HPD1449"/>
      <c r="HPE1449"/>
      <c r="HPF1449"/>
      <c r="HPG1449"/>
      <c r="HPH1449"/>
      <c r="HPI1449"/>
      <c r="HPJ1449"/>
      <c r="HPK1449"/>
      <c r="HPL1449"/>
      <c r="HPM1449"/>
      <c r="HPN1449"/>
      <c r="HPO1449"/>
      <c r="HPP1449"/>
      <c r="HPQ1449"/>
      <c r="HPR1449"/>
      <c r="HPS1449"/>
      <c r="HPT1449"/>
      <c r="HPU1449"/>
      <c r="HPV1449"/>
      <c r="HPW1449"/>
      <c r="HPX1449"/>
      <c r="HPY1449"/>
      <c r="HPZ1449"/>
      <c r="HQA1449"/>
      <c r="HQB1449"/>
      <c r="HQC1449"/>
      <c r="HQD1449"/>
      <c r="HQE1449"/>
      <c r="HQF1449"/>
      <c r="HQG1449"/>
      <c r="HQH1449"/>
      <c r="HQI1449"/>
      <c r="HQJ1449"/>
      <c r="HQK1449"/>
      <c r="HQL1449"/>
      <c r="HQM1449"/>
      <c r="HQN1449"/>
      <c r="HQO1449"/>
      <c r="HQP1449"/>
      <c r="HQQ1449"/>
      <c r="HQR1449"/>
      <c r="HQS1449"/>
      <c r="HQT1449"/>
      <c r="HQU1449"/>
      <c r="HQV1449"/>
      <c r="HQW1449"/>
      <c r="HQX1449"/>
      <c r="HQY1449"/>
      <c r="HQZ1449"/>
      <c r="HRA1449"/>
      <c r="HRB1449"/>
      <c r="HRC1449"/>
      <c r="HRD1449"/>
      <c r="HRE1449"/>
      <c r="HRF1449"/>
      <c r="HRG1449"/>
      <c r="HRH1449"/>
      <c r="HRI1449"/>
      <c r="HRJ1449"/>
      <c r="HRK1449"/>
      <c r="HRL1449"/>
      <c r="HRM1449"/>
      <c r="HRN1449"/>
      <c r="HRO1449"/>
      <c r="HRP1449"/>
      <c r="HRQ1449"/>
      <c r="HRR1449"/>
      <c r="HRS1449"/>
      <c r="HRT1449"/>
      <c r="HRU1449"/>
      <c r="HRV1449"/>
      <c r="HRW1449"/>
      <c r="HRX1449"/>
      <c r="HRY1449"/>
      <c r="HRZ1449"/>
      <c r="HSA1449"/>
      <c r="HSB1449"/>
      <c r="HSC1449"/>
      <c r="HSD1449"/>
      <c r="HSE1449"/>
      <c r="HSF1449"/>
      <c r="HSG1449"/>
      <c r="HSH1449"/>
      <c r="HSI1449"/>
      <c r="HSJ1449"/>
      <c r="HSK1449"/>
      <c r="HSL1449"/>
      <c r="HSM1449"/>
      <c r="HSN1449"/>
      <c r="HSO1449"/>
      <c r="HSP1449"/>
      <c r="HSQ1449"/>
      <c r="HSR1449"/>
      <c r="HSS1449"/>
      <c r="HST1449"/>
      <c r="HSU1449"/>
      <c r="HSV1449"/>
      <c r="HSW1449"/>
      <c r="HSX1449"/>
      <c r="HSY1449"/>
      <c r="HSZ1449"/>
      <c r="HTA1449"/>
      <c r="HTB1449"/>
      <c r="HTC1449"/>
      <c r="HTD1449"/>
      <c r="HTE1449"/>
      <c r="HTF1449"/>
      <c r="HTG1449"/>
      <c r="HTH1449"/>
      <c r="HTI1449"/>
      <c r="HTJ1449"/>
      <c r="HTK1449"/>
      <c r="HTL1449"/>
      <c r="HTM1449"/>
      <c r="HTN1449"/>
      <c r="HTO1449"/>
      <c r="HTP1449"/>
      <c r="HTQ1449"/>
      <c r="HTR1449"/>
      <c r="HTS1449"/>
      <c r="HTT1449"/>
      <c r="HTU1449"/>
      <c r="HTV1449"/>
      <c r="HTW1449"/>
      <c r="HTX1449"/>
      <c r="HTY1449"/>
      <c r="HTZ1449"/>
      <c r="HUA1449"/>
      <c r="HUB1449"/>
      <c r="HUC1449"/>
      <c r="HUD1449"/>
      <c r="HUE1449"/>
      <c r="HUF1449"/>
      <c r="HUG1449"/>
      <c r="HUH1449"/>
      <c r="HUI1449"/>
      <c r="HUJ1449"/>
      <c r="HUK1449"/>
      <c r="HUL1449"/>
      <c r="HUM1449"/>
      <c r="HUN1449"/>
      <c r="HUO1449"/>
      <c r="HUP1449"/>
      <c r="HUQ1449"/>
      <c r="HUR1449"/>
      <c r="HUS1449"/>
      <c r="HUT1449"/>
      <c r="HUU1449"/>
      <c r="HUV1449"/>
      <c r="HUW1449"/>
      <c r="HUX1449"/>
      <c r="HUY1449"/>
      <c r="HUZ1449"/>
      <c r="HVA1449"/>
      <c r="HVB1449"/>
      <c r="HVC1449"/>
      <c r="HVD1449"/>
      <c r="HVE1449"/>
      <c r="HVF1449"/>
      <c r="HVG1449"/>
      <c r="HVH1449"/>
      <c r="HVI1449"/>
      <c r="HVJ1449"/>
      <c r="HVK1449"/>
      <c r="HVL1449"/>
      <c r="HVM1449"/>
      <c r="HVN1449"/>
      <c r="HVO1449"/>
      <c r="HVP1449"/>
      <c r="HVQ1449"/>
      <c r="HVR1449"/>
      <c r="HVS1449"/>
      <c r="HVT1449"/>
      <c r="HVU1449"/>
      <c r="HVV1449"/>
      <c r="HVW1449"/>
      <c r="HVX1449"/>
      <c r="HVY1449"/>
      <c r="HVZ1449"/>
      <c r="HWA1449"/>
      <c r="HWB1449"/>
      <c r="HWC1449"/>
      <c r="HWD1449"/>
      <c r="HWE1449"/>
      <c r="HWF1449"/>
      <c r="HWG1449"/>
      <c r="HWH1449"/>
      <c r="HWI1449"/>
      <c r="HWJ1449"/>
      <c r="HWK1449"/>
      <c r="HWL1449"/>
      <c r="HWM1449"/>
      <c r="HWN1449"/>
      <c r="HWO1449"/>
      <c r="HWP1449"/>
      <c r="HWQ1449"/>
      <c r="HWR1449"/>
      <c r="HWS1449"/>
      <c r="HWT1449"/>
      <c r="HWU1449"/>
      <c r="HWV1449"/>
      <c r="HWW1449"/>
      <c r="HWX1449"/>
      <c r="HWY1449"/>
      <c r="HWZ1449"/>
      <c r="HXA1449"/>
      <c r="HXB1449"/>
      <c r="HXC1449"/>
      <c r="HXD1449"/>
      <c r="HXE1449"/>
      <c r="HXF1449"/>
      <c r="HXG1449"/>
      <c r="HXH1449"/>
      <c r="HXI1449"/>
      <c r="HXJ1449"/>
      <c r="HXK1449"/>
      <c r="HXL1449"/>
      <c r="HXM1449"/>
      <c r="HXN1449"/>
      <c r="HXO1449"/>
      <c r="HXP1449"/>
      <c r="HXQ1449"/>
      <c r="HXR1449"/>
      <c r="HXS1449"/>
      <c r="HXT1449"/>
      <c r="HXU1449"/>
      <c r="HXV1449"/>
      <c r="HXW1449"/>
      <c r="HXX1449"/>
      <c r="HXY1449"/>
      <c r="HXZ1449"/>
      <c r="HYA1449"/>
      <c r="HYB1449"/>
      <c r="HYC1449"/>
      <c r="HYD1449"/>
      <c r="HYE1449"/>
      <c r="HYF1449"/>
      <c r="HYG1449"/>
      <c r="HYH1449"/>
      <c r="HYI1449"/>
      <c r="HYJ1449"/>
      <c r="HYK1449"/>
      <c r="HYL1449"/>
      <c r="HYM1449"/>
      <c r="HYN1449"/>
      <c r="HYO1449"/>
      <c r="HYP1449"/>
      <c r="HYQ1449"/>
      <c r="HYR1449"/>
      <c r="HYS1449"/>
      <c r="HYT1449"/>
      <c r="HYU1449"/>
      <c r="HYV1449"/>
      <c r="HYW1449"/>
      <c r="HYX1449"/>
      <c r="HYY1449"/>
      <c r="HYZ1449"/>
      <c r="HZA1449"/>
      <c r="HZB1449"/>
      <c r="HZC1449"/>
      <c r="HZD1449"/>
      <c r="HZE1449"/>
      <c r="HZF1449"/>
      <c r="HZG1449"/>
      <c r="HZH1449"/>
      <c r="HZI1449"/>
      <c r="HZJ1449"/>
      <c r="HZK1449"/>
      <c r="HZL1449"/>
      <c r="HZM1449"/>
      <c r="HZN1449"/>
      <c r="HZO1449"/>
      <c r="HZP1449"/>
      <c r="HZQ1449"/>
      <c r="HZR1449"/>
      <c r="HZS1449"/>
      <c r="HZT1449"/>
      <c r="HZU1449"/>
      <c r="HZV1449"/>
      <c r="HZW1449"/>
      <c r="HZX1449"/>
      <c r="HZY1449"/>
      <c r="HZZ1449"/>
      <c r="IAA1449"/>
      <c r="IAB1449"/>
      <c r="IAC1449"/>
      <c r="IAD1449"/>
      <c r="IAE1449"/>
      <c r="IAF1449"/>
      <c r="IAG1449"/>
      <c r="IAH1449"/>
      <c r="IAI1449"/>
      <c r="IAJ1449"/>
      <c r="IAK1449"/>
      <c r="IAL1449"/>
      <c r="IAM1449"/>
      <c r="IAN1449"/>
      <c r="IAO1449"/>
      <c r="IAP1449"/>
      <c r="IAQ1449"/>
      <c r="IAR1449"/>
      <c r="IAS1449"/>
      <c r="IAT1449"/>
      <c r="IAU1449"/>
      <c r="IAV1449"/>
      <c r="IAW1449"/>
      <c r="IAX1449"/>
      <c r="IAY1449"/>
      <c r="IAZ1449"/>
      <c r="IBA1449"/>
      <c r="IBB1449"/>
      <c r="IBC1449"/>
      <c r="IBD1449"/>
      <c r="IBE1449"/>
      <c r="IBF1449"/>
      <c r="IBG1449"/>
      <c r="IBH1449"/>
      <c r="IBI1449"/>
      <c r="IBJ1449"/>
      <c r="IBK1449"/>
      <c r="IBL1449"/>
      <c r="IBM1449"/>
      <c r="IBN1449"/>
      <c r="IBO1449"/>
      <c r="IBP1449"/>
      <c r="IBQ1449"/>
      <c r="IBR1449"/>
      <c r="IBS1449"/>
      <c r="IBT1449"/>
      <c r="IBU1449"/>
      <c r="IBV1449"/>
      <c r="IBW1449"/>
      <c r="IBX1449"/>
      <c r="IBY1449"/>
      <c r="IBZ1449"/>
      <c r="ICA1449"/>
      <c r="ICB1449"/>
      <c r="ICC1449"/>
      <c r="ICD1449"/>
      <c r="ICE1449"/>
      <c r="ICF1449"/>
      <c r="ICG1449"/>
      <c r="ICH1449"/>
      <c r="ICI1449"/>
      <c r="ICJ1449"/>
      <c r="ICK1449"/>
      <c r="ICL1449"/>
      <c r="ICM1449"/>
      <c r="ICN1449"/>
      <c r="ICO1449"/>
      <c r="ICP1449"/>
      <c r="ICQ1449"/>
      <c r="ICR1449"/>
      <c r="ICS1449"/>
      <c r="ICT1449"/>
      <c r="ICU1449"/>
      <c r="ICV1449"/>
      <c r="ICW1449"/>
      <c r="ICX1449"/>
      <c r="ICY1449"/>
      <c r="ICZ1449"/>
      <c r="IDA1449"/>
      <c r="IDB1449"/>
      <c r="IDC1449"/>
      <c r="IDD1449"/>
      <c r="IDE1449"/>
      <c r="IDF1449"/>
      <c r="IDG1449"/>
      <c r="IDH1449"/>
      <c r="IDI1449"/>
      <c r="IDJ1449"/>
      <c r="IDK1449"/>
      <c r="IDL1449"/>
      <c r="IDM1449"/>
      <c r="IDN1449"/>
      <c r="IDO1449"/>
      <c r="IDP1449"/>
      <c r="IDQ1449"/>
      <c r="IDR1449"/>
      <c r="IDS1449"/>
      <c r="IDT1449"/>
      <c r="IDU1449"/>
      <c r="IDV1449"/>
      <c r="IDW1449"/>
      <c r="IDX1449"/>
      <c r="IDY1449"/>
      <c r="IDZ1449"/>
      <c r="IEA1449"/>
      <c r="IEB1449"/>
      <c r="IEC1449"/>
      <c r="IED1449"/>
      <c r="IEE1449"/>
      <c r="IEF1449"/>
      <c r="IEG1449"/>
      <c r="IEH1449"/>
      <c r="IEI1449"/>
      <c r="IEJ1449"/>
      <c r="IEK1449"/>
      <c r="IEL1449"/>
      <c r="IEM1449"/>
      <c r="IEN1449"/>
      <c r="IEO1449"/>
      <c r="IEP1449"/>
      <c r="IEQ1449"/>
      <c r="IER1449"/>
      <c r="IES1449"/>
      <c r="IET1449"/>
      <c r="IEU1449"/>
      <c r="IEV1449"/>
      <c r="IEW1449"/>
      <c r="IEX1449"/>
      <c r="IEY1449"/>
      <c r="IEZ1449"/>
      <c r="IFA1449"/>
      <c r="IFB1449"/>
      <c r="IFC1449"/>
      <c r="IFD1449"/>
      <c r="IFE1449"/>
      <c r="IFF1449"/>
      <c r="IFG1449"/>
      <c r="IFH1449"/>
      <c r="IFI1449"/>
      <c r="IFJ1449"/>
      <c r="IFK1449"/>
      <c r="IFL1449"/>
      <c r="IFM1449"/>
      <c r="IFN1449"/>
      <c r="IFO1449"/>
      <c r="IFP1449"/>
      <c r="IFQ1449"/>
      <c r="IFR1449"/>
      <c r="IFS1449"/>
      <c r="IFT1449"/>
      <c r="IFU1449"/>
      <c r="IFV1449"/>
      <c r="IFW1449"/>
      <c r="IFX1449"/>
      <c r="IFY1449"/>
      <c r="IFZ1449"/>
      <c r="IGA1449"/>
      <c r="IGB1449"/>
      <c r="IGC1449"/>
      <c r="IGD1449"/>
      <c r="IGE1449"/>
      <c r="IGF1449"/>
      <c r="IGG1449"/>
      <c r="IGH1449"/>
      <c r="IGI1449"/>
      <c r="IGJ1449"/>
      <c r="IGK1449"/>
      <c r="IGL1449"/>
      <c r="IGM1449"/>
      <c r="IGN1449"/>
      <c r="IGO1449"/>
      <c r="IGP1449"/>
      <c r="IGQ1449"/>
      <c r="IGR1449"/>
      <c r="IGS1449"/>
      <c r="IGT1449"/>
      <c r="IGU1449"/>
      <c r="IGV1449"/>
      <c r="IGW1449"/>
      <c r="IGX1449"/>
      <c r="IGY1449"/>
      <c r="IGZ1449"/>
      <c r="IHA1449"/>
      <c r="IHB1449"/>
      <c r="IHC1449"/>
      <c r="IHD1449"/>
      <c r="IHE1449"/>
      <c r="IHF1449"/>
      <c r="IHG1449"/>
      <c r="IHH1449"/>
      <c r="IHI1449"/>
      <c r="IHJ1449"/>
      <c r="IHK1449"/>
      <c r="IHL1449"/>
      <c r="IHM1449"/>
      <c r="IHN1449"/>
      <c r="IHO1449"/>
      <c r="IHP1449"/>
      <c r="IHQ1449"/>
      <c r="IHR1449"/>
      <c r="IHS1449"/>
      <c r="IHT1449"/>
      <c r="IHU1449"/>
      <c r="IHV1449"/>
      <c r="IHW1449"/>
      <c r="IHX1449"/>
      <c r="IHY1449"/>
      <c r="IHZ1449"/>
      <c r="IIA1449"/>
      <c r="IIB1449"/>
      <c r="IIC1449"/>
      <c r="IID1449"/>
      <c r="IIE1449"/>
      <c r="IIF1449"/>
      <c r="IIG1449"/>
      <c r="IIH1449"/>
      <c r="III1449"/>
      <c r="IIJ1449"/>
      <c r="IIK1449"/>
      <c r="IIL1449"/>
      <c r="IIM1449"/>
      <c r="IIN1449"/>
      <c r="IIO1449"/>
      <c r="IIP1449"/>
      <c r="IIQ1449"/>
      <c r="IIR1449"/>
      <c r="IIS1449"/>
      <c r="IIT1449"/>
      <c r="IIU1449"/>
      <c r="IIV1449"/>
      <c r="IIW1449"/>
      <c r="IIX1449"/>
      <c r="IIY1449"/>
      <c r="IIZ1449"/>
      <c r="IJA1449"/>
      <c r="IJB1449"/>
      <c r="IJC1449"/>
      <c r="IJD1449"/>
      <c r="IJE1449"/>
      <c r="IJF1449"/>
      <c r="IJG1449"/>
      <c r="IJH1449"/>
      <c r="IJI1449"/>
      <c r="IJJ1449"/>
      <c r="IJK1449"/>
      <c r="IJL1449"/>
      <c r="IJM1449"/>
      <c r="IJN1449"/>
      <c r="IJO1449"/>
      <c r="IJP1449"/>
      <c r="IJQ1449"/>
      <c r="IJR1449"/>
      <c r="IJS1449"/>
      <c r="IJT1449"/>
      <c r="IJU1449"/>
      <c r="IJV1449"/>
      <c r="IJW1449"/>
      <c r="IJX1449"/>
      <c r="IJY1449"/>
      <c r="IJZ1449"/>
      <c r="IKA1449"/>
      <c r="IKB1449"/>
      <c r="IKC1449"/>
      <c r="IKD1449"/>
      <c r="IKE1449"/>
      <c r="IKF1449"/>
      <c r="IKG1449"/>
      <c r="IKH1449"/>
      <c r="IKI1449"/>
      <c r="IKJ1449"/>
      <c r="IKK1449"/>
      <c r="IKL1449"/>
      <c r="IKM1449"/>
      <c r="IKN1449"/>
      <c r="IKO1449"/>
      <c r="IKP1449"/>
      <c r="IKQ1449"/>
      <c r="IKR1449"/>
      <c r="IKS1449"/>
      <c r="IKT1449"/>
      <c r="IKU1449"/>
      <c r="IKV1449"/>
      <c r="IKW1449"/>
      <c r="IKX1449"/>
      <c r="IKY1449"/>
      <c r="IKZ1449"/>
      <c r="ILA1449"/>
      <c r="ILB1449"/>
      <c r="ILC1449"/>
      <c r="ILD1449"/>
      <c r="ILE1449"/>
      <c r="ILF1449"/>
      <c r="ILG1449"/>
      <c r="ILH1449"/>
      <c r="ILI1449"/>
      <c r="ILJ1449"/>
      <c r="ILK1449"/>
      <c r="ILL1449"/>
      <c r="ILM1449"/>
      <c r="ILN1449"/>
      <c r="ILO1449"/>
      <c r="ILP1449"/>
      <c r="ILQ1449"/>
      <c r="ILR1449"/>
      <c r="ILS1449"/>
      <c r="ILT1449"/>
      <c r="ILU1449"/>
      <c r="ILV1449"/>
      <c r="ILW1449"/>
      <c r="ILX1449"/>
      <c r="ILY1449"/>
      <c r="ILZ1449"/>
      <c r="IMA1449"/>
      <c r="IMB1449"/>
      <c r="IMC1449"/>
      <c r="IMD1449"/>
      <c r="IME1449"/>
      <c r="IMF1449"/>
      <c r="IMG1449"/>
      <c r="IMH1449"/>
      <c r="IMI1449"/>
      <c r="IMJ1449"/>
      <c r="IMK1449"/>
      <c r="IML1449"/>
      <c r="IMM1449"/>
      <c r="IMN1449"/>
      <c r="IMO1449"/>
      <c r="IMP1449"/>
      <c r="IMQ1449"/>
      <c r="IMR1449"/>
      <c r="IMS1449"/>
      <c r="IMT1449"/>
      <c r="IMU1449"/>
      <c r="IMV1449"/>
      <c r="IMW1449"/>
      <c r="IMX1449"/>
      <c r="IMY1449"/>
      <c r="IMZ1449"/>
      <c r="INA1449"/>
      <c r="INB1449"/>
      <c r="INC1449"/>
      <c r="IND1449"/>
      <c r="INE1449"/>
      <c r="INF1449"/>
      <c r="ING1449"/>
      <c r="INH1449"/>
      <c r="INI1449"/>
      <c r="INJ1449"/>
      <c r="INK1449"/>
      <c r="INL1449"/>
      <c r="INM1449"/>
      <c r="INN1449"/>
      <c r="INO1449"/>
      <c r="INP1449"/>
      <c r="INQ1449"/>
      <c r="INR1449"/>
      <c r="INS1449"/>
      <c r="INT1449"/>
      <c r="INU1449"/>
      <c r="INV1449"/>
      <c r="INW1449"/>
      <c r="INX1449"/>
      <c r="INY1449"/>
      <c r="INZ1449"/>
      <c r="IOA1449"/>
      <c r="IOB1449"/>
      <c r="IOC1449"/>
      <c r="IOD1449"/>
      <c r="IOE1449"/>
      <c r="IOF1449"/>
      <c r="IOG1449"/>
      <c r="IOH1449"/>
      <c r="IOI1449"/>
      <c r="IOJ1449"/>
      <c r="IOK1449"/>
      <c r="IOL1449"/>
      <c r="IOM1449"/>
      <c r="ION1449"/>
      <c r="IOO1449"/>
      <c r="IOP1449"/>
      <c r="IOQ1449"/>
      <c r="IOR1449"/>
      <c r="IOS1449"/>
      <c r="IOT1449"/>
      <c r="IOU1449"/>
      <c r="IOV1449"/>
      <c r="IOW1449"/>
      <c r="IOX1449"/>
      <c r="IOY1449"/>
      <c r="IOZ1449"/>
      <c r="IPA1449"/>
      <c r="IPB1449"/>
      <c r="IPC1449"/>
      <c r="IPD1449"/>
      <c r="IPE1449"/>
      <c r="IPF1449"/>
      <c r="IPG1449"/>
      <c r="IPH1449"/>
      <c r="IPI1449"/>
      <c r="IPJ1449"/>
      <c r="IPK1449"/>
      <c r="IPL1449"/>
      <c r="IPM1449"/>
      <c r="IPN1449"/>
      <c r="IPO1449"/>
      <c r="IPP1449"/>
      <c r="IPQ1449"/>
      <c r="IPR1449"/>
      <c r="IPS1449"/>
      <c r="IPT1449"/>
      <c r="IPU1449"/>
      <c r="IPV1449"/>
      <c r="IPW1449"/>
      <c r="IPX1449"/>
      <c r="IPY1449"/>
      <c r="IPZ1449"/>
      <c r="IQA1449"/>
      <c r="IQB1449"/>
      <c r="IQC1449"/>
      <c r="IQD1449"/>
      <c r="IQE1449"/>
      <c r="IQF1449"/>
      <c r="IQG1449"/>
      <c r="IQH1449"/>
      <c r="IQI1449"/>
      <c r="IQJ1449"/>
      <c r="IQK1449"/>
      <c r="IQL1449"/>
      <c r="IQM1449"/>
      <c r="IQN1449"/>
      <c r="IQO1449"/>
      <c r="IQP1449"/>
      <c r="IQQ1449"/>
      <c r="IQR1449"/>
      <c r="IQS1449"/>
      <c r="IQT1449"/>
      <c r="IQU1449"/>
      <c r="IQV1449"/>
      <c r="IQW1449"/>
      <c r="IQX1449"/>
      <c r="IQY1449"/>
      <c r="IQZ1449"/>
      <c r="IRA1449"/>
      <c r="IRB1449"/>
      <c r="IRC1449"/>
      <c r="IRD1449"/>
      <c r="IRE1449"/>
      <c r="IRF1449"/>
      <c r="IRG1449"/>
      <c r="IRH1449"/>
      <c r="IRI1449"/>
      <c r="IRJ1449"/>
      <c r="IRK1449"/>
      <c r="IRL1449"/>
      <c r="IRM1449"/>
      <c r="IRN1449"/>
      <c r="IRO1449"/>
      <c r="IRP1449"/>
      <c r="IRQ1449"/>
      <c r="IRR1449"/>
      <c r="IRS1449"/>
      <c r="IRT1449"/>
      <c r="IRU1449"/>
      <c r="IRV1449"/>
      <c r="IRW1449"/>
      <c r="IRX1449"/>
      <c r="IRY1449"/>
      <c r="IRZ1449"/>
      <c r="ISA1449"/>
      <c r="ISB1449"/>
      <c r="ISC1449"/>
      <c r="ISD1449"/>
      <c r="ISE1449"/>
      <c r="ISF1449"/>
      <c r="ISG1449"/>
      <c r="ISH1449"/>
      <c r="ISI1449"/>
      <c r="ISJ1449"/>
      <c r="ISK1449"/>
      <c r="ISL1449"/>
      <c r="ISM1449"/>
      <c r="ISN1449"/>
      <c r="ISO1449"/>
      <c r="ISP1449"/>
      <c r="ISQ1449"/>
      <c r="ISR1449"/>
      <c r="ISS1449"/>
      <c r="IST1449"/>
      <c r="ISU1449"/>
      <c r="ISV1449"/>
      <c r="ISW1449"/>
      <c r="ISX1449"/>
      <c r="ISY1449"/>
      <c r="ISZ1449"/>
      <c r="ITA1449"/>
      <c r="ITB1449"/>
      <c r="ITC1449"/>
      <c r="ITD1449"/>
      <c r="ITE1449"/>
      <c r="ITF1449"/>
      <c r="ITG1449"/>
      <c r="ITH1449"/>
      <c r="ITI1449"/>
      <c r="ITJ1449"/>
      <c r="ITK1449"/>
      <c r="ITL1449"/>
      <c r="ITM1449"/>
      <c r="ITN1449"/>
      <c r="ITO1449"/>
      <c r="ITP1449"/>
      <c r="ITQ1449"/>
      <c r="ITR1449"/>
      <c r="ITS1449"/>
      <c r="ITT1449"/>
      <c r="ITU1449"/>
      <c r="ITV1449"/>
      <c r="ITW1449"/>
      <c r="ITX1449"/>
      <c r="ITY1449"/>
      <c r="ITZ1449"/>
      <c r="IUA1449"/>
      <c r="IUB1449"/>
      <c r="IUC1449"/>
      <c r="IUD1449"/>
      <c r="IUE1449"/>
      <c r="IUF1449"/>
      <c r="IUG1449"/>
      <c r="IUH1449"/>
      <c r="IUI1449"/>
      <c r="IUJ1449"/>
      <c r="IUK1449"/>
      <c r="IUL1449"/>
      <c r="IUM1449"/>
      <c r="IUN1449"/>
      <c r="IUO1449"/>
      <c r="IUP1449"/>
      <c r="IUQ1449"/>
      <c r="IUR1449"/>
      <c r="IUS1449"/>
      <c r="IUT1449"/>
      <c r="IUU1449"/>
      <c r="IUV1449"/>
      <c r="IUW1449"/>
      <c r="IUX1449"/>
      <c r="IUY1449"/>
      <c r="IUZ1449"/>
      <c r="IVA1449"/>
      <c r="IVB1449"/>
      <c r="IVC1449"/>
      <c r="IVD1449"/>
      <c r="IVE1449"/>
      <c r="IVF1449"/>
      <c r="IVG1449"/>
      <c r="IVH1449"/>
      <c r="IVI1449"/>
      <c r="IVJ1449"/>
      <c r="IVK1449"/>
      <c r="IVL1449"/>
      <c r="IVM1449"/>
      <c r="IVN1449"/>
      <c r="IVO1449"/>
      <c r="IVP1449"/>
      <c r="IVQ1449"/>
      <c r="IVR1449"/>
      <c r="IVS1449"/>
      <c r="IVT1449"/>
      <c r="IVU1449"/>
      <c r="IVV1449"/>
      <c r="IVW1449"/>
      <c r="IVX1449"/>
      <c r="IVY1449"/>
      <c r="IVZ1449"/>
      <c r="IWA1449"/>
      <c r="IWB1449"/>
      <c r="IWC1449"/>
      <c r="IWD1449"/>
      <c r="IWE1449"/>
      <c r="IWF1449"/>
      <c r="IWG1449"/>
      <c r="IWH1449"/>
      <c r="IWI1449"/>
      <c r="IWJ1449"/>
      <c r="IWK1449"/>
      <c r="IWL1449"/>
      <c r="IWM1449"/>
      <c r="IWN1449"/>
      <c r="IWO1449"/>
      <c r="IWP1449"/>
      <c r="IWQ1449"/>
      <c r="IWR1449"/>
      <c r="IWS1449"/>
      <c r="IWT1449"/>
      <c r="IWU1449"/>
      <c r="IWV1449"/>
      <c r="IWW1449"/>
      <c r="IWX1449"/>
      <c r="IWY1449"/>
      <c r="IWZ1449"/>
      <c r="IXA1449"/>
      <c r="IXB1449"/>
      <c r="IXC1449"/>
      <c r="IXD1449"/>
      <c r="IXE1449"/>
      <c r="IXF1449"/>
      <c r="IXG1449"/>
      <c r="IXH1449"/>
      <c r="IXI1449"/>
      <c r="IXJ1449"/>
      <c r="IXK1449"/>
      <c r="IXL1449"/>
      <c r="IXM1449"/>
      <c r="IXN1449"/>
      <c r="IXO1449"/>
      <c r="IXP1449"/>
      <c r="IXQ1449"/>
      <c r="IXR1449"/>
      <c r="IXS1449"/>
      <c r="IXT1449"/>
      <c r="IXU1449"/>
      <c r="IXV1449"/>
      <c r="IXW1449"/>
      <c r="IXX1449"/>
      <c r="IXY1449"/>
      <c r="IXZ1449"/>
      <c r="IYA1449"/>
      <c r="IYB1449"/>
      <c r="IYC1449"/>
      <c r="IYD1449"/>
      <c r="IYE1449"/>
      <c r="IYF1449"/>
      <c r="IYG1449"/>
      <c r="IYH1449"/>
      <c r="IYI1449"/>
      <c r="IYJ1449"/>
      <c r="IYK1449"/>
      <c r="IYL1449"/>
      <c r="IYM1449"/>
      <c r="IYN1449"/>
      <c r="IYO1449"/>
      <c r="IYP1449"/>
      <c r="IYQ1449"/>
      <c r="IYR1449"/>
      <c r="IYS1449"/>
      <c r="IYT1449"/>
      <c r="IYU1449"/>
      <c r="IYV1449"/>
      <c r="IYW1449"/>
      <c r="IYX1449"/>
      <c r="IYY1449"/>
      <c r="IYZ1449"/>
      <c r="IZA1449"/>
      <c r="IZB1449"/>
      <c r="IZC1449"/>
      <c r="IZD1449"/>
      <c r="IZE1449"/>
      <c r="IZF1449"/>
      <c r="IZG1449"/>
      <c r="IZH1449"/>
      <c r="IZI1449"/>
      <c r="IZJ1449"/>
      <c r="IZK1449"/>
      <c r="IZL1449"/>
      <c r="IZM1449"/>
      <c r="IZN1449"/>
      <c r="IZO1449"/>
      <c r="IZP1449"/>
      <c r="IZQ1449"/>
      <c r="IZR1449"/>
      <c r="IZS1449"/>
      <c r="IZT1449"/>
      <c r="IZU1449"/>
      <c r="IZV1449"/>
      <c r="IZW1449"/>
      <c r="IZX1449"/>
      <c r="IZY1449"/>
      <c r="IZZ1449"/>
      <c r="JAA1449"/>
      <c r="JAB1449"/>
      <c r="JAC1449"/>
      <c r="JAD1449"/>
      <c r="JAE1449"/>
      <c r="JAF1449"/>
      <c r="JAG1449"/>
      <c r="JAH1449"/>
      <c r="JAI1449"/>
      <c r="JAJ1449"/>
      <c r="JAK1449"/>
      <c r="JAL1449"/>
      <c r="JAM1449"/>
      <c r="JAN1449"/>
      <c r="JAO1449"/>
      <c r="JAP1449"/>
      <c r="JAQ1449"/>
      <c r="JAR1449"/>
      <c r="JAS1449"/>
      <c r="JAT1449"/>
      <c r="JAU1449"/>
      <c r="JAV1449"/>
      <c r="JAW1449"/>
      <c r="JAX1449"/>
      <c r="JAY1449"/>
      <c r="JAZ1449"/>
      <c r="JBA1449"/>
      <c r="JBB1449"/>
      <c r="JBC1449"/>
      <c r="JBD1449"/>
      <c r="JBE1449"/>
      <c r="JBF1449"/>
      <c r="JBG1449"/>
      <c r="JBH1449"/>
      <c r="JBI1449"/>
      <c r="JBJ1449"/>
      <c r="JBK1449"/>
      <c r="JBL1449"/>
      <c r="JBM1449"/>
      <c r="JBN1449"/>
      <c r="JBO1449"/>
      <c r="JBP1449"/>
      <c r="JBQ1449"/>
      <c r="JBR1449"/>
      <c r="JBS1449"/>
      <c r="JBT1449"/>
      <c r="JBU1449"/>
      <c r="JBV1449"/>
      <c r="JBW1449"/>
      <c r="JBX1449"/>
      <c r="JBY1449"/>
      <c r="JBZ1449"/>
      <c r="JCA1449"/>
      <c r="JCB1449"/>
      <c r="JCC1449"/>
      <c r="JCD1449"/>
      <c r="JCE1449"/>
      <c r="JCF1449"/>
      <c r="JCG1449"/>
      <c r="JCH1449"/>
      <c r="JCI1449"/>
      <c r="JCJ1449"/>
      <c r="JCK1449"/>
      <c r="JCL1449"/>
      <c r="JCM1449"/>
      <c r="JCN1449"/>
      <c r="JCO1449"/>
      <c r="JCP1449"/>
      <c r="JCQ1449"/>
      <c r="JCR1449"/>
      <c r="JCS1449"/>
      <c r="JCT1449"/>
      <c r="JCU1449"/>
      <c r="JCV1449"/>
      <c r="JCW1449"/>
      <c r="JCX1449"/>
      <c r="JCY1449"/>
      <c r="JCZ1449"/>
      <c r="JDA1449"/>
      <c r="JDB1449"/>
      <c r="JDC1449"/>
      <c r="JDD1449"/>
      <c r="JDE1449"/>
      <c r="JDF1449"/>
      <c r="JDG1449"/>
      <c r="JDH1449"/>
      <c r="JDI1449"/>
      <c r="JDJ1449"/>
      <c r="JDK1449"/>
      <c r="JDL1449"/>
      <c r="JDM1449"/>
      <c r="JDN1449"/>
      <c r="JDO1449"/>
      <c r="JDP1449"/>
      <c r="JDQ1449"/>
      <c r="JDR1449"/>
      <c r="JDS1449"/>
      <c r="JDT1449"/>
      <c r="JDU1449"/>
      <c r="JDV1449"/>
      <c r="JDW1449"/>
      <c r="JDX1449"/>
      <c r="JDY1449"/>
      <c r="JDZ1449"/>
      <c r="JEA1449"/>
      <c r="JEB1449"/>
      <c r="JEC1449"/>
      <c r="JED1449"/>
      <c r="JEE1449"/>
      <c r="JEF1449"/>
      <c r="JEG1449"/>
      <c r="JEH1449"/>
      <c r="JEI1449"/>
      <c r="JEJ1449"/>
      <c r="JEK1449"/>
      <c r="JEL1449"/>
      <c r="JEM1449"/>
      <c r="JEN1449"/>
      <c r="JEO1449"/>
      <c r="JEP1449"/>
      <c r="JEQ1449"/>
      <c r="JER1449"/>
      <c r="JES1449"/>
      <c r="JET1449"/>
      <c r="JEU1449"/>
      <c r="JEV1449"/>
      <c r="JEW1449"/>
      <c r="JEX1449"/>
      <c r="JEY1449"/>
      <c r="JEZ1449"/>
      <c r="JFA1449"/>
      <c r="JFB1449"/>
      <c r="JFC1449"/>
      <c r="JFD1449"/>
      <c r="JFE1449"/>
      <c r="JFF1449"/>
      <c r="JFG1449"/>
      <c r="JFH1449"/>
      <c r="JFI1449"/>
      <c r="JFJ1449"/>
      <c r="JFK1449"/>
      <c r="JFL1449"/>
      <c r="JFM1449"/>
      <c r="JFN1449"/>
      <c r="JFO1449"/>
      <c r="JFP1449"/>
      <c r="JFQ1449"/>
      <c r="JFR1449"/>
      <c r="JFS1449"/>
      <c r="JFT1449"/>
      <c r="JFU1449"/>
      <c r="JFV1449"/>
      <c r="JFW1449"/>
      <c r="JFX1449"/>
      <c r="JFY1449"/>
      <c r="JFZ1449"/>
      <c r="JGA1449"/>
      <c r="JGB1449"/>
      <c r="JGC1449"/>
      <c r="JGD1449"/>
      <c r="JGE1449"/>
      <c r="JGF1449"/>
      <c r="JGG1449"/>
      <c r="JGH1449"/>
      <c r="JGI1449"/>
      <c r="JGJ1449"/>
      <c r="JGK1449"/>
      <c r="JGL1449"/>
      <c r="JGM1449"/>
      <c r="JGN1449"/>
      <c r="JGO1449"/>
      <c r="JGP1449"/>
      <c r="JGQ1449"/>
      <c r="JGR1449"/>
      <c r="JGS1449"/>
      <c r="JGT1449"/>
      <c r="JGU1449"/>
      <c r="JGV1449"/>
      <c r="JGW1449"/>
      <c r="JGX1449"/>
      <c r="JGY1449"/>
      <c r="JGZ1449"/>
      <c r="JHA1449"/>
      <c r="JHB1449"/>
      <c r="JHC1449"/>
      <c r="JHD1449"/>
      <c r="JHE1449"/>
      <c r="JHF1449"/>
      <c r="JHG1449"/>
      <c r="JHH1449"/>
      <c r="JHI1449"/>
      <c r="JHJ1449"/>
      <c r="JHK1449"/>
      <c r="JHL1449"/>
      <c r="JHM1449"/>
      <c r="JHN1449"/>
      <c r="JHO1449"/>
      <c r="JHP1449"/>
      <c r="JHQ1449"/>
      <c r="JHR1449"/>
      <c r="JHS1449"/>
      <c r="JHT1449"/>
      <c r="JHU1449"/>
      <c r="JHV1449"/>
      <c r="JHW1449"/>
      <c r="JHX1449"/>
      <c r="JHY1449"/>
      <c r="JHZ1449"/>
      <c r="JIA1449"/>
      <c r="JIB1449"/>
      <c r="JIC1449"/>
      <c r="JID1449"/>
      <c r="JIE1449"/>
      <c r="JIF1449"/>
      <c r="JIG1449"/>
      <c r="JIH1449"/>
      <c r="JII1449"/>
      <c r="JIJ1449"/>
      <c r="JIK1449"/>
      <c r="JIL1449"/>
      <c r="JIM1449"/>
      <c r="JIN1449"/>
      <c r="JIO1449"/>
      <c r="JIP1449"/>
      <c r="JIQ1449"/>
      <c r="JIR1449"/>
      <c r="JIS1449"/>
      <c r="JIT1449"/>
      <c r="JIU1449"/>
      <c r="JIV1449"/>
      <c r="JIW1449"/>
      <c r="JIX1449"/>
      <c r="JIY1449"/>
      <c r="JIZ1449"/>
      <c r="JJA1449"/>
      <c r="JJB1449"/>
      <c r="JJC1449"/>
      <c r="JJD1449"/>
      <c r="JJE1449"/>
      <c r="JJF1449"/>
      <c r="JJG1449"/>
      <c r="JJH1449"/>
      <c r="JJI1449"/>
      <c r="JJJ1449"/>
      <c r="JJK1449"/>
      <c r="JJL1449"/>
      <c r="JJM1449"/>
      <c r="JJN1449"/>
      <c r="JJO1449"/>
      <c r="JJP1449"/>
      <c r="JJQ1449"/>
      <c r="JJR1449"/>
      <c r="JJS1449"/>
      <c r="JJT1449"/>
      <c r="JJU1449"/>
      <c r="JJV1449"/>
      <c r="JJW1449"/>
      <c r="JJX1449"/>
      <c r="JJY1449"/>
      <c r="JJZ1449"/>
      <c r="JKA1449"/>
      <c r="JKB1449"/>
      <c r="JKC1449"/>
      <c r="JKD1449"/>
      <c r="JKE1449"/>
      <c r="JKF1449"/>
      <c r="JKG1449"/>
      <c r="JKH1449"/>
      <c r="JKI1449"/>
      <c r="JKJ1449"/>
      <c r="JKK1449"/>
      <c r="JKL1449"/>
      <c r="JKM1449"/>
      <c r="JKN1449"/>
      <c r="JKO1449"/>
      <c r="JKP1449"/>
      <c r="JKQ1449"/>
      <c r="JKR1449"/>
      <c r="JKS1449"/>
      <c r="JKT1449"/>
      <c r="JKU1449"/>
      <c r="JKV1449"/>
      <c r="JKW1449"/>
      <c r="JKX1449"/>
      <c r="JKY1449"/>
      <c r="JKZ1449"/>
      <c r="JLA1449"/>
      <c r="JLB1449"/>
      <c r="JLC1449"/>
      <c r="JLD1449"/>
      <c r="JLE1449"/>
      <c r="JLF1449"/>
      <c r="JLG1449"/>
      <c r="JLH1449"/>
      <c r="JLI1449"/>
      <c r="JLJ1449"/>
      <c r="JLK1449"/>
      <c r="JLL1449"/>
      <c r="JLM1449"/>
      <c r="JLN1449"/>
      <c r="JLO1449"/>
      <c r="JLP1449"/>
      <c r="JLQ1449"/>
      <c r="JLR1449"/>
      <c r="JLS1449"/>
      <c r="JLT1449"/>
      <c r="JLU1449"/>
      <c r="JLV1449"/>
      <c r="JLW1449"/>
      <c r="JLX1449"/>
      <c r="JLY1449"/>
      <c r="JLZ1449"/>
      <c r="JMA1449"/>
      <c r="JMB1449"/>
      <c r="JMC1449"/>
      <c r="JMD1449"/>
      <c r="JME1449"/>
      <c r="JMF1449"/>
      <c r="JMG1449"/>
      <c r="JMH1449"/>
      <c r="JMI1449"/>
      <c r="JMJ1449"/>
      <c r="JMK1449"/>
      <c r="JML1449"/>
      <c r="JMM1449"/>
      <c r="JMN1449"/>
      <c r="JMO1449"/>
      <c r="JMP1449"/>
      <c r="JMQ1449"/>
      <c r="JMR1449"/>
      <c r="JMS1449"/>
      <c r="JMT1449"/>
      <c r="JMU1449"/>
      <c r="JMV1449"/>
      <c r="JMW1449"/>
      <c r="JMX1449"/>
      <c r="JMY1449"/>
      <c r="JMZ1449"/>
      <c r="JNA1449"/>
      <c r="JNB1449"/>
      <c r="JNC1449"/>
      <c r="JND1449"/>
      <c r="JNE1449"/>
      <c r="JNF1449"/>
      <c r="JNG1449"/>
      <c r="JNH1449"/>
      <c r="JNI1449"/>
      <c r="JNJ1449"/>
      <c r="JNK1449"/>
      <c r="JNL1449"/>
      <c r="JNM1449"/>
      <c r="JNN1449"/>
      <c r="JNO1449"/>
      <c r="JNP1449"/>
      <c r="JNQ1449"/>
      <c r="JNR1449"/>
      <c r="JNS1449"/>
      <c r="JNT1449"/>
      <c r="JNU1449"/>
      <c r="JNV1449"/>
      <c r="JNW1449"/>
      <c r="JNX1449"/>
      <c r="JNY1449"/>
      <c r="JNZ1449"/>
      <c r="JOA1449"/>
      <c r="JOB1449"/>
      <c r="JOC1449"/>
      <c r="JOD1449"/>
      <c r="JOE1449"/>
      <c r="JOF1449"/>
      <c r="JOG1449"/>
      <c r="JOH1449"/>
      <c r="JOI1449"/>
      <c r="JOJ1449"/>
      <c r="JOK1449"/>
      <c r="JOL1449"/>
      <c r="JOM1449"/>
      <c r="JON1449"/>
      <c r="JOO1449"/>
      <c r="JOP1449"/>
      <c r="JOQ1449"/>
      <c r="JOR1449"/>
      <c r="JOS1449"/>
      <c r="JOT1449"/>
      <c r="JOU1449"/>
      <c r="JOV1449"/>
      <c r="JOW1449"/>
      <c r="JOX1449"/>
      <c r="JOY1449"/>
      <c r="JOZ1449"/>
      <c r="JPA1449"/>
      <c r="JPB1449"/>
      <c r="JPC1449"/>
      <c r="JPD1449"/>
      <c r="JPE1449"/>
      <c r="JPF1449"/>
      <c r="JPG1449"/>
      <c r="JPH1449"/>
      <c r="JPI1449"/>
      <c r="JPJ1449"/>
      <c r="JPK1449"/>
      <c r="JPL1449"/>
      <c r="JPM1449"/>
      <c r="JPN1449"/>
      <c r="JPO1449"/>
      <c r="JPP1449"/>
      <c r="JPQ1449"/>
      <c r="JPR1449"/>
      <c r="JPS1449"/>
      <c r="JPT1449"/>
      <c r="JPU1449"/>
      <c r="JPV1449"/>
      <c r="JPW1449"/>
      <c r="JPX1449"/>
      <c r="JPY1449"/>
      <c r="JPZ1449"/>
      <c r="JQA1449"/>
      <c r="JQB1449"/>
      <c r="JQC1449"/>
      <c r="JQD1449"/>
      <c r="JQE1449"/>
      <c r="JQF1449"/>
      <c r="JQG1449"/>
      <c r="JQH1449"/>
      <c r="JQI1449"/>
      <c r="JQJ1449"/>
      <c r="JQK1449"/>
      <c r="JQL1449"/>
      <c r="JQM1449"/>
      <c r="JQN1449"/>
      <c r="JQO1449"/>
      <c r="JQP1449"/>
      <c r="JQQ1449"/>
      <c r="JQR1449"/>
      <c r="JQS1449"/>
      <c r="JQT1449"/>
      <c r="JQU1449"/>
      <c r="JQV1449"/>
      <c r="JQW1449"/>
      <c r="JQX1449"/>
      <c r="JQY1449"/>
      <c r="JQZ1449"/>
      <c r="JRA1449"/>
      <c r="JRB1449"/>
      <c r="JRC1449"/>
      <c r="JRD1449"/>
      <c r="JRE1449"/>
      <c r="JRF1449"/>
      <c r="JRG1449"/>
      <c r="JRH1449"/>
      <c r="JRI1449"/>
      <c r="JRJ1449"/>
      <c r="JRK1449"/>
      <c r="JRL1449"/>
      <c r="JRM1449"/>
      <c r="JRN1449"/>
      <c r="JRO1449"/>
      <c r="JRP1449"/>
      <c r="JRQ1449"/>
      <c r="JRR1449"/>
      <c r="JRS1449"/>
      <c r="JRT1449"/>
      <c r="JRU1449"/>
      <c r="JRV1449"/>
      <c r="JRW1449"/>
      <c r="JRX1449"/>
      <c r="JRY1449"/>
      <c r="JRZ1449"/>
      <c r="JSA1449"/>
      <c r="JSB1449"/>
      <c r="JSC1449"/>
      <c r="JSD1449"/>
      <c r="JSE1449"/>
      <c r="JSF1449"/>
      <c r="JSG1449"/>
      <c r="JSH1449"/>
      <c r="JSI1449"/>
      <c r="JSJ1449"/>
      <c r="JSK1449"/>
      <c r="JSL1449"/>
      <c r="JSM1449"/>
      <c r="JSN1449"/>
      <c r="JSO1449"/>
      <c r="JSP1449"/>
      <c r="JSQ1449"/>
      <c r="JSR1449"/>
      <c r="JSS1449"/>
      <c r="JST1449"/>
      <c r="JSU1449"/>
      <c r="JSV1449"/>
      <c r="JSW1449"/>
      <c r="JSX1449"/>
      <c r="JSY1449"/>
      <c r="JSZ1449"/>
      <c r="JTA1449"/>
      <c r="JTB1449"/>
      <c r="JTC1449"/>
      <c r="JTD1449"/>
      <c r="JTE1449"/>
      <c r="JTF1449"/>
      <c r="JTG1449"/>
      <c r="JTH1449"/>
      <c r="JTI1449"/>
      <c r="JTJ1449"/>
      <c r="JTK1449"/>
      <c r="JTL1449"/>
      <c r="JTM1449"/>
      <c r="JTN1449"/>
      <c r="JTO1449"/>
      <c r="JTP1449"/>
      <c r="JTQ1449"/>
      <c r="JTR1449"/>
      <c r="JTS1449"/>
      <c r="JTT1449"/>
      <c r="JTU1449"/>
      <c r="JTV1449"/>
      <c r="JTW1449"/>
      <c r="JTX1449"/>
      <c r="JTY1449"/>
      <c r="JTZ1449"/>
      <c r="JUA1449"/>
      <c r="JUB1449"/>
      <c r="JUC1449"/>
      <c r="JUD1449"/>
      <c r="JUE1449"/>
      <c r="JUF1449"/>
      <c r="JUG1449"/>
      <c r="JUH1449"/>
      <c r="JUI1449"/>
      <c r="JUJ1449"/>
      <c r="JUK1449"/>
      <c r="JUL1449"/>
      <c r="JUM1449"/>
      <c r="JUN1449"/>
      <c r="JUO1449"/>
      <c r="JUP1449"/>
      <c r="JUQ1449"/>
      <c r="JUR1449"/>
      <c r="JUS1449"/>
      <c r="JUT1449"/>
      <c r="JUU1449"/>
      <c r="JUV1449"/>
      <c r="JUW1449"/>
      <c r="JUX1449"/>
      <c r="JUY1449"/>
      <c r="JUZ1449"/>
      <c r="JVA1449"/>
      <c r="JVB1449"/>
      <c r="JVC1449"/>
      <c r="JVD1449"/>
      <c r="JVE1449"/>
      <c r="JVF1449"/>
      <c r="JVG1449"/>
      <c r="JVH1449"/>
      <c r="JVI1449"/>
      <c r="JVJ1449"/>
      <c r="JVK1449"/>
      <c r="JVL1449"/>
      <c r="JVM1449"/>
      <c r="JVN1449"/>
      <c r="JVO1449"/>
      <c r="JVP1449"/>
      <c r="JVQ1449"/>
      <c r="JVR1449"/>
      <c r="JVS1449"/>
      <c r="JVT1449"/>
      <c r="JVU1449"/>
      <c r="JVV1449"/>
      <c r="JVW1449"/>
      <c r="JVX1449"/>
      <c r="JVY1449"/>
      <c r="JVZ1449"/>
      <c r="JWA1449"/>
      <c r="JWB1449"/>
      <c r="JWC1449"/>
      <c r="JWD1449"/>
      <c r="JWE1449"/>
      <c r="JWF1449"/>
      <c r="JWG1449"/>
      <c r="JWH1449"/>
      <c r="JWI1449"/>
      <c r="JWJ1449"/>
      <c r="JWK1449"/>
      <c r="JWL1449"/>
      <c r="JWM1449"/>
      <c r="JWN1449"/>
      <c r="JWO1449"/>
      <c r="JWP1449"/>
      <c r="JWQ1449"/>
      <c r="JWR1449"/>
      <c r="JWS1449"/>
      <c r="JWT1449"/>
      <c r="JWU1449"/>
      <c r="JWV1449"/>
      <c r="JWW1449"/>
      <c r="JWX1449"/>
      <c r="JWY1449"/>
      <c r="JWZ1449"/>
      <c r="JXA1449"/>
      <c r="JXB1449"/>
      <c r="JXC1449"/>
      <c r="JXD1449"/>
      <c r="JXE1449"/>
      <c r="JXF1449"/>
      <c r="JXG1449"/>
      <c r="JXH1449"/>
      <c r="JXI1449"/>
      <c r="JXJ1449"/>
      <c r="JXK1449"/>
      <c r="JXL1449"/>
      <c r="JXM1449"/>
      <c r="JXN1449"/>
      <c r="JXO1449"/>
      <c r="JXP1449"/>
      <c r="JXQ1449"/>
      <c r="JXR1449"/>
      <c r="JXS1449"/>
      <c r="JXT1449"/>
      <c r="JXU1449"/>
      <c r="JXV1449"/>
      <c r="JXW1449"/>
      <c r="JXX1449"/>
      <c r="JXY1449"/>
      <c r="JXZ1449"/>
      <c r="JYA1449"/>
      <c r="JYB1449"/>
      <c r="JYC1449"/>
      <c r="JYD1449"/>
      <c r="JYE1449"/>
      <c r="JYF1449"/>
      <c r="JYG1449"/>
      <c r="JYH1449"/>
      <c r="JYI1449"/>
      <c r="JYJ1449"/>
      <c r="JYK1449"/>
      <c r="JYL1449"/>
      <c r="JYM1449"/>
      <c r="JYN1449"/>
      <c r="JYO1449"/>
      <c r="JYP1449"/>
      <c r="JYQ1449"/>
      <c r="JYR1449"/>
      <c r="JYS1449"/>
      <c r="JYT1449"/>
      <c r="JYU1449"/>
      <c r="JYV1449"/>
      <c r="JYW1449"/>
      <c r="JYX1449"/>
      <c r="JYY1449"/>
      <c r="JYZ1449"/>
      <c r="JZA1449"/>
      <c r="JZB1449"/>
      <c r="JZC1449"/>
      <c r="JZD1449"/>
      <c r="JZE1449"/>
      <c r="JZF1449"/>
      <c r="JZG1449"/>
      <c r="JZH1449"/>
      <c r="JZI1449"/>
      <c r="JZJ1449"/>
      <c r="JZK1449"/>
      <c r="JZL1449"/>
      <c r="JZM1449"/>
      <c r="JZN1449"/>
      <c r="JZO1449"/>
      <c r="JZP1449"/>
      <c r="JZQ1449"/>
      <c r="JZR1449"/>
      <c r="JZS1449"/>
      <c r="JZT1449"/>
      <c r="JZU1449"/>
      <c r="JZV1449"/>
      <c r="JZW1449"/>
      <c r="JZX1449"/>
      <c r="JZY1449"/>
      <c r="JZZ1449"/>
      <c r="KAA1449"/>
      <c r="KAB1449"/>
      <c r="KAC1449"/>
      <c r="KAD1449"/>
      <c r="KAE1449"/>
      <c r="KAF1449"/>
      <c r="KAG1449"/>
      <c r="KAH1449"/>
      <c r="KAI1449"/>
      <c r="KAJ1449"/>
      <c r="KAK1449"/>
      <c r="KAL1449"/>
      <c r="KAM1449"/>
      <c r="KAN1449"/>
      <c r="KAO1449"/>
      <c r="KAP1449"/>
      <c r="KAQ1449"/>
      <c r="KAR1449"/>
      <c r="KAS1449"/>
      <c r="KAT1449"/>
      <c r="KAU1449"/>
      <c r="KAV1449"/>
      <c r="KAW1449"/>
      <c r="KAX1449"/>
      <c r="KAY1449"/>
      <c r="KAZ1449"/>
      <c r="KBA1449"/>
      <c r="KBB1449"/>
      <c r="KBC1449"/>
      <c r="KBD1449"/>
      <c r="KBE1449"/>
      <c r="KBF1449"/>
      <c r="KBG1449"/>
      <c r="KBH1449"/>
      <c r="KBI1449"/>
      <c r="KBJ1449"/>
      <c r="KBK1449"/>
      <c r="KBL1449"/>
      <c r="KBM1449"/>
      <c r="KBN1449"/>
      <c r="KBO1449"/>
      <c r="KBP1449"/>
      <c r="KBQ1449"/>
      <c r="KBR1449"/>
      <c r="KBS1449"/>
      <c r="KBT1449"/>
      <c r="KBU1449"/>
      <c r="KBV1449"/>
      <c r="KBW1449"/>
      <c r="KBX1449"/>
      <c r="KBY1449"/>
      <c r="KBZ1449"/>
      <c r="KCA1449"/>
      <c r="KCB1449"/>
      <c r="KCC1449"/>
      <c r="KCD1449"/>
      <c r="KCE1449"/>
      <c r="KCF1449"/>
      <c r="KCG1449"/>
      <c r="KCH1449"/>
      <c r="KCI1449"/>
      <c r="KCJ1449"/>
      <c r="KCK1449"/>
      <c r="KCL1449"/>
      <c r="KCM1449"/>
      <c r="KCN1449"/>
      <c r="KCO1449"/>
      <c r="KCP1449"/>
      <c r="KCQ1449"/>
      <c r="KCR1449"/>
      <c r="KCS1449"/>
      <c r="KCT1449"/>
      <c r="KCU1449"/>
      <c r="KCV1449"/>
      <c r="KCW1449"/>
      <c r="KCX1449"/>
      <c r="KCY1449"/>
      <c r="KCZ1449"/>
      <c r="KDA1449"/>
      <c r="KDB1449"/>
      <c r="KDC1449"/>
      <c r="KDD1449"/>
      <c r="KDE1449"/>
      <c r="KDF1449"/>
      <c r="KDG1449"/>
      <c r="KDH1449"/>
      <c r="KDI1449"/>
      <c r="KDJ1449"/>
      <c r="KDK1449"/>
      <c r="KDL1449"/>
      <c r="KDM1449"/>
      <c r="KDN1449"/>
      <c r="KDO1449"/>
      <c r="KDP1449"/>
      <c r="KDQ1449"/>
      <c r="KDR1449"/>
      <c r="KDS1449"/>
      <c r="KDT1449"/>
      <c r="KDU1449"/>
      <c r="KDV1449"/>
      <c r="KDW1449"/>
      <c r="KDX1449"/>
      <c r="KDY1449"/>
      <c r="KDZ1449"/>
      <c r="KEA1449"/>
      <c r="KEB1449"/>
      <c r="KEC1449"/>
      <c r="KED1449"/>
      <c r="KEE1449"/>
      <c r="KEF1449"/>
      <c r="KEG1449"/>
      <c r="KEH1449"/>
      <c r="KEI1449"/>
      <c r="KEJ1449"/>
      <c r="KEK1449"/>
      <c r="KEL1449"/>
      <c r="KEM1449"/>
      <c r="KEN1449"/>
      <c r="KEO1449"/>
      <c r="KEP1449"/>
      <c r="KEQ1449"/>
      <c r="KER1449"/>
      <c r="KES1449"/>
      <c r="KET1449"/>
      <c r="KEU1449"/>
      <c r="KEV1449"/>
      <c r="KEW1449"/>
      <c r="KEX1449"/>
      <c r="KEY1449"/>
      <c r="KEZ1449"/>
      <c r="KFA1449"/>
      <c r="KFB1449"/>
      <c r="KFC1449"/>
      <c r="KFD1449"/>
      <c r="KFE1449"/>
      <c r="KFF1449"/>
      <c r="KFG1449"/>
      <c r="KFH1449"/>
      <c r="KFI1449"/>
      <c r="KFJ1449"/>
      <c r="KFK1449"/>
      <c r="KFL1449"/>
      <c r="KFM1449"/>
      <c r="KFN1449"/>
      <c r="KFO1449"/>
      <c r="KFP1449"/>
      <c r="KFQ1449"/>
      <c r="KFR1449"/>
      <c r="KFS1449"/>
      <c r="KFT1449"/>
      <c r="KFU1449"/>
      <c r="KFV1449"/>
      <c r="KFW1449"/>
      <c r="KFX1449"/>
      <c r="KFY1449"/>
      <c r="KFZ1449"/>
      <c r="KGA1449"/>
      <c r="KGB1449"/>
      <c r="KGC1449"/>
      <c r="KGD1449"/>
      <c r="KGE1449"/>
      <c r="KGF1449"/>
      <c r="KGG1449"/>
      <c r="KGH1449"/>
      <c r="KGI1449"/>
      <c r="KGJ1449"/>
      <c r="KGK1449"/>
      <c r="KGL1449"/>
      <c r="KGM1449"/>
      <c r="KGN1449"/>
      <c r="KGO1449"/>
      <c r="KGP1449"/>
      <c r="KGQ1449"/>
      <c r="KGR1449"/>
      <c r="KGS1449"/>
      <c r="KGT1449"/>
      <c r="KGU1449"/>
      <c r="KGV1449"/>
      <c r="KGW1449"/>
      <c r="KGX1449"/>
      <c r="KGY1449"/>
      <c r="KGZ1449"/>
      <c r="KHA1449"/>
      <c r="KHB1449"/>
      <c r="KHC1449"/>
      <c r="KHD1449"/>
      <c r="KHE1449"/>
      <c r="KHF1449"/>
      <c r="KHG1449"/>
      <c r="KHH1449"/>
      <c r="KHI1449"/>
      <c r="KHJ1449"/>
      <c r="KHK1449"/>
      <c r="KHL1449"/>
      <c r="KHM1449"/>
      <c r="KHN1449"/>
      <c r="KHO1449"/>
      <c r="KHP1449"/>
      <c r="KHQ1449"/>
      <c r="KHR1449"/>
      <c r="KHS1449"/>
      <c r="KHT1449"/>
      <c r="KHU1449"/>
      <c r="KHV1449"/>
      <c r="KHW1449"/>
      <c r="KHX1449"/>
      <c r="KHY1449"/>
      <c r="KHZ1449"/>
      <c r="KIA1449"/>
      <c r="KIB1449"/>
      <c r="KIC1449"/>
      <c r="KID1449"/>
      <c r="KIE1449"/>
      <c r="KIF1449"/>
      <c r="KIG1449"/>
      <c r="KIH1449"/>
      <c r="KII1449"/>
      <c r="KIJ1449"/>
      <c r="KIK1449"/>
      <c r="KIL1449"/>
      <c r="KIM1449"/>
      <c r="KIN1449"/>
      <c r="KIO1449"/>
      <c r="KIP1449"/>
      <c r="KIQ1449"/>
      <c r="KIR1449"/>
      <c r="KIS1449"/>
      <c r="KIT1449"/>
      <c r="KIU1449"/>
      <c r="KIV1449"/>
      <c r="KIW1449"/>
      <c r="KIX1449"/>
      <c r="KIY1449"/>
      <c r="KIZ1449"/>
      <c r="KJA1449"/>
      <c r="KJB1449"/>
      <c r="KJC1449"/>
      <c r="KJD1449"/>
      <c r="KJE1449"/>
      <c r="KJF1449"/>
      <c r="KJG1449"/>
      <c r="KJH1449"/>
      <c r="KJI1449"/>
      <c r="KJJ1449"/>
      <c r="KJK1449"/>
      <c r="KJL1449"/>
      <c r="KJM1449"/>
      <c r="KJN1449"/>
      <c r="KJO1449"/>
      <c r="KJP1449"/>
      <c r="KJQ1449"/>
      <c r="KJR1449"/>
      <c r="KJS1449"/>
      <c r="KJT1449"/>
      <c r="KJU1449"/>
      <c r="KJV1449"/>
      <c r="KJW1449"/>
      <c r="KJX1449"/>
      <c r="KJY1449"/>
      <c r="KJZ1449"/>
      <c r="KKA1449"/>
      <c r="KKB1449"/>
      <c r="KKC1449"/>
      <c r="KKD1449"/>
      <c r="KKE1449"/>
      <c r="KKF1449"/>
      <c r="KKG1449"/>
      <c r="KKH1449"/>
      <c r="KKI1449"/>
      <c r="KKJ1449"/>
      <c r="KKK1449"/>
      <c r="KKL1449"/>
      <c r="KKM1449"/>
      <c r="KKN1449"/>
      <c r="KKO1449"/>
      <c r="KKP1449"/>
      <c r="KKQ1449"/>
      <c r="KKR1449"/>
      <c r="KKS1449"/>
      <c r="KKT1449"/>
      <c r="KKU1449"/>
      <c r="KKV1449"/>
      <c r="KKW1449"/>
      <c r="KKX1449"/>
      <c r="KKY1449"/>
      <c r="KKZ1449"/>
      <c r="KLA1449"/>
      <c r="KLB1449"/>
      <c r="KLC1449"/>
      <c r="KLD1449"/>
      <c r="KLE1449"/>
      <c r="KLF1449"/>
      <c r="KLG1449"/>
      <c r="KLH1449"/>
      <c r="KLI1449"/>
      <c r="KLJ1449"/>
      <c r="KLK1449"/>
      <c r="KLL1449"/>
      <c r="KLM1449"/>
      <c r="KLN1449"/>
      <c r="KLO1449"/>
      <c r="KLP1449"/>
      <c r="KLQ1449"/>
      <c r="KLR1449"/>
      <c r="KLS1449"/>
      <c r="KLT1449"/>
      <c r="KLU1449"/>
      <c r="KLV1449"/>
      <c r="KLW1449"/>
      <c r="KLX1449"/>
      <c r="KLY1449"/>
      <c r="KLZ1449"/>
      <c r="KMA1449"/>
      <c r="KMB1449"/>
      <c r="KMC1449"/>
      <c r="KMD1449"/>
      <c r="KME1449"/>
      <c r="KMF1449"/>
      <c r="KMG1449"/>
      <c r="KMH1449"/>
      <c r="KMI1449"/>
      <c r="KMJ1449"/>
      <c r="KMK1449"/>
      <c r="KML1449"/>
      <c r="KMM1449"/>
      <c r="KMN1449"/>
      <c r="KMO1449"/>
      <c r="KMP1449"/>
      <c r="KMQ1449"/>
      <c r="KMR1449"/>
      <c r="KMS1449"/>
      <c r="KMT1449"/>
      <c r="KMU1449"/>
      <c r="KMV1449"/>
      <c r="KMW1449"/>
      <c r="KMX1449"/>
      <c r="KMY1449"/>
      <c r="KMZ1449"/>
      <c r="KNA1449"/>
      <c r="KNB1449"/>
      <c r="KNC1449"/>
      <c r="KND1449"/>
      <c r="KNE1449"/>
      <c r="KNF1449"/>
      <c r="KNG1449"/>
      <c r="KNH1449"/>
      <c r="KNI1449"/>
      <c r="KNJ1449"/>
      <c r="KNK1449"/>
      <c r="KNL1449"/>
      <c r="KNM1449"/>
      <c r="KNN1449"/>
      <c r="KNO1449"/>
      <c r="KNP1449"/>
      <c r="KNQ1449"/>
      <c r="KNR1449"/>
      <c r="KNS1449"/>
      <c r="KNT1449"/>
      <c r="KNU1449"/>
      <c r="KNV1449"/>
      <c r="KNW1449"/>
      <c r="KNX1449"/>
      <c r="KNY1449"/>
      <c r="KNZ1449"/>
      <c r="KOA1449"/>
      <c r="KOB1449"/>
      <c r="KOC1449"/>
      <c r="KOD1449"/>
      <c r="KOE1449"/>
      <c r="KOF1449"/>
      <c r="KOG1449"/>
      <c r="KOH1449"/>
      <c r="KOI1449"/>
      <c r="KOJ1449"/>
      <c r="KOK1449"/>
      <c r="KOL1449"/>
      <c r="KOM1449"/>
      <c r="KON1449"/>
      <c r="KOO1449"/>
      <c r="KOP1449"/>
      <c r="KOQ1449"/>
      <c r="KOR1449"/>
      <c r="KOS1449"/>
      <c r="KOT1449"/>
      <c r="KOU1449"/>
      <c r="KOV1449"/>
      <c r="KOW1449"/>
      <c r="KOX1449"/>
      <c r="KOY1449"/>
      <c r="KOZ1449"/>
      <c r="KPA1449"/>
      <c r="KPB1449"/>
      <c r="KPC1449"/>
      <c r="KPD1449"/>
      <c r="KPE1449"/>
      <c r="KPF1449"/>
      <c r="KPG1449"/>
      <c r="KPH1449"/>
      <c r="KPI1449"/>
      <c r="KPJ1449"/>
      <c r="KPK1449"/>
      <c r="KPL1449"/>
      <c r="KPM1449"/>
      <c r="KPN1449"/>
      <c r="KPO1449"/>
      <c r="KPP1449"/>
      <c r="KPQ1449"/>
      <c r="KPR1449"/>
      <c r="KPS1449"/>
      <c r="KPT1449"/>
      <c r="KPU1449"/>
      <c r="KPV1449"/>
      <c r="KPW1449"/>
      <c r="KPX1449"/>
      <c r="KPY1449"/>
      <c r="KPZ1449"/>
      <c r="KQA1449"/>
      <c r="KQB1449"/>
      <c r="KQC1449"/>
      <c r="KQD1449"/>
      <c r="KQE1449"/>
      <c r="KQF1449"/>
      <c r="KQG1449"/>
      <c r="KQH1449"/>
      <c r="KQI1449"/>
      <c r="KQJ1449"/>
      <c r="KQK1449"/>
      <c r="KQL1449"/>
      <c r="KQM1449"/>
      <c r="KQN1449"/>
      <c r="KQO1449"/>
      <c r="KQP1449"/>
      <c r="KQQ1449"/>
      <c r="KQR1449"/>
      <c r="KQS1449"/>
      <c r="KQT1449"/>
      <c r="KQU1449"/>
      <c r="KQV1449"/>
      <c r="KQW1449"/>
      <c r="KQX1449"/>
      <c r="KQY1449"/>
      <c r="KQZ1449"/>
      <c r="KRA1449"/>
      <c r="KRB1449"/>
      <c r="KRC1449"/>
      <c r="KRD1449"/>
      <c r="KRE1449"/>
      <c r="KRF1449"/>
      <c r="KRG1449"/>
      <c r="KRH1449"/>
      <c r="KRI1449"/>
      <c r="KRJ1449"/>
      <c r="KRK1449"/>
      <c r="KRL1449"/>
      <c r="KRM1449"/>
      <c r="KRN1449"/>
      <c r="KRO1449"/>
      <c r="KRP1449"/>
      <c r="KRQ1449"/>
      <c r="KRR1449"/>
      <c r="KRS1449"/>
      <c r="KRT1449"/>
      <c r="KRU1449"/>
      <c r="KRV1449"/>
      <c r="KRW1449"/>
      <c r="KRX1449"/>
      <c r="KRY1449"/>
      <c r="KRZ1449"/>
      <c r="KSA1449"/>
      <c r="KSB1449"/>
      <c r="KSC1449"/>
      <c r="KSD1449"/>
      <c r="KSE1449"/>
      <c r="KSF1449"/>
      <c r="KSG1449"/>
      <c r="KSH1449"/>
      <c r="KSI1449"/>
      <c r="KSJ1449"/>
      <c r="KSK1449"/>
      <c r="KSL1449"/>
      <c r="KSM1449"/>
      <c r="KSN1449"/>
      <c r="KSO1449"/>
      <c r="KSP1449"/>
      <c r="KSQ1449"/>
      <c r="KSR1449"/>
      <c r="KSS1449"/>
      <c r="KST1449"/>
      <c r="KSU1449"/>
      <c r="KSV1449"/>
      <c r="KSW1449"/>
      <c r="KSX1449"/>
      <c r="KSY1449"/>
      <c r="KSZ1449"/>
      <c r="KTA1449"/>
      <c r="KTB1449"/>
      <c r="KTC1449"/>
      <c r="KTD1449"/>
      <c r="KTE1449"/>
      <c r="KTF1449"/>
      <c r="KTG1449"/>
      <c r="KTH1449"/>
      <c r="KTI1449"/>
      <c r="KTJ1449"/>
      <c r="KTK1449"/>
      <c r="KTL1449"/>
      <c r="KTM1449"/>
      <c r="KTN1449"/>
      <c r="KTO1449"/>
      <c r="KTP1449"/>
      <c r="KTQ1449"/>
      <c r="KTR1449"/>
      <c r="KTS1449"/>
      <c r="KTT1449"/>
      <c r="KTU1449"/>
      <c r="KTV1449"/>
      <c r="KTW1449"/>
      <c r="KTX1449"/>
      <c r="KTY1449"/>
      <c r="KTZ1449"/>
      <c r="KUA1449"/>
      <c r="KUB1449"/>
      <c r="KUC1449"/>
      <c r="KUD1449"/>
      <c r="KUE1449"/>
      <c r="KUF1449"/>
      <c r="KUG1449"/>
      <c r="KUH1449"/>
      <c r="KUI1449"/>
      <c r="KUJ1449"/>
      <c r="KUK1449"/>
      <c r="KUL1449"/>
      <c r="KUM1449"/>
      <c r="KUN1449"/>
      <c r="KUO1449"/>
      <c r="KUP1449"/>
      <c r="KUQ1449"/>
      <c r="KUR1449"/>
      <c r="KUS1449"/>
      <c r="KUT1449"/>
      <c r="KUU1449"/>
      <c r="KUV1449"/>
      <c r="KUW1449"/>
      <c r="KUX1449"/>
      <c r="KUY1449"/>
      <c r="KUZ1449"/>
      <c r="KVA1449"/>
      <c r="KVB1449"/>
      <c r="KVC1449"/>
      <c r="KVD1449"/>
      <c r="KVE1449"/>
      <c r="KVF1449"/>
      <c r="KVG1449"/>
      <c r="KVH1449"/>
      <c r="KVI1449"/>
      <c r="KVJ1449"/>
      <c r="KVK1449"/>
      <c r="KVL1449"/>
      <c r="KVM1449"/>
      <c r="KVN1449"/>
      <c r="KVO1449"/>
      <c r="KVP1449"/>
      <c r="KVQ1449"/>
      <c r="KVR1449"/>
      <c r="KVS1449"/>
      <c r="KVT1449"/>
      <c r="KVU1449"/>
      <c r="KVV1449"/>
      <c r="KVW1449"/>
      <c r="KVX1449"/>
      <c r="KVY1449"/>
      <c r="KVZ1449"/>
      <c r="KWA1449"/>
      <c r="KWB1449"/>
      <c r="KWC1449"/>
      <c r="KWD1449"/>
      <c r="KWE1449"/>
      <c r="KWF1449"/>
      <c r="KWG1449"/>
      <c r="KWH1449"/>
      <c r="KWI1449"/>
      <c r="KWJ1449"/>
      <c r="KWK1449"/>
      <c r="KWL1449"/>
      <c r="KWM1449"/>
      <c r="KWN1449"/>
      <c r="KWO1449"/>
      <c r="KWP1449"/>
      <c r="KWQ1449"/>
      <c r="KWR1449"/>
      <c r="KWS1449"/>
      <c r="KWT1449"/>
      <c r="KWU1449"/>
      <c r="KWV1449"/>
      <c r="KWW1449"/>
      <c r="KWX1449"/>
      <c r="KWY1449"/>
      <c r="KWZ1449"/>
      <c r="KXA1449"/>
      <c r="KXB1449"/>
      <c r="KXC1449"/>
      <c r="KXD1449"/>
      <c r="KXE1449"/>
      <c r="KXF1449"/>
      <c r="KXG1449"/>
      <c r="KXH1449"/>
      <c r="KXI1449"/>
      <c r="KXJ1449"/>
      <c r="KXK1449"/>
      <c r="KXL1449"/>
      <c r="KXM1449"/>
      <c r="KXN1449"/>
      <c r="KXO1449"/>
      <c r="KXP1449"/>
      <c r="KXQ1449"/>
      <c r="KXR1449"/>
      <c r="KXS1449"/>
      <c r="KXT1449"/>
      <c r="KXU1449"/>
      <c r="KXV1449"/>
      <c r="KXW1449"/>
      <c r="KXX1449"/>
      <c r="KXY1449"/>
      <c r="KXZ1449"/>
      <c r="KYA1449"/>
      <c r="KYB1449"/>
      <c r="KYC1449"/>
      <c r="KYD1449"/>
      <c r="KYE1449"/>
      <c r="KYF1449"/>
      <c r="KYG1449"/>
      <c r="KYH1449"/>
      <c r="KYI1449"/>
      <c r="KYJ1449"/>
      <c r="KYK1449"/>
      <c r="KYL1449"/>
      <c r="KYM1449"/>
      <c r="KYN1449"/>
      <c r="KYO1449"/>
      <c r="KYP1449"/>
      <c r="KYQ1449"/>
      <c r="KYR1449"/>
      <c r="KYS1449"/>
      <c r="KYT1449"/>
      <c r="KYU1449"/>
      <c r="KYV1449"/>
      <c r="KYW1449"/>
      <c r="KYX1449"/>
      <c r="KYY1449"/>
      <c r="KYZ1449"/>
      <c r="KZA1449"/>
      <c r="KZB1449"/>
      <c r="KZC1449"/>
      <c r="KZD1449"/>
      <c r="KZE1449"/>
      <c r="KZF1449"/>
      <c r="KZG1449"/>
      <c r="KZH1449"/>
      <c r="KZI1449"/>
      <c r="KZJ1449"/>
      <c r="KZK1449"/>
      <c r="KZL1449"/>
      <c r="KZM1449"/>
      <c r="KZN1449"/>
      <c r="KZO1449"/>
      <c r="KZP1449"/>
      <c r="KZQ1449"/>
      <c r="KZR1449"/>
      <c r="KZS1449"/>
      <c r="KZT1449"/>
      <c r="KZU1449"/>
      <c r="KZV1449"/>
      <c r="KZW1449"/>
      <c r="KZX1449"/>
      <c r="KZY1449"/>
      <c r="KZZ1449"/>
      <c r="LAA1449"/>
      <c r="LAB1449"/>
      <c r="LAC1449"/>
      <c r="LAD1449"/>
      <c r="LAE1449"/>
      <c r="LAF1449"/>
      <c r="LAG1449"/>
      <c r="LAH1449"/>
      <c r="LAI1449"/>
      <c r="LAJ1449"/>
      <c r="LAK1449"/>
      <c r="LAL1449"/>
      <c r="LAM1449"/>
      <c r="LAN1449"/>
      <c r="LAO1449"/>
      <c r="LAP1449"/>
      <c r="LAQ1449"/>
      <c r="LAR1449"/>
      <c r="LAS1449"/>
      <c r="LAT1449"/>
      <c r="LAU1449"/>
      <c r="LAV1449"/>
      <c r="LAW1449"/>
      <c r="LAX1449"/>
      <c r="LAY1449"/>
      <c r="LAZ1449"/>
      <c r="LBA1449"/>
      <c r="LBB1449"/>
      <c r="LBC1449"/>
      <c r="LBD1449"/>
      <c r="LBE1449"/>
      <c r="LBF1449"/>
      <c r="LBG1449"/>
      <c r="LBH1449"/>
      <c r="LBI1449"/>
      <c r="LBJ1449"/>
      <c r="LBK1449"/>
      <c r="LBL1449"/>
      <c r="LBM1449"/>
      <c r="LBN1449"/>
      <c r="LBO1449"/>
      <c r="LBP1449"/>
      <c r="LBQ1449"/>
      <c r="LBR1449"/>
      <c r="LBS1449"/>
      <c r="LBT1449"/>
      <c r="LBU1449"/>
      <c r="LBV1449"/>
      <c r="LBW1449"/>
      <c r="LBX1449"/>
      <c r="LBY1449"/>
      <c r="LBZ1449"/>
      <c r="LCA1449"/>
      <c r="LCB1449"/>
      <c r="LCC1449"/>
      <c r="LCD1449"/>
      <c r="LCE1449"/>
      <c r="LCF1449"/>
      <c r="LCG1449"/>
      <c r="LCH1449"/>
      <c r="LCI1449"/>
      <c r="LCJ1449"/>
      <c r="LCK1449"/>
      <c r="LCL1449"/>
      <c r="LCM1449"/>
      <c r="LCN1449"/>
      <c r="LCO1449"/>
      <c r="LCP1449"/>
      <c r="LCQ1449"/>
      <c r="LCR1449"/>
      <c r="LCS1449"/>
      <c r="LCT1449"/>
      <c r="LCU1449"/>
      <c r="LCV1449"/>
      <c r="LCW1449"/>
      <c r="LCX1449"/>
      <c r="LCY1449"/>
      <c r="LCZ1449"/>
      <c r="LDA1449"/>
      <c r="LDB1449"/>
      <c r="LDC1449"/>
      <c r="LDD1449"/>
      <c r="LDE1449"/>
      <c r="LDF1449"/>
      <c r="LDG1449"/>
      <c r="LDH1449"/>
      <c r="LDI1449"/>
      <c r="LDJ1449"/>
      <c r="LDK1449"/>
      <c r="LDL1449"/>
      <c r="LDM1449"/>
      <c r="LDN1449"/>
      <c r="LDO1449"/>
      <c r="LDP1449"/>
      <c r="LDQ1449"/>
      <c r="LDR1449"/>
      <c r="LDS1449"/>
      <c r="LDT1449"/>
      <c r="LDU1449"/>
      <c r="LDV1449"/>
      <c r="LDW1449"/>
      <c r="LDX1449"/>
      <c r="LDY1449"/>
      <c r="LDZ1449"/>
      <c r="LEA1449"/>
      <c r="LEB1449"/>
      <c r="LEC1449"/>
      <c r="LED1449"/>
      <c r="LEE1449"/>
      <c r="LEF1449"/>
      <c r="LEG1449"/>
      <c r="LEH1449"/>
      <c r="LEI1449"/>
      <c r="LEJ1449"/>
      <c r="LEK1449"/>
      <c r="LEL1449"/>
      <c r="LEM1449"/>
      <c r="LEN1449"/>
      <c r="LEO1449"/>
      <c r="LEP1449"/>
      <c r="LEQ1449"/>
      <c r="LER1449"/>
      <c r="LES1449"/>
      <c r="LET1449"/>
      <c r="LEU1449"/>
      <c r="LEV1449"/>
      <c r="LEW1449"/>
      <c r="LEX1449"/>
      <c r="LEY1449"/>
      <c r="LEZ1449"/>
      <c r="LFA1449"/>
      <c r="LFB1449"/>
      <c r="LFC1449"/>
      <c r="LFD1449"/>
      <c r="LFE1449"/>
      <c r="LFF1449"/>
      <c r="LFG1449"/>
      <c r="LFH1449"/>
      <c r="LFI1449"/>
      <c r="LFJ1449"/>
      <c r="LFK1449"/>
      <c r="LFL1449"/>
      <c r="LFM1449"/>
      <c r="LFN1449"/>
      <c r="LFO1449"/>
      <c r="LFP1449"/>
      <c r="LFQ1449"/>
      <c r="LFR1449"/>
      <c r="LFS1449"/>
      <c r="LFT1449"/>
      <c r="LFU1449"/>
      <c r="LFV1449"/>
      <c r="LFW1449"/>
      <c r="LFX1449"/>
      <c r="LFY1449"/>
      <c r="LFZ1449"/>
      <c r="LGA1449"/>
      <c r="LGB1449"/>
      <c r="LGC1449"/>
      <c r="LGD1449"/>
      <c r="LGE1449"/>
      <c r="LGF1449"/>
      <c r="LGG1449"/>
      <c r="LGH1449"/>
      <c r="LGI1449"/>
      <c r="LGJ1449"/>
      <c r="LGK1449"/>
      <c r="LGL1449"/>
      <c r="LGM1449"/>
      <c r="LGN1449"/>
      <c r="LGO1449"/>
      <c r="LGP1449"/>
      <c r="LGQ1449"/>
      <c r="LGR1449"/>
      <c r="LGS1449"/>
      <c r="LGT1449"/>
      <c r="LGU1449"/>
      <c r="LGV1449"/>
      <c r="LGW1449"/>
      <c r="LGX1449"/>
      <c r="LGY1449"/>
      <c r="LGZ1449"/>
      <c r="LHA1449"/>
      <c r="LHB1449"/>
      <c r="LHC1449"/>
      <c r="LHD1449"/>
      <c r="LHE1449"/>
      <c r="LHF1449"/>
      <c r="LHG1449"/>
      <c r="LHH1449"/>
      <c r="LHI1449"/>
      <c r="LHJ1449"/>
      <c r="LHK1449"/>
      <c r="LHL1449"/>
      <c r="LHM1449"/>
      <c r="LHN1449"/>
      <c r="LHO1449"/>
      <c r="LHP1449"/>
      <c r="LHQ1449"/>
      <c r="LHR1449"/>
      <c r="LHS1449"/>
      <c r="LHT1449"/>
      <c r="LHU1449"/>
      <c r="LHV1449"/>
      <c r="LHW1449"/>
      <c r="LHX1449"/>
      <c r="LHY1449"/>
      <c r="LHZ1449"/>
      <c r="LIA1449"/>
      <c r="LIB1449"/>
      <c r="LIC1449"/>
      <c r="LID1449"/>
      <c r="LIE1449"/>
      <c r="LIF1449"/>
      <c r="LIG1449"/>
      <c r="LIH1449"/>
      <c r="LII1449"/>
      <c r="LIJ1449"/>
      <c r="LIK1449"/>
      <c r="LIL1449"/>
      <c r="LIM1449"/>
      <c r="LIN1449"/>
      <c r="LIO1449"/>
      <c r="LIP1449"/>
      <c r="LIQ1449"/>
      <c r="LIR1449"/>
      <c r="LIS1449"/>
      <c r="LIT1449"/>
      <c r="LIU1449"/>
      <c r="LIV1449"/>
      <c r="LIW1449"/>
      <c r="LIX1449"/>
      <c r="LIY1449"/>
      <c r="LIZ1449"/>
      <c r="LJA1449"/>
      <c r="LJB1449"/>
      <c r="LJC1449"/>
      <c r="LJD1449"/>
      <c r="LJE1449"/>
      <c r="LJF1449"/>
      <c r="LJG1449"/>
      <c r="LJH1449"/>
      <c r="LJI1449"/>
      <c r="LJJ1449"/>
      <c r="LJK1449"/>
      <c r="LJL1449"/>
      <c r="LJM1449"/>
      <c r="LJN1449"/>
      <c r="LJO1449"/>
      <c r="LJP1449"/>
      <c r="LJQ1449"/>
      <c r="LJR1449"/>
      <c r="LJS1449"/>
      <c r="LJT1449"/>
      <c r="LJU1449"/>
      <c r="LJV1449"/>
      <c r="LJW1449"/>
      <c r="LJX1449"/>
      <c r="LJY1449"/>
      <c r="LJZ1449"/>
      <c r="LKA1449"/>
      <c r="LKB1449"/>
      <c r="LKC1449"/>
      <c r="LKD1449"/>
      <c r="LKE1449"/>
      <c r="LKF1449"/>
      <c r="LKG1449"/>
      <c r="LKH1449"/>
      <c r="LKI1449"/>
      <c r="LKJ1449"/>
      <c r="LKK1449"/>
      <c r="LKL1449"/>
      <c r="LKM1449"/>
      <c r="LKN1449"/>
      <c r="LKO1449"/>
      <c r="LKP1449"/>
      <c r="LKQ1449"/>
      <c r="LKR1449"/>
      <c r="LKS1449"/>
      <c r="LKT1449"/>
      <c r="LKU1449"/>
      <c r="LKV1449"/>
      <c r="LKW1449"/>
      <c r="LKX1449"/>
      <c r="LKY1449"/>
      <c r="LKZ1449"/>
      <c r="LLA1449"/>
      <c r="LLB1449"/>
      <c r="LLC1449"/>
      <c r="LLD1449"/>
      <c r="LLE1449"/>
      <c r="LLF1449"/>
      <c r="LLG1449"/>
      <c r="LLH1449"/>
      <c r="LLI1449"/>
      <c r="LLJ1449"/>
      <c r="LLK1449"/>
      <c r="LLL1449"/>
      <c r="LLM1449"/>
      <c r="LLN1449"/>
      <c r="LLO1449"/>
      <c r="LLP1449"/>
      <c r="LLQ1449"/>
      <c r="LLR1449"/>
      <c r="LLS1449"/>
      <c r="LLT1449"/>
      <c r="LLU1449"/>
      <c r="LLV1449"/>
      <c r="LLW1449"/>
      <c r="LLX1449"/>
      <c r="LLY1449"/>
      <c r="LLZ1449"/>
      <c r="LMA1449"/>
      <c r="LMB1449"/>
      <c r="LMC1449"/>
      <c r="LMD1449"/>
      <c r="LME1449"/>
      <c r="LMF1449"/>
      <c r="LMG1449"/>
      <c r="LMH1449"/>
      <c r="LMI1449"/>
      <c r="LMJ1449"/>
      <c r="LMK1449"/>
      <c r="LML1449"/>
      <c r="LMM1449"/>
      <c r="LMN1449"/>
      <c r="LMO1449"/>
      <c r="LMP1449"/>
      <c r="LMQ1449"/>
      <c r="LMR1449"/>
      <c r="LMS1449"/>
      <c r="LMT1449"/>
      <c r="LMU1449"/>
      <c r="LMV1449"/>
      <c r="LMW1449"/>
      <c r="LMX1449"/>
      <c r="LMY1449"/>
      <c r="LMZ1449"/>
      <c r="LNA1449"/>
      <c r="LNB1449"/>
      <c r="LNC1449"/>
      <c r="LND1449"/>
      <c r="LNE1449"/>
      <c r="LNF1449"/>
      <c r="LNG1449"/>
      <c r="LNH1449"/>
      <c r="LNI1449"/>
      <c r="LNJ1449"/>
      <c r="LNK1449"/>
      <c r="LNL1449"/>
      <c r="LNM1449"/>
      <c r="LNN1449"/>
      <c r="LNO1449"/>
      <c r="LNP1449"/>
      <c r="LNQ1449"/>
      <c r="LNR1449"/>
      <c r="LNS1449"/>
      <c r="LNT1449"/>
      <c r="LNU1449"/>
      <c r="LNV1449"/>
      <c r="LNW1449"/>
      <c r="LNX1449"/>
      <c r="LNY1449"/>
      <c r="LNZ1449"/>
      <c r="LOA1449"/>
      <c r="LOB1449"/>
      <c r="LOC1449"/>
      <c r="LOD1449"/>
      <c r="LOE1449"/>
      <c r="LOF1449"/>
      <c r="LOG1449"/>
      <c r="LOH1449"/>
      <c r="LOI1449"/>
      <c r="LOJ1449"/>
      <c r="LOK1449"/>
      <c r="LOL1449"/>
      <c r="LOM1449"/>
      <c r="LON1449"/>
      <c r="LOO1449"/>
      <c r="LOP1449"/>
      <c r="LOQ1449"/>
      <c r="LOR1449"/>
      <c r="LOS1449"/>
      <c r="LOT1449"/>
      <c r="LOU1449"/>
      <c r="LOV1449"/>
      <c r="LOW1449"/>
      <c r="LOX1449"/>
      <c r="LOY1449"/>
      <c r="LOZ1449"/>
      <c r="LPA1449"/>
      <c r="LPB1449"/>
      <c r="LPC1449"/>
      <c r="LPD1449"/>
      <c r="LPE1449"/>
      <c r="LPF1449"/>
      <c r="LPG1449"/>
      <c r="LPH1449"/>
      <c r="LPI1449"/>
      <c r="LPJ1449"/>
      <c r="LPK1449"/>
      <c r="LPL1449"/>
      <c r="LPM1449"/>
      <c r="LPN1449"/>
      <c r="LPO1449"/>
      <c r="LPP1449"/>
      <c r="LPQ1449"/>
      <c r="LPR1449"/>
      <c r="LPS1449"/>
      <c r="LPT1449"/>
      <c r="LPU1449"/>
      <c r="LPV1449"/>
      <c r="LPW1449"/>
      <c r="LPX1449"/>
      <c r="LPY1449"/>
      <c r="LPZ1449"/>
      <c r="LQA1449"/>
      <c r="LQB1449"/>
      <c r="LQC1449"/>
      <c r="LQD1449"/>
      <c r="LQE1449"/>
      <c r="LQF1449"/>
      <c r="LQG1449"/>
      <c r="LQH1449"/>
      <c r="LQI1449"/>
      <c r="LQJ1449"/>
      <c r="LQK1449"/>
      <c r="LQL1449"/>
      <c r="LQM1449"/>
      <c r="LQN1449"/>
      <c r="LQO1449"/>
      <c r="LQP1449"/>
      <c r="LQQ1449"/>
      <c r="LQR1449"/>
      <c r="LQS1449"/>
      <c r="LQT1449"/>
      <c r="LQU1449"/>
      <c r="LQV1449"/>
      <c r="LQW1449"/>
      <c r="LQX1449"/>
      <c r="LQY1449"/>
      <c r="LQZ1449"/>
      <c r="LRA1449"/>
      <c r="LRB1449"/>
      <c r="LRC1449"/>
      <c r="LRD1449"/>
      <c r="LRE1449"/>
      <c r="LRF1449"/>
      <c r="LRG1449"/>
      <c r="LRH1449"/>
      <c r="LRI1449"/>
      <c r="LRJ1449"/>
      <c r="LRK1449"/>
      <c r="LRL1449"/>
      <c r="LRM1449"/>
      <c r="LRN1449"/>
      <c r="LRO1449"/>
      <c r="LRP1449"/>
      <c r="LRQ1449"/>
      <c r="LRR1449"/>
      <c r="LRS1449"/>
      <c r="LRT1449"/>
      <c r="LRU1449"/>
      <c r="LRV1449"/>
      <c r="LRW1449"/>
      <c r="LRX1449"/>
      <c r="LRY1449"/>
      <c r="LRZ1449"/>
      <c r="LSA1449"/>
      <c r="LSB1449"/>
      <c r="LSC1449"/>
      <c r="LSD1449"/>
      <c r="LSE1449"/>
      <c r="LSF1449"/>
      <c r="LSG1449"/>
      <c r="LSH1449"/>
      <c r="LSI1449"/>
      <c r="LSJ1449"/>
      <c r="LSK1449"/>
      <c r="LSL1449"/>
      <c r="LSM1449"/>
      <c r="LSN1449"/>
      <c r="LSO1449"/>
      <c r="LSP1449"/>
      <c r="LSQ1449"/>
      <c r="LSR1449"/>
      <c r="LSS1449"/>
      <c r="LST1449"/>
      <c r="LSU1449"/>
      <c r="LSV1449"/>
      <c r="LSW1449"/>
      <c r="LSX1449"/>
      <c r="LSY1449"/>
      <c r="LSZ1449"/>
      <c r="LTA1449"/>
      <c r="LTB1449"/>
      <c r="LTC1449"/>
      <c r="LTD1449"/>
      <c r="LTE1449"/>
      <c r="LTF1449"/>
      <c r="LTG1449"/>
      <c r="LTH1449"/>
      <c r="LTI1449"/>
      <c r="LTJ1449"/>
      <c r="LTK1449"/>
      <c r="LTL1449"/>
      <c r="LTM1449"/>
      <c r="LTN1449"/>
      <c r="LTO1449"/>
      <c r="LTP1449"/>
      <c r="LTQ1449"/>
      <c r="LTR1449"/>
      <c r="LTS1449"/>
      <c r="LTT1449"/>
      <c r="LTU1449"/>
      <c r="LTV1449"/>
      <c r="LTW1449"/>
      <c r="LTX1449"/>
      <c r="LTY1449"/>
      <c r="LTZ1449"/>
      <c r="LUA1449"/>
      <c r="LUB1449"/>
      <c r="LUC1449"/>
      <c r="LUD1449"/>
      <c r="LUE1449"/>
      <c r="LUF1449"/>
      <c r="LUG1449"/>
      <c r="LUH1449"/>
      <c r="LUI1449"/>
      <c r="LUJ1449"/>
      <c r="LUK1449"/>
      <c r="LUL1449"/>
      <c r="LUM1449"/>
      <c r="LUN1449"/>
      <c r="LUO1449"/>
      <c r="LUP1449"/>
      <c r="LUQ1449"/>
      <c r="LUR1449"/>
      <c r="LUS1449"/>
      <c r="LUT1449"/>
      <c r="LUU1449"/>
      <c r="LUV1449"/>
      <c r="LUW1449"/>
      <c r="LUX1449"/>
      <c r="LUY1449"/>
      <c r="LUZ1449"/>
      <c r="LVA1449"/>
      <c r="LVB1449"/>
      <c r="LVC1449"/>
      <c r="LVD1449"/>
      <c r="LVE1449"/>
      <c r="LVF1449"/>
      <c r="LVG1449"/>
      <c r="LVH1449"/>
      <c r="LVI1449"/>
      <c r="LVJ1449"/>
      <c r="LVK1449"/>
      <c r="LVL1449"/>
      <c r="LVM1449"/>
      <c r="LVN1449"/>
      <c r="LVO1449"/>
      <c r="LVP1449"/>
      <c r="LVQ1449"/>
      <c r="LVR1449"/>
      <c r="LVS1449"/>
      <c r="LVT1449"/>
      <c r="LVU1449"/>
      <c r="LVV1449"/>
      <c r="LVW1449"/>
      <c r="LVX1449"/>
      <c r="LVY1449"/>
      <c r="LVZ1449"/>
      <c r="LWA1449"/>
      <c r="LWB1449"/>
      <c r="LWC1449"/>
      <c r="LWD1449"/>
      <c r="LWE1449"/>
      <c r="LWF1449"/>
      <c r="LWG1449"/>
      <c r="LWH1449"/>
      <c r="LWI1449"/>
      <c r="LWJ1449"/>
      <c r="LWK1449"/>
      <c r="LWL1449"/>
      <c r="LWM1449"/>
      <c r="LWN1449"/>
      <c r="LWO1449"/>
      <c r="LWP1449"/>
      <c r="LWQ1449"/>
      <c r="LWR1449"/>
      <c r="LWS1449"/>
      <c r="LWT1449"/>
      <c r="LWU1449"/>
      <c r="LWV1449"/>
      <c r="LWW1449"/>
      <c r="LWX1449"/>
      <c r="LWY1449"/>
      <c r="LWZ1449"/>
      <c r="LXA1449"/>
      <c r="LXB1449"/>
      <c r="LXC1449"/>
      <c r="LXD1449"/>
      <c r="LXE1449"/>
      <c r="LXF1449"/>
      <c r="LXG1449"/>
      <c r="LXH1449"/>
      <c r="LXI1449"/>
      <c r="LXJ1449"/>
      <c r="LXK1449"/>
      <c r="LXL1449"/>
      <c r="LXM1449"/>
      <c r="LXN1449"/>
      <c r="LXO1449"/>
      <c r="LXP1449"/>
      <c r="LXQ1449"/>
      <c r="LXR1449"/>
      <c r="LXS1449"/>
      <c r="LXT1449"/>
      <c r="LXU1449"/>
      <c r="LXV1449"/>
      <c r="LXW1449"/>
      <c r="LXX1449"/>
      <c r="LXY1449"/>
      <c r="LXZ1449"/>
      <c r="LYA1449"/>
      <c r="LYB1449"/>
      <c r="LYC1449"/>
      <c r="LYD1449"/>
      <c r="LYE1449"/>
      <c r="LYF1449"/>
      <c r="LYG1449"/>
      <c r="LYH1449"/>
      <c r="LYI1449"/>
      <c r="LYJ1449"/>
      <c r="LYK1449"/>
      <c r="LYL1449"/>
      <c r="LYM1449"/>
      <c r="LYN1449"/>
      <c r="LYO1449"/>
      <c r="LYP1449"/>
      <c r="LYQ1449"/>
      <c r="LYR1449"/>
      <c r="LYS1449"/>
      <c r="LYT1449"/>
      <c r="LYU1449"/>
      <c r="LYV1449"/>
      <c r="LYW1449"/>
      <c r="LYX1449"/>
      <c r="LYY1449"/>
      <c r="LYZ1449"/>
      <c r="LZA1449"/>
      <c r="LZB1449"/>
      <c r="LZC1449"/>
      <c r="LZD1449"/>
      <c r="LZE1449"/>
      <c r="LZF1449"/>
      <c r="LZG1449"/>
      <c r="LZH1449"/>
      <c r="LZI1449"/>
      <c r="LZJ1449"/>
      <c r="LZK1449"/>
      <c r="LZL1449"/>
      <c r="LZM1449"/>
      <c r="LZN1449"/>
      <c r="LZO1449"/>
      <c r="LZP1449"/>
      <c r="LZQ1449"/>
      <c r="LZR1449"/>
      <c r="LZS1449"/>
      <c r="LZT1449"/>
      <c r="LZU1449"/>
      <c r="LZV1449"/>
      <c r="LZW1449"/>
      <c r="LZX1449"/>
      <c r="LZY1449"/>
      <c r="LZZ1449"/>
      <c r="MAA1449"/>
      <c r="MAB1449"/>
      <c r="MAC1449"/>
      <c r="MAD1449"/>
      <c r="MAE1449"/>
      <c r="MAF1449"/>
      <c r="MAG1449"/>
      <c r="MAH1449"/>
      <c r="MAI1449"/>
      <c r="MAJ1449"/>
      <c r="MAK1449"/>
      <c r="MAL1449"/>
      <c r="MAM1449"/>
      <c r="MAN1449"/>
      <c r="MAO1449"/>
      <c r="MAP1449"/>
      <c r="MAQ1449"/>
      <c r="MAR1449"/>
      <c r="MAS1449"/>
      <c r="MAT1449"/>
      <c r="MAU1449"/>
      <c r="MAV1449"/>
      <c r="MAW1449"/>
      <c r="MAX1449"/>
      <c r="MAY1449"/>
      <c r="MAZ1449"/>
      <c r="MBA1449"/>
      <c r="MBB1449"/>
      <c r="MBC1449"/>
      <c r="MBD1449"/>
      <c r="MBE1449"/>
      <c r="MBF1449"/>
      <c r="MBG1449"/>
      <c r="MBH1449"/>
      <c r="MBI1449"/>
      <c r="MBJ1449"/>
      <c r="MBK1449"/>
      <c r="MBL1449"/>
      <c r="MBM1449"/>
      <c r="MBN1449"/>
      <c r="MBO1449"/>
      <c r="MBP1449"/>
      <c r="MBQ1449"/>
      <c r="MBR1449"/>
      <c r="MBS1449"/>
      <c r="MBT1449"/>
      <c r="MBU1449"/>
      <c r="MBV1449"/>
      <c r="MBW1449"/>
      <c r="MBX1449"/>
      <c r="MBY1449"/>
      <c r="MBZ1449"/>
      <c r="MCA1449"/>
      <c r="MCB1449"/>
      <c r="MCC1449"/>
      <c r="MCD1449"/>
      <c r="MCE1449"/>
      <c r="MCF1449"/>
      <c r="MCG1449"/>
      <c r="MCH1449"/>
      <c r="MCI1449"/>
      <c r="MCJ1449"/>
      <c r="MCK1449"/>
      <c r="MCL1449"/>
      <c r="MCM1449"/>
      <c r="MCN1449"/>
      <c r="MCO1449"/>
      <c r="MCP1449"/>
      <c r="MCQ1449"/>
      <c r="MCR1449"/>
      <c r="MCS1449"/>
      <c r="MCT1449"/>
      <c r="MCU1449"/>
      <c r="MCV1449"/>
      <c r="MCW1449"/>
      <c r="MCX1449"/>
      <c r="MCY1449"/>
      <c r="MCZ1449"/>
      <c r="MDA1449"/>
      <c r="MDB1449"/>
      <c r="MDC1449"/>
      <c r="MDD1449"/>
      <c r="MDE1449"/>
      <c r="MDF1449"/>
      <c r="MDG1449"/>
      <c r="MDH1449"/>
      <c r="MDI1449"/>
      <c r="MDJ1449"/>
      <c r="MDK1449"/>
      <c r="MDL1449"/>
      <c r="MDM1449"/>
      <c r="MDN1449"/>
      <c r="MDO1449"/>
      <c r="MDP1449"/>
      <c r="MDQ1449"/>
      <c r="MDR1449"/>
      <c r="MDS1449"/>
      <c r="MDT1449"/>
      <c r="MDU1449"/>
      <c r="MDV1449"/>
      <c r="MDW1449"/>
      <c r="MDX1449"/>
      <c r="MDY1449"/>
      <c r="MDZ1449"/>
      <c r="MEA1449"/>
      <c r="MEB1449"/>
      <c r="MEC1449"/>
      <c r="MED1449"/>
      <c r="MEE1449"/>
      <c r="MEF1449"/>
      <c r="MEG1449"/>
      <c r="MEH1449"/>
      <c r="MEI1449"/>
      <c r="MEJ1449"/>
      <c r="MEK1449"/>
      <c r="MEL1449"/>
      <c r="MEM1449"/>
      <c r="MEN1449"/>
      <c r="MEO1449"/>
      <c r="MEP1449"/>
      <c r="MEQ1449"/>
      <c r="MER1449"/>
      <c r="MES1449"/>
      <c r="MET1449"/>
      <c r="MEU1449"/>
      <c r="MEV1449"/>
      <c r="MEW1449"/>
      <c r="MEX1449"/>
      <c r="MEY1449"/>
      <c r="MEZ1449"/>
      <c r="MFA1449"/>
      <c r="MFB1449"/>
      <c r="MFC1449"/>
      <c r="MFD1449"/>
      <c r="MFE1449"/>
      <c r="MFF1449"/>
      <c r="MFG1449"/>
      <c r="MFH1449"/>
      <c r="MFI1449"/>
      <c r="MFJ1449"/>
      <c r="MFK1449"/>
      <c r="MFL1449"/>
      <c r="MFM1449"/>
      <c r="MFN1449"/>
      <c r="MFO1449"/>
      <c r="MFP1449"/>
      <c r="MFQ1449"/>
      <c r="MFR1449"/>
      <c r="MFS1449"/>
      <c r="MFT1449"/>
      <c r="MFU1449"/>
      <c r="MFV1449"/>
      <c r="MFW1449"/>
      <c r="MFX1449"/>
      <c r="MFY1449"/>
      <c r="MFZ1449"/>
      <c r="MGA1449"/>
      <c r="MGB1449"/>
      <c r="MGC1449"/>
      <c r="MGD1449"/>
      <c r="MGE1449"/>
      <c r="MGF1449"/>
      <c r="MGG1449"/>
      <c r="MGH1449"/>
      <c r="MGI1449"/>
      <c r="MGJ1449"/>
      <c r="MGK1449"/>
      <c r="MGL1449"/>
      <c r="MGM1449"/>
      <c r="MGN1449"/>
      <c r="MGO1449"/>
      <c r="MGP1449"/>
      <c r="MGQ1449"/>
      <c r="MGR1449"/>
      <c r="MGS1449"/>
      <c r="MGT1449"/>
      <c r="MGU1449"/>
      <c r="MGV1449"/>
      <c r="MGW1449"/>
      <c r="MGX1449"/>
      <c r="MGY1449"/>
      <c r="MGZ1449"/>
      <c r="MHA1449"/>
      <c r="MHB1449"/>
      <c r="MHC1449"/>
      <c r="MHD1449"/>
      <c r="MHE1449"/>
      <c r="MHF1449"/>
      <c r="MHG1449"/>
      <c r="MHH1449"/>
      <c r="MHI1449"/>
      <c r="MHJ1449"/>
      <c r="MHK1449"/>
      <c r="MHL1449"/>
      <c r="MHM1449"/>
      <c r="MHN1449"/>
      <c r="MHO1449"/>
      <c r="MHP1449"/>
      <c r="MHQ1449"/>
      <c r="MHR1449"/>
      <c r="MHS1449"/>
      <c r="MHT1449"/>
      <c r="MHU1449"/>
      <c r="MHV1449"/>
      <c r="MHW1449"/>
      <c r="MHX1449"/>
      <c r="MHY1449"/>
      <c r="MHZ1449"/>
      <c r="MIA1449"/>
      <c r="MIB1449"/>
      <c r="MIC1449"/>
      <c r="MID1449"/>
      <c r="MIE1449"/>
      <c r="MIF1449"/>
      <c r="MIG1449"/>
      <c r="MIH1449"/>
      <c r="MII1449"/>
      <c r="MIJ1449"/>
      <c r="MIK1449"/>
      <c r="MIL1449"/>
      <c r="MIM1449"/>
      <c r="MIN1449"/>
      <c r="MIO1449"/>
      <c r="MIP1449"/>
      <c r="MIQ1449"/>
      <c r="MIR1449"/>
      <c r="MIS1449"/>
      <c r="MIT1449"/>
      <c r="MIU1449"/>
      <c r="MIV1449"/>
      <c r="MIW1449"/>
      <c r="MIX1449"/>
      <c r="MIY1449"/>
      <c r="MIZ1449"/>
      <c r="MJA1449"/>
      <c r="MJB1449"/>
      <c r="MJC1449"/>
      <c r="MJD1449"/>
      <c r="MJE1449"/>
      <c r="MJF1449"/>
      <c r="MJG1449"/>
      <c r="MJH1449"/>
      <c r="MJI1449"/>
      <c r="MJJ1449"/>
      <c r="MJK1449"/>
      <c r="MJL1449"/>
      <c r="MJM1449"/>
      <c r="MJN1449"/>
      <c r="MJO1449"/>
      <c r="MJP1449"/>
      <c r="MJQ1449"/>
      <c r="MJR1449"/>
      <c r="MJS1449"/>
      <c r="MJT1449"/>
      <c r="MJU1449"/>
      <c r="MJV1449"/>
      <c r="MJW1449"/>
      <c r="MJX1449"/>
      <c r="MJY1449"/>
      <c r="MJZ1449"/>
      <c r="MKA1449"/>
      <c r="MKB1449"/>
      <c r="MKC1449"/>
      <c r="MKD1449"/>
      <c r="MKE1449"/>
      <c r="MKF1449"/>
      <c r="MKG1449"/>
      <c r="MKH1449"/>
      <c r="MKI1449"/>
      <c r="MKJ1449"/>
      <c r="MKK1449"/>
      <c r="MKL1449"/>
      <c r="MKM1449"/>
      <c r="MKN1449"/>
      <c r="MKO1449"/>
      <c r="MKP1449"/>
      <c r="MKQ1449"/>
      <c r="MKR1449"/>
      <c r="MKS1449"/>
      <c r="MKT1449"/>
      <c r="MKU1449"/>
      <c r="MKV1449"/>
      <c r="MKW1449"/>
      <c r="MKX1449"/>
      <c r="MKY1449"/>
      <c r="MKZ1449"/>
      <c r="MLA1449"/>
      <c r="MLB1449"/>
      <c r="MLC1449"/>
      <c r="MLD1449"/>
      <c r="MLE1449"/>
      <c r="MLF1449"/>
      <c r="MLG1449"/>
      <c r="MLH1449"/>
      <c r="MLI1449"/>
      <c r="MLJ1449"/>
      <c r="MLK1449"/>
      <c r="MLL1449"/>
      <c r="MLM1449"/>
      <c r="MLN1449"/>
      <c r="MLO1449"/>
      <c r="MLP1449"/>
      <c r="MLQ1449"/>
      <c r="MLR1449"/>
      <c r="MLS1449"/>
      <c r="MLT1449"/>
      <c r="MLU1449"/>
      <c r="MLV1449"/>
      <c r="MLW1449"/>
      <c r="MLX1449"/>
      <c r="MLY1449"/>
      <c r="MLZ1449"/>
      <c r="MMA1449"/>
      <c r="MMB1449"/>
      <c r="MMC1449"/>
      <c r="MMD1449"/>
      <c r="MME1449"/>
      <c r="MMF1449"/>
      <c r="MMG1449"/>
      <c r="MMH1449"/>
      <c r="MMI1449"/>
      <c r="MMJ1449"/>
      <c r="MMK1449"/>
      <c r="MML1449"/>
      <c r="MMM1449"/>
      <c r="MMN1449"/>
      <c r="MMO1449"/>
      <c r="MMP1449"/>
      <c r="MMQ1449"/>
      <c r="MMR1449"/>
      <c r="MMS1449"/>
      <c r="MMT1449"/>
      <c r="MMU1449"/>
      <c r="MMV1449"/>
      <c r="MMW1449"/>
      <c r="MMX1449"/>
      <c r="MMY1449"/>
      <c r="MMZ1449"/>
      <c r="MNA1449"/>
      <c r="MNB1449"/>
      <c r="MNC1449"/>
      <c r="MND1449"/>
      <c r="MNE1449"/>
      <c r="MNF1449"/>
      <c r="MNG1449"/>
      <c r="MNH1449"/>
      <c r="MNI1449"/>
      <c r="MNJ1449"/>
      <c r="MNK1449"/>
      <c r="MNL1449"/>
      <c r="MNM1449"/>
      <c r="MNN1449"/>
      <c r="MNO1449"/>
      <c r="MNP1449"/>
      <c r="MNQ1449"/>
      <c r="MNR1449"/>
      <c r="MNS1449"/>
      <c r="MNT1449"/>
      <c r="MNU1449"/>
      <c r="MNV1449"/>
      <c r="MNW1449"/>
      <c r="MNX1449"/>
      <c r="MNY1449"/>
      <c r="MNZ1449"/>
      <c r="MOA1449"/>
      <c r="MOB1449"/>
      <c r="MOC1449"/>
      <c r="MOD1449"/>
      <c r="MOE1449"/>
      <c r="MOF1449"/>
      <c r="MOG1449"/>
      <c r="MOH1449"/>
      <c r="MOI1449"/>
      <c r="MOJ1449"/>
      <c r="MOK1449"/>
      <c r="MOL1449"/>
      <c r="MOM1449"/>
      <c r="MON1449"/>
      <c r="MOO1449"/>
      <c r="MOP1449"/>
      <c r="MOQ1449"/>
      <c r="MOR1449"/>
      <c r="MOS1449"/>
      <c r="MOT1449"/>
      <c r="MOU1449"/>
      <c r="MOV1449"/>
      <c r="MOW1449"/>
      <c r="MOX1449"/>
      <c r="MOY1449"/>
      <c r="MOZ1449"/>
      <c r="MPA1449"/>
      <c r="MPB1449"/>
      <c r="MPC1449"/>
      <c r="MPD1449"/>
      <c r="MPE1449"/>
      <c r="MPF1449"/>
      <c r="MPG1449"/>
      <c r="MPH1449"/>
      <c r="MPI1449"/>
      <c r="MPJ1449"/>
      <c r="MPK1449"/>
      <c r="MPL1449"/>
      <c r="MPM1449"/>
      <c r="MPN1449"/>
      <c r="MPO1449"/>
      <c r="MPP1449"/>
      <c r="MPQ1449"/>
      <c r="MPR1449"/>
      <c r="MPS1449"/>
      <c r="MPT1449"/>
      <c r="MPU1449"/>
      <c r="MPV1449"/>
      <c r="MPW1449"/>
      <c r="MPX1449"/>
      <c r="MPY1449"/>
      <c r="MPZ1449"/>
      <c r="MQA1449"/>
      <c r="MQB1449"/>
      <c r="MQC1449"/>
      <c r="MQD1449"/>
      <c r="MQE1449"/>
      <c r="MQF1449"/>
      <c r="MQG1449"/>
      <c r="MQH1449"/>
      <c r="MQI1449"/>
      <c r="MQJ1449"/>
      <c r="MQK1449"/>
      <c r="MQL1449"/>
      <c r="MQM1449"/>
      <c r="MQN1449"/>
      <c r="MQO1449"/>
      <c r="MQP1449"/>
      <c r="MQQ1449"/>
      <c r="MQR1449"/>
      <c r="MQS1449"/>
      <c r="MQT1449"/>
      <c r="MQU1449"/>
      <c r="MQV1449"/>
      <c r="MQW1449"/>
      <c r="MQX1449"/>
      <c r="MQY1449"/>
      <c r="MQZ1449"/>
      <c r="MRA1449"/>
      <c r="MRB1449"/>
      <c r="MRC1449"/>
      <c r="MRD1449"/>
      <c r="MRE1449"/>
      <c r="MRF1449"/>
      <c r="MRG1449"/>
      <c r="MRH1449"/>
      <c r="MRI1449"/>
      <c r="MRJ1449"/>
      <c r="MRK1449"/>
      <c r="MRL1449"/>
      <c r="MRM1449"/>
      <c r="MRN1449"/>
      <c r="MRO1449"/>
      <c r="MRP1449"/>
      <c r="MRQ1449"/>
      <c r="MRR1449"/>
      <c r="MRS1449"/>
      <c r="MRT1449"/>
      <c r="MRU1449"/>
      <c r="MRV1449"/>
      <c r="MRW1449"/>
      <c r="MRX1449"/>
      <c r="MRY1449"/>
      <c r="MRZ1449"/>
      <c r="MSA1449"/>
      <c r="MSB1449"/>
      <c r="MSC1449"/>
      <c r="MSD1449"/>
      <c r="MSE1449"/>
      <c r="MSF1449"/>
      <c r="MSG1449"/>
      <c r="MSH1449"/>
      <c r="MSI1449"/>
      <c r="MSJ1449"/>
      <c r="MSK1449"/>
      <c r="MSL1449"/>
      <c r="MSM1449"/>
      <c r="MSN1449"/>
      <c r="MSO1449"/>
      <c r="MSP1449"/>
      <c r="MSQ1449"/>
      <c r="MSR1449"/>
      <c r="MSS1449"/>
      <c r="MST1449"/>
      <c r="MSU1449"/>
      <c r="MSV1449"/>
      <c r="MSW1449"/>
      <c r="MSX1449"/>
      <c r="MSY1449"/>
      <c r="MSZ1449"/>
      <c r="MTA1449"/>
      <c r="MTB1449"/>
      <c r="MTC1449"/>
      <c r="MTD1449"/>
      <c r="MTE1449"/>
      <c r="MTF1449"/>
      <c r="MTG1449"/>
      <c r="MTH1449"/>
      <c r="MTI1449"/>
      <c r="MTJ1449"/>
      <c r="MTK1449"/>
      <c r="MTL1449"/>
      <c r="MTM1449"/>
      <c r="MTN1449"/>
      <c r="MTO1449"/>
      <c r="MTP1449"/>
      <c r="MTQ1449"/>
      <c r="MTR1449"/>
      <c r="MTS1449"/>
      <c r="MTT1449"/>
      <c r="MTU1449"/>
      <c r="MTV1449"/>
      <c r="MTW1449"/>
      <c r="MTX1449"/>
      <c r="MTY1449"/>
      <c r="MTZ1449"/>
      <c r="MUA1449"/>
      <c r="MUB1449"/>
      <c r="MUC1449"/>
      <c r="MUD1449"/>
      <c r="MUE1449"/>
      <c r="MUF1449"/>
      <c r="MUG1449"/>
      <c r="MUH1449"/>
      <c r="MUI1449"/>
      <c r="MUJ1449"/>
      <c r="MUK1449"/>
      <c r="MUL1449"/>
      <c r="MUM1449"/>
      <c r="MUN1449"/>
      <c r="MUO1449"/>
      <c r="MUP1449"/>
      <c r="MUQ1449"/>
      <c r="MUR1449"/>
      <c r="MUS1449"/>
      <c r="MUT1449"/>
      <c r="MUU1449"/>
      <c r="MUV1449"/>
      <c r="MUW1449"/>
      <c r="MUX1449"/>
      <c r="MUY1449"/>
      <c r="MUZ1449"/>
      <c r="MVA1449"/>
      <c r="MVB1449"/>
      <c r="MVC1449"/>
      <c r="MVD1449"/>
      <c r="MVE1449"/>
      <c r="MVF1449"/>
      <c r="MVG1449"/>
      <c r="MVH1449"/>
      <c r="MVI1449"/>
      <c r="MVJ1449"/>
      <c r="MVK1449"/>
      <c r="MVL1449"/>
      <c r="MVM1449"/>
      <c r="MVN1449"/>
      <c r="MVO1449"/>
      <c r="MVP1449"/>
      <c r="MVQ1449"/>
      <c r="MVR1449"/>
      <c r="MVS1449"/>
      <c r="MVT1449"/>
      <c r="MVU1449"/>
      <c r="MVV1449"/>
      <c r="MVW1449"/>
      <c r="MVX1449"/>
      <c r="MVY1449"/>
      <c r="MVZ1449"/>
      <c r="MWA1449"/>
      <c r="MWB1449"/>
      <c r="MWC1449"/>
      <c r="MWD1449"/>
      <c r="MWE1449"/>
      <c r="MWF1449"/>
      <c r="MWG1449"/>
      <c r="MWH1449"/>
      <c r="MWI1449"/>
      <c r="MWJ1449"/>
      <c r="MWK1449"/>
      <c r="MWL1449"/>
      <c r="MWM1449"/>
      <c r="MWN1449"/>
      <c r="MWO1449"/>
      <c r="MWP1449"/>
      <c r="MWQ1449"/>
      <c r="MWR1449"/>
      <c r="MWS1449"/>
      <c r="MWT1449"/>
      <c r="MWU1449"/>
      <c r="MWV1449"/>
      <c r="MWW1449"/>
      <c r="MWX1449"/>
      <c r="MWY1449"/>
      <c r="MWZ1449"/>
      <c r="MXA1449"/>
      <c r="MXB1449"/>
      <c r="MXC1449"/>
      <c r="MXD1449"/>
      <c r="MXE1449"/>
      <c r="MXF1449"/>
      <c r="MXG1449"/>
      <c r="MXH1449"/>
      <c r="MXI1449"/>
      <c r="MXJ1449"/>
      <c r="MXK1449"/>
      <c r="MXL1449"/>
      <c r="MXM1449"/>
      <c r="MXN1449"/>
      <c r="MXO1449"/>
      <c r="MXP1449"/>
      <c r="MXQ1449"/>
      <c r="MXR1449"/>
      <c r="MXS1449"/>
      <c r="MXT1449"/>
      <c r="MXU1449"/>
      <c r="MXV1449"/>
      <c r="MXW1449"/>
      <c r="MXX1449"/>
      <c r="MXY1449"/>
      <c r="MXZ1449"/>
      <c r="MYA1449"/>
      <c r="MYB1449"/>
      <c r="MYC1449"/>
      <c r="MYD1449"/>
      <c r="MYE1449"/>
      <c r="MYF1449"/>
      <c r="MYG1449"/>
      <c r="MYH1449"/>
      <c r="MYI1449"/>
      <c r="MYJ1449"/>
      <c r="MYK1449"/>
      <c r="MYL1449"/>
      <c r="MYM1449"/>
      <c r="MYN1449"/>
      <c r="MYO1449"/>
      <c r="MYP1449"/>
      <c r="MYQ1449"/>
      <c r="MYR1449"/>
      <c r="MYS1449"/>
      <c r="MYT1449"/>
      <c r="MYU1449"/>
      <c r="MYV1449"/>
      <c r="MYW1449"/>
      <c r="MYX1449"/>
      <c r="MYY1449"/>
      <c r="MYZ1449"/>
      <c r="MZA1449"/>
      <c r="MZB1449"/>
      <c r="MZC1449"/>
      <c r="MZD1449"/>
      <c r="MZE1449"/>
      <c r="MZF1449"/>
      <c r="MZG1449"/>
      <c r="MZH1449"/>
      <c r="MZI1449"/>
      <c r="MZJ1449"/>
      <c r="MZK1449"/>
      <c r="MZL1449"/>
      <c r="MZM1449"/>
      <c r="MZN1449"/>
      <c r="MZO1449"/>
      <c r="MZP1449"/>
      <c r="MZQ1449"/>
      <c r="MZR1449"/>
      <c r="MZS1449"/>
      <c r="MZT1449"/>
      <c r="MZU1449"/>
      <c r="MZV1449"/>
      <c r="MZW1449"/>
      <c r="MZX1449"/>
      <c r="MZY1449"/>
      <c r="MZZ1449"/>
      <c r="NAA1449"/>
      <c r="NAB1449"/>
      <c r="NAC1449"/>
      <c r="NAD1449"/>
      <c r="NAE1449"/>
      <c r="NAF1449"/>
      <c r="NAG1449"/>
      <c r="NAH1449"/>
      <c r="NAI1449"/>
      <c r="NAJ1449"/>
      <c r="NAK1449"/>
      <c r="NAL1449"/>
      <c r="NAM1449"/>
      <c r="NAN1449"/>
      <c r="NAO1449"/>
      <c r="NAP1449"/>
      <c r="NAQ1449"/>
      <c r="NAR1449"/>
      <c r="NAS1449"/>
      <c r="NAT1449"/>
      <c r="NAU1449"/>
      <c r="NAV1449"/>
      <c r="NAW1449"/>
      <c r="NAX1449"/>
      <c r="NAY1449"/>
      <c r="NAZ1449"/>
      <c r="NBA1449"/>
      <c r="NBB1449"/>
      <c r="NBC1449"/>
      <c r="NBD1449"/>
      <c r="NBE1449"/>
      <c r="NBF1449"/>
      <c r="NBG1449"/>
      <c r="NBH1449"/>
      <c r="NBI1449"/>
      <c r="NBJ1449"/>
      <c r="NBK1449"/>
      <c r="NBL1449"/>
      <c r="NBM1449"/>
      <c r="NBN1449"/>
      <c r="NBO1449"/>
      <c r="NBP1449"/>
      <c r="NBQ1449"/>
      <c r="NBR1449"/>
      <c r="NBS1449"/>
      <c r="NBT1449"/>
      <c r="NBU1449"/>
      <c r="NBV1449"/>
      <c r="NBW1449"/>
      <c r="NBX1449"/>
      <c r="NBY1449"/>
      <c r="NBZ1449"/>
      <c r="NCA1449"/>
      <c r="NCB1449"/>
      <c r="NCC1449"/>
      <c r="NCD1449"/>
      <c r="NCE1449"/>
      <c r="NCF1449"/>
      <c r="NCG1449"/>
      <c r="NCH1449"/>
      <c r="NCI1449"/>
      <c r="NCJ1449"/>
      <c r="NCK1449"/>
      <c r="NCL1449"/>
      <c r="NCM1449"/>
      <c r="NCN1449"/>
      <c r="NCO1449"/>
      <c r="NCP1449"/>
      <c r="NCQ1449"/>
      <c r="NCR1449"/>
      <c r="NCS1449"/>
      <c r="NCT1449"/>
      <c r="NCU1449"/>
      <c r="NCV1449"/>
      <c r="NCW1449"/>
      <c r="NCX1449"/>
      <c r="NCY1449"/>
      <c r="NCZ1449"/>
      <c r="NDA1449"/>
      <c r="NDB1449"/>
      <c r="NDC1449"/>
      <c r="NDD1449"/>
      <c r="NDE1449"/>
      <c r="NDF1449"/>
      <c r="NDG1449"/>
      <c r="NDH1449"/>
      <c r="NDI1449"/>
      <c r="NDJ1449"/>
      <c r="NDK1449"/>
      <c r="NDL1449"/>
      <c r="NDM1449"/>
      <c r="NDN1449"/>
      <c r="NDO1449"/>
      <c r="NDP1449"/>
      <c r="NDQ1449"/>
      <c r="NDR1449"/>
      <c r="NDS1449"/>
      <c r="NDT1449"/>
      <c r="NDU1449"/>
      <c r="NDV1449"/>
      <c r="NDW1449"/>
      <c r="NDX1449"/>
      <c r="NDY1449"/>
      <c r="NDZ1449"/>
      <c r="NEA1449"/>
      <c r="NEB1449"/>
      <c r="NEC1449"/>
      <c r="NED1449"/>
      <c r="NEE1449"/>
      <c r="NEF1449"/>
      <c r="NEG1449"/>
      <c r="NEH1449"/>
      <c r="NEI1449"/>
      <c r="NEJ1449"/>
      <c r="NEK1449"/>
      <c r="NEL1449"/>
      <c r="NEM1449"/>
      <c r="NEN1449"/>
      <c r="NEO1449"/>
      <c r="NEP1449"/>
      <c r="NEQ1449"/>
      <c r="NER1449"/>
      <c r="NES1449"/>
      <c r="NET1449"/>
      <c r="NEU1449"/>
      <c r="NEV1449"/>
      <c r="NEW1449"/>
      <c r="NEX1449"/>
      <c r="NEY1449"/>
      <c r="NEZ1449"/>
      <c r="NFA1449"/>
      <c r="NFB1449"/>
      <c r="NFC1449"/>
      <c r="NFD1449"/>
      <c r="NFE1449"/>
      <c r="NFF1449"/>
      <c r="NFG1449"/>
      <c r="NFH1449"/>
      <c r="NFI1449"/>
      <c r="NFJ1449"/>
      <c r="NFK1449"/>
      <c r="NFL1449"/>
      <c r="NFM1449"/>
      <c r="NFN1449"/>
      <c r="NFO1449"/>
      <c r="NFP1449"/>
      <c r="NFQ1449"/>
      <c r="NFR1449"/>
      <c r="NFS1449"/>
      <c r="NFT1449"/>
      <c r="NFU1449"/>
      <c r="NFV1449"/>
      <c r="NFW1449"/>
      <c r="NFX1449"/>
      <c r="NFY1449"/>
      <c r="NFZ1449"/>
      <c r="NGA1449"/>
      <c r="NGB1449"/>
      <c r="NGC1449"/>
      <c r="NGD1449"/>
      <c r="NGE1449"/>
      <c r="NGF1449"/>
      <c r="NGG1449"/>
      <c r="NGH1449"/>
      <c r="NGI1449"/>
      <c r="NGJ1449"/>
      <c r="NGK1449"/>
      <c r="NGL1449"/>
      <c r="NGM1449"/>
      <c r="NGN1449"/>
      <c r="NGO1449"/>
      <c r="NGP1449"/>
      <c r="NGQ1449"/>
      <c r="NGR1449"/>
      <c r="NGS1449"/>
      <c r="NGT1449"/>
      <c r="NGU1449"/>
      <c r="NGV1449"/>
      <c r="NGW1449"/>
      <c r="NGX1449"/>
      <c r="NGY1449"/>
      <c r="NGZ1449"/>
      <c r="NHA1449"/>
      <c r="NHB1449"/>
      <c r="NHC1449"/>
      <c r="NHD1449"/>
      <c r="NHE1449"/>
      <c r="NHF1449"/>
      <c r="NHG1449"/>
      <c r="NHH1449"/>
      <c r="NHI1449"/>
      <c r="NHJ1449"/>
      <c r="NHK1449"/>
      <c r="NHL1449"/>
      <c r="NHM1449"/>
      <c r="NHN1449"/>
      <c r="NHO1449"/>
      <c r="NHP1449"/>
      <c r="NHQ1449"/>
      <c r="NHR1449"/>
      <c r="NHS1449"/>
      <c r="NHT1449"/>
      <c r="NHU1449"/>
      <c r="NHV1449"/>
      <c r="NHW1449"/>
      <c r="NHX1449"/>
      <c r="NHY1449"/>
      <c r="NHZ1449"/>
      <c r="NIA1449"/>
      <c r="NIB1449"/>
      <c r="NIC1449"/>
      <c r="NID1449"/>
      <c r="NIE1449"/>
      <c r="NIF1449"/>
      <c r="NIG1449"/>
      <c r="NIH1449"/>
      <c r="NII1449"/>
      <c r="NIJ1449"/>
      <c r="NIK1449"/>
      <c r="NIL1449"/>
      <c r="NIM1449"/>
      <c r="NIN1449"/>
      <c r="NIO1449"/>
      <c r="NIP1449"/>
      <c r="NIQ1449"/>
      <c r="NIR1449"/>
      <c r="NIS1449"/>
      <c r="NIT1449"/>
      <c r="NIU1449"/>
      <c r="NIV1449"/>
      <c r="NIW1449"/>
      <c r="NIX1449"/>
      <c r="NIY1449"/>
      <c r="NIZ1449"/>
      <c r="NJA1449"/>
      <c r="NJB1449"/>
      <c r="NJC1449"/>
      <c r="NJD1449"/>
      <c r="NJE1449"/>
      <c r="NJF1449"/>
      <c r="NJG1449"/>
      <c r="NJH1449"/>
      <c r="NJI1449"/>
      <c r="NJJ1449"/>
      <c r="NJK1449"/>
      <c r="NJL1449"/>
      <c r="NJM1449"/>
      <c r="NJN1449"/>
      <c r="NJO1449"/>
      <c r="NJP1449"/>
      <c r="NJQ1449"/>
      <c r="NJR1449"/>
      <c r="NJS1449"/>
      <c r="NJT1449"/>
      <c r="NJU1449"/>
      <c r="NJV1449"/>
      <c r="NJW1449"/>
      <c r="NJX1449"/>
      <c r="NJY1449"/>
      <c r="NJZ1449"/>
      <c r="NKA1449"/>
      <c r="NKB1449"/>
      <c r="NKC1449"/>
      <c r="NKD1449"/>
      <c r="NKE1449"/>
      <c r="NKF1449"/>
      <c r="NKG1449"/>
      <c r="NKH1449"/>
      <c r="NKI1449"/>
      <c r="NKJ1449"/>
      <c r="NKK1449"/>
      <c r="NKL1449"/>
      <c r="NKM1449"/>
      <c r="NKN1449"/>
      <c r="NKO1449"/>
      <c r="NKP1449"/>
      <c r="NKQ1449"/>
      <c r="NKR1449"/>
      <c r="NKS1449"/>
      <c r="NKT1449"/>
      <c r="NKU1449"/>
      <c r="NKV1449"/>
      <c r="NKW1449"/>
      <c r="NKX1449"/>
      <c r="NKY1449"/>
      <c r="NKZ1449"/>
      <c r="NLA1449"/>
      <c r="NLB1449"/>
      <c r="NLC1449"/>
      <c r="NLD1449"/>
      <c r="NLE1449"/>
      <c r="NLF1449"/>
      <c r="NLG1449"/>
      <c r="NLH1449"/>
      <c r="NLI1449"/>
      <c r="NLJ1449"/>
      <c r="NLK1449"/>
      <c r="NLL1449"/>
      <c r="NLM1449"/>
      <c r="NLN1449"/>
      <c r="NLO1449"/>
      <c r="NLP1449"/>
      <c r="NLQ1449"/>
      <c r="NLR1449"/>
      <c r="NLS1449"/>
      <c r="NLT1449"/>
      <c r="NLU1449"/>
      <c r="NLV1449"/>
      <c r="NLW1449"/>
      <c r="NLX1449"/>
      <c r="NLY1449"/>
      <c r="NLZ1449"/>
      <c r="NMA1449"/>
      <c r="NMB1449"/>
      <c r="NMC1449"/>
      <c r="NMD1449"/>
      <c r="NME1449"/>
      <c r="NMF1449"/>
      <c r="NMG1449"/>
      <c r="NMH1449"/>
      <c r="NMI1449"/>
      <c r="NMJ1449"/>
      <c r="NMK1449"/>
      <c r="NML1449"/>
      <c r="NMM1449"/>
      <c r="NMN1449"/>
      <c r="NMO1449"/>
      <c r="NMP1449"/>
      <c r="NMQ1449"/>
      <c r="NMR1449"/>
      <c r="NMS1449"/>
      <c r="NMT1449"/>
      <c r="NMU1449"/>
      <c r="NMV1449"/>
      <c r="NMW1449"/>
      <c r="NMX1449"/>
      <c r="NMY1449"/>
      <c r="NMZ1449"/>
      <c r="NNA1449"/>
      <c r="NNB1449"/>
      <c r="NNC1449"/>
      <c r="NND1449"/>
      <c r="NNE1449"/>
      <c r="NNF1449"/>
      <c r="NNG1449"/>
      <c r="NNH1449"/>
      <c r="NNI1449"/>
      <c r="NNJ1449"/>
      <c r="NNK1449"/>
      <c r="NNL1449"/>
      <c r="NNM1449"/>
      <c r="NNN1449"/>
      <c r="NNO1449"/>
      <c r="NNP1449"/>
      <c r="NNQ1449"/>
      <c r="NNR1449"/>
      <c r="NNS1449"/>
      <c r="NNT1449"/>
      <c r="NNU1449"/>
      <c r="NNV1449"/>
      <c r="NNW1449"/>
      <c r="NNX1449"/>
      <c r="NNY1449"/>
      <c r="NNZ1449"/>
      <c r="NOA1449"/>
      <c r="NOB1449"/>
      <c r="NOC1449"/>
      <c r="NOD1449"/>
      <c r="NOE1449"/>
      <c r="NOF1449"/>
      <c r="NOG1449"/>
      <c r="NOH1449"/>
      <c r="NOI1449"/>
      <c r="NOJ1449"/>
      <c r="NOK1449"/>
      <c r="NOL1449"/>
      <c r="NOM1449"/>
      <c r="NON1449"/>
      <c r="NOO1449"/>
      <c r="NOP1449"/>
      <c r="NOQ1449"/>
      <c r="NOR1449"/>
      <c r="NOS1449"/>
      <c r="NOT1449"/>
      <c r="NOU1449"/>
      <c r="NOV1449"/>
      <c r="NOW1449"/>
      <c r="NOX1449"/>
      <c r="NOY1449"/>
      <c r="NOZ1449"/>
      <c r="NPA1449"/>
      <c r="NPB1449"/>
      <c r="NPC1449"/>
      <c r="NPD1449"/>
      <c r="NPE1449"/>
      <c r="NPF1449"/>
      <c r="NPG1449"/>
      <c r="NPH1449"/>
      <c r="NPI1449"/>
      <c r="NPJ1449"/>
      <c r="NPK1449"/>
      <c r="NPL1449"/>
      <c r="NPM1449"/>
      <c r="NPN1449"/>
      <c r="NPO1449"/>
      <c r="NPP1449"/>
      <c r="NPQ1449"/>
      <c r="NPR1449"/>
      <c r="NPS1449"/>
      <c r="NPT1449"/>
      <c r="NPU1449"/>
      <c r="NPV1449"/>
      <c r="NPW1449"/>
      <c r="NPX1449"/>
      <c r="NPY1449"/>
      <c r="NPZ1449"/>
      <c r="NQA1449"/>
      <c r="NQB1449"/>
      <c r="NQC1449"/>
      <c r="NQD1449"/>
      <c r="NQE1449"/>
      <c r="NQF1449"/>
      <c r="NQG1449"/>
      <c r="NQH1449"/>
      <c r="NQI1449"/>
      <c r="NQJ1449"/>
      <c r="NQK1449"/>
      <c r="NQL1449"/>
      <c r="NQM1449"/>
      <c r="NQN1449"/>
      <c r="NQO1449"/>
      <c r="NQP1449"/>
      <c r="NQQ1449"/>
      <c r="NQR1449"/>
      <c r="NQS1449"/>
      <c r="NQT1449"/>
      <c r="NQU1449"/>
      <c r="NQV1449"/>
      <c r="NQW1449"/>
      <c r="NQX1449"/>
      <c r="NQY1449"/>
      <c r="NQZ1449"/>
      <c r="NRA1449"/>
      <c r="NRB1449"/>
      <c r="NRC1449"/>
      <c r="NRD1449"/>
      <c r="NRE1449"/>
      <c r="NRF1449"/>
      <c r="NRG1449"/>
      <c r="NRH1449"/>
      <c r="NRI1449"/>
      <c r="NRJ1449"/>
      <c r="NRK1449"/>
      <c r="NRL1449"/>
      <c r="NRM1449"/>
      <c r="NRN1449"/>
      <c r="NRO1449"/>
      <c r="NRP1449"/>
      <c r="NRQ1449"/>
      <c r="NRR1449"/>
      <c r="NRS1449"/>
      <c r="NRT1449"/>
      <c r="NRU1449"/>
      <c r="NRV1449"/>
      <c r="NRW1449"/>
      <c r="NRX1449"/>
      <c r="NRY1449"/>
      <c r="NRZ1449"/>
      <c r="NSA1449"/>
      <c r="NSB1449"/>
      <c r="NSC1449"/>
      <c r="NSD1449"/>
      <c r="NSE1449"/>
      <c r="NSF1449"/>
      <c r="NSG1449"/>
      <c r="NSH1449"/>
      <c r="NSI1449"/>
      <c r="NSJ1449"/>
      <c r="NSK1449"/>
      <c r="NSL1449"/>
      <c r="NSM1449"/>
      <c r="NSN1449"/>
      <c r="NSO1449"/>
      <c r="NSP1449"/>
      <c r="NSQ1449"/>
      <c r="NSR1449"/>
      <c r="NSS1449"/>
      <c r="NST1449"/>
      <c r="NSU1449"/>
      <c r="NSV1449"/>
      <c r="NSW1449"/>
      <c r="NSX1449"/>
      <c r="NSY1449"/>
      <c r="NSZ1449"/>
      <c r="NTA1449"/>
      <c r="NTB1449"/>
      <c r="NTC1449"/>
      <c r="NTD1449"/>
      <c r="NTE1449"/>
      <c r="NTF1449"/>
      <c r="NTG1449"/>
      <c r="NTH1449"/>
      <c r="NTI1449"/>
      <c r="NTJ1449"/>
      <c r="NTK1449"/>
      <c r="NTL1449"/>
      <c r="NTM1449"/>
      <c r="NTN1449"/>
      <c r="NTO1449"/>
      <c r="NTP1449"/>
      <c r="NTQ1449"/>
      <c r="NTR1449"/>
      <c r="NTS1449"/>
      <c r="NTT1449"/>
      <c r="NTU1449"/>
      <c r="NTV1449"/>
      <c r="NTW1449"/>
      <c r="NTX1449"/>
      <c r="NTY1449"/>
      <c r="NTZ1449"/>
      <c r="NUA1449"/>
      <c r="NUB1449"/>
      <c r="NUC1449"/>
      <c r="NUD1449"/>
      <c r="NUE1449"/>
      <c r="NUF1449"/>
      <c r="NUG1449"/>
      <c r="NUH1449"/>
      <c r="NUI1449"/>
      <c r="NUJ1449"/>
      <c r="NUK1449"/>
      <c r="NUL1449"/>
      <c r="NUM1449"/>
      <c r="NUN1449"/>
      <c r="NUO1449"/>
      <c r="NUP1449"/>
      <c r="NUQ1449"/>
      <c r="NUR1449"/>
      <c r="NUS1449"/>
      <c r="NUT1449"/>
      <c r="NUU1449"/>
      <c r="NUV1449"/>
      <c r="NUW1449"/>
      <c r="NUX1449"/>
      <c r="NUY1449"/>
      <c r="NUZ1449"/>
      <c r="NVA1449"/>
      <c r="NVB1449"/>
      <c r="NVC1449"/>
      <c r="NVD1449"/>
      <c r="NVE1449"/>
      <c r="NVF1449"/>
      <c r="NVG1449"/>
      <c r="NVH1449"/>
      <c r="NVI1449"/>
      <c r="NVJ1449"/>
      <c r="NVK1449"/>
      <c r="NVL1449"/>
      <c r="NVM1449"/>
      <c r="NVN1449"/>
      <c r="NVO1449"/>
      <c r="NVP1449"/>
      <c r="NVQ1449"/>
      <c r="NVR1449"/>
      <c r="NVS1449"/>
      <c r="NVT1449"/>
      <c r="NVU1449"/>
      <c r="NVV1449"/>
      <c r="NVW1449"/>
      <c r="NVX1449"/>
      <c r="NVY1449"/>
      <c r="NVZ1449"/>
      <c r="NWA1449"/>
      <c r="NWB1449"/>
      <c r="NWC1449"/>
      <c r="NWD1449"/>
      <c r="NWE1449"/>
      <c r="NWF1449"/>
      <c r="NWG1449"/>
      <c r="NWH1449"/>
      <c r="NWI1449"/>
      <c r="NWJ1449"/>
      <c r="NWK1449"/>
      <c r="NWL1449"/>
      <c r="NWM1449"/>
      <c r="NWN1449"/>
      <c r="NWO1449"/>
      <c r="NWP1449"/>
      <c r="NWQ1449"/>
      <c r="NWR1449"/>
      <c r="NWS1449"/>
      <c r="NWT1449"/>
      <c r="NWU1449"/>
      <c r="NWV1449"/>
      <c r="NWW1449"/>
      <c r="NWX1449"/>
      <c r="NWY1449"/>
      <c r="NWZ1449"/>
      <c r="NXA1449"/>
      <c r="NXB1449"/>
      <c r="NXC1449"/>
      <c r="NXD1449"/>
      <c r="NXE1449"/>
      <c r="NXF1449"/>
      <c r="NXG1449"/>
      <c r="NXH1449"/>
      <c r="NXI1449"/>
      <c r="NXJ1449"/>
      <c r="NXK1449"/>
      <c r="NXL1449"/>
      <c r="NXM1449"/>
      <c r="NXN1449"/>
      <c r="NXO1449"/>
      <c r="NXP1449"/>
      <c r="NXQ1449"/>
      <c r="NXR1449"/>
      <c r="NXS1449"/>
      <c r="NXT1449"/>
      <c r="NXU1449"/>
      <c r="NXV1449"/>
      <c r="NXW1449"/>
      <c r="NXX1449"/>
      <c r="NXY1449"/>
      <c r="NXZ1449"/>
      <c r="NYA1449"/>
      <c r="NYB1449"/>
      <c r="NYC1449"/>
      <c r="NYD1449"/>
      <c r="NYE1449"/>
      <c r="NYF1449"/>
      <c r="NYG1449"/>
      <c r="NYH1449"/>
      <c r="NYI1449"/>
      <c r="NYJ1449"/>
      <c r="NYK1449"/>
      <c r="NYL1449"/>
      <c r="NYM1449"/>
      <c r="NYN1449"/>
      <c r="NYO1449"/>
      <c r="NYP1449"/>
      <c r="NYQ1449"/>
      <c r="NYR1449"/>
      <c r="NYS1449"/>
      <c r="NYT1449"/>
      <c r="NYU1449"/>
      <c r="NYV1449"/>
      <c r="NYW1449"/>
      <c r="NYX1449"/>
      <c r="NYY1449"/>
      <c r="NYZ1449"/>
      <c r="NZA1449"/>
      <c r="NZB1449"/>
      <c r="NZC1449"/>
      <c r="NZD1449"/>
      <c r="NZE1449"/>
      <c r="NZF1449"/>
      <c r="NZG1449"/>
      <c r="NZH1449"/>
      <c r="NZI1449"/>
      <c r="NZJ1449"/>
      <c r="NZK1449"/>
      <c r="NZL1449"/>
      <c r="NZM1449"/>
      <c r="NZN1449"/>
      <c r="NZO1449"/>
      <c r="NZP1449"/>
      <c r="NZQ1449"/>
      <c r="NZR1449"/>
      <c r="NZS1449"/>
      <c r="NZT1449"/>
      <c r="NZU1449"/>
      <c r="NZV1449"/>
      <c r="NZW1449"/>
      <c r="NZX1449"/>
      <c r="NZY1449"/>
      <c r="NZZ1449"/>
      <c r="OAA1449"/>
      <c r="OAB1449"/>
      <c r="OAC1449"/>
      <c r="OAD1449"/>
      <c r="OAE1449"/>
      <c r="OAF1449"/>
      <c r="OAG1449"/>
      <c r="OAH1449"/>
      <c r="OAI1449"/>
      <c r="OAJ1449"/>
      <c r="OAK1449"/>
      <c r="OAL1449"/>
      <c r="OAM1449"/>
      <c r="OAN1449"/>
      <c r="OAO1449"/>
      <c r="OAP1449"/>
      <c r="OAQ1449"/>
      <c r="OAR1449"/>
      <c r="OAS1449"/>
      <c r="OAT1449"/>
      <c r="OAU1449"/>
      <c r="OAV1449"/>
      <c r="OAW1449"/>
      <c r="OAX1449"/>
      <c r="OAY1449"/>
      <c r="OAZ1449"/>
      <c r="OBA1449"/>
      <c r="OBB1449"/>
      <c r="OBC1449"/>
      <c r="OBD1449"/>
      <c r="OBE1449"/>
      <c r="OBF1449"/>
      <c r="OBG1449"/>
      <c r="OBH1449"/>
      <c r="OBI1449"/>
      <c r="OBJ1449"/>
      <c r="OBK1449"/>
      <c r="OBL1449"/>
      <c r="OBM1449"/>
      <c r="OBN1449"/>
      <c r="OBO1449"/>
      <c r="OBP1449"/>
      <c r="OBQ1449"/>
      <c r="OBR1449"/>
      <c r="OBS1449"/>
      <c r="OBT1449"/>
      <c r="OBU1449"/>
      <c r="OBV1449"/>
      <c r="OBW1449"/>
      <c r="OBX1449"/>
      <c r="OBY1449"/>
      <c r="OBZ1449"/>
      <c r="OCA1449"/>
      <c r="OCB1449"/>
      <c r="OCC1449"/>
      <c r="OCD1449"/>
      <c r="OCE1449"/>
      <c r="OCF1449"/>
      <c r="OCG1449"/>
      <c r="OCH1449"/>
      <c r="OCI1449"/>
      <c r="OCJ1449"/>
      <c r="OCK1449"/>
      <c r="OCL1449"/>
      <c r="OCM1449"/>
      <c r="OCN1449"/>
      <c r="OCO1449"/>
      <c r="OCP1449"/>
      <c r="OCQ1449"/>
      <c r="OCR1449"/>
      <c r="OCS1449"/>
      <c r="OCT1449"/>
      <c r="OCU1449"/>
      <c r="OCV1449"/>
      <c r="OCW1449"/>
      <c r="OCX1449"/>
      <c r="OCY1449"/>
      <c r="OCZ1449"/>
      <c r="ODA1449"/>
      <c r="ODB1449"/>
      <c r="ODC1449"/>
      <c r="ODD1449"/>
      <c r="ODE1449"/>
      <c r="ODF1449"/>
      <c r="ODG1449"/>
      <c r="ODH1449"/>
      <c r="ODI1449"/>
      <c r="ODJ1449"/>
      <c r="ODK1449"/>
      <c r="ODL1449"/>
      <c r="ODM1449"/>
      <c r="ODN1449"/>
      <c r="ODO1449"/>
      <c r="ODP1449"/>
      <c r="ODQ1449"/>
      <c r="ODR1449"/>
      <c r="ODS1449"/>
      <c r="ODT1449"/>
      <c r="ODU1449"/>
      <c r="ODV1449"/>
      <c r="ODW1449"/>
      <c r="ODX1449"/>
      <c r="ODY1449"/>
      <c r="ODZ1449"/>
      <c r="OEA1449"/>
      <c r="OEB1449"/>
      <c r="OEC1449"/>
      <c r="OED1449"/>
      <c r="OEE1449"/>
      <c r="OEF1449"/>
      <c r="OEG1449"/>
      <c r="OEH1449"/>
      <c r="OEI1449"/>
      <c r="OEJ1449"/>
      <c r="OEK1449"/>
      <c r="OEL1449"/>
      <c r="OEM1449"/>
      <c r="OEN1449"/>
      <c r="OEO1449"/>
      <c r="OEP1449"/>
      <c r="OEQ1449"/>
      <c r="OER1449"/>
      <c r="OES1449"/>
      <c r="OET1449"/>
      <c r="OEU1449"/>
      <c r="OEV1449"/>
      <c r="OEW1449"/>
      <c r="OEX1449"/>
      <c r="OEY1449"/>
      <c r="OEZ1449"/>
      <c r="OFA1449"/>
      <c r="OFB1449"/>
      <c r="OFC1449"/>
      <c r="OFD1449"/>
      <c r="OFE1449"/>
      <c r="OFF1449"/>
      <c r="OFG1449"/>
      <c r="OFH1449"/>
      <c r="OFI1449"/>
      <c r="OFJ1449"/>
      <c r="OFK1449"/>
      <c r="OFL1449"/>
      <c r="OFM1449"/>
      <c r="OFN1449"/>
      <c r="OFO1449"/>
      <c r="OFP1449"/>
      <c r="OFQ1449"/>
      <c r="OFR1449"/>
      <c r="OFS1449"/>
      <c r="OFT1449"/>
      <c r="OFU1449"/>
      <c r="OFV1449"/>
      <c r="OFW1449"/>
      <c r="OFX1449"/>
      <c r="OFY1449"/>
      <c r="OFZ1449"/>
      <c r="OGA1449"/>
      <c r="OGB1449"/>
      <c r="OGC1449"/>
      <c r="OGD1449"/>
      <c r="OGE1449"/>
      <c r="OGF1449"/>
      <c r="OGG1449"/>
      <c r="OGH1449"/>
      <c r="OGI1449"/>
      <c r="OGJ1449"/>
      <c r="OGK1449"/>
      <c r="OGL1449"/>
      <c r="OGM1449"/>
      <c r="OGN1449"/>
      <c r="OGO1449"/>
      <c r="OGP1449"/>
      <c r="OGQ1449"/>
      <c r="OGR1449"/>
      <c r="OGS1449"/>
      <c r="OGT1449"/>
      <c r="OGU1449"/>
      <c r="OGV1449"/>
      <c r="OGW1449"/>
      <c r="OGX1449"/>
      <c r="OGY1449"/>
      <c r="OGZ1449"/>
      <c r="OHA1449"/>
      <c r="OHB1449"/>
      <c r="OHC1449"/>
      <c r="OHD1449"/>
      <c r="OHE1449"/>
      <c r="OHF1449"/>
      <c r="OHG1449"/>
      <c r="OHH1449"/>
      <c r="OHI1449"/>
      <c r="OHJ1449"/>
      <c r="OHK1449"/>
      <c r="OHL1449"/>
      <c r="OHM1449"/>
      <c r="OHN1449"/>
      <c r="OHO1449"/>
      <c r="OHP1449"/>
      <c r="OHQ1449"/>
      <c r="OHR1449"/>
      <c r="OHS1449"/>
      <c r="OHT1449"/>
      <c r="OHU1449"/>
      <c r="OHV1449"/>
      <c r="OHW1449"/>
      <c r="OHX1449"/>
      <c r="OHY1449"/>
      <c r="OHZ1449"/>
      <c r="OIA1449"/>
      <c r="OIB1449"/>
      <c r="OIC1449"/>
      <c r="OID1449"/>
      <c r="OIE1449"/>
      <c r="OIF1449"/>
      <c r="OIG1449"/>
      <c r="OIH1449"/>
      <c r="OII1449"/>
      <c r="OIJ1449"/>
      <c r="OIK1449"/>
      <c r="OIL1449"/>
      <c r="OIM1449"/>
      <c r="OIN1449"/>
      <c r="OIO1449"/>
      <c r="OIP1449"/>
      <c r="OIQ1449"/>
      <c r="OIR1449"/>
      <c r="OIS1449"/>
      <c r="OIT1449"/>
      <c r="OIU1449"/>
      <c r="OIV1449"/>
      <c r="OIW1449"/>
      <c r="OIX1449"/>
      <c r="OIY1449"/>
      <c r="OIZ1449"/>
      <c r="OJA1449"/>
      <c r="OJB1449"/>
      <c r="OJC1449"/>
      <c r="OJD1449"/>
      <c r="OJE1449"/>
      <c r="OJF1449"/>
      <c r="OJG1449"/>
      <c r="OJH1449"/>
      <c r="OJI1449"/>
      <c r="OJJ1449"/>
      <c r="OJK1449"/>
      <c r="OJL1449"/>
      <c r="OJM1449"/>
      <c r="OJN1449"/>
      <c r="OJO1449"/>
      <c r="OJP1449"/>
      <c r="OJQ1449"/>
      <c r="OJR1449"/>
      <c r="OJS1449"/>
      <c r="OJT1449"/>
      <c r="OJU1449"/>
      <c r="OJV1449"/>
      <c r="OJW1449"/>
      <c r="OJX1449"/>
      <c r="OJY1449"/>
      <c r="OJZ1449"/>
      <c r="OKA1449"/>
      <c r="OKB1449"/>
      <c r="OKC1449"/>
      <c r="OKD1449"/>
      <c r="OKE1449"/>
      <c r="OKF1449"/>
      <c r="OKG1449"/>
      <c r="OKH1449"/>
      <c r="OKI1449"/>
      <c r="OKJ1449"/>
      <c r="OKK1449"/>
      <c r="OKL1449"/>
      <c r="OKM1449"/>
      <c r="OKN1449"/>
      <c r="OKO1449"/>
      <c r="OKP1449"/>
      <c r="OKQ1449"/>
      <c r="OKR1449"/>
      <c r="OKS1449"/>
      <c r="OKT1449"/>
      <c r="OKU1449"/>
      <c r="OKV1449"/>
      <c r="OKW1449"/>
      <c r="OKX1449"/>
      <c r="OKY1449"/>
      <c r="OKZ1449"/>
      <c r="OLA1449"/>
      <c r="OLB1449"/>
      <c r="OLC1449"/>
      <c r="OLD1449"/>
      <c r="OLE1449"/>
      <c r="OLF1449"/>
      <c r="OLG1449"/>
      <c r="OLH1449"/>
      <c r="OLI1449"/>
      <c r="OLJ1449"/>
      <c r="OLK1449"/>
      <c r="OLL1449"/>
      <c r="OLM1449"/>
      <c r="OLN1449"/>
      <c r="OLO1449"/>
      <c r="OLP1449"/>
      <c r="OLQ1449"/>
      <c r="OLR1449"/>
      <c r="OLS1449"/>
      <c r="OLT1449"/>
      <c r="OLU1449"/>
      <c r="OLV1449"/>
      <c r="OLW1449"/>
      <c r="OLX1449"/>
      <c r="OLY1449"/>
      <c r="OLZ1449"/>
      <c r="OMA1449"/>
      <c r="OMB1449"/>
      <c r="OMC1449"/>
      <c r="OMD1449"/>
      <c r="OME1449"/>
      <c r="OMF1449"/>
      <c r="OMG1449"/>
      <c r="OMH1449"/>
      <c r="OMI1449"/>
      <c r="OMJ1449"/>
      <c r="OMK1449"/>
      <c r="OML1449"/>
      <c r="OMM1449"/>
      <c r="OMN1449"/>
      <c r="OMO1449"/>
      <c r="OMP1449"/>
      <c r="OMQ1449"/>
      <c r="OMR1449"/>
      <c r="OMS1449"/>
      <c r="OMT1449"/>
      <c r="OMU1449"/>
      <c r="OMV1449"/>
      <c r="OMW1449"/>
      <c r="OMX1449"/>
      <c r="OMY1449"/>
      <c r="OMZ1449"/>
      <c r="ONA1449"/>
      <c r="ONB1449"/>
      <c r="ONC1449"/>
      <c r="OND1449"/>
      <c r="ONE1449"/>
      <c r="ONF1449"/>
      <c r="ONG1449"/>
      <c r="ONH1449"/>
      <c r="ONI1449"/>
      <c r="ONJ1449"/>
      <c r="ONK1449"/>
      <c r="ONL1449"/>
      <c r="ONM1449"/>
      <c r="ONN1449"/>
      <c r="ONO1449"/>
      <c r="ONP1449"/>
      <c r="ONQ1449"/>
      <c r="ONR1449"/>
      <c r="ONS1449"/>
      <c r="ONT1449"/>
      <c r="ONU1449"/>
      <c r="ONV1449"/>
      <c r="ONW1449"/>
      <c r="ONX1449"/>
      <c r="ONY1449"/>
      <c r="ONZ1449"/>
      <c r="OOA1449"/>
      <c r="OOB1449"/>
      <c r="OOC1449"/>
      <c r="OOD1449"/>
      <c r="OOE1449"/>
      <c r="OOF1449"/>
      <c r="OOG1449"/>
      <c r="OOH1449"/>
      <c r="OOI1449"/>
      <c r="OOJ1449"/>
      <c r="OOK1449"/>
      <c r="OOL1449"/>
      <c r="OOM1449"/>
      <c r="OON1449"/>
      <c r="OOO1449"/>
      <c r="OOP1449"/>
      <c r="OOQ1449"/>
      <c r="OOR1449"/>
      <c r="OOS1449"/>
      <c r="OOT1449"/>
      <c r="OOU1449"/>
      <c r="OOV1449"/>
      <c r="OOW1449"/>
      <c r="OOX1449"/>
      <c r="OOY1449"/>
      <c r="OOZ1449"/>
      <c r="OPA1449"/>
      <c r="OPB1449"/>
      <c r="OPC1449"/>
      <c r="OPD1449"/>
      <c r="OPE1449"/>
      <c r="OPF1449"/>
      <c r="OPG1449"/>
      <c r="OPH1449"/>
      <c r="OPI1449"/>
      <c r="OPJ1449"/>
      <c r="OPK1449"/>
      <c r="OPL1449"/>
      <c r="OPM1449"/>
      <c r="OPN1449"/>
      <c r="OPO1449"/>
      <c r="OPP1449"/>
      <c r="OPQ1449"/>
      <c r="OPR1449"/>
      <c r="OPS1449"/>
      <c r="OPT1449"/>
      <c r="OPU1449"/>
      <c r="OPV1449"/>
      <c r="OPW1449"/>
      <c r="OPX1449"/>
      <c r="OPY1449"/>
      <c r="OPZ1449"/>
      <c r="OQA1449"/>
      <c r="OQB1449"/>
      <c r="OQC1449"/>
      <c r="OQD1449"/>
      <c r="OQE1449"/>
      <c r="OQF1449"/>
      <c r="OQG1449"/>
      <c r="OQH1449"/>
      <c r="OQI1449"/>
      <c r="OQJ1449"/>
      <c r="OQK1449"/>
      <c r="OQL1449"/>
      <c r="OQM1449"/>
      <c r="OQN1449"/>
      <c r="OQO1449"/>
      <c r="OQP1449"/>
      <c r="OQQ1449"/>
      <c r="OQR1449"/>
      <c r="OQS1449"/>
      <c r="OQT1449"/>
      <c r="OQU1449"/>
      <c r="OQV1449"/>
      <c r="OQW1449"/>
      <c r="OQX1449"/>
      <c r="OQY1449"/>
      <c r="OQZ1449"/>
      <c r="ORA1449"/>
      <c r="ORB1449"/>
      <c r="ORC1449"/>
      <c r="ORD1449"/>
      <c r="ORE1449"/>
      <c r="ORF1449"/>
      <c r="ORG1449"/>
      <c r="ORH1449"/>
      <c r="ORI1449"/>
      <c r="ORJ1449"/>
      <c r="ORK1449"/>
      <c r="ORL1449"/>
      <c r="ORM1449"/>
      <c r="ORN1449"/>
      <c r="ORO1449"/>
      <c r="ORP1449"/>
      <c r="ORQ1449"/>
      <c r="ORR1449"/>
      <c r="ORS1449"/>
      <c r="ORT1449"/>
      <c r="ORU1449"/>
      <c r="ORV1449"/>
      <c r="ORW1449"/>
      <c r="ORX1449"/>
      <c r="ORY1449"/>
      <c r="ORZ1449"/>
      <c r="OSA1449"/>
      <c r="OSB1449"/>
      <c r="OSC1449"/>
      <c r="OSD1449"/>
      <c r="OSE1449"/>
      <c r="OSF1449"/>
      <c r="OSG1449"/>
      <c r="OSH1449"/>
      <c r="OSI1449"/>
      <c r="OSJ1449"/>
      <c r="OSK1449"/>
      <c r="OSL1449"/>
      <c r="OSM1449"/>
      <c r="OSN1449"/>
      <c r="OSO1449"/>
      <c r="OSP1449"/>
      <c r="OSQ1449"/>
      <c r="OSR1449"/>
      <c r="OSS1449"/>
      <c r="OST1449"/>
      <c r="OSU1449"/>
      <c r="OSV1449"/>
      <c r="OSW1449"/>
      <c r="OSX1449"/>
      <c r="OSY1449"/>
      <c r="OSZ1449"/>
      <c r="OTA1449"/>
      <c r="OTB1449"/>
      <c r="OTC1449"/>
      <c r="OTD1449"/>
      <c r="OTE1449"/>
      <c r="OTF1449"/>
      <c r="OTG1449"/>
      <c r="OTH1449"/>
      <c r="OTI1449"/>
      <c r="OTJ1449"/>
      <c r="OTK1449"/>
      <c r="OTL1449"/>
      <c r="OTM1449"/>
      <c r="OTN1449"/>
      <c r="OTO1449"/>
      <c r="OTP1449"/>
      <c r="OTQ1449"/>
      <c r="OTR1449"/>
      <c r="OTS1449"/>
      <c r="OTT1449"/>
      <c r="OTU1449"/>
      <c r="OTV1449"/>
      <c r="OTW1449"/>
      <c r="OTX1449"/>
      <c r="OTY1449"/>
      <c r="OTZ1449"/>
      <c r="OUA1449"/>
      <c r="OUB1449"/>
      <c r="OUC1449"/>
      <c r="OUD1449"/>
      <c r="OUE1449"/>
      <c r="OUF1449"/>
      <c r="OUG1449"/>
      <c r="OUH1449"/>
      <c r="OUI1449"/>
      <c r="OUJ1449"/>
      <c r="OUK1449"/>
      <c r="OUL1449"/>
      <c r="OUM1449"/>
      <c r="OUN1449"/>
      <c r="OUO1449"/>
      <c r="OUP1449"/>
      <c r="OUQ1449"/>
      <c r="OUR1449"/>
      <c r="OUS1449"/>
      <c r="OUT1449"/>
      <c r="OUU1449"/>
      <c r="OUV1449"/>
      <c r="OUW1449"/>
      <c r="OUX1449"/>
      <c r="OUY1449"/>
      <c r="OUZ1449"/>
      <c r="OVA1449"/>
      <c r="OVB1449"/>
      <c r="OVC1449"/>
      <c r="OVD1449"/>
      <c r="OVE1449"/>
      <c r="OVF1449"/>
      <c r="OVG1449"/>
      <c r="OVH1449"/>
      <c r="OVI1449"/>
      <c r="OVJ1449"/>
      <c r="OVK1449"/>
      <c r="OVL1449"/>
      <c r="OVM1449"/>
      <c r="OVN1449"/>
      <c r="OVO1449"/>
      <c r="OVP1449"/>
      <c r="OVQ1449"/>
      <c r="OVR1449"/>
      <c r="OVS1449"/>
      <c r="OVT1449"/>
      <c r="OVU1449"/>
      <c r="OVV1449"/>
      <c r="OVW1449"/>
      <c r="OVX1449"/>
      <c r="OVY1449"/>
      <c r="OVZ1449"/>
      <c r="OWA1449"/>
      <c r="OWB1449"/>
      <c r="OWC1449"/>
      <c r="OWD1449"/>
      <c r="OWE1449"/>
      <c r="OWF1449"/>
      <c r="OWG1449"/>
      <c r="OWH1449"/>
      <c r="OWI1449"/>
      <c r="OWJ1449"/>
      <c r="OWK1449"/>
      <c r="OWL1449"/>
      <c r="OWM1449"/>
      <c r="OWN1449"/>
      <c r="OWO1449"/>
      <c r="OWP1449"/>
      <c r="OWQ1449"/>
      <c r="OWR1449"/>
      <c r="OWS1449"/>
      <c r="OWT1449"/>
      <c r="OWU1449"/>
      <c r="OWV1449"/>
      <c r="OWW1449"/>
      <c r="OWX1449"/>
      <c r="OWY1449"/>
      <c r="OWZ1449"/>
      <c r="OXA1449"/>
      <c r="OXB1449"/>
      <c r="OXC1449"/>
      <c r="OXD1449"/>
      <c r="OXE1449"/>
      <c r="OXF1449"/>
      <c r="OXG1449"/>
      <c r="OXH1449"/>
      <c r="OXI1449"/>
      <c r="OXJ1449"/>
      <c r="OXK1449"/>
      <c r="OXL1449"/>
      <c r="OXM1449"/>
      <c r="OXN1449"/>
      <c r="OXO1449"/>
      <c r="OXP1449"/>
      <c r="OXQ1449"/>
      <c r="OXR1449"/>
      <c r="OXS1449"/>
      <c r="OXT1449"/>
      <c r="OXU1449"/>
      <c r="OXV1449"/>
      <c r="OXW1449"/>
      <c r="OXX1449"/>
      <c r="OXY1449"/>
      <c r="OXZ1449"/>
      <c r="OYA1449"/>
      <c r="OYB1449"/>
      <c r="OYC1449"/>
      <c r="OYD1449"/>
      <c r="OYE1449"/>
      <c r="OYF1449"/>
      <c r="OYG1449"/>
      <c r="OYH1449"/>
      <c r="OYI1449"/>
      <c r="OYJ1449"/>
      <c r="OYK1449"/>
      <c r="OYL1449"/>
      <c r="OYM1449"/>
      <c r="OYN1449"/>
      <c r="OYO1449"/>
      <c r="OYP1449"/>
      <c r="OYQ1449"/>
      <c r="OYR1449"/>
      <c r="OYS1449"/>
      <c r="OYT1449"/>
      <c r="OYU1449"/>
      <c r="OYV1449"/>
      <c r="OYW1449"/>
      <c r="OYX1449"/>
      <c r="OYY1449"/>
      <c r="OYZ1449"/>
      <c r="OZA1449"/>
      <c r="OZB1449"/>
      <c r="OZC1449"/>
      <c r="OZD1449"/>
      <c r="OZE1449"/>
      <c r="OZF1449"/>
      <c r="OZG1449"/>
      <c r="OZH1449"/>
      <c r="OZI1449"/>
      <c r="OZJ1449"/>
      <c r="OZK1449"/>
      <c r="OZL1449"/>
      <c r="OZM1449"/>
      <c r="OZN1449"/>
      <c r="OZO1449"/>
      <c r="OZP1449"/>
      <c r="OZQ1449"/>
      <c r="OZR1449"/>
      <c r="OZS1449"/>
      <c r="OZT1449"/>
      <c r="OZU1449"/>
      <c r="OZV1449"/>
      <c r="OZW1449"/>
      <c r="OZX1449"/>
      <c r="OZY1449"/>
      <c r="OZZ1449"/>
      <c r="PAA1449"/>
      <c r="PAB1449"/>
      <c r="PAC1449"/>
      <c r="PAD1449"/>
      <c r="PAE1449"/>
      <c r="PAF1449"/>
      <c r="PAG1449"/>
      <c r="PAH1449"/>
      <c r="PAI1449"/>
      <c r="PAJ1449"/>
      <c r="PAK1449"/>
      <c r="PAL1449"/>
      <c r="PAM1449"/>
      <c r="PAN1449"/>
      <c r="PAO1449"/>
      <c r="PAP1449"/>
      <c r="PAQ1449"/>
      <c r="PAR1449"/>
      <c r="PAS1449"/>
      <c r="PAT1449"/>
      <c r="PAU1449"/>
      <c r="PAV1449"/>
      <c r="PAW1449"/>
      <c r="PAX1449"/>
      <c r="PAY1449"/>
      <c r="PAZ1449"/>
      <c r="PBA1449"/>
      <c r="PBB1449"/>
      <c r="PBC1449"/>
      <c r="PBD1449"/>
      <c r="PBE1449"/>
      <c r="PBF1449"/>
      <c r="PBG1449"/>
      <c r="PBH1449"/>
      <c r="PBI1449"/>
      <c r="PBJ1449"/>
      <c r="PBK1449"/>
      <c r="PBL1449"/>
      <c r="PBM1449"/>
      <c r="PBN1449"/>
      <c r="PBO1449"/>
      <c r="PBP1449"/>
      <c r="PBQ1449"/>
      <c r="PBR1449"/>
      <c r="PBS1449"/>
      <c r="PBT1449"/>
      <c r="PBU1449"/>
      <c r="PBV1449"/>
      <c r="PBW1449"/>
      <c r="PBX1449"/>
      <c r="PBY1449"/>
      <c r="PBZ1449"/>
      <c r="PCA1449"/>
      <c r="PCB1449"/>
      <c r="PCC1449"/>
      <c r="PCD1449"/>
      <c r="PCE1449"/>
      <c r="PCF1449"/>
      <c r="PCG1449"/>
      <c r="PCH1449"/>
      <c r="PCI1449"/>
      <c r="PCJ1449"/>
      <c r="PCK1449"/>
      <c r="PCL1449"/>
      <c r="PCM1449"/>
      <c r="PCN1449"/>
      <c r="PCO1449"/>
      <c r="PCP1449"/>
      <c r="PCQ1449"/>
      <c r="PCR1449"/>
      <c r="PCS1449"/>
      <c r="PCT1449"/>
      <c r="PCU1449"/>
      <c r="PCV1449"/>
      <c r="PCW1449"/>
      <c r="PCX1449"/>
      <c r="PCY1449"/>
      <c r="PCZ1449"/>
      <c r="PDA1449"/>
      <c r="PDB1449"/>
      <c r="PDC1449"/>
      <c r="PDD1449"/>
      <c r="PDE1449"/>
      <c r="PDF1449"/>
      <c r="PDG1449"/>
      <c r="PDH1449"/>
      <c r="PDI1449"/>
      <c r="PDJ1449"/>
      <c r="PDK1449"/>
      <c r="PDL1449"/>
      <c r="PDM1449"/>
      <c r="PDN1449"/>
      <c r="PDO1449"/>
      <c r="PDP1449"/>
      <c r="PDQ1449"/>
      <c r="PDR1449"/>
      <c r="PDS1449"/>
      <c r="PDT1449"/>
      <c r="PDU1449"/>
      <c r="PDV1449"/>
      <c r="PDW1449"/>
      <c r="PDX1449"/>
      <c r="PDY1449"/>
      <c r="PDZ1449"/>
      <c r="PEA1449"/>
      <c r="PEB1449"/>
      <c r="PEC1449"/>
      <c r="PED1449"/>
      <c r="PEE1449"/>
      <c r="PEF1449"/>
      <c r="PEG1449"/>
      <c r="PEH1449"/>
      <c r="PEI1449"/>
      <c r="PEJ1449"/>
      <c r="PEK1449"/>
      <c r="PEL1449"/>
      <c r="PEM1449"/>
      <c r="PEN1449"/>
      <c r="PEO1449"/>
      <c r="PEP1449"/>
      <c r="PEQ1449"/>
      <c r="PER1449"/>
      <c r="PES1449"/>
      <c r="PET1449"/>
      <c r="PEU1449"/>
      <c r="PEV1449"/>
      <c r="PEW1449"/>
      <c r="PEX1449"/>
      <c r="PEY1449"/>
      <c r="PEZ1449"/>
      <c r="PFA1449"/>
      <c r="PFB1449"/>
      <c r="PFC1449"/>
      <c r="PFD1449"/>
      <c r="PFE1449"/>
      <c r="PFF1449"/>
      <c r="PFG1449"/>
      <c r="PFH1449"/>
      <c r="PFI1449"/>
      <c r="PFJ1449"/>
      <c r="PFK1449"/>
      <c r="PFL1449"/>
      <c r="PFM1449"/>
      <c r="PFN1449"/>
      <c r="PFO1449"/>
      <c r="PFP1449"/>
      <c r="PFQ1449"/>
      <c r="PFR1449"/>
      <c r="PFS1449"/>
      <c r="PFT1449"/>
      <c r="PFU1449"/>
      <c r="PFV1449"/>
      <c r="PFW1449"/>
      <c r="PFX1449"/>
      <c r="PFY1449"/>
      <c r="PFZ1449"/>
      <c r="PGA1449"/>
      <c r="PGB1449"/>
      <c r="PGC1449"/>
      <c r="PGD1449"/>
      <c r="PGE1449"/>
      <c r="PGF1449"/>
      <c r="PGG1449"/>
      <c r="PGH1449"/>
      <c r="PGI1449"/>
      <c r="PGJ1449"/>
      <c r="PGK1449"/>
      <c r="PGL1449"/>
      <c r="PGM1449"/>
      <c r="PGN1449"/>
      <c r="PGO1449"/>
      <c r="PGP1449"/>
      <c r="PGQ1449"/>
      <c r="PGR1449"/>
      <c r="PGS1449"/>
      <c r="PGT1449"/>
      <c r="PGU1449"/>
      <c r="PGV1449"/>
      <c r="PGW1449"/>
      <c r="PGX1449"/>
      <c r="PGY1449"/>
      <c r="PGZ1449"/>
      <c r="PHA1449"/>
      <c r="PHB1449"/>
      <c r="PHC1449"/>
      <c r="PHD1449"/>
      <c r="PHE1449"/>
      <c r="PHF1449"/>
      <c r="PHG1449"/>
      <c r="PHH1449"/>
      <c r="PHI1449"/>
      <c r="PHJ1449"/>
      <c r="PHK1449"/>
      <c r="PHL1449"/>
      <c r="PHM1449"/>
      <c r="PHN1449"/>
      <c r="PHO1449"/>
      <c r="PHP1449"/>
      <c r="PHQ1449"/>
      <c r="PHR1449"/>
      <c r="PHS1449"/>
      <c r="PHT1449"/>
      <c r="PHU1449"/>
      <c r="PHV1449"/>
      <c r="PHW1449"/>
      <c r="PHX1449"/>
      <c r="PHY1449"/>
      <c r="PHZ1449"/>
      <c r="PIA1449"/>
      <c r="PIB1449"/>
      <c r="PIC1449"/>
      <c r="PID1449"/>
      <c r="PIE1449"/>
      <c r="PIF1449"/>
      <c r="PIG1449"/>
      <c r="PIH1449"/>
      <c r="PII1449"/>
      <c r="PIJ1449"/>
      <c r="PIK1449"/>
      <c r="PIL1449"/>
      <c r="PIM1449"/>
      <c r="PIN1449"/>
      <c r="PIO1449"/>
      <c r="PIP1449"/>
      <c r="PIQ1449"/>
      <c r="PIR1449"/>
      <c r="PIS1449"/>
      <c r="PIT1449"/>
      <c r="PIU1449"/>
      <c r="PIV1449"/>
      <c r="PIW1449"/>
      <c r="PIX1449"/>
      <c r="PIY1449"/>
      <c r="PIZ1449"/>
      <c r="PJA1449"/>
      <c r="PJB1449"/>
      <c r="PJC1449"/>
      <c r="PJD1449"/>
      <c r="PJE1449"/>
      <c r="PJF1449"/>
      <c r="PJG1449"/>
      <c r="PJH1449"/>
      <c r="PJI1449"/>
      <c r="PJJ1449"/>
      <c r="PJK1449"/>
      <c r="PJL1449"/>
      <c r="PJM1449"/>
      <c r="PJN1449"/>
      <c r="PJO1449"/>
      <c r="PJP1449"/>
      <c r="PJQ1449"/>
      <c r="PJR1449"/>
      <c r="PJS1449"/>
      <c r="PJT1449"/>
      <c r="PJU1449"/>
      <c r="PJV1449"/>
      <c r="PJW1449"/>
      <c r="PJX1449"/>
      <c r="PJY1449"/>
      <c r="PJZ1449"/>
      <c r="PKA1449"/>
      <c r="PKB1449"/>
      <c r="PKC1449"/>
      <c r="PKD1449"/>
      <c r="PKE1449"/>
      <c r="PKF1449"/>
      <c r="PKG1449"/>
      <c r="PKH1449"/>
      <c r="PKI1449"/>
      <c r="PKJ1449"/>
      <c r="PKK1449"/>
      <c r="PKL1449"/>
      <c r="PKM1449"/>
      <c r="PKN1449"/>
      <c r="PKO1449"/>
      <c r="PKP1449"/>
      <c r="PKQ1449"/>
      <c r="PKR1449"/>
      <c r="PKS1449"/>
      <c r="PKT1449"/>
      <c r="PKU1449"/>
      <c r="PKV1449"/>
      <c r="PKW1449"/>
      <c r="PKX1449"/>
      <c r="PKY1449"/>
      <c r="PKZ1449"/>
      <c r="PLA1449"/>
      <c r="PLB1449"/>
      <c r="PLC1449"/>
      <c r="PLD1449"/>
      <c r="PLE1449"/>
      <c r="PLF1449"/>
      <c r="PLG1449"/>
      <c r="PLH1449"/>
      <c r="PLI1449"/>
      <c r="PLJ1449"/>
      <c r="PLK1449"/>
      <c r="PLL1449"/>
      <c r="PLM1449"/>
      <c r="PLN1449"/>
      <c r="PLO1449"/>
      <c r="PLP1449"/>
      <c r="PLQ1449"/>
      <c r="PLR1449"/>
      <c r="PLS1449"/>
      <c r="PLT1449"/>
      <c r="PLU1449"/>
      <c r="PLV1449"/>
      <c r="PLW1449"/>
      <c r="PLX1449"/>
      <c r="PLY1449"/>
      <c r="PLZ1449"/>
      <c r="PMA1449"/>
      <c r="PMB1449"/>
      <c r="PMC1449"/>
      <c r="PMD1449"/>
      <c r="PME1449"/>
      <c r="PMF1449"/>
      <c r="PMG1449"/>
      <c r="PMH1449"/>
      <c r="PMI1449"/>
      <c r="PMJ1449"/>
      <c r="PMK1449"/>
      <c r="PML1449"/>
      <c r="PMM1449"/>
      <c r="PMN1449"/>
      <c r="PMO1449"/>
      <c r="PMP1449"/>
      <c r="PMQ1449"/>
      <c r="PMR1449"/>
      <c r="PMS1449"/>
      <c r="PMT1449"/>
      <c r="PMU1449"/>
      <c r="PMV1449"/>
      <c r="PMW1449"/>
      <c r="PMX1449"/>
      <c r="PMY1449"/>
      <c r="PMZ1449"/>
      <c r="PNA1449"/>
      <c r="PNB1449"/>
      <c r="PNC1449"/>
      <c r="PND1449"/>
      <c r="PNE1449"/>
      <c r="PNF1449"/>
      <c r="PNG1449"/>
      <c r="PNH1449"/>
      <c r="PNI1449"/>
      <c r="PNJ1449"/>
      <c r="PNK1449"/>
      <c r="PNL1449"/>
      <c r="PNM1449"/>
      <c r="PNN1449"/>
      <c r="PNO1449"/>
      <c r="PNP1449"/>
      <c r="PNQ1449"/>
      <c r="PNR1449"/>
      <c r="PNS1449"/>
      <c r="PNT1449"/>
      <c r="PNU1449"/>
      <c r="PNV1449"/>
      <c r="PNW1449"/>
      <c r="PNX1449"/>
      <c r="PNY1449"/>
      <c r="PNZ1449"/>
      <c r="POA1449"/>
      <c r="POB1449"/>
      <c r="POC1449"/>
      <c r="POD1449"/>
      <c r="POE1449"/>
      <c r="POF1449"/>
      <c r="POG1449"/>
      <c r="POH1449"/>
      <c r="POI1449"/>
      <c r="POJ1449"/>
      <c r="POK1449"/>
      <c r="POL1449"/>
      <c r="POM1449"/>
      <c r="PON1449"/>
      <c r="POO1449"/>
      <c r="POP1449"/>
      <c r="POQ1449"/>
      <c r="POR1449"/>
      <c r="POS1449"/>
      <c r="POT1449"/>
      <c r="POU1449"/>
      <c r="POV1449"/>
      <c r="POW1449"/>
      <c r="POX1449"/>
      <c r="POY1449"/>
      <c r="POZ1449"/>
      <c r="PPA1449"/>
      <c r="PPB1449"/>
      <c r="PPC1449"/>
      <c r="PPD1449"/>
      <c r="PPE1449"/>
      <c r="PPF1449"/>
      <c r="PPG1449"/>
      <c r="PPH1449"/>
      <c r="PPI1449"/>
      <c r="PPJ1449"/>
      <c r="PPK1449"/>
      <c r="PPL1449"/>
      <c r="PPM1449"/>
      <c r="PPN1449"/>
      <c r="PPO1449"/>
      <c r="PPP1449"/>
      <c r="PPQ1449"/>
      <c r="PPR1449"/>
      <c r="PPS1449"/>
      <c r="PPT1449"/>
      <c r="PPU1449"/>
      <c r="PPV1449"/>
      <c r="PPW1449"/>
      <c r="PPX1449"/>
      <c r="PPY1449"/>
      <c r="PPZ1449"/>
      <c r="PQA1449"/>
      <c r="PQB1449"/>
      <c r="PQC1449"/>
      <c r="PQD1449"/>
      <c r="PQE1449"/>
      <c r="PQF1449"/>
      <c r="PQG1449"/>
      <c r="PQH1449"/>
      <c r="PQI1449"/>
      <c r="PQJ1449"/>
      <c r="PQK1449"/>
      <c r="PQL1449"/>
      <c r="PQM1449"/>
      <c r="PQN1449"/>
      <c r="PQO1449"/>
      <c r="PQP1449"/>
      <c r="PQQ1449"/>
      <c r="PQR1449"/>
      <c r="PQS1449"/>
      <c r="PQT1449"/>
      <c r="PQU1449"/>
      <c r="PQV1449"/>
      <c r="PQW1449"/>
      <c r="PQX1449"/>
      <c r="PQY1449"/>
      <c r="PQZ1449"/>
      <c r="PRA1449"/>
      <c r="PRB1449"/>
      <c r="PRC1449"/>
      <c r="PRD1449"/>
      <c r="PRE1449"/>
      <c r="PRF1449"/>
      <c r="PRG1449"/>
      <c r="PRH1449"/>
      <c r="PRI1449"/>
      <c r="PRJ1449"/>
      <c r="PRK1449"/>
      <c r="PRL1449"/>
      <c r="PRM1449"/>
      <c r="PRN1449"/>
      <c r="PRO1449"/>
      <c r="PRP1449"/>
      <c r="PRQ1449"/>
      <c r="PRR1449"/>
      <c r="PRS1449"/>
      <c r="PRT1449"/>
      <c r="PRU1449"/>
      <c r="PRV1449"/>
      <c r="PRW1449"/>
      <c r="PRX1449"/>
      <c r="PRY1449"/>
      <c r="PRZ1449"/>
      <c r="PSA1449"/>
      <c r="PSB1449"/>
      <c r="PSC1449"/>
      <c r="PSD1449"/>
      <c r="PSE1449"/>
      <c r="PSF1449"/>
      <c r="PSG1449"/>
      <c r="PSH1449"/>
      <c r="PSI1449"/>
      <c r="PSJ1449"/>
      <c r="PSK1449"/>
      <c r="PSL1449"/>
      <c r="PSM1449"/>
      <c r="PSN1449"/>
      <c r="PSO1449"/>
      <c r="PSP1449"/>
      <c r="PSQ1449"/>
      <c r="PSR1449"/>
      <c r="PSS1449"/>
      <c r="PST1449"/>
      <c r="PSU1449"/>
      <c r="PSV1449"/>
      <c r="PSW1449"/>
      <c r="PSX1449"/>
      <c r="PSY1449"/>
      <c r="PSZ1449"/>
      <c r="PTA1449"/>
      <c r="PTB1449"/>
      <c r="PTC1449"/>
      <c r="PTD1449"/>
      <c r="PTE1449"/>
      <c r="PTF1449"/>
      <c r="PTG1449"/>
      <c r="PTH1449"/>
      <c r="PTI1449"/>
      <c r="PTJ1449"/>
      <c r="PTK1449"/>
      <c r="PTL1449"/>
      <c r="PTM1449"/>
      <c r="PTN1449"/>
      <c r="PTO1449"/>
      <c r="PTP1449"/>
      <c r="PTQ1449"/>
      <c r="PTR1449"/>
      <c r="PTS1449"/>
      <c r="PTT1449"/>
      <c r="PTU1449"/>
      <c r="PTV1449"/>
      <c r="PTW1449"/>
      <c r="PTX1449"/>
      <c r="PTY1449"/>
      <c r="PTZ1449"/>
      <c r="PUA1449"/>
      <c r="PUB1449"/>
      <c r="PUC1449"/>
      <c r="PUD1449"/>
      <c r="PUE1449"/>
      <c r="PUF1449"/>
      <c r="PUG1449"/>
      <c r="PUH1449"/>
      <c r="PUI1449"/>
      <c r="PUJ1449"/>
      <c r="PUK1449"/>
      <c r="PUL1449"/>
      <c r="PUM1449"/>
      <c r="PUN1449"/>
      <c r="PUO1449"/>
      <c r="PUP1449"/>
      <c r="PUQ1449"/>
      <c r="PUR1449"/>
      <c r="PUS1449"/>
      <c r="PUT1449"/>
      <c r="PUU1449"/>
      <c r="PUV1449"/>
      <c r="PUW1449"/>
      <c r="PUX1449"/>
      <c r="PUY1449"/>
      <c r="PUZ1449"/>
      <c r="PVA1449"/>
      <c r="PVB1449"/>
      <c r="PVC1449"/>
      <c r="PVD1449"/>
      <c r="PVE1449"/>
      <c r="PVF1449"/>
      <c r="PVG1449"/>
      <c r="PVH1449"/>
      <c r="PVI1449"/>
      <c r="PVJ1449"/>
      <c r="PVK1449"/>
      <c r="PVL1449"/>
      <c r="PVM1449"/>
      <c r="PVN1449"/>
      <c r="PVO1449"/>
      <c r="PVP1449"/>
      <c r="PVQ1449"/>
      <c r="PVR1449"/>
      <c r="PVS1449"/>
      <c r="PVT1449"/>
      <c r="PVU1449"/>
      <c r="PVV1449"/>
      <c r="PVW1449"/>
      <c r="PVX1449"/>
      <c r="PVY1449"/>
      <c r="PVZ1449"/>
      <c r="PWA1449"/>
      <c r="PWB1449"/>
      <c r="PWC1449"/>
      <c r="PWD1449"/>
      <c r="PWE1449"/>
      <c r="PWF1449"/>
      <c r="PWG1449"/>
      <c r="PWH1449"/>
      <c r="PWI1449"/>
      <c r="PWJ1449"/>
      <c r="PWK1449"/>
      <c r="PWL1449"/>
      <c r="PWM1449"/>
      <c r="PWN1449"/>
      <c r="PWO1449"/>
      <c r="PWP1449"/>
      <c r="PWQ1449"/>
      <c r="PWR1449"/>
      <c r="PWS1449"/>
      <c r="PWT1449"/>
      <c r="PWU1449"/>
      <c r="PWV1449"/>
      <c r="PWW1449"/>
      <c r="PWX1449"/>
      <c r="PWY1449"/>
      <c r="PWZ1449"/>
      <c r="PXA1449"/>
      <c r="PXB1449"/>
      <c r="PXC1449"/>
      <c r="PXD1449"/>
      <c r="PXE1449"/>
      <c r="PXF1449"/>
      <c r="PXG1449"/>
      <c r="PXH1449"/>
      <c r="PXI1449"/>
      <c r="PXJ1449"/>
      <c r="PXK1449"/>
      <c r="PXL1449"/>
      <c r="PXM1449"/>
      <c r="PXN1449"/>
      <c r="PXO1449"/>
      <c r="PXP1449"/>
      <c r="PXQ1449"/>
      <c r="PXR1449"/>
      <c r="PXS1449"/>
      <c r="PXT1449"/>
      <c r="PXU1449"/>
      <c r="PXV1449"/>
      <c r="PXW1449"/>
      <c r="PXX1449"/>
      <c r="PXY1449"/>
      <c r="PXZ1449"/>
      <c r="PYA1449"/>
      <c r="PYB1449"/>
      <c r="PYC1449"/>
      <c r="PYD1449"/>
      <c r="PYE1449"/>
      <c r="PYF1449"/>
      <c r="PYG1449"/>
      <c r="PYH1449"/>
      <c r="PYI1449"/>
      <c r="PYJ1449"/>
      <c r="PYK1449"/>
      <c r="PYL1449"/>
      <c r="PYM1449"/>
      <c r="PYN1449"/>
      <c r="PYO1449"/>
      <c r="PYP1449"/>
      <c r="PYQ1449"/>
      <c r="PYR1449"/>
      <c r="PYS1449"/>
      <c r="PYT1449"/>
      <c r="PYU1449"/>
      <c r="PYV1449"/>
      <c r="PYW1449"/>
      <c r="PYX1449"/>
      <c r="PYY1449"/>
      <c r="PYZ1449"/>
      <c r="PZA1449"/>
      <c r="PZB1449"/>
      <c r="PZC1449"/>
      <c r="PZD1449"/>
      <c r="PZE1449"/>
      <c r="PZF1449"/>
      <c r="PZG1449"/>
      <c r="PZH1449"/>
      <c r="PZI1449"/>
      <c r="PZJ1449"/>
      <c r="PZK1449"/>
      <c r="PZL1449"/>
      <c r="PZM1449"/>
      <c r="PZN1449"/>
      <c r="PZO1449"/>
      <c r="PZP1449"/>
      <c r="PZQ1449"/>
      <c r="PZR1449"/>
      <c r="PZS1449"/>
      <c r="PZT1449"/>
      <c r="PZU1449"/>
      <c r="PZV1449"/>
      <c r="PZW1449"/>
      <c r="PZX1449"/>
      <c r="PZY1449"/>
      <c r="PZZ1449"/>
      <c r="QAA1449"/>
      <c r="QAB1449"/>
      <c r="QAC1449"/>
      <c r="QAD1449"/>
      <c r="QAE1449"/>
      <c r="QAF1449"/>
      <c r="QAG1449"/>
      <c r="QAH1449"/>
      <c r="QAI1449"/>
      <c r="QAJ1449"/>
      <c r="QAK1449"/>
      <c r="QAL1449"/>
      <c r="QAM1449"/>
      <c r="QAN1449"/>
      <c r="QAO1449"/>
      <c r="QAP1449"/>
      <c r="QAQ1449"/>
      <c r="QAR1449"/>
      <c r="QAS1449"/>
      <c r="QAT1449"/>
      <c r="QAU1449"/>
      <c r="QAV1449"/>
      <c r="QAW1449"/>
      <c r="QAX1449"/>
      <c r="QAY1449"/>
      <c r="QAZ1449"/>
      <c r="QBA1449"/>
      <c r="QBB1449"/>
      <c r="QBC1449"/>
      <c r="QBD1449"/>
      <c r="QBE1449"/>
      <c r="QBF1449"/>
      <c r="QBG1449"/>
      <c r="QBH1449"/>
      <c r="QBI1449"/>
      <c r="QBJ1449"/>
      <c r="QBK1449"/>
      <c r="QBL1449"/>
      <c r="QBM1449"/>
      <c r="QBN1449"/>
      <c r="QBO1449"/>
      <c r="QBP1449"/>
      <c r="QBQ1449"/>
      <c r="QBR1449"/>
      <c r="QBS1449"/>
      <c r="QBT1449"/>
      <c r="QBU1449"/>
      <c r="QBV1449"/>
      <c r="QBW1449"/>
      <c r="QBX1449"/>
      <c r="QBY1449"/>
      <c r="QBZ1449"/>
      <c r="QCA1449"/>
      <c r="QCB1449"/>
      <c r="QCC1449"/>
      <c r="QCD1449"/>
      <c r="QCE1449"/>
      <c r="QCF1449"/>
      <c r="QCG1449"/>
      <c r="QCH1449"/>
      <c r="QCI1449"/>
      <c r="QCJ1449"/>
      <c r="QCK1449"/>
      <c r="QCL1449"/>
      <c r="QCM1449"/>
      <c r="QCN1449"/>
      <c r="QCO1449"/>
      <c r="QCP1449"/>
      <c r="QCQ1449"/>
      <c r="QCR1449"/>
      <c r="QCS1449"/>
      <c r="QCT1449"/>
      <c r="QCU1449"/>
      <c r="QCV1449"/>
      <c r="QCW1449"/>
      <c r="QCX1449"/>
      <c r="QCY1449"/>
      <c r="QCZ1449"/>
      <c r="QDA1449"/>
      <c r="QDB1449"/>
      <c r="QDC1449"/>
      <c r="QDD1449"/>
      <c r="QDE1449"/>
      <c r="QDF1449"/>
      <c r="QDG1449"/>
      <c r="QDH1449"/>
      <c r="QDI1449"/>
      <c r="QDJ1449"/>
      <c r="QDK1449"/>
      <c r="QDL1449"/>
      <c r="QDM1449"/>
      <c r="QDN1449"/>
      <c r="QDO1449"/>
      <c r="QDP1449"/>
      <c r="QDQ1449"/>
      <c r="QDR1449"/>
      <c r="QDS1449"/>
      <c r="QDT1449"/>
      <c r="QDU1449"/>
      <c r="QDV1449"/>
      <c r="QDW1449"/>
      <c r="QDX1449"/>
      <c r="QDY1449"/>
      <c r="QDZ1449"/>
      <c r="QEA1449"/>
      <c r="QEB1449"/>
      <c r="QEC1449"/>
      <c r="QED1449"/>
      <c r="QEE1449"/>
      <c r="QEF1449"/>
      <c r="QEG1449"/>
      <c r="QEH1449"/>
      <c r="QEI1449"/>
      <c r="QEJ1449"/>
      <c r="QEK1449"/>
      <c r="QEL1449"/>
      <c r="QEM1449"/>
      <c r="QEN1449"/>
      <c r="QEO1449"/>
      <c r="QEP1449"/>
      <c r="QEQ1449"/>
      <c r="QER1449"/>
      <c r="QES1449"/>
      <c r="QET1449"/>
      <c r="QEU1449"/>
      <c r="QEV1449"/>
      <c r="QEW1449"/>
      <c r="QEX1449"/>
      <c r="QEY1449"/>
      <c r="QEZ1449"/>
      <c r="QFA1449"/>
      <c r="QFB1449"/>
      <c r="QFC1449"/>
      <c r="QFD1449"/>
      <c r="QFE1449"/>
      <c r="QFF1449"/>
      <c r="QFG1449"/>
      <c r="QFH1449"/>
      <c r="QFI1449"/>
      <c r="QFJ1449"/>
      <c r="QFK1449"/>
      <c r="QFL1449"/>
      <c r="QFM1449"/>
      <c r="QFN1449"/>
      <c r="QFO1449"/>
      <c r="QFP1449"/>
      <c r="QFQ1449"/>
      <c r="QFR1449"/>
      <c r="QFS1449"/>
      <c r="QFT1449"/>
      <c r="QFU1449"/>
      <c r="QFV1449"/>
      <c r="QFW1449"/>
      <c r="QFX1449"/>
      <c r="QFY1449"/>
      <c r="QFZ1449"/>
      <c r="QGA1449"/>
      <c r="QGB1449"/>
      <c r="QGC1449"/>
      <c r="QGD1449"/>
      <c r="QGE1449"/>
      <c r="QGF1449"/>
      <c r="QGG1449"/>
      <c r="QGH1449"/>
      <c r="QGI1449"/>
      <c r="QGJ1449"/>
      <c r="QGK1449"/>
      <c r="QGL1449"/>
      <c r="QGM1449"/>
      <c r="QGN1449"/>
      <c r="QGO1449"/>
      <c r="QGP1449"/>
      <c r="QGQ1449"/>
      <c r="QGR1449"/>
      <c r="QGS1449"/>
      <c r="QGT1449"/>
      <c r="QGU1449"/>
      <c r="QGV1449"/>
      <c r="QGW1449"/>
      <c r="QGX1449"/>
      <c r="QGY1449"/>
      <c r="QGZ1449"/>
      <c r="QHA1449"/>
      <c r="QHB1449"/>
      <c r="QHC1449"/>
      <c r="QHD1449"/>
      <c r="QHE1449"/>
      <c r="QHF1449"/>
      <c r="QHG1449"/>
      <c r="QHH1449"/>
      <c r="QHI1449"/>
      <c r="QHJ1449"/>
      <c r="QHK1449"/>
      <c r="QHL1449"/>
      <c r="QHM1449"/>
      <c r="QHN1449"/>
      <c r="QHO1449"/>
      <c r="QHP1449"/>
      <c r="QHQ1449"/>
      <c r="QHR1449"/>
      <c r="QHS1449"/>
      <c r="QHT1449"/>
      <c r="QHU1449"/>
      <c r="QHV1449"/>
      <c r="QHW1449"/>
      <c r="QHX1449"/>
      <c r="QHY1449"/>
      <c r="QHZ1449"/>
      <c r="QIA1449"/>
      <c r="QIB1449"/>
      <c r="QIC1449"/>
      <c r="QID1449"/>
      <c r="QIE1449"/>
      <c r="QIF1449"/>
      <c r="QIG1449"/>
      <c r="QIH1449"/>
      <c r="QII1449"/>
      <c r="QIJ1449"/>
      <c r="QIK1449"/>
      <c r="QIL1449"/>
      <c r="QIM1449"/>
      <c r="QIN1449"/>
      <c r="QIO1449"/>
      <c r="QIP1449"/>
      <c r="QIQ1449"/>
      <c r="QIR1449"/>
      <c r="QIS1449"/>
      <c r="QIT1449"/>
      <c r="QIU1449"/>
      <c r="QIV1449"/>
      <c r="QIW1449"/>
      <c r="QIX1449"/>
      <c r="QIY1449"/>
      <c r="QIZ1449"/>
      <c r="QJA1449"/>
      <c r="QJB1449"/>
      <c r="QJC1449"/>
      <c r="QJD1449"/>
      <c r="QJE1449"/>
      <c r="QJF1449"/>
      <c r="QJG1449"/>
      <c r="QJH1449"/>
      <c r="QJI1449"/>
      <c r="QJJ1449"/>
      <c r="QJK1449"/>
      <c r="QJL1449"/>
      <c r="QJM1449"/>
      <c r="QJN1449"/>
      <c r="QJO1449"/>
      <c r="QJP1449"/>
      <c r="QJQ1449"/>
      <c r="QJR1449"/>
      <c r="QJS1449"/>
      <c r="QJT1449"/>
      <c r="QJU1449"/>
      <c r="QJV1449"/>
      <c r="QJW1449"/>
      <c r="QJX1449"/>
      <c r="QJY1449"/>
      <c r="QJZ1449"/>
      <c r="QKA1449"/>
      <c r="QKB1449"/>
      <c r="QKC1449"/>
      <c r="QKD1449"/>
      <c r="QKE1449"/>
      <c r="QKF1449"/>
      <c r="QKG1449"/>
      <c r="QKH1449"/>
      <c r="QKI1449"/>
      <c r="QKJ1449"/>
      <c r="QKK1449"/>
      <c r="QKL1449"/>
      <c r="QKM1449"/>
      <c r="QKN1449"/>
      <c r="QKO1449"/>
      <c r="QKP1449"/>
      <c r="QKQ1449"/>
      <c r="QKR1449"/>
      <c r="QKS1449"/>
      <c r="QKT1449"/>
      <c r="QKU1449"/>
      <c r="QKV1449"/>
      <c r="QKW1449"/>
      <c r="QKX1449"/>
      <c r="QKY1449"/>
      <c r="QKZ1449"/>
      <c r="QLA1449"/>
      <c r="QLB1449"/>
      <c r="QLC1449"/>
      <c r="QLD1449"/>
      <c r="QLE1449"/>
      <c r="QLF1449"/>
      <c r="QLG1449"/>
      <c r="QLH1449"/>
      <c r="QLI1449"/>
      <c r="QLJ1449"/>
      <c r="QLK1449"/>
      <c r="QLL1449"/>
      <c r="QLM1449"/>
      <c r="QLN1449"/>
      <c r="QLO1449"/>
      <c r="QLP1449"/>
      <c r="QLQ1449"/>
      <c r="QLR1449"/>
      <c r="QLS1449"/>
      <c r="QLT1449"/>
      <c r="QLU1449"/>
      <c r="QLV1449"/>
      <c r="QLW1449"/>
      <c r="QLX1449"/>
      <c r="QLY1449"/>
      <c r="QLZ1449"/>
      <c r="QMA1449"/>
      <c r="QMB1449"/>
      <c r="QMC1449"/>
      <c r="QMD1449"/>
      <c r="QME1449"/>
      <c r="QMF1449"/>
      <c r="QMG1449"/>
      <c r="QMH1449"/>
      <c r="QMI1449"/>
      <c r="QMJ1449"/>
      <c r="QMK1449"/>
      <c r="QML1449"/>
      <c r="QMM1449"/>
      <c r="QMN1449"/>
      <c r="QMO1449"/>
      <c r="QMP1449"/>
      <c r="QMQ1449"/>
      <c r="QMR1449"/>
      <c r="QMS1449"/>
      <c r="QMT1449"/>
      <c r="QMU1449"/>
      <c r="QMV1449"/>
      <c r="QMW1449"/>
      <c r="QMX1449"/>
      <c r="QMY1449"/>
      <c r="QMZ1449"/>
      <c r="QNA1449"/>
      <c r="QNB1449"/>
      <c r="QNC1449"/>
      <c r="QND1449"/>
      <c r="QNE1449"/>
      <c r="QNF1449"/>
      <c r="QNG1449"/>
      <c r="QNH1449"/>
      <c r="QNI1449"/>
      <c r="QNJ1449"/>
      <c r="QNK1449"/>
      <c r="QNL1449"/>
      <c r="QNM1449"/>
      <c r="QNN1449"/>
      <c r="QNO1449"/>
      <c r="QNP1449"/>
      <c r="QNQ1449"/>
      <c r="QNR1449"/>
      <c r="QNS1449"/>
      <c r="QNT1449"/>
      <c r="QNU1449"/>
      <c r="QNV1449"/>
      <c r="QNW1449"/>
      <c r="QNX1449"/>
      <c r="QNY1449"/>
      <c r="QNZ1449"/>
      <c r="QOA1449"/>
      <c r="QOB1449"/>
      <c r="QOC1449"/>
      <c r="QOD1449"/>
      <c r="QOE1449"/>
      <c r="QOF1449"/>
      <c r="QOG1449"/>
      <c r="QOH1449"/>
      <c r="QOI1449"/>
      <c r="QOJ1449"/>
      <c r="QOK1449"/>
      <c r="QOL1449"/>
      <c r="QOM1449"/>
      <c r="QON1449"/>
      <c r="QOO1449"/>
      <c r="QOP1449"/>
      <c r="QOQ1449"/>
      <c r="QOR1449"/>
      <c r="QOS1449"/>
      <c r="QOT1449"/>
      <c r="QOU1449"/>
      <c r="QOV1449"/>
      <c r="QOW1449"/>
      <c r="QOX1449"/>
      <c r="QOY1449"/>
      <c r="QOZ1449"/>
      <c r="QPA1449"/>
      <c r="QPB1449"/>
      <c r="QPC1449"/>
      <c r="QPD1449"/>
      <c r="QPE1449"/>
      <c r="QPF1449"/>
      <c r="QPG1449"/>
      <c r="QPH1449"/>
      <c r="QPI1449"/>
      <c r="QPJ1449"/>
      <c r="QPK1449"/>
      <c r="QPL1449"/>
      <c r="QPM1449"/>
      <c r="QPN1449"/>
      <c r="QPO1449"/>
      <c r="QPP1449"/>
      <c r="QPQ1449"/>
      <c r="QPR1449"/>
      <c r="QPS1449"/>
      <c r="QPT1449"/>
      <c r="QPU1449"/>
      <c r="QPV1449"/>
      <c r="QPW1449"/>
      <c r="QPX1449"/>
      <c r="QPY1449"/>
      <c r="QPZ1449"/>
      <c r="QQA1449"/>
      <c r="QQB1449"/>
      <c r="QQC1449"/>
      <c r="QQD1449"/>
      <c r="QQE1449"/>
      <c r="QQF1449"/>
      <c r="QQG1449"/>
      <c r="QQH1449"/>
      <c r="QQI1449"/>
      <c r="QQJ1449"/>
      <c r="QQK1449"/>
      <c r="QQL1449"/>
      <c r="QQM1449"/>
      <c r="QQN1449"/>
      <c r="QQO1449"/>
      <c r="QQP1449"/>
      <c r="QQQ1449"/>
      <c r="QQR1449"/>
      <c r="QQS1449"/>
      <c r="QQT1449"/>
      <c r="QQU1449"/>
      <c r="QQV1449"/>
      <c r="QQW1449"/>
      <c r="QQX1449"/>
      <c r="QQY1449"/>
      <c r="QQZ1449"/>
      <c r="QRA1449"/>
      <c r="QRB1449"/>
      <c r="QRC1449"/>
      <c r="QRD1449"/>
      <c r="QRE1449"/>
      <c r="QRF1449"/>
      <c r="QRG1449"/>
      <c r="QRH1449"/>
      <c r="QRI1449"/>
      <c r="QRJ1449"/>
      <c r="QRK1449"/>
      <c r="QRL1449"/>
      <c r="QRM1449"/>
      <c r="QRN1449"/>
      <c r="QRO1449"/>
      <c r="QRP1449"/>
      <c r="QRQ1449"/>
      <c r="QRR1449"/>
      <c r="QRS1449"/>
      <c r="QRT1449"/>
      <c r="QRU1449"/>
      <c r="QRV1449"/>
      <c r="QRW1449"/>
      <c r="QRX1449"/>
      <c r="QRY1449"/>
      <c r="QRZ1449"/>
      <c r="QSA1449"/>
      <c r="QSB1449"/>
      <c r="QSC1449"/>
      <c r="QSD1449"/>
      <c r="QSE1449"/>
      <c r="QSF1449"/>
      <c r="QSG1449"/>
      <c r="QSH1449"/>
      <c r="QSI1449"/>
      <c r="QSJ1449"/>
      <c r="QSK1449"/>
      <c r="QSL1449"/>
      <c r="QSM1449"/>
      <c r="QSN1449"/>
      <c r="QSO1449"/>
      <c r="QSP1449"/>
      <c r="QSQ1449"/>
      <c r="QSR1449"/>
      <c r="QSS1449"/>
      <c r="QST1449"/>
      <c r="QSU1449"/>
      <c r="QSV1449"/>
      <c r="QSW1449"/>
      <c r="QSX1449"/>
      <c r="QSY1449"/>
      <c r="QSZ1449"/>
      <c r="QTA1449"/>
      <c r="QTB1449"/>
      <c r="QTC1449"/>
      <c r="QTD1449"/>
      <c r="QTE1449"/>
      <c r="QTF1449"/>
      <c r="QTG1449"/>
      <c r="QTH1449"/>
      <c r="QTI1449"/>
      <c r="QTJ1449"/>
      <c r="QTK1449"/>
      <c r="QTL1449"/>
      <c r="QTM1449"/>
      <c r="QTN1449"/>
      <c r="QTO1449"/>
      <c r="QTP1449"/>
      <c r="QTQ1449"/>
      <c r="QTR1449"/>
      <c r="QTS1449"/>
      <c r="QTT1449"/>
      <c r="QTU1449"/>
      <c r="QTV1449"/>
      <c r="QTW1449"/>
      <c r="QTX1449"/>
      <c r="QTY1449"/>
      <c r="QTZ1449"/>
      <c r="QUA1449"/>
      <c r="QUB1449"/>
      <c r="QUC1449"/>
      <c r="QUD1449"/>
      <c r="QUE1449"/>
      <c r="QUF1449"/>
      <c r="QUG1449"/>
      <c r="QUH1449"/>
      <c r="QUI1449"/>
      <c r="QUJ1449"/>
      <c r="QUK1449"/>
      <c r="QUL1449"/>
      <c r="QUM1449"/>
      <c r="QUN1449"/>
      <c r="QUO1449"/>
      <c r="QUP1449"/>
      <c r="QUQ1449"/>
      <c r="QUR1449"/>
      <c r="QUS1449"/>
      <c r="QUT1449"/>
      <c r="QUU1449"/>
      <c r="QUV1449"/>
      <c r="QUW1449"/>
      <c r="QUX1449"/>
      <c r="QUY1449"/>
      <c r="QUZ1449"/>
      <c r="QVA1449"/>
      <c r="QVB1449"/>
      <c r="QVC1449"/>
      <c r="QVD1449"/>
      <c r="QVE1449"/>
      <c r="QVF1449"/>
      <c r="QVG1449"/>
      <c r="QVH1449"/>
      <c r="QVI1449"/>
      <c r="QVJ1449"/>
      <c r="QVK1449"/>
      <c r="QVL1449"/>
      <c r="QVM1449"/>
      <c r="QVN1449"/>
      <c r="QVO1449"/>
      <c r="QVP1449"/>
      <c r="QVQ1449"/>
      <c r="QVR1449"/>
      <c r="QVS1449"/>
      <c r="QVT1449"/>
      <c r="QVU1449"/>
      <c r="QVV1449"/>
      <c r="QVW1449"/>
      <c r="QVX1449"/>
      <c r="QVY1449"/>
      <c r="QVZ1449"/>
      <c r="QWA1449"/>
      <c r="QWB1449"/>
      <c r="QWC1449"/>
      <c r="QWD1449"/>
      <c r="QWE1449"/>
      <c r="QWF1449"/>
      <c r="QWG1449"/>
      <c r="QWH1449"/>
      <c r="QWI1449"/>
      <c r="QWJ1449"/>
      <c r="QWK1449"/>
      <c r="QWL1449"/>
      <c r="QWM1449"/>
      <c r="QWN1449"/>
      <c r="QWO1449"/>
      <c r="QWP1449"/>
      <c r="QWQ1449"/>
      <c r="QWR1449"/>
      <c r="QWS1449"/>
      <c r="QWT1449"/>
      <c r="QWU1449"/>
      <c r="QWV1449"/>
      <c r="QWW1449"/>
      <c r="QWX1449"/>
      <c r="QWY1449"/>
      <c r="QWZ1449"/>
      <c r="QXA1449"/>
      <c r="QXB1449"/>
      <c r="QXC1449"/>
      <c r="QXD1449"/>
      <c r="QXE1449"/>
      <c r="QXF1449"/>
      <c r="QXG1449"/>
      <c r="QXH1449"/>
      <c r="QXI1449"/>
      <c r="QXJ1449"/>
      <c r="QXK1449"/>
      <c r="QXL1449"/>
      <c r="QXM1449"/>
      <c r="QXN1449"/>
      <c r="QXO1449"/>
      <c r="QXP1449"/>
      <c r="QXQ1449"/>
      <c r="QXR1449"/>
      <c r="QXS1449"/>
      <c r="QXT1449"/>
      <c r="QXU1449"/>
      <c r="QXV1449"/>
      <c r="QXW1449"/>
      <c r="QXX1449"/>
      <c r="QXY1449"/>
      <c r="QXZ1449"/>
      <c r="QYA1449"/>
      <c r="QYB1449"/>
      <c r="QYC1449"/>
      <c r="QYD1449"/>
      <c r="QYE1449"/>
      <c r="QYF1449"/>
      <c r="QYG1449"/>
      <c r="QYH1449"/>
      <c r="QYI1449"/>
      <c r="QYJ1449"/>
      <c r="QYK1449"/>
      <c r="QYL1449"/>
      <c r="QYM1449"/>
      <c r="QYN1449"/>
      <c r="QYO1449"/>
      <c r="QYP1449"/>
      <c r="QYQ1449"/>
      <c r="QYR1449"/>
      <c r="QYS1449"/>
      <c r="QYT1449"/>
      <c r="QYU1449"/>
      <c r="QYV1449"/>
      <c r="QYW1449"/>
      <c r="QYX1449"/>
      <c r="QYY1449"/>
      <c r="QYZ1449"/>
      <c r="QZA1449"/>
      <c r="QZB1449"/>
      <c r="QZC1449"/>
      <c r="QZD1449"/>
      <c r="QZE1449"/>
      <c r="QZF1449"/>
      <c r="QZG1449"/>
      <c r="QZH1449"/>
      <c r="QZI1449"/>
      <c r="QZJ1449"/>
      <c r="QZK1449"/>
      <c r="QZL1449"/>
      <c r="QZM1449"/>
      <c r="QZN1449"/>
      <c r="QZO1449"/>
      <c r="QZP1449"/>
      <c r="QZQ1449"/>
      <c r="QZR1449"/>
      <c r="QZS1449"/>
      <c r="QZT1449"/>
      <c r="QZU1449"/>
      <c r="QZV1449"/>
      <c r="QZW1449"/>
      <c r="QZX1449"/>
      <c r="QZY1449"/>
      <c r="QZZ1449"/>
      <c r="RAA1449"/>
      <c r="RAB1449"/>
      <c r="RAC1449"/>
      <c r="RAD1449"/>
      <c r="RAE1449"/>
      <c r="RAF1449"/>
      <c r="RAG1449"/>
      <c r="RAH1449"/>
      <c r="RAI1449"/>
      <c r="RAJ1449"/>
      <c r="RAK1449"/>
      <c r="RAL1449"/>
      <c r="RAM1449"/>
      <c r="RAN1449"/>
      <c r="RAO1449"/>
      <c r="RAP1449"/>
      <c r="RAQ1449"/>
      <c r="RAR1449"/>
      <c r="RAS1449"/>
      <c r="RAT1449"/>
      <c r="RAU1449"/>
      <c r="RAV1449"/>
      <c r="RAW1449"/>
      <c r="RAX1449"/>
      <c r="RAY1449"/>
      <c r="RAZ1449"/>
      <c r="RBA1449"/>
      <c r="RBB1449"/>
      <c r="RBC1449"/>
      <c r="RBD1449"/>
      <c r="RBE1449"/>
      <c r="RBF1449"/>
      <c r="RBG1449"/>
      <c r="RBH1449"/>
      <c r="RBI1449"/>
      <c r="RBJ1449"/>
      <c r="RBK1449"/>
      <c r="RBL1449"/>
      <c r="RBM1449"/>
      <c r="RBN1449"/>
      <c r="RBO1449"/>
      <c r="RBP1449"/>
      <c r="RBQ1449"/>
      <c r="RBR1449"/>
      <c r="RBS1449"/>
      <c r="RBT1449"/>
      <c r="RBU1449"/>
      <c r="RBV1449"/>
      <c r="RBW1449"/>
      <c r="RBX1449"/>
      <c r="RBY1449"/>
      <c r="RBZ1449"/>
      <c r="RCA1449"/>
      <c r="RCB1449"/>
      <c r="RCC1449"/>
      <c r="RCD1449"/>
      <c r="RCE1449"/>
      <c r="RCF1449"/>
      <c r="RCG1449"/>
      <c r="RCH1449"/>
      <c r="RCI1449"/>
      <c r="RCJ1449"/>
      <c r="RCK1449"/>
      <c r="RCL1449"/>
      <c r="RCM1449"/>
      <c r="RCN1449"/>
      <c r="RCO1449"/>
      <c r="RCP1449"/>
      <c r="RCQ1449"/>
      <c r="RCR1449"/>
      <c r="RCS1449"/>
      <c r="RCT1449"/>
      <c r="RCU1449"/>
      <c r="RCV1449"/>
      <c r="RCW1449"/>
      <c r="RCX1449"/>
      <c r="RCY1449"/>
      <c r="RCZ1449"/>
      <c r="RDA1449"/>
      <c r="RDB1449"/>
      <c r="RDC1449"/>
      <c r="RDD1449"/>
      <c r="RDE1449"/>
      <c r="RDF1449"/>
      <c r="RDG1449"/>
      <c r="RDH1449"/>
      <c r="RDI1449"/>
      <c r="RDJ1449"/>
      <c r="RDK1449"/>
      <c r="RDL1449"/>
      <c r="RDM1449"/>
      <c r="RDN1449"/>
      <c r="RDO1449"/>
      <c r="RDP1449"/>
      <c r="RDQ1449"/>
      <c r="RDR1449"/>
      <c r="RDS1449"/>
      <c r="RDT1449"/>
      <c r="RDU1449"/>
      <c r="RDV1449"/>
      <c r="RDW1449"/>
      <c r="RDX1449"/>
      <c r="RDY1449"/>
      <c r="RDZ1449"/>
      <c r="REA1449"/>
      <c r="REB1449"/>
      <c r="REC1449"/>
      <c r="RED1449"/>
      <c r="REE1449"/>
      <c r="REF1449"/>
      <c r="REG1449"/>
      <c r="REH1449"/>
      <c r="REI1449"/>
      <c r="REJ1449"/>
      <c r="REK1449"/>
      <c r="REL1449"/>
      <c r="REM1449"/>
      <c r="REN1449"/>
      <c r="REO1449"/>
      <c r="REP1449"/>
      <c r="REQ1449"/>
      <c r="RER1449"/>
      <c r="RES1449"/>
      <c r="RET1449"/>
      <c r="REU1449"/>
      <c r="REV1449"/>
      <c r="REW1449"/>
      <c r="REX1449"/>
      <c r="REY1449"/>
      <c r="REZ1449"/>
      <c r="RFA1449"/>
      <c r="RFB1449"/>
      <c r="RFC1449"/>
      <c r="RFD1449"/>
      <c r="RFE1449"/>
      <c r="RFF1449"/>
      <c r="RFG1449"/>
      <c r="RFH1449"/>
      <c r="RFI1449"/>
      <c r="RFJ1449"/>
      <c r="RFK1449"/>
      <c r="RFL1449"/>
      <c r="RFM1449"/>
      <c r="RFN1449"/>
      <c r="RFO1449"/>
      <c r="RFP1449"/>
      <c r="RFQ1449"/>
      <c r="RFR1449"/>
      <c r="RFS1449"/>
      <c r="RFT1449"/>
      <c r="RFU1449"/>
      <c r="RFV1449"/>
      <c r="RFW1449"/>
      <c r="RFX1449"/>
      <c r="RFY1449"/>
      <c r="RFZ1449"/>
      <c r="RGA1449"/>
      <c r="RGB1449"/>
      <c r="RGC1449"/>
      <c r="RGD1449"/>
      <c r="RGE1449"/>
      <c r="RGF1449"/>
      <c r="RGG1449"/>
      <c r="RGH1449"/>
      <c r="RGI1449"/>
      <c r="RGJ1449"/>
      <c r="RGK1449"/>
      <c r="RGL1449"/>
      <c r="RGM1449"/>
      <c r="RGN1449"/>
      <c r="RGO1449"/>
      <c r="RGP1449"/>
      <c r="RGQ1449"/>
      <c r="RGR1449"/>
      <c r="RGS1449"/>
      <c r="RGT1449"/>
      <c r="RGU1449"/>
      <c r="RGV1449"/>
      <c r="RGW1449"/>
      <c r="RGX1449"/>
      <c r="RGY1449"/>
      <c r="RGZ1449"/>
      <c r="RHA1449"/>
      <c r="RHB1449"/>
      <c r="RHC1449"/>
      <c r="RHD1449"/>
      <c r="RHE1449"/>
      <c r="RHF1449"/>
      <c r="RHG1449"/>
      <c r="RHH1449"/>
      <c r="RHI1449"/>
      <c r="RHJ1449"/>
      <c r="RHK1449"/>
      <c r="RHL1449"/>
      <c r="RHM1449"/>
      <c r="RHN1449"/>
      <c r="RHO1449"/>
      <c r="RHP1449"/>
      <c r="RHQ1449"/>
      <c r="RHR1449"/>
      <c r="RHS1449"/>
      <c r="RHT1449"/>
      <c r="RHU1449"/>
      <c r="RHV1449"/>
      <c r="RHW1449"/>
      <c r="RHX1449"/>
      <c r="RHY1449"/>
      <c r="RHZ1449"/>
      <c r="RIA1449"/>
      <c r="RIB1449"/>
      <c r="RIC1449"/>
      <c r="RID1449"/>
      <c r="RIE1449"/>
      <c r="RIF1449"/>
      <c r="RIG1449"/>
      <c r="RIH1449"/>
      <c r="RII1449"/>
      <c r="RIJ1449"/>
      <c r="RIK1449"/>
      <c r="RIL1449"/>
      <c r="RIM1449"/>
      <c r="RIN1449"/>
      <c r="RIO1449"/>
      <c r="RIP1449"/>
      <c r="RIQ1449"/>
      <c r="RIR1449"/>
      <c r="RIS1449"/>
      <c r="RIT1449"/>
      <c r="RIU1449"/>
      <c r="RIV1449"/>
      <c r="RIW1449"/>
      <c r="RIX1449"/>
      <c r="RIY1449"/>
      <c r="RIZ1449"/>
      <c r="RJA1449"/>
      <c r="RJB1449"/>
      <c r="RJC1449"/>
      <c r="RJD1449"/>
      <c r="RJE1449"/>
      <c r="RJF1449"/>
      <c r="RJG1449"/>
      <c r="RJH1449"/>
      <c r="RJI1449"/>
      <c r="RJJ1449"/>
      <c r="RJK1449"/>
      <c r="RJL1449"/>
      <c r="RJM1449"/>
      <c r="RJN1449"/>
      <c r="RJO1449"/>
      <c r="RJP1449"/>
      <c r="RJQ1449"/>
      <c r="RJR1449"/>
      <c r="RJS1449"/>
      <c r="RJT1449"/>
      <c r="RJU1449"/>
      <c r="RJV1449"/>
      <c r="RJW1449"/>
      <c r="RJX1449"/>
      <c r="RJY1449"/>
      <c r="RJZ1449"/>
      <c r="RKA1449"/>
      <c r="RKB1449"/>
      <c r="RKC1449"/>
      <c r="RKD1449"/>
      <c r="RKE1449"/>
      <c r="RKF1449"/>
      <c r="RKG1449"/>
      <c r="RKH1449"/>
      <c r="RKI1449"/>
      <c r="RKJ1449"/>
      <c r="RKK1449"/>
      <c r="RKL1449"/>
      <c r="RKM1449"/>
      <c r="RKN1449"/>
      <c r="RKO1449"/>
      <c r="RKP1449"/>
      <c r="RKQ1449"/>
      <c r="RKR1449"/>
      <c r="RKS1449"/>
      <c r="RKT1449"/>
      <c r="RKU1449"/>
      <c r="RKV1449"/>
      <c r="RKW1449"/>
      <c r="RKX1449"/>
      <c r="RKY1449"/>
      <c r="RKZ1449"/>
      <c r="RLA1449"/>
      <c r="RLB1449"/>
      <c r="RLC1449"/>
      <c r="RLD1449"/>
      <c r="RLE1449"/>
      <c r="RLF1449"/>
      <c r="RLG1449"/>
      <c r="RLH1449"/>
      <c r="RLI1449"/>
      <c r="RLJ1449"/>
      <c r="RLK1449"/>
      <c r="RLL1449"/>
      <c r="RLM1449"/>
      <c r="RLN1449"/>
      <c r="RLO1449"/>
      <c r="RLP1449"/>
      <c r="RLQ1449"/>
      <c r="RLR1449"/>
      <c r="RLS1449"/>
      <c r="RLT1449"/>
      <c r="RLU1449"/>
      <c r="RLV1449"/>
      <c r="RLW1449"/>
      <c r="RLX1449"/>
      <c r="RLY1449"/>
      <c r="RLZ1449"/>
      <c r="RMA1449"/>
      <c r="RMB1449"/>
      <c r="RMC1449"/>
      <c r="RMD1449"/>
      <c r="RME1449"/>
      <c r="RMF1449"/>
      <c r="RMG1449"/>
      <c r="RMH1449"/>
      <c r="RMI1449"/>
      <c r="RMJ1449"/>
      <c r="RMK1449"/>
      <c r="RML1449"/>
      <c r="RMM1449"/>
      <c r="RMN1449"/>
      <c r="RMO1449"/>
      <c r="RMP1449"/>
      <c r="RMQ1449"/>
      <c r="RMR1449"/>
      <c r="RMS1449"/>
      <c r="RMT1449"/>
      <c r="RMU1449"/>
      <c r="RMV1449"/>
      <c r="RMW1449"/>
      <c r="RMX1449"/>
      <c r="RMY1449"/>
      <c r="RMZ1449"/>
      <c r="RNA1449"/>
      <c r="RNB1449"/>
      <c r="RNC1449"/>
      <c r="RND1449"/>
      <c r="RNE1449"/>
      <c r="RNF1449"/>
      <c r="RNG1449"/>
      <c r="RNH1449"/>
      <c r="RNI1449"/>
      <c r="RNJ1449"/>
      <c r="RNK1449"/>
      <c r="RNL1449"/>
      <c r="RNM1449"/>
      <c r="RNN1449"/>
      <c r="RNO1449"/>
      <c r="RNP1449"/>
      <c r="RNQ1449"/>
      <c r="RNR1449"/>
      <c r="RNS1449"/>
      <c r="RNT1449"/>
      <c r="RNU1449"/>
      <c r="RNV1449"/>
      <c r="RNW1449"/>
      <c r="RNX1449"/>
      <c r="RNY1449"/>
      <c r="RNZ1449"/>
      <c r="ROA1449"/>
      <c r="ROB1449"/>
      <c r="ROC1449"/>
      <c r="ROD1449"/>
      <c r="ROE1449"/>
      <c r="ROF1449"/>
      <c r="ROG1449"/>
      <c r="ROH1449"/>
      <c r="ROI1449"/>
      <c r="ROJ1449"/>
      <c r="ROK1449"/>
      <c r="ROL1449"/>
      <c r="ROM1449"/>
      <c r="RON1449"/>
      <c r="ROO1449"/>
      <c r="ROP1449"/>
      <c r="ROQ1449"/>
      <c r="ROR1449"/>
      <c r="ROS1449"/>
      <c r="ROT1449"/>
      <c r="ROU1449"/>
      <c r="ROV1449"/>
      <c r="ROW1449"/>
      <c r="ROX1449"/>
      <c r="ROY1449"/>
      <c r="ROZ1449"/>
      <c r="RPA1449"/>
      <c r="RPB1449"/>
      <c r="RPC1449"/>
      <c r="RPD1449"/>
      <c r="RPE1449"/>
      <c r="RPF1449"/>
      <c r="RPG1449"/>
      <c r="RPH1449"/>
      <c r="RPI1449"/>
      <c r="RPJ1449"/>
      <c r="RPK1449"/>
      <c r="RPL1449"/>
      <c r="RPM1449"/>
      <c r="RPN1449"/>
      <c r="RPO1449"/>
      <c r="RPP1449"/>
      <c r="RPQ1449"/>
      <c r="RPR1449"/>
      <c r="RPS1449"/>
      <c r="RPT1449"/>
      <c r="RPU1449"/>
      <c r="RPV1449"/>
      <c r="RPW1449"/>
      <c r="RPX1449"/>
      <c r="RPY1449"/>
      <c r="RPZ1449"/>
      <c r="RQA1449"/>
      <c r="RQB1449"/>
      <c r="RQC1449"/>
      <c r="RQD1449"/>
      <c r="RQE1449"/>
      <c r="RQF1449"/>
      <c r="RQG1449"/>
      <c r="RQH1449"/>
      <c r="RQI1449"/>
      <c r="RQJ1449"/>
      <c r="RQK1449"/>
      <c r="RQL1449"/>
      <c r="RQM1449"/>
      <c r="RQN1449"/>
      <c r="RQO1449"/>
      <c r="RQP1449"/>
      <c r="RQQ1449"/>
      <c r="RQR1449"/>
      <c r="RQS1449"/>
      <c r="RQT1449"/>
      <c r="RQU1449"/>
      <c r="RQV1449"/>
      <c r="RQW1449"/>
      <c r="RQX1449"/>
      <c r="RQY1449"/>
      <c r="RQZ1449"/>
      <c r="RRA1449"/>
      <c r="RRB1449"/>
      <c r="RRC1449"/>
      <c r="RRD1449"/>
      <c r="RRE1449"/>
      <c r="RRF1449"/>
      <c r="RRG1449"/>
      <c r="RRH1449"/>
      <c r="RRI1449"/>
      <c r="RRJ1449"/>
      <c r="RRK1449"/>
      <c r="RRL1449"/>
      <c r="RRM1449"/>
      <c r="RRN1449"/>
      <c r="RRO1449"/>
      <c r="RRP1449"/>
      <c r="RRQ1449"/>
      <c r="RRR1449"/>
      <c r="RRS1449"/>
      <c r="RRT1449"/>
      <c r="RRU1449"/>
      <c r="RRV1449"/>
      <c r="RRW1449"/>
      <c r="RRX1449"/>
      <c r="RRY1449"/>
      <c r="RRZ1449"/>
      <c r="RSA1449"/>
      <c r="RSB1449"/>
      <c r="RSC1449"/>
      <c r="RSD1449"/>
      <c r="RSE1449"/>
      <c r="RSF1449"/>
      <c r="RSG1449"/>
      <c r="RSH1449"/>
      <c r="RSI1449"/>
      <c r="RSJ1449"/>
      <c r="RSK1449"/>
      <c r="RSL1449"/>
      <c r="RSM1449"/>
      <c r="RSN1449"/>
      <c r="RSO1449"/>
      <c r="RSP1449"/>
      <c r="RSQ1449"/>
      <c r="RSR1449"/>
      <c r="RSS1449"/>
      <c r="RST1449"/>
      <c r="RSU1449"/>
      <c r="RSV1449"/>
      <c r="RSW1449"/>
      <c r="RSX1449"/>
      <c r="RSY1449"/>
      <c r="RSZ1449"/>
      <c r="RTA1449"/>
      <c r="RTB1449"/>
      <c r="RTC1449"/>
      <c r="RTD1449"/>
      <c r="RTE1449"/>
      <c r="RTF1449"/>
      <c r="RTG1449"/>
      <c r="RTH1449"/>
      <c r="RTI1449"/>
      <c r="RTJ1449"/>
      <c r="RTK1449"/>
      <c r="RTL1449"/>
      <c r="RTM1449"/>
      <c r="RTN1449"/>
      <c r="RTO1449"/>
      <c r="RTP1449"/>
      <c r="RTQ1449"/>
      <c r="RTR1449"/>
      <c r="RTS1449"/>
      <c r="RTT1449"/>
      <c r="RTU1449"/>
      <c r="RTV1449"/>
      <c r="RTW1449"/>
      <c r="RTX1449"/>
      <c r="RTY1449"/>
      <c r="RTZ1449"/>
      <c r="RUA1449"/>
      <c r="RUB1449"/>
      <c r="RUC1449"/>
      <c r="RUD1449"/>
      <c r="RUE1449"/>
      <c r="RUF1449"/>
      <c r="RUG1449"/>
      <c r="RUH1449"/>
      <c r="RUI1449"/>
      <c r="RUJ1449"/>
      <c r="RUK1449"/>
      <c r="RUL1449"/>
      <c r="RUM1449"/>
      <c r="RUN1449"/>
      <c r="RUO1449"/>
      <c r="RUP1449"/>
      <c r="RUQ1449"/>
      <c r="RUR1449"/>
      <c r="RUS1449"/>
      <c r="RUT1449"/>
      <c r="RUU1449"/>
      <c r="RUV1449"/>
      <c r="RUW1449"/>
      <c r="RUX1449"/>
      <c r="RUY1449"/>
      <c r="RUZ1449"/>
      <c r="RVA1449"/>
      <c r="RVB1449"/>
      <c r="RVC1449"/>
      <c r="RVD1449"/>
      <c r="RVE1449"/>
      <c r="RVF1449"/>
      <c r="RVG1449"/>
      <c r="RVH1449"/>
      <c r="RVI1449"/>
      <c r="RVJ1449"/>
      <c r="RVK1449"/>
      <c r="RVL1449"/>
      <c r="RVM1449"/>
      <c r="RVN1449"/>
      <c r="RVO1449"/>
      <c r="RVP1449"/>
      <c r="RVQ1449"/>
      <c r="RVR1449"/>
      <c r="RVS1449"/>
      <c r="RVT1449"/>
      <c r="RVU1449"/>
      <c r="RVV1449"/>
      <c r="RVW1449"/>
      <c r="RVX1449"/>
      <c r="RVY1449"/>
      <c r="RVZ1449"/>
      <c r="RWA1449"/>
      <c r="RWB1449"/>
      <c r="RWC1449"/>
      <c r="RWD1449"/>
      <c r="RWE1449"/>
      <c r="RWF1449"/>
      <c r="RWG1449"/>
      <c r="RWH1449"/>
      <c r="RWI1449"/>
      <c r="RWJ1449"/>
      <c r="RWK1449"/>
      <c r="RWL1449"/>
      <c r="RWM1449"/>
      <c r="RWN1449"/>
      <c r="RWO1449"/>
      <c r="RWP1449"/>
      <c r="RWQ1449"/>
      <c r="RWR1449"/>
      <c r="RWS1449"/>
      <c r="RWT1449"/>
      <c r="RWU1449"/>
      <c r="RWV1449"/>
      <c r="RWW1449"/>
      <c r="RWX1449"/>
      <c r="RWY1449"/>
      <c r="RWZ1449"/>
      <c r="RXA1449"/>
      <c r="RXB1449"/>
      <c r="RXC1449"/>
      <c r="RXD1449"/>
      <c r="RXE1449"/>
      <c r="RXF1449"/>
      <c r="RXG1449"/>
      <c r="RXH1449"/>
      <c r="RXI1449"/>
      <c r="RXJ1449"/>
      <c r="RXK1449"/>
      <c r="RXL1449"/>
      <c r="RXM1449"/>
      <c r="RXN1449"/>
      <c r="RXO1449"/>
      <c r="RXP1449"/>
      <c r="RXQ1449"/>
      <c r="RXR1449"/>
      <c r="RXS1449"/>
      <c r="RXT1449"/>
      <c r="RXU1449"/>
      <c r="RXV1449"/>
      <c r="RXW1449"/>
      <c r="RXX1449"/>
      <c r="RXY1449"/>
      <c r="RXZ1449"/>
      <c r="RYA1449"/>
      <c r="RYB1449"/>
      <c r="RYC1449"/>
      <c r="RYD1449"/>
      <c r="RYE1449"/>
      <c r="RYF1449"/>
      <c r="RYG1449"/>
      <c r="RYH1449"/>
      <c r="RYI1449"/>
      <c r="RYJ1449"/>
      <c r="RYK1449"/>
      <c r="RYL1449"/>
      <c r="RYM1449"/>
      <c r="RYN1449"/>
      <c r="RYO1449"/>
      <c r="RYP1449"/>
      <c r="RYQ1449"/>
      <c r="RYR1449"/>
      <c r="RYS1449"/>
      <c r="RYT1449"/>
      <c r="RYU1449"/>
      <c r="RYV1449"/>
      <c r="RYW1449"/>
      <c r="RYX1449"/>
      <c r="RYY1449"/>
      <c r="RYZ1449"/>
      <c r="RZA1449"/>
      <c r="RZB1449"/>
      <c r="RZC1449"/>
      <c r="RZD1449"/>
      <c r="RZE1449"/>
      <c r="RZF1449"/>
      <c r="RZG1449"/>
      <c r="RZH1449"/>
      <c r="RZI1449"/>
      <c r="RZJ1449"/>
      <c r="RZK1449"/>
      <c r="RZL1449"/>
      <c r="RZM1449"/>
      <c r="RZN1449"/>
      <c r="RZO1449"/>
      <c r="RZP1449"/>
      <c r="RZQ1449"/>
      <c r="RZR1449"/>
      <c r="RZS1449"/>
      <c r="RZT1449"/>
      <c r="RZU1449"/>
      <c r="RZV1449"/>
      <c r="RZW1449"/>
      <c r="RZX1449"/>
      <c r="RZY1449"/>
      <c r="RZZ1449"/>
      <c r="SAA1449"/>
      <c r="SAB1449"/>
      <c r="SAC1449"/>
      <c r="SAD1449"/>
      <c r="SAE1449"/>
      <c r="SAF1449"/>
      <c r="SAG1449"/>
      <c r="SAH1449"/>
      <c r="SAI1449"/>
      <c r="SAJ1449"/>
      <c r="SAK1449"/>
      <c r="SAL1449"/>
      <c r="SAM1449"/>
      <c r="SAN1449"/>
      <c r="SAO1449"/>
      <c r="SAP1449"/>
      <c r="SAQ1449"/>
      <c r="SAR1449"/>
      <c r="SAS1449"/>
      <c r="SAT1449"/>
      <c r="SAU1449"/>
      <c r="SAV1449"/>
      <c r="SAW1449"/>
      <c r="SAX1449"/>
      <c r="SAY1449"/>
      <c r="SAZ1449"/>
      <c r="SBA1449"/>
      <c r="SBB1449"/>
      <c r="SBC1449"/>
      <c r="SBD1449"/>
      <c r="SBE1449"/>
      <c r="SBF1449"/>
      <c r="SBG1449"/>
      <c r="SBH1449"/>
      <c r="SBI1449"/>
      <c r="SBJ1449"/>
      <c r="SBK1449"/>
      <c r="SBL1449"/>
      <c r="SBM1449"/>
      <c r="SBN1449"/>
      <c r="SBO1449"/>
      <c r="SBP1449"/>
      <c r="SBQ1449"/>
      <c r="SBR1449"/>
      <c r="SBS1449"/>
      <c r="SBT1449"/>
      <c r="SBU1449"/>
      <c r="SBV1449"/>
      <c r="SBW1449"/>
      <c r="SBX1449"/>
      <c r="SBY1449"/>
      <c r="SBZ1449"/>
      <c r="SCA1449"/>
      <c r="SCB1449"/>
      <c r="SCC1449"/>
      <c r="SCD1449"/>
      <c r="SCE1449"/>
      <c r="SCF1449"/>
      <c r="SCG1449"/>
      <c r="SCH1449"/>
      <c r="SCI1449"/>
      <c r="SCJ1449"/>
      <c r="SCK1449"/>
      <c r="SCL1449"/>
      <c r="SCM1449"/>
      <c r="SCN1449"/>
      <c r="SCO1449"/>
      <c r="SCP1449"/>
      <c r="SCQ1449"/>
      <c r="SCR1449"/>
      <c r="SCS1449"/>
      <c r="SCT1449"/>
      <c r="SCU1449"/>
      <c r="SCV1449"/>
      <c r="SCW1449"/>
      <c r="SCX1449"/>
      <c r="SCY1449"/>
      <c r="SCZ1449"/>
      <c r="SDA1449"/>
      <c r="SDB1449"/>
      <c r="SDC1449"/>
      <c r="SDD1449"/>
      <c r="SDE1449"/>
      <c r="SDF1449"/>
      <c r="SDG1449"/>
      <c r="SDH1449"/>
      <c r="SDI1449"/>
      <c r="SDJ1449"/>
      <c r="SDK1449"/>
      <c r="SDL1449"/>
      <c r="SDM1449"/>
      <c r="SDN1449"/>
      <c r="SDO1449"/>
      <c r="SDP1449"/>
      <c r="SDQ1449"/>
      <c r="SDR1449"/>
      <c r="SDS1449"/>
      <c r="SDT1449"/>
      <c r="SDU1449"/>
      <c r="SDV1449"/>
      <c r="SDW1449"/>
      <c r="SDX1449"/>
      <c r="SDY1449"/>
      <c r="SDZ1449"/>
      <c r="SEA1449"/>
      <c r="SEB1449"/>
      <c r="SEC1449"/>
      <c r="SED1449"/>
      <c r="SEE1449"/>
      <c r="SEF1449"/>
      <c r="SEG1449"/>
      <c r="SEH1449"/>
      <c r="SEI1449"/>
      <c r="SEJ1449"/>
      <c r="SEK1449"/>
      <c r="SEL1449"/>
      <c r="SEM1449"/>
      <c r="SEN1449"/>
      <c r="SEO1449"/>
      <c r="SEP1449"/>
      <c r="SEQ1449"/>
      <c r="SER1449"/>
      <c r="SES1449"/>
      <c r="SET1449"/>
      <c r="SEU1449"/>
      <c r="SEV1449"/>
      <c r="SEW1449"/>
      <c r="SEX1449"/>
      <c r="SEY1449"/>
      <c r="SEZ1449"/>
      <c r="SFA1449"/>
      <c r="SFB1449"/>
      <c r="SFC1449"/>
      <c r="SFD1449"/>
      <c r="SFE1449"/>
      <c r="SFF1449"/>
      <c r="SFG1449"/>
      <c r="SFH1449"/>
      <c r="SFI1449"/>
      <c r="SFJ1449"/>
      <c r="SFK1449"/>
      <c r="SFL1449"/>
      <c r="SFM1449"/>
      <c r="SFN1449"/>
      <c r="SFO1449"/>
      <c r="SFP1449"/>
      <c r="SFQ1449"/>
      <c r="SFR1449"/>
      <c r="SFS1449"/>
      <c r="SFT1449"/>
      <c r="SFU1449"/>
      <c r="SFV1449"/>
      <c r="SFW1449"/>
      <c r="SFX1449"/>
      <c r="SFY1449"/>
      <c r="SFZ1449"/>
      <c r="SGA1449"/>
      <c r="SGB1449"/>
      <c r="SGC1449"/>
      <c r="SGD1449"/>
      <c r="SGE1449"/>
      <c r="SGF1449"/>
      <c r="SGG1449"/>
      <c r="SGH1449"/>
      <c r="SGI1449"/>
      <c r="SGJ1449"/>
      <c r="SGK1449"/>
      <c r="SGL1449"/>
      <c r="SGM1449"/>
      <c r="SGN1449"/>
      <c r="SGO1449"/>
      <c r="SGP1449"/>
      <c r="SGQ1449"/>
      <c r="SGR1449"/>
      <c r="SGS1449"/>
      <c r="SGT1449"/>
      <c r="SGU1449"/>
      <c r="SGV1449"/>
      <c r="SGW1449"/>
      <c r="SGX1449"/>
      <c r="SGY1449"/>
      <c r="SGZ1449"/>
      <c r="SHA1449"/>
      <c r="SHB1449"/>
      <c r="SHC1449"/>
      <c r="SHD1449"/>
      <c r="SHE1449"/>
      <c r="SHF1449"/>
      <c r="SHG1449"/>
      <c r="SHH1449"/>
      <c r="SHI1449"/>
      <c r="SHJ1449"/>
      <c r="SHK1449"/>
      <c r="SHL1449"/>
      <c r="SHM1449"/>
      <c r="SHN1449"/>
      <c r="SHO1449"/>
      <c r="SHP1449"/>
      <c r="SHQ1449"/>
      <c r="SHR1449"/>
      <c r="SHS1449"/>
      <c r="SHT1449"/>
      <c r="SHU1449"/>
      <c r="SHV1449"/>
      <c r="SHW1449"/>
      <c r="SHX1449"/>
      <c r="SHY1449"/>
      <c r="SHZ1449"/>
      <c r="SIA1449"/>
      <c r="SIB1449"/>
      <c r="SIC1449"/>
      <c r="SID1449"/>
      <c r="SIE1449"/>
      <c r="SIF1449"/>
      <c r="SIG1449"/>
      <c r="SIH1449"/>
      <c r="SII1449"/>
      <c r="SIJ1449"/>
      <c r="SIK1449"/>
      <c r="SIL1449"/>
      <c r="SIM1449"/>
      <c r="SIN1449"/>
      <c r="SIO1449"/>
      <c r="SIP1449"/>
      <c r="SIQ1449"/>
      <c r="SIR1449"/>
      <c r="SIS1449"/>
      <c r="SIT1449"/>
      <c r="SIU1449"/>
      <c r="SIV1449"/>
      <c r="SIW1449"/>
      <c r="SIX1449"/>
      <c r="SIY1449"/>
      <c r="SIZ1449"/>
      <c r="SJA1449"/>
      <c r="SJB1449"/>
      <c r="SJC1449"/>
      <c r="SJD1449"/>
      <c r="SJE1449"/>
      <c r="SJF1449"/>
      <c r="SJG1449"/>
      <c r="SJH1449"/>
      <c r="SJI1449"/>
      <c r="SJJ1449"/>
      <c r="SJK1449"/>
      <c r="SJL1449"/>
      <c r="SJM1449"/>
      <c r="SJN1449"/>
      <c r="SJO1449"/>
      <c r="SJP1449"/>
      <c r="SJQ1449"/>
      <c r="SJR1449"/>
      <c r="SJS1449"/>
      <c r="SJT1449"/>
      <c r="SJU1449"/>
      <c r="SJV1449"/>
      <c r="SJW1449"/>
      <c r="SJX1449"/>
      <c r="SJY1449"/>
      <c r="SJZ1449"/>
      <c r="SKA1449"/>
      <c r="SKB1449"/>
      <c r="SKC1449"/>
      <c r="SKD1449"/>
      <c r="SKE1449"/>
      <c r="SKF1449"/>
      <c r="SKG1449"/>
      <c r="SKH1449"/>
      <c r="SKI1449"/>
      <c r="SKJ1449"/>
      <c r="SKK1449"/>
      <c r="SKL1449"/>
      <c r="SKM1449"/>
      <c r="SKN1449"/>
      <c r="SKO1449"/>
      <c r="SKP1449"/>
      <c r="SKQ1449"/>
      <c r="SKR1449"/>
      <c r="SKS1449"/>
      <c r="SKT1449"/>
      <c r="SKU1449"/>
      <c r="SKV1449"/>
      <c r="SKW1449"/>
      <c r="SKX1449"/>
      <c r="SKY1449"/>
      <c r="SKZ1449"/>
      <c r="SLA1449"/>
      <c r="SLB1449"/>
      <c r="SLC1449"/>
      <c r="SLD1449"/>
      <c r="SLE1449"/>
      <c r="SLF1449"/>
      <c r="SLG1449"/>
      <c r="SLH1449"/>
      <c r="SLI1449"/>
      <c r="SLJ1449"/>
      <c r="SLK1449"/>
      <c r="SLL1449"/>
      <c r="SLM1449"/>
      <c r="SLN1449"/>
      <c r="SLO1449"/>
      <c r="SLP1449"/>
      <c r="SLQ1449"/>
      <c r="SLR1449"/>
      <c r="SLS1449"/>
      <c r="SLT1449"/>
      <c r="SLU1449"/>
      <c r="SLV1449"/>
      <c r="SLW1449"/>
      <c r="SLX1449"/>
      <c r="SLY1449"/>
      <c r="SLZ1449"/>
      <c r="SMA1449"/>
      <c r="SMB1449"/>
      <c r="SMC1449"/>
      <c r="SMD1449"/>
      <c r="SME1449"/>
      <c r="SMF1449"/>
      <c r="SMG1449"/>
      <c r="SMH1449"/>
      <c r="SMI1449"/>
      <c r="SMJ1449"/>
      <c r="SMK1449"/>
      <c r="SML1449"/>
      <c r="SMM1449"/>
      <c r="SMN1449"/>
      <c r="SMO1449"/>
      <c r="SMP1449"/>
      <c r="SMQ1449"/>
      <c r="SMR1449"/>
      <c r="SMS1449"/>
      <c r="SMT1449"/>
      <c r="SMU1449"/>
      <c r="SMV1449"/>
      <c r="SMW1449"/>
      <c r="SMX1449"/>
      <c r="SMY1449"/>
      <c r="SMZ1449"/>
      <c r="SNA1449"/>
      <c r="SNB1449"/>
      <c r="SNC1449"/>
      <c r="SND1449"/>
      <c r="SNE1449"/>
      <c r="SNF1449"/>
      <c r="SNG1449"/>
      <c r="SNH1449"/>
      <c r="SNI1449"/>
      <c r="SNJ1449"/>
      <c r="SNK1449"/>
      <c r="SNL1449"/>
      <c r="SNM1449"/>
      <c r="SNN1449"/>
      <c r="SNO1449"/>
      <c r="SNP1449"/>
      <c r="SNQ1449"/>
      <c r="SNR1449"/>
      <c r="SNS1449"/>
      <c r="SNT1449"/>
      <c r="SNU1449"/>
      <c r="SNV1449"/>
      <c r="SNW1449"/>
      <c r="SNX1449"/>
      <c r="SNY1449"/>
      <c r="SNZ1449"/>
      <c r="SOA1449"/>
      <c r="SOB1449"/>
      <c r="SOC1449"/>
      <c r="SOD1449"/>
      <c r="SOE1449"/>
      <c r="SOF1449"/>
      <c r="SOG1449"/>
      <c r="SOH1449"/>
      <c r="SOI1449"/>
      <c r="SOJ1449"/>
      <c r="SOK1449"/>
      <c r="SOL1449"/>
      <c r="SOM1449"/>
      <c r="SON1449"/>
      <c r="SOO1449"/>
      <c r="SOP1449"/>
      <c r="SOQ1449"/>
      <c r="SOR1449"/>
      <c r="SOS1449"/>
      <c r="SOT1449"/>
      <c r="SOU1449"/>
      <c r="SOV1449"/>
      <c r="SOW1449"/>
      <c r="SOX1449"/>
      <c r="SOY1449"/>
      <c r="SOZ1449"/>
      <c r="SPA1449"/>
      <c r="SPB1449"/>
      <c r="SPC1449"/>
      <c r="SPD1449"/>
      <c r="SPE1449"/>
      <c r="SPF1449"/>
      <c r="SPG1449"/>
      <c r="SPH1449"/>
      <c r="SPI1449"/>
      <c r="SPJ1449"/>
      <c r="SPK1449"/>
      <c r="SPL1449"/>
      <c r="SPM1449"/>
      <c r="SPN1449"/>
      <c r="SPO1449"/>
      <c r="SPP1449"/>
      <c r="SPQ1449"/>
      <c r="SPR1449"/>
      <c r="SPS1449"/>
      <c r="SPT1449"/>
      <c r="SPU1449"/>
      <c r="SPV1449"/>
      <c r="SPW1449"/>
      <c r="SPX1449"/>
      <c r="SPY1449"/>
      <c r="SPZ1449"/>
      <c r="SQA1449"/>
      <c r="SQB1449"/>
      <c r="SQC1449"/>
      <c r="SQD1449"/>
      <c r="SQE1449"/>
      <c r="SQF1449"/>
      <c r="SQG1449"/>
      <c r="SQH1449"/>
      <c r="SQI1449"/>
      <c r="SQJ1449"/>
      <c r="SQK1449"/>
      <c r="SQL1449"/>
      <c r="SQM1449"/>
      <c r="SQN1449"/>
      <c r="SQO1449"/>
      <c r="SQP1449"/>
      <c r="SQQ1449"/>
      <c r="SQR1449"/>
      <c r="SQS1449"/>
      <c r="SQT1449"/>
      <c r="SQU1449"/>
      <c r="SQV1449"/>
      <c r="SQW1449"/>
      <c r="SQX1449"/>
      <c r="SQY1449"/>
      <c r="SQZ1449"/>
      <c r="SRA1449"/>
      <c r="SRB1449"/>
      <c r="SRC1449"/>
      <c r="SRD1449"/>
      <c r="SRE1449"/>
      <c r="SRF1449"/>
      <c r="SRG1449"/>
      <c r="SRH1449"/>
      <c r="SRI1449"/>
      <c r="SRJ1449"/>
      <c r="SRK1449"/>
      <c r="SRL1449"/>
      <c r="SRM1449"/>
      <c r="SRN1449"/>
      <c r="SRO1449"/>
      <c r="SRP1449"/>
      <c r="SRQ1449"/>
      <c r="SRR1449"/>
      <c r="SRS1449"/>
      <c r="SRT1449"/>
      <c r="SRU1449"/>
      <c r="SRV1449"/>
      <c r="SRW1449"/>
      <c r="SRX1449"/>
      <c r="SRY1449"/>
      <c r="SRZ1449"/>
      <c r="SSA1449"/>
      <c r="SSB1449"/>
      <c r="SSC1449"/>
      <c r="SSD1449"/>
      <c r="SSE1449"/>
      <c r="SSF1449"/>
      <c r="SSG1449"/>
      <c r="SSH1449"/>
      <c r="SSI1449"/>
      <c r="SSJ1449"/>
      <c r="SSK1449"/>
      <c r="SSL1449"/>
      <c r="SSM1449"/>
      <c r="SSN1449"/>
      <c r="SSO1449"/>
      <c r="SSP1449"/>
      <c r="SSQ1449"/>
      <c r="SSR1449"/>
      <c r="SSS1449"/>
      <c r="SST1449"/>
      <c r="SSU1449"/>
      <c r="SSV1449"/>
      <c r="SSW1449"/>
      <c r="SSX1449"/>
      <c r="SSY1449"/>
      <c r="SSZ1449"/>
      <c r="STA1449"/>
      <c r="STB1449"/>
      <c r="STC1449"/>
      <c r="STD1449"/>
      <c r="STE1449"/>
      <c r="STF1449"/>
      <c r="STG1449"/>
      <c r="STH1449"/>
      <c r="STI1449"/>
      <c r="STJ1449"/>
      <c r="STK1449"/>
      <c r="STL1449"/>
      <c r="STM1449"/>
      <c r="STN1449"/>
      <c r="STO1449"/>
      <c r="STP1449"/>
      <c r="STQ1449"/>
      <c r="STR1449"/>
      <c r="STS1449"/>
      <c r="STT1449"/>
      <c r="STU1449"/>
      <c r="STV1449"/>
      <c r="STW1449"/>
      <c r="STX1449"/>
      <c r="STY1449"/>
      <c r="STZ1449"/>
      <c r="SUA1449"/>
      <c r="SUB1449"/>
      <c r="SUC1449"/>
      <c r="SUD1449"/>
      <c r="SUE1449"/>
      <c r="SUF1449"/>
      <c r="SUG1449"/>
      <c r="SUH1449"/>
      <c r="SUI1449"/>
      <c r="SUJ1449"/>
      <c r="SUK1449"/>
      <c r="SUL1449"/>
      <c r="SUM1449"/>
      <c r="SUN1449"/>
      <c r="SUO1449"/>
      <c r="SUP1449"/>
      <c r="SUQ1449"/>
      <c r="SUR1449"/>
      <c r="SUS1449"/>
      <c r="SUT1449"/>
      <c r="SUU1449"/>
      <c r="SUV1449"/>
      <c r="SUW1449"/>
      <c r="SUX1449"/>
      <c r="SUY1449"/>
      <c r="SUZ1449"/>
      <c r="SVA1449"/>
      <c r="SVB1449"/>
      <c r="SVC1449"/>
      <c r="SVD1449"/>
      <c r="SVE1449"/>
      <c r="SVF1449"/>
      <c r="SVG1449"/>
      <c r="SVH1449"/>
      <c r="SVI1449"/>
      <c r="SVJ1449"/>
      <c r="SVK1449"/>
      <c r="SVL1449"/>
      <c r="SVM1449"/>
      <c r="SVN1449"/>
      <c r="SVO1449"/>
      <c r="SVP1449"/>
      <c r="SVQ1449"/>
      <c r="SVR1449"/>
      <c r="SVS1449"/>
      <c r="SVT1449"/>
      <c r="SVU1449"/>
      <c r="SVV1449"/>
      <c r="SVW1449"/>
      <c r="SVX1449"/>
      <c r="SVY1449"/>
      <c r="SVZ1449"/>
      <c r="SWA1449"/>
      <c r="SWB1449"/>
      <c r="SWC1449"/>
      <c r="SWD1449"/>
      <c r="SWE1449"/>
      <c r="SWF1449"/>
      <c r="SWG1449"/>
      <c r="SWH1449"/>
      <c r="SWI1449"/>
      <c r="SWJ1449"/>
      <c r="SWK1449"/>
      <c r="SWL1449"/>
      <c r="SWM1449"/>
      <c r="SWN1449"/>
      <c r="SWO1449"/>
      <c r="SWP1449"/>
      <c r="SWQ1449"/>
      <c r="SWR1449"/>
      <c r="SWS1449"/>
      <c r="SWT1449"/>
      <c r="SWU1449"/>
      <c r="SWV1449"/>
      <c r="SWW1449"/>
      <c r="SWX1449"/>
      <c r="SWY1449"/>
      <c r="SWZ1449"/>
      <c r="SXA1449"/>
      <c r="SXB1449"/>
      <c r="SXC1449"/>
      <c r="SXD1449"/>
      <c r="SXE1449"/>
      <c r="SXF1449"/>
      <c r="SXG1449"/>
      <c r="SXH1449"/>
      <c r="SXI1449"/>
      <c r="SXJ1449"/>
      <c r="SXK1449"/>
      <c r="SXL1449"/>
      <c r="SXM1449"/>
      <c r="SXN1449"/>
      <c r="SXO1449"/>
      <c r="SXP1449"/>
      <c r="SXQ1449"/>
      <c r="SXR1449"/>
      <c r="SXS1449"/>
      <c r="SXT1449"/>
      <c r="SXU1449"/>
      <c r="SXV1449"/>
      <c r="SXW1449"/>
      <c r="SXX1449"/>
      <c r="SXY1449"/>
      <c r="SXZ1449"/>
      <c r="SYA1449"/>
      <c r="SYB1449"/>
      <c r="SYC1449"/>
      <c r="SYD1449"/>
      <c r="SYE1449"/>
      <c r="SYF1449"/>
      <c r="SYG1449"/>
      <c r="SYH1449"/>
      <c r="SYI1449"/>
      <c r="SYJ1449"/>
      <c r="SYK1449"/>
      <c r="SYL1449"/>
      <c r="SYM1449"/>
      <c r="SYN1449"/>
      <c r="SYO1449"/>
      <c r="SYP1449"/>
      <c r="SYQ1449"/>
      <c r="SYR1449"/>
      <c r="SYS1449"/>
      <c r="SYT1449"/>
      <c r="SYU1449"/>
      <c r="SYV1449"/>
      <c r="SYW1449"/>
      <c r="SYX1449"/>
      <c r="SYY1449"/>
      <c r="SYZ1449"/>
      <c r="SZA1449"/>
      <c r="SZB1449"/>
      <c r="SZC1449"/>
      <c r="SZD1449"/>
      <c r="SZE1449"/>
      <c r="SZF1449"/>
      <c r="SZG1449"/>
      <c r="SZH1449"/>
      <c r="SZI1449"/>
      <c r="SZJ1449"/>
      <c r="SZK1449"/>
      <c r="SZL1449"/>
      <c r="SZM1449"/>
      <c r="SZN1449"/>
      <c r="SZO1449"/>
      <c r="SZP1449"/>
      <c r="SZQ1449"/>
      <c r="SZR1449"/>
      <c r="SZS1449"/>
      <c r="SZT1449"/>
      <c r="SZU1449"/>
      <c r="SZV1449"/>
      <c r="SZW1449"/>
      <c r="SZX1449"/>
      <c r="SZY1449"/>
      <c r="SZZ1449"/>
      <c r="TAA1449"/>
      <c r="TAB1449"/>
      <c r="TAC1449"/>
      <c r="TAD1449"/>
      <c r="TAE1449"/>
      <c r="TAF1449"/>
      <c r="TAG1449"/>
      <c r="TAH1449"/>
      <c r="TAI1449"/>
      <c r="TAJ1449"/>
      <c r="TAK1449"/>
      <c r="TAL1449"/>
      <c r="TAM1449"/>
      <c r="TAN1449"/>
      <c r="TAO1449"/>
      <c r="TAP1449"/>
      <c r="TAQ1449"/>
      <c r="TAR1449"/>
      <c r="TAS1449"/>
      <c r="TAT1449"/>
      <c r="TAU1449"/>
      <c r="TAV1449"/>
      <c r="TAW1449"/>
      <c r="TAX1449"/>
      <c r="TAY1449"/>
      <c r="TAZ1449"/>
      <c r="TBA1449"/>
      <c r="TBB1449"/>
      <c r="TBC1449"/>
      <c r="TBD1449"/>
      <c r="TBE1449"/>
      <c r="TBF1449"/>
      <c r="TBG1449"/>
      <c r="TBH1449"/>
      <c r="TBI1449"/>
      <c r="TBJ1449"/>
      <c r="TBK1449"/>
      <c r="TBL1449"/>
      <c r="TBM1449"/>
      <c r="TBN1449"/>
      <c r="TBO1449"/>
      <c r="TBP1449"/>
      <c r="TBQ1449"/>
      <c r="TBR1449"/>
      <c r="TBS1449"/>
      <c r="TBT1449"/>
      <c r="TBU1449"/>
      <c r="TBV1449"/>
      <c r="TBW1449"/>
      <c r="TBX1449"/>
      <c r="TBY1449"/>
      <c r="TBZ1449"/>
      <c r="TCA1449"/>
      <c r="TCB1449"/>
      <c r="TCC1449"/>
      <c r="TCD1449"/>
      <c r="TCE1449"/>
      <c r="TCF1449"/>
      <c r="TCG1449"/>
      <c r="TCH1449"/>
      <c r="TCI1449"/>
      <c r="TCJ1449"/>
      <c r="TCK1449"/>
      <c r="TCL1449"/>
      <c r="TCM1449"/>
      <c r="TCN1449"/>
      <c r="TCO1449"/>
      <c r="TCP1449"/>
      <c r="TCQ1449"/>
      <c r="TCR1449"/>
      <c r="TCS1449"/>
      <c r="TCT1449"/>
      <c r="TCU1449"/>
      <c r="TCV1449"/>
      <c r="TCW1449"/>
      <c r="TCX1449"/>
      <c r="TCY1449"/>
      <c r="TCZ1449"/>
      <c r="TDA1449"/>
      <c r="TDB1449"/>
      <c r="TDC1449"/>
      <c r="TDD1449"/>
      <c r="TDE1449"/>
      <c r="TDF1449"/>
      <c r="TDG1449"/>
      <c r="TDH1449"/>
      <c r="TDI1449"/>
      <c r="TDJ1449"/>
      <c r="TDK1449"/>
      <c r="TDL1449"/>
      <c r="TDM1449"/>
      <c r="TDN1449"/>
      <c r="TDO1449"/>
      <c r="TDP1449"/>
      <c r="TDQ1449"/>
      <c r="TDR1449"/>
      <c r="TDS1449"/>
      <c r="TDT1449"/>
      <c r="TDU1449"/>
      <c r="TDV1449"/>
      <c r="TDW1449"/>
      <c r="TDX1449"/>
      <c r="TDY1449"/>
      <c r="TDZ1449"/>
      <c r="TEA1449"/>
      <c r="TEB1449"/>
      <c r="TEC1449"/>
      <c r="TED1449"/>
      <c r="TEE1449"/>
      <c r="TEF1449"/>
      <c r="TEG1449"/>
      <c r="TEH1449"/>
      <c r="TEI1449"/>
      <c r="TEJ1449"/>
      <c r="TEK1449"/>
      <c r="TEL1449"/>
      <c r="TEM1449"/>
      <c r="TEN1449"/>
      <c r="TEO1449"/>
      <c r="TEP1449"/>
      <c r="TEQ1449"/>
      <c r="TER1449"/>
      <c r="TES1449"/>
      <c r="TET1449"/>
      <c r="TEU1449"/>
      <c r="TEV1449"/>
      <c r="TEW1449"/>
      <c r="TEX1449"/>
      <c r="TEY1449"/>
      <c r="TEZ1449"/>
      <c r="TFA1449"/>
      <c r="TFB1449"/>
      <c r="TFC1449"/>
      <c r="TFD1449"/>
      <c r="TFE1449"/>
      <c r="TFF1449"/>
      <c r="TFG1449"/>
      <c r="TFH1449"/>
      <c r="TFI1449"/>
      <c r="TFJ1449"/>
      <c r="TFK1449"/>
      <c r="TFL1449"/>
      <c r="TFM1449"/>
      <c r="TFN1449"/>
      <c r="TFO1449"/>
      <c r="TFP1449"/>
      <c r="TFQ1449"/>
      <c r="TFR1449"/>
      <c r="TFS1449"/>
      <c r="TFT1449"/>
      <c r="TFU1449"/>
      <c r="TFV1449"/>
      <c r="TFW1449"/>
      <c r="TFX1449"/>
      <c r="TFY1449"/>
      <c r="TFZ1449"/>
      <c r="TGA1449"/>
      <c r="TGB1449"/>
      <c r="TGC1449"/>
      <c r="TGD1449"/>
      <c r="TGE1449"/>
      <c r="TGF1449"/>
      <c r="TGG1449"/>
      <c r="TGH1449"/>
      <c r="TGI1449"/>
      <c r="TGJ1449"/>
      <c r="TGK1449"/>
      <c r="TGL1449"/>
      <c r="TGM1449"/>
      <c r="TGN1449"/>
      <c r="TGO1449"/>
      <c r="TGP1449"/>
      <c r="TGQ1449"/>
      <c r="TGR1449"/>
      <c r="TGS1449"/>
      <c r="TGT1449"/>
      <c r="TGU1449"/>
      <c r="TGV1449"/>
      <c r="TGW1449"/>
      <c r="TGX1449"/>
      <c r="TGY1449"/>
      <c r="TGZ1449"/>
      <c r="THA1449"/>
      <c r="THB1449"/>
      <c r="THC1449"/>
      <c r="THD1449"/>
      <c r="THE1449"/>
      <c r="THF1449"/>
      <c r="THG1449"/>
      <c r="THH1449"/>
      <c r="THI1449"/>
      <c r="THJ1449"/>
      <c r="THK1449"/>
      <c r="THL1449"/>
      <c r="THM1449"/>
      <c r="THN1449"/>
      <c r="THO1449"/>
      <c r="THP1449"/>
      <c r="THQ1449"/>
      <c r="THR1449"/>
      <c r="THS1449"/>
      <c r="THT1449"/>
      <c r="THU1449"/>
      <c r="THV1449"/>
      <c r="THW1449"/>
      <c r="THX1449"/>
      <c r="THY1449"/>
      <c r="THZ1449"/>
      <c r="TIA1449"/>
      <c r="TIB1449"/>
      <c r="TIC1449"/>
      <c r="TID1449"/>
      <c r="TIE1449"/>
      <c r="TIF1449"/>
      <c r="TIG1449"/>
      <c r="TIH1449"/>
      <c r="TII1449"/>
      <c r="TIJ1449"/>
      <c r="TIK1449"/>
      <c r="TIL1449"/>
      <c r="TIM1449"/>
      <c r="TIN1449"/>
      <c r="TIO1449"/>
      <c r="TIP1449"/>
      <c r="TIQ1449"/>
      <c r="TIR1449"/>
      <c r="TIS1449"/>
      <c r="TIT1449"/>
      <c r="TIU1449"/>
      <c r="TIV1449"/>
      <c r="TIW1449"/>
      <c r="TIX1449"/>
      <c r="TIY1449"/>
      <c r="TIZ1449"/>
      <c r="TJA1449"/>
      <c r="TJB1449"/>
      <c r="TJC1449"/>
      <c r="TJD1449"/>
      <c r="TJE1449"/>
      <c r="TJF1449"/>
      <c r="TJG1449"/>
      <c r="TJH1449"/>
      <c r="TJI1449"/>
      <c r="TJJ1449"/>
      <c r="TJK1449"/>
      <c r="TJL1449"/>
      <c r="TJM1449"/>
      <c r="TJN1449"/>
      <c r="TJO1449"/>
      <c r="TJP1449"/>
      <c r="TJQ1449"/>
      <c r="TJR1449"/>
      <c r="TJS1449"/>
      <c r="TJT1449"/>
      <c r="TJU1449"/>
      <c r="TJV1449"/>
      <c r="TJW1449"/>
      <c r="TJX1449"/>
      <c r="TJY1449"/>
      <c r="TJZ1449"/>
      <c r="TKA1449"/>
      <c r="TKB1449"/>
      <c r="TKC1449"/>
      <c r="TKD1449"/>
      <c r="TKE1449"/>
      <c r="TKF1449"/>
      <c r="TKG1449"/>
      <c r="TKH1449"/>
      <c r="TKI1449"/>
      <c r="TKJ1449"/>
      <c r="TKK1449"/>
      <c r="TKL1449"/>
      <c r="TKM1449"/>
      <c r="TKN1449"/>
      <c r="TKO1449"/>
      <c r="TKP1449"/>
      <c r="TKQ1449"/>
      <c r="TKR1449"/>
      <c r="TKS1449"/>
      <c r="TKT1449"/>
      <c r="TKU1449"/>
      <c r="TKV1449"/>
      <c r="TKW1449"/>
      <c r="TKX1449"/>
      <c r="TKY1449"/>
      <c r="TKZ1449"/>
      <c r="TLA1449"/>
      <c r="TLB1449"/>
      <c r="TLC1449"/>
      <c r="TLD1449"/>
      <c r="TLE1449"/>
      <c r="TLF1449"/>
      <c r="TLG1449"/>
      <c r="TLH1449"/>
      <c r="TLI1449"/>
      <c r="TLJ1449"/>
      <c r="TLK1449"/>
      <c r="TLL1449"/>
      <c r="TLM1449"/>
      <c r="TLN1449"/>
      <c r="TLO1449"/>
      <c r="TLP1449"/>
      <c r="TLQ1449"/>
      <c r="TLR1449"/>
      <c r="TLS1449"/>
      <c r="TLT1449"/>
      <c r="TLU1449"/>
      <c r="TLV1449"/>
      <c r="TLW1449"/>
      <c r="TLX1449"/>
      <c r="TLY1449"/>
      <c r="TLZ1449"/>
      <c r="TMA1449"/>
      <c r="TMB1449"/>
      <c r="TMC1449"/>
      <c r="TMD1449"/>
      <c r="TME1449"/>
      <c r="TMF1449"/>
      <c r="TMG1449"/>
      <c r="TMH1449"/>
      <c r="TMI1449"/>
      <c r="TMJ1449"/>
      <c r="TMK1449"/>
      <c r="TML1449"/>
      <c r="TMM1449"/>
      <c r="TMN1449"/>
      <c r="TMO1449"/>
      <c r="TMP1449"/>
      <c r="TMQ1449"/>
      <c r="TMR1449"/>
      <c r="TMS1449"/>
      <c r="TMT1449"/>
      <c r="TMU1449"/>
      <c r="TMV1449"/>
      <c r="TMW1449"/>
      <c r="TMX1449"/>
      <c r="TMY1449"/>
      <c r="TMZ1449"/>
      <c r="TNA1449"/>
      <c r="TNB1449"/>
      <c r="TNC1449"/>
      <c r="TND1449"/>
      <c r="TNE1449"/>
      <c r="TNF1449"/>
      <c r="TNG1449"/>
      <c r="TNH1449"/>
      <c r="TNI1449"/>
      <c r="TNJ1449"/>
      <c r="TNK1449"/>
      <c r="TNL1449"/>
      <c r="TNM1449"/>
      <c r="TNN1449"/>
      <c r="TNO1449"/>
      <c r="TNP1449"/>
      <c r="TNQ1449"/>
      <c r="TNR1449"/>
      <c r="TNS1449"/>
      <c r="TNT1449"/>
      <c r="TNU1449"/>
      <c r="TNV1449"/>
      <c r="TNW1449"/>
      <c r="TNX1449"/>
      <c r="TNY1449"/>
      <c r="TNZ1449"/>
      <c r="TOA1449"/>
      <c r="TOB1449"/>
      <c r="TOC1449"/>
      <c r="TOD1449"/>
      <c r="TOE1449"/>
      <c r="TOF1449"/>
      <c r="TOG1449"/>
      <c r="TOH1449"/>
      <c r="TOI1449"/>
      <c r="TOJ1449"/>
      <c r="TOK1449"/>
      <c r="TOL1449"/>
      <c r="TOM1449"/>
      <c r="TON1449"/>
      <c r="TOO1449"/>
      <c r="TOP1449"/>
      <c r="TOQ1449"/>
      <c r="TOR1449"/>
      <c r="TOS1449"/>
      <c r="TOT1449"/>
      <c r="TOU1449"/>
      <c r="TOV1449"/>
      <c r="TOW1449"/>
      <c r="TOX1449"/>
      <c r="TOY1449"/>
      <c r="TOZ1449"/>
      <c r="TPA1449"/>
      <c r="TPB1449"/>
      <c r="TPC1449"/>
      <c r="TPD1449"/>
      <c r="TPE1449"/>
      <c r="TPF1449"/>
      <c r="TPG1449"/>
      <c r="TPH1449"/>
      <c r="TPI1449"/>
      <c r="TPJ1449"/>
      <c r="TPK1449"/>
      <c r="TPL1449"/>
      <c r="TPM1449"/>
      <c r="TPN1449"/>
      <c r="TPO1449"/>
      <c r="TPP1449"/>
      <c r="TPQ1449"/>
      <c r="TPR1449"/>
      <c r="TPS1449"/>
      <c r="TPT1449"/>
      <c r="TPU1449"/>
      <c r="TPV1449"/>
      <c r="TPW1449"/>
      <c r="TPX1449"/>
      <c r="TPY1449"/>
      <c r="TPZ1449"/>
      <c r="TQA1449"/>
      <c r="TQB1449"/>
      <c r="TQC1449"/>
      <c r="TQD1449"/>
      <c r="TQE1449"/>
      <c r="TQF1449"/>
      <c r="TQG1449"/>
      <c r="TQH1449"/>
      <c r="TQI1449"/>
      <c r="TQJ1449"/>
      <c r="TQK1449"/>
      <c r="TQL1449"/>
      <c r="TQM1449"/>
      <c r="TQN1449"/>
      <c r="TQO1449"/>
      <c r="TQP1449"/>
      <c r="TQQ1449"/>
      <c r="TQR1449"/>
      <c r="TQS1449"/>
      <c r="TQT1449"/>
      <c r="TQU1449"/>
      <c r="TQV1449"/>
      <c r="TQW1449"/>
      <c r="TQX1449"/>
      <c r="TQY1449"/>
      <c r="TQZ1449"/>
      <c r="TRA1449"/>
      <c r="TRB1449"/>
      <c r="TRC1449"/>
      <c r="TRD1449"/>
      <c r="TRE1449"/>
      <c r="TRF1449"/>
      <c r="TRG1449"/>
      <c r="TRH1449"/>
      <c r="TRI1449"/>
      <c r="TRJ1449"/>
      <c r="TRK1449"/>
      <c r="TRL1449"/>
      <c r="TRM1449"/>
      <c r="TRN1449"/>
      <c r="TRO1449"/>
      <c r="TRP1449"/>
      <c r="TRQ1449"/>
      <c r="TRR1449"/>
      <c r="TRS1449"/>
      <c r="TRT1449"/>
      <c r="TRU1449"/>
      <c r="TRV1449"/>
      <c r="TRW1449"/>
      <c r="TRX1449"/>
      <c r="TRY1449"/>
      <c r="TRZ1449"/>
      <c r="TSA1449"/>
      <c r="TSB1449"/>
      <c r="TSC1449"/>
      <c r="TSD1449"/>
      <c r="TSE1449"/>
      <c r="TSF1449"/>
      <c r="TSG1449"/>
      <c r="TSH1449"/>
      <c r="TSI1449"/>
      <c r="TSJ1449"/>
      <c r="TSK1449"/>
      <c r="TSL1449"/>
      <c r="TSM1449"/>
      <c r="TSN1449"/>
      <c r="TSO1449"/>
      <c r="TSP1449"/>
      <c r="TSQ1449"/>
      <c r="TSR1449"/>
      <c r="TSS1449"/>
      <c r="TST1449"/>
      <c r="TSU1449"/>
      <c r="TSV1449"/>
      <c r="TSW1449"/>
      <c r="TSX1449"/>
      <c r="TSY1449"/>
      <c r="TSZ1449"/>
      <c r="TTA1449"/>
      <c r="TTB1449"/>
      <c r="TTC1449"/>
      <c r="TTD1449"/>
      <c r="TTE1449"/>
      <c r="TTF1449"/>
      <c r="TTG1449"/>
      <c r="TTH1449"/>
      <c r="TTI1449"/>
      <c r="TTJ1449"/>
      <c r="TTK1449"/>
      <c r="TTL1449"/>
      <c r="TTM1449"/>
      <c r="TTN1449"/>
      <c r="TTO1449"/>
      <c r="TTP1449"/>
      <c r="TTQ1449"/>
      <c r="TTR1449"/>
      <c r="TTS1449"/>
      <c r="TTT1449"/>
      <c r="TTU1449"/>
      <c r="TTV1449"/>
      <c r="TTW1449"/>
      <c r="TTX1449"/>
      <c r="TTY1449"/>
      <c r="TTZ1449"/>
      <c r="TUA1449"/>
      <c r="TUB1449"/>
      <c r="TUC1449"/>
      <c r="TUD1449"/>
      <c r="TUE1449"/>
      <c r="TUF1449"/>
      <c r="TUG1449"/>
      <c r="TUH1449"/>
      <c r="TUI1449"/>
      <c r="TUJ1449"/>
      <c r="TUK1449"/>
      <c r="TUL1449"/>
      <c r="TUM1449"/>
      <c r="TUN1449"/>
      <c r="TUO1449"/>
      <c r="TUP1449"/>
      <c r="TUQ1449"/>
      <c r="TUR1449"/>
      <c r="TUS1449"/>
      <c r="TUT1449"/>
      <c r="TUU1449"/>
      <c r="TUV1449"/>
      <c r="TUW1449"/>
      <c r="TUX1449"/>
      <c r="TUY1449"/>
      <c r="TUZ1449"/>
      <c r="TVA1449"/>
      <c r="TVB1449"/>
      <c r="TVC1449"/>
      <c r="TVD1449"/>
      <c r="TVE1449"/>
      <c r="TVF1449"/>
      <c r="TVG1449"/>
      <c r="TVH1449"/>
      <c r="TVI1449"/>
      <c r="TVJ1449"/>
      <c r="TVK1449"/>
      <c r="TVL1449"/>
      <c r="TVM1449"/>
      <c r="TVN1449"/>
      <c r="TVO1449"/>
      <c r="TVP1449"/>
      <c r="TVQ1449"/>
      <c r="TVR1449"/>
      <c r="TVS1449"/>
      <c r="TVT1449"/>
      <c r="TVU1449"/>
      <c r="TVV1449"/>
      <c r="TVW1449"/>
      <c r="TVX1449"/>
      <c r="TVY1449"/>
      <c r="TVZ1449"/>
      <c r="TWA1449"/>
      <c r="TWB1449"/>
      <c r="TWC1449"/>
      <c r="TWD1449"/>
      <c r="TWE1449"/>
      <c r="TWF1449"/>
      <c r="TWG1449"/>
      <c r="TWH1449"/>
      <c r="TWI1449"/>
      <c r="TWJ1449"/>
      <c r="TWK1449"/>
      <c r="TWL1449"/>
      <c r="TWM1449"/>
      <c r="TWN1449"/>
      <c r="TWO1449"/>
      <c r="TWP1449"/>
      <c r="TWQ1449"/>
      <c r="TWR1449"/>
      <c r="TWS1449"/>
      <c r="TWT1449"/>
      <c r="TWU1449"/>
      <c r="TWV1449"/>
      <c r="TWW1449"/>
      <c r="TWX1449"/>
      <c r="TWY1449"/>
      <c r="TWZ1449"/>
      <c r="TXA1449"/>
      <c r="TXB1449"/>
      <c r="TXC1449"/>
      <c r="TXD1449"/>
      <c r="TXE1449"/>
      <c r="TXF1449"/>
      <c r="TXG1449"/>
      <c r="TXH1449"/>
      <c r="TXI1449"/>
      <c r="TXJ1449"/>
      <c r="TXK1449"/>
      <c r="TXL1449"/>
      <c r="TXM1449"/>
      <c r="TXN1449"/>
      <c r="TXO1449"/>
      <c r="TXP1449"/>
      <c r="TXQ1449"/>
      <c r="TXR1449"/>
      <c r="TXS1449"/>
      <c r="TXT1449"/>
      <c r="TXU1449"/>
      <c r="TXV1449"/>
      <c r="TXW1449"/>
      <c r="TXX1449"/>
      <c r="TXY1449"/>
      <c r="TXZ1449"/>
      <c r="TYA1449"/>
      <c r="TYB1449"/>
      <c r="TYC1449"/>
      <c r="TYD1449"/>
      <c r="TYE1449"/>
      <c r="TYF1449"/>
      <c r="TYG1449"/>
      <c r="TYH1449"/>
      <c r="TYI1449"/>
      <c r="TYJ1449"/>
      <c r="TYK1449"/>
      <c r="TYL1449"/>
      <c r="TYM1449"/>
      <c r="TYN1449"/>
      <c r="TYO1449"/>
      <c r="TYP1449"/>
      <c r="TYQ1449"/>
      <c r="TYR1449"/>
      <c r="TYS1449"/>
      <c r="TYT1449"/>
      <c r="TYU1449"/>
      <c r="TYV1449"/>
      <c r="TYW1449"/>
      <c r="TYX1449"/>
      <c r="TYY1449"/>
      <c r="TYZ1449"/>
      <c r="TZA1449"/>
      <c r="TZB1449"/>
      <c r="TZC1449"/>
      <c r="TZD1449"/>
      <c r="TZE1449"/>
      <c r="TZF1449"/>
      <c r="TZG1449"/>
      <c r="TZH1449"/>
      <c r="TZI1449"/>
      <c r="TZJ1449"/>
      <c r="TZK1449"/>
      <c r="TZL1449"/>
      <c r="TZM1449"/>
      <c r="TZN1449"/>
      <c r="TZO1449"/>
      <c r="TZP1449"/>
      <c r="TZQ1449"/>
      <c r="TZR1449"/>
      <c r="TZS1449"/>
      <c r="TZT1449"/>
      <c r="TZU1449"/>
      <c r="TZV1449"/>
      <c r="TZW1449"/>
      <c r="TZX1449"/>
      <c r="TZY1449"/>
      <c r="TZZ1449"/>
      <c r="UAA1449"/>
      <c r="UAB1449"/>
      <c r="UAC1449"/>
      <c r="UAD1449"/>
      <c r="UAE1449"/>
      <c r="UAF1449"/>
      <c r="UAG1449"/>
      <c r="UAH1449"/>
      <c r="UAI1449"/>
      <c r="UAJ1449"/>
      <c r="UAK1449"/>
      <c r="UAL1449"/>
      <c r="UAM1449"/>
      <c r="UAN1449"/>
      <c r="UAO1449"/>
      <c r="UAP1449"/>
      <c r="UAQ1449"/>
      <c r="UAR1449"/>
      <c r="UAS1449"/>
      <c r="UAT1449"/>
      <c r="UAU1449"/>
      <c r="UAV1449"/>
      <c r="UAW1449"/>
      <c r="UAX1449"/>
      <c r="UAY1449"/>
      <c r="UAZ1449"/>
      <c r="UBA1449"/>
      <c r="UBB1449"/>
      <c r="UBC1449"/>
      <c r="UBD1449"/>
      <c r="UBE1449"/>
      <c r="UBF1449"/>
      <c r="UBG1449"/>
      <c r="UBH1449"/>
      <c r="UBI1449"/>
      <c r="UBJ1449"/>
      <c r="UBK1449"/>
      <c r="UBL1449"/>
      <c r="UBM1449"/>
      <c r="UBN1449"/>
      <c r="UBO1449"/>
      <c r="UBP1449"/>
      <c r="UBQ1449"/>
      <c r="UBR1449"/>
      <c r="UBS1449"/>
      <c r="UBT1449"/>
      <c r="UBU1449"/>
      <c r="UBV1449"/>
      <c r="UBW1449"/>
      <c r="UBX1449"/>
      <c r="UBY1449"/>
      <c r="UBZ1449"/>
      <c r="UCA1449"/>
      <c r="UCB1449"/>
      <c r="UCC1449"/>
      <c r="UCD1449"/>
      <c r="UCE1449"/>
      <c r="UCF1449"/>
      <c r="UCG1449"/>
      <c r="UCH1449"/>
      <c r="UCI1449"/>
      <c r="UCJ1449"/>
      <c r="UCK1449"/>
      <c r="UCL1449"/>
      <c r="UCM1449"/>
      <c r="UCN1449"/>
      <c r="UCO1449"/>
      <c r="UCP1449"/>
      <c r="UCQ1449"/>
      <c r="UCR1449"/>
      <c r="UCS1449"/>
      <c r="UCT1449"/>
      <c r="UCU1449"/>
      <c r="UCV1449"/>
      <c r="UCW1449"/>
      <c r="UCX1449"/>
      <c r="UCY1449"/>
      <c r="UCZ1449"/>
      <c r="UDA1449"/>
      <c r="UDB1449"/>
      <c r="UDC1449"/>
      <c r="UDD1449"/>
      <c r="UDE1449"/>
      <c r="UDF1449"/>
      <c r="UDG1449"/>
      <c r="UDH1449"/>
      <c r="UDI1449"/>
      <c r="UDJ1449"/>
      <c r="UDK1449"/>
      <c r="UDL1449"/>
      <c r="UDM1449"/>
      <c r="UDN1449"/>
      <c r="UDO1449"/>
      <c r="UDP1449"/>
      <c r="UDQ1449"/>
      <c r="UDR1449"/>
      <c r="UDS1449"/>
      <c r="UDT1449"/>
      <c r="UDU1449"/>
      <c r="UDV1449"/>
      <c r="UDW1449"/>
      <c r="UDX1449"/>
      <c r="UDY1449"/>
      <c r="UDZ1449"/>
      <c r="UEA1449"/>
      <c r="UEB1449"/>
      <c r="UEC1449"/>
      <c r="UED1449"/>
      <c r="UEE1449"/>
      <c r="UEF1449"/>
      <c r="UEG1449"/>
      <c r="UEH1449"/>
      <c r="UEI1449"/>
      <c r="UEJ1449"/>
      <c r="UEK1449"/>
      <c r="UEL1449"/>
      <c r="UEM1449"/>
      <c r="UEN1449"/>
      <c r="UEO1449"/>
      <c r="UEP1449"/>
      <c r="UEQ1449"/>
      <c r="UER1449"/>
      <c r="UES1449"/>
      <c r="UET1449"/>
      <c r="UEU1449"/>
      <c r="UEV1449"/>
      <c r="UEW1449"/>
      <c r="UEX1449"/>
      <c r="UEY1449"/>
      <c r="UEZ1449"/>
      <c r="UFA1449"/>
      <c r="UFB1449"/>
      <c r="UFC1449"/>
      <c r="UFD1449"/>
      <c r="UFE1449"/>
      <c r="UFF1449"/>
      <c r="UFG1449"/>
      <c r="UFH1449"/>
      <c r="UFI1449"/>
      <c r="UFJ1449"/>
      <c r="UFK1449"/>
      <c r="UFL1449"/>
      <c r="UFM1449"/>
      <c r="UFN1449"/>
      <c r="UFO1449"/>
      <c r="UFP1449"/>
      <c r="UFQ1449"/>
      <c r="UFR1449"/>
      <c r="UFS1449"/>
      <c r="UFT1449"/>
      <c r="UFU1449"/>
      <c r="UFV1449"/>
      <c r="UFW1449"/>
      <c r="UFX1449"/>
      <c r="UFY1449"/>
      <c r="UFZ1449"/>
      <c r="UGA1449"/>
      <c r="UGB1449"/>
      <c r="UGC1449"/>
      <c r="UGD1449"/>
      <c r="UGE1449"/>
      <c r="UGF1449"/>
      <c r="UGG1449"/>
      <c r="UGH1449"/>
      <c r="UGI1449"/>
      <c r="UGJ1449"/>
      <c r="UGK1449"/>
      <c r="UGL1449"/>
      <c r="UGM1449"/>
      <c r="UGN1449"/>
      <c r="UGO1449"/>
      <c r="UGP1449"/>
      <c r="UGQ1449"/>
      <c r="UGR1449"/>
      <c r="UGS1449"/>
      <c r="UGT1449"/>
      <c r="UGU1449"/>
      <c r="UGV1449"/>
      <c r="UGW1449"/>
      <c r="UGX1449"/>
      <c r="UGY1449"/>
      <c r="UGZ1449"/>
      <c r="UHA1449"/>
      <c r="UHB1449"/>
      <c r="UHC1449"/>
      <c r="UHD1449"/>
      <c r="UHE1449"/>
      <c r="UHF1449"/>
      <c r="UHG1449"/>
      <c r="UHH1449"/>
      <c r="UHI1449"/>
      <c r="UHJ1449"/>
      <c r="UHK1449"/>
      <c r="UHL1449"/>
      <c r="UHM1449"/>
      <c r="UHN1449"/>
      <c r="UHO1449"/>
      <c r="UHP1449"/>
      <c r="UHQ1449"/>
      <c r="UHR1449"/>
      <c r="UHS1449"/>
      <c r="UHT1449"/>
      <c r="UHU1449"/>
      <c r="UHV1449"/>
      <c r="UHW1449"/>
      <c r="UHX1449"/>
      <c r="UHY1449"/>
      <c r="UHZ1449"/>
      <c r="UIA1449"/>
      <c r="UIB1449"/>
      <c r="UIC1449"/>
      <c r="UID1449"/>
      <c r="UIE1449"/>
      <c r="UIF1449"/>
      <c r="UIG1449"/>
      <c r="UIH1449"/>
      <c r="UII1449"/>
      <c r="UIJ1449"/>
      <c r="UIK1449"/>
      <c r="UIL1449"/>
      <c r="UIM1449"/>
      <c r="UIN1449"/>
      <c r="UIO1449"/>
      <c r="UIP1449"/>
      <c r="UIQ1449"/>
      <c r="UIR1449"/>
      <c r="UIS1449"/>
      <c r="UIT1449"/>
      <c r="UIU1449"/>
      <c r="UIV1449"/>
      <c r="UIW1449"/>
      <c r="UIX1449"/>
      <c r="UIY1449"/>
      <c r="UIZ1449"/>
      <c r="UJA1449"/>
      <c r="UJB1449"/>
      <c r="UJC1449"/>
      <c r="UJD1449"/>
      <c r="UJE1449"/>
      <c r="UJF1449"/>
      <c r="UJG1449"/>
      <c r="UJH1449"/>
      <c r="UJI1449"/>
      <c r="UJJ1449"/>
      <c r="UJK1449"/>
      <c r="UJL1449"/>
      <c r="UJM1449"/>
      <c r="UJN1449"/>
      <c r="UJO1449"/>
      <c r="UJP1449"/>
      <c r="UJQ1449"/>
      <c r="UJR1449"/>
      <c r="UJS1449"/>
      <c r="UJT1449"/>
      <c r="UJU1449"/>
      <c r="UJV1449"/>
      <c r="UJW1449"/>
      <c r="UJX1449"/>
      <c r="UJY1449"/>
      <c r="UJZ1449"/>
      <c r="UKA1449"/>
      <c r="UKB1449"/>
      <c r="UKC1449"/>
      <c r="UKD1449"/>
      <c r="UKE1449"/>
      <c r="UKF1449"/>
      <c r="UKG1449"/>
      <c r="UKH1449"/>
      <c r="UKI1449"/>
      <c r="UKJ1449"/>
      <c r="UKK1449"/>
      <c r="UKL1449"/>
      <c r="UKM1449"/>
      <c r="UKN1449"/>
      <c r="UKO1449"/>
      <c r="UKP1449"/>
      <c r="UKQ1449"/>
      <c r="UKR1449"/>
      <c r="UKS1449"/>
      <c r="UKT1449"/>
      <c r="UKU1449"/>
      <c r="UKV1449"/>
      <c r="UKW1449"/>
      <c r="UKX1449"/>
      <c r="UKY1449"/>
      <c r="UKZ1449"/>
      <c r="ULA1449"/>
      <c r="ULB1449"/>
      <c r="ULC1449"/>
      <c r="ULD1449"/>
      <c r="ULE1449"/>
      <c r="ULF1449"/>
      <c r="ULG1449"/>
      <c r="ULH1449"/>
      <c r="ULI1449"/>
      <c r="ULJ1449"/>
      <c r="ULK1449"/>
      <c r="ULL1449"/>
      <c r="ULM1449"/>
      <c r="ULN1449"/>
      <c r="ULO1449"/>
      <c r="ULP1449"/>
      <c r="ULQ1449"/>
      <c r="ULR1449"/>
      <c r="ULS1449"/>
      <c r="ULT1449"/>
      <c r="ULU1449"/>
      <c r="ULV1449"/>
      <c r="ULW1449"/>
      <c r="ULX1449"/>
      <c r="ULY1449"/>
      <c r="ULZ1449"/>
      <c r="UMA1449"/>
      <c r="UMB1449"/>
      <c r="UMC1449"/>
      <c r="UMD1449"/>
      <c r="UME1449"/>
      <c r="UMF1449"/>
      <c r="UMG1449"/>
      <c r="UMH1449"/>
      <c r="UMI1449"/>
      <c r="UMJ1449"/>
      <c r="UMK1449"/>
      <c r="UML1449"/>
      <c r="UMM1449"/>
      <c r="UMN1449"/>
      <c r="UMO1449"/>
      <c r="UMP1449"/>
      <c r="UMQ1449"/>
      <c r="UMR1449"/>
      <c r="UMS1449"/>
      <c r="UMT1449"/>
      <c r="UMU1449"/>
      <c r="UMV1449"/>
      <c r="UMW1449"/>
      <c r="UMX1449"/>
      <c r="UMY1449"/>
      <c r="UMZ1449"/>
      <c r="UNA1449"/>
      <c r="UNB1449"/>
      <c r="UNC1449"/>
      <c r="UND1449"/>
      <c r="UNE1449"/>
      <c r="UNF1449"/>
      <c r="UNG1449"/>
      <c r="UNH1449"/>
      <c r="UNI1449"/>
      <c r="UNJ1449"/>
      <c r="UNK1449"/>
      <c r="UNL1449"/>
      <c r="UNM1449"/>
      <c r="UNN1449"/>
      <c r="UNO1449"/>
      <c r="UNP1449"/>
      <c r="UNQ1449"/>
      <c r="UNR1449"/>
      <c r="UNS1449"/>
      <c r="UNT1449"/>
      <c r="UNU1449"/>
      <c r="UNV1449"/>
      <c r="UNW1449"/>
      <c r="UNX1449"/>
      <c r="UNY1449"/>
      <c r="UNZ1449"/>
      <c r="UOA1449"/>
      <c r="UOB1449"/>
      <c r="UOC1449"/>
      <c r="UOD1449"/>
      <c r="UOE1449"/>
      <c r="UOF1449"/>
      <c r="UOG1449"/>
      <c r="UOH1449"/>
      <c r="UOI1449"/>
      <c r="UOJ1449"/>
      <c r="UOK1449"/>
      <c r="UOL1449"/>
      <c r="UOM1449"/>
      <c r="UON1449"/>
      <c r="UOO1449"/>
      <c r="UOP1449"/>
      <c r="UOQ1449"/>
      <c r="UOR1449"/>
      <c r="UOS1449"/>
      <c r="UOT1449"/>
      <c r="UOU1449"/>
      <c r="UOV1449"/>
      <c r="UOW1449"/>
      <c r="UOX1449"/>
      <c r="UOY1449"/>
      <c r="UOZ1449"/>
      <c r="UPA1449"/>
      <c r="UPB1449"/>
      <c r="UPC1449"/>
      <c r="UPD1449"/>
      <c r="UPE1449"/>
      <c r="UPF1449"/>
      <c r="UPG1449"/>
      <c r="UPH1449"/>
      <c r="UPI1449"/>
      <c r="UPJ1449"/>
      <c r="UPK1449"/>
      <c r="UPL1449"/>
      <c r="UPM1449"/>
      <c r="UPN1449"/>
      <c r="UPO1449"/>
      <c r="UPP1449"/>
      <c r="UPQ1449"/>
      <c r="UPR1449"/>
      <c r="UPS1449"/>
      <c r="UPT1449"/>
      <c r="UPU1449"/>
      <c r="UPV1449"/>
      <c r="UPW1449"/>
      <c r="UPX1449"/>
      <c r="UPY1449"/>
      <c r="UPZ1449"/>
      <c r="UQA1449"/>
      <c r="UQB1449"/>
      <c r="UQC1449"/>
      <c r="UQD1449"/>
      <c r="UQE1449"/>
      <c r="UQF1449"/>
      <c r="UQG1449"/>
      <c r="UQH1449"/>
      <c r="UQI1449"/>
      <c r="UQJ1449"/>
      <c r="UQK1449"/>
      <c r="UQL1449"/>
      <c r="UQM1449"/>
      <c r="UQN1449"/>
      <c r="UQO1449"/>
      <c r="UQP1449"/>
      <c r="UQQ1449"/>
      <c r="UQR1449"/>
      <c r="UQS1449"/>
      <c r="UQT1449"/>
      <c r="UQU1449"/>
      <c r="UQV1449"/>
      <c r="UQW1449"/>
      <c r="UQX1449"/>
      <c r="UQY1449"/>
      <c r="UQZ1449"/>
      <c r="URA1449"/>
      <c r="URB1449"/>
      <c r="URC1449"/>
      <c r="URD1449"/>
      <c r="URE1449"/>
      <c r="URF1449"/>
      <c r="URG1449"/>
      <c r="URH1449"/>
      <c r="URI1449"/>
      <c r="URJ1449"/>
      <c r="URK1449"/>
      <c r="URL1449"/>
      <c r="URM1449"/>
      <c r="URN1449"/>
      <c r="URO1449"/>
      <c r="URP1449"/>
      <c r="URQ1449"/>
      <c r="URR1449"/>
      <c r="URS1449"/>
      <c r="URT1449"/>
      <c r="URU1449"/>
      <c r="URV1449"/>
      <c r="URW1449"/>
      <c r="URX1449"/>
      <c r="URY1449"/>
      <c r="URZ1449"/>
      <c r="USA1449"/>
      <c r="USB1449"/>
      <c r="USC1449"/>
      <c r="USD1449"/>
      <c r="USE1449"/>
      <c r="USF1449"/>
      <c r="USG1449"/>
      <c r="USH1449"/>
      <c r="USI1449"/>
      <c r="USJ1449"/>
      <c r="USK1449"/>
      <c r="USL1449"/>
      <c r="USM1449"/>
      <c r="USN1449"/>
      <c r="USO1449"/>
      <c r="USP1449"/>
      <c r="USQ1449"/>
      <c r="USR1449"/>
      <c r="USS1449"/>
      <c r="UST1449"/>
      <c r="USU1449"/>
      <c r="USV1449"/>
      <c r="USW1449"/>
      <c r="USX1449"/>
      <c r="USY1449"/>
      <c r="USZ1449"/>
      <c r="UTA1449"/>
      <c r="UTB1449"/>
      <c r="UTC1449"/>
      <c r="UTD1449"/>
      <c r="UTE1449"/>
      <c r="UTF1449"/>
      <c r="UTG1449"/>
      <c r="UTH1449"/>
      <c r="UTI1449"/>
      <c r="UTJ1449"/>
      <c r="UTK1449"/>
      <c r="UTL1449"/>
      <c r="UTM1449"/>
      <c r="UTN1449"/>
      <c r="UTO1449"/>
      <c r="UTP1449"/>
      <c r="UTQ1449"/>
      <c r="UTR1449"/>
      <c r="UTS1449"/>
      <c r="UTT1449"/>
      <c r="UTU1449"/>
      <c r="UTV1449"/>
      <c r="UTW1449"/>
      <c r="UTX1449"/>
      <c r="UTY1449"/>
      <c r="UTZ1449"/>
      <c r="UUA1449"/>
      <c r="UUB1449"/>
      <c r="UUC1449"/>
      <c r="UUD1449"/>
      <c r="UUE1449"/>
      <c r="UUF1449"/>
      <c r="UUG1449"/>
      <c r="UUH1449"/>
      <c r="UUI1449"/>
      <c r="UUJ1449"/>
      <c r="UUK1449"/>
      <c r="UUL1449"/>
      <c r="UUM1449"/>
      <c r="UUN1449"/>
      <c r="UUO1449"/>
      <c r="UUP1449"/>
      <c r="UUQ1449"/>
      <c r="UUR1449"/>
      <c r="UUS1449"/>
      <c r="UUT1449"/>
      <c r="UUU1449"/>
      <c r="UUV1449"/>
      <c r="UUW1449"/>
      <c r="UUX1449"/>
      <c r="UUY1449"/>
      <c r="UUZ1449"/>
      <c r="UVA1449"/>
      <c r="UVB1449"/>
      <c r="UVC1449"/>
      <c r="UVD1449"/>
      <c r="UVE1449"/>
      <c r="UVF1449"/>
      <c r="UVG1449"/>
      <c r="UVH1449"/>
      <c r="UVI1449"/>
      <c r="UVJ1449"/>
      <c r="UVK1449"/>
      <c r="UVL1449"/>
      <c r="UVM1449"/>
      <c r="UVN1449"/>
      <c r="UVO1449"/>
      <c r="UVP1449"/>
      <c r="UVQ1449"/>
      <c r="UVR1449"/>
      <c r="UVS1449"/>
      <c r="UVT1449"/>
      <c r="UVU1449"/>
      <c r="UVV1449"/>
      <c r="UVW1449"/>
      <c r="UVX1449"/>
      <c r="UVY1449"/>
      <c r="UVZ1449"/>
      <c r="UWA1449"/>
      <c r="UWB1449"/>
      <c r="UWC1449"/>
      <c r="UWD1449"/>
      <c r="UWE1449"/>
      <c r="UWF1449"/>
      <c r="UWG1449"/>
      <c r="UWH1449"/>
      <c r="UWI1449"/>
      <c r="UWJ1449"/>
      <c r="UWK1449"/>
      <c r="UWL1449"/>
      <c r="UWM1449"/>
      <c r="UWN1449"/>
      <c r="UWO1449"/>
      <c r="UWP1449"/>
      <c r="UWQ1449"/>
      <c r="UWR1449"/>
      <c r="UWS1449"/>
      <c r="UWT1449"/>
      <c r="UWU1449"/>
      <c r="UWV1449"/>
      <c r="UWW1449"/>
      <c r="UWX1449"/>
      <c r="UWY1449"/>
      <c r="UWZ1449"/>
      <c r="UXA1449"/>
      <c r="UXB1449"/>
      <c r="UXC1449"/>
      <c r="UXD1449"/>
      <c r="UXE1449"/>
      <c r="UXF1449"/>
      <c r="UXG1449"/>
      <c r="UXH1449"/>
      <c r="UXI1449"/>
      <c r="UXJ1449"/>
      <c r="UXK1449"/>
      <c r="UXL1449"/>
      <c r="UXM1449"/>
      <c r="UXN1449"/>
      <c r="UXO1449"/>
      <c r="UXP1449"/>
      <c r="UXQ1449"/>
      <c r="UXR1449"/>
      <c r="UXS1449"/>
      <c r="UXT1449"/>
      <c r="UXU1449"/>
      <c r="UXV1449"/>
      <c r="UXW1449"/>
      <c r="UXX1449"/>
      <c r="UXY1449"/>
      <c r="UXZ1449"/>
      <c r="UYA1449"/>
      <c r="UYB1449"/>
      <c r="UYC1449"/>
      <c r="UYD1449"/>
      <c r="UYE1449"/>
      <c r="UYF1449"/>
      <c r="UYG1449"/>
      <c r="UYH1449"/>
      <c r="UYI1449"/>
      <c r="UYJ1449"/>
      <c r="UYK1449"/>
      <c r="UYL1449"/>
      <c r="UYM1449"/>
      <c r="UYN1449"/>
      <c r="UYO1449"/>
      <c r="UYP1449"/>
      <c r="UYQ1449"/>
      <c r="UYR1449"/>
      <c r="UYS1449"/>
      <c r="UYT1449"/>
      <c r="UYU1449"/>
      <c r="UYV1449"/>
      <c r="UYW1449"/>
      <c r="UYX1449"/>
      <c r="UYY1449"/>
      <c r="UYZ1449"/>
      <c r="UZA1449"/>
      <c r="UZB1449"/>
      <c r="UZC1449"/>
      <c r="UZD1449"/>
      <c r="UZE1449"/>
      <c r="UZF1449"/>
      <c r="UZG1449"/>
      <c r="UZH1449"/>
      <c r="UZI1449"/>
      <c r="UZJ1449"/>
      <c r="UZK1449"/>
      <c r="UZL1449"/>
      <c r="UZM1449"/>
      <c r="UZN1449"/>
      <c r="UZO1449"/>
      <c r="UZP1449"/>
      <c r="UZQ1449"/>
      <c r="UZR1449"/>
      <c r="UZS1449"/>
      <c r="UZT1449"/>
      <c r="UZU1449"/>
      <c r="UZV1449"/>
      <c r="UZW1449"/>
      <c r="UZX1449"/>
      <c r="UZY1449"/>
      <c r="UZZ1449"/>
      <c r="VAA1449"/>
      <c r="VAB1449"/>
      <c r="VAC1449"/>
      <c r="VAD1449"/>
      <c r="VAE1449"/>
      <c r="VAF1449"/>
      <c r="VAG1449"/>
      <c r="VAH1449"/>
      <c r="VAI1449"/>
      <c r="VAJ1449"/>
      <c r="VAK1449"/>
      <c r="VAL1449"/>
      <c r="VAM1449"/>
      <c r="VAN1449"/>
      <c r="VAO1449"/>
      <c r="VAP1449"/>
      <c r="VAQ1449"/>
      <c r="VAR1449"/>
      <c r="VAS1449"/>
      <c r="VAT1449"/>
      <c r="VAU1449"/>
      <c r="VAV1449"/>
      <c r="VAW1449"/>
      <c r="VAX1449"/>
      <c r="VAY1449"/>
      <c r="VAZ1449"/>
      <c r="VBA1449"/>
      <c r="VBB1449"/>
      <c r="VBC1449"/>
      <c r="VBD1449"/>
      <c r="VBE1449"/>
      <c r="VBF1449"/>
      <c r="VBG1449"/>
      <c r="VBH1449"/>
      <c r="VBI1449"/>
      <c r="VBJ1449"/>
      <c r="VBK1449"/>
      <c r="VBL1449"/>
      <c r="VBM1449"/>
      <c r="VBN1449"/>
      <c r="VBO1449"/>
      <c r="VBP1449"/>
      <c r="VBQ1449"/>
      <c r="VBR1449"/>
      <c r="VBS1449"/>
      <c r="VBT1449"/>
      <c r="VBU1449"/>
      <c r="VBV1449"/>
      <c r="VBW1449"/>
      <c r="VBX1449"/>
      <c r="VBY1449"/>
      <c r="VBZ1449"/>
      <c r="VCA1449"/>
      <c r="VCB1449"/>
      <c r="VCC1449"/>
      <c r="VCD1449"/>
      <c r="VCE1449"/>
      <c r="VCF1449"/>
      <c r="VCG1449"/>
      <c r="VCH1449"/>
      <c r="VCI1449"/>
      <c r="VCJ1449"/>
      <c r="VCK1449"/>
      <c r="VCL1449"/>
      <c r="VCM1449"/>
      <c r="VCN1449"/>
      <c r="VCO1449"/>
      <c r="VCP1449"/>
      <c r="VCQ1449"/>
      <c r="VCR1449"/>
      <c r="VCS1449"/>
      <c r="VCT1449"/>
      <c r="VCU1449"/>
      <c r="VCV1449"/>
      <c r="VCW1449"/>
      <c r="VCX1449"/>
      <c r="VCY1449"/>
      <c r="VCZ1449"/>
      <c r="VDA1449"/>
      <c r="VDB1449"/>
      <c r="VDC1449"/>
      <c r="VDD1449"/>
      <c r="VDE1449"/>
      <c r="VDF1449"/>
      <c r="VDG1449"/>
      <c r="VDH1449"/>
      <c r="VDI1449"/>
      <c r="VDJ1449"/>
      <c r="VDK1449"/>
      <c r="VDL1449"/>
      <c r="VDM1449"/>
      <c r="VDN1449"/>
      <c r="VDO1449"/>
      <c r="VDP1449"/>
      <c r="VDQ1449"/>
      <c r="VDR1449"/>
      <c r="VDS1449"/>
      <c r="VDT1449"/>
      <c r="VDU1449"/>
      <c r="VDV1449"/>
      <c r="VDW1449"/>
      <c r="VDX1449"/>
      <c r="VDY1449"/>
      <c r="VDZ1449"/>
      <c r="VEA1449"/>
      <c r="VEB1449"/>
      <c r="VEC1449"/>
      <c r="VED1449"/>
      <c r="VEE1449"/>
      <c r="VEF1449"/>
      <c r="VEG1449"/>
      <c r="VEH1449"/>
      <c r="VEI1449"/>
      <c r="VEJ1449"/>
      <c r="VEK1449"/>
      <c r="VEL1449"/>
      <c r="VEM1449"/>
      <c r="VEN1449"/>
      <c r="VEO1449"/>
      <c r="VEP1449"/>
      <c r="VEQ1449"/>
      <c r="VER1449"/>
      <c r="VES1449"/>
      <c r="VET1449"/>
      <c r="VEU1449"/>
      <c r="VEV1449"/>
      <c r="VEW1449"/>
      <c r="VEX1449"/>
      <c r="VEY1449"/>
      <c r="VEZ1449"/>
      <c r="VFA1449"/>
      <c r="VFB1449"/>
      <c r="VFC1449"/>
      <c r="VFD1449"/>
      <c r="VFE1449"/>
      <c r="VFF1449"/>
      <c r="VFG1449"/>
      <c r="VFH1449"/>
      <c r="VFI1449"/>
      <c r="VFJ1449"/>
      <c r="VFK1449"/>
      <c r="VFL1449"/>
      <c r="VFM1449"/>
      <c r="VFN1449"/>
      <c r="VFO1449"/>
      <c r="VFP1449"/>
      <c r="VFQ1449"/>
      <c r="VFR1449"/>
      <c r="VFS1449"/>
      <c r="VFT1449"/>
      <c r="VFU1449"/>
      <c r="VFV1449"/>
      <c r="VFW1449"/>
      <c r="VFX1449"/>
      <c r="VFY1449"/>
      <c r="VFZ1449"/>
      <c r="VGA1449"/>
      <c r="VGB1449"/>
      <c r="VGC1449"/>
      <c r="VGD1449"/>
      <c r="VGE1449"/>
      <c r="VGF1449"/>
      <c r="VGG1449"/>
      <c r="VGH1449"/>
      <c r="VGI1449"/>
      <c r="VGJ1449"/>
      <c r="VGK1449"/>
      <c r="VGL1449"/>
      <c r="VGM1449"/>
      <c r="VGN1449"/>
      <c r="VGO1449"/>
      <c r="VGP1449"/>
      <c r="VGQ1449"/>
      <c r="VGR1449"/>
      <c r="VGS1449"/>
      <c r="VGT1449"/>
      <c r="VGU1449"/>
      <c r="VGV1449"/>
      <c r="VGW1449"/>
      <c r="VGX1449"/>
      <c r="VGY1449"/>
      <c r="VGZ1449"/>
      <c r="VHA1449"/>
      <c r="VHB1449"/>
      <c r="VHC1449"/>
      <c r="VHD1449"/>
      <c r="VHE1449"/>
      <c r="VHF1449"/>
      <c r="VHG1449"/>
      <c r="VHH1449"/>
      <c r="VHI1449"/>
      <c r="VHJ1449"/>
      <c r="VHK1449"/>
      <c r="VHL1449"/>
      <c r="VHM1449"/>
      <c r="VHN1449"/>
      <c r="VHO1449"/>
      <c r="VHP1449"/>
      <c r="VHQ1449"/>
      <c r="VHR1449"/>
      <c r="VHS1449"/>
      <c r="VHT1449"/>
      <c r="VHU1449"/>
      <c r="VHV1449"/>
      <c r="VHW1449"/>
      <c r="VHX1449"/>
      <c r="VHY1449"/>
      <c r="VHZ1449"/>
      <c r="VIA1449"/>
      <c r="VIB1449"/>
      <c r="VIC1449"/>
      <c r="VID1449"/>
      <c r="VIE1449"/>
      <c r="VIF1449"/>
      <c r="VIG1449"/>
      <c r="VIH1449"/>
      <c r="VII1449"/>
      <c r="VIJ1449"/>
      <c r="VIK1449"/>
      <c r="VIL1449"/>
      <c r="VIM1449"/>
      <c r="VIN1449"/>
      <c r="VIO1449"/>
      <c r="VIP1449"/>
      <c r="VIQ1449"/>
      <c r="VIR1449"/>
      <c r="VIS1449"/>
      <c r="VIT1449"/>
      <c r="VIU1449"/>
      <c r="VIV1449"/>
      <c r="VIW1449"/>
      <c r="VIX1449"/>
      <c r="VIY1449"/>
      <c r="VIZ1449"/>
      <c r="VJA1449"/>
      <c r="VJB1449"/>
      <c r="VJC1449"/>
      <c r="VJD1449"/>
      <c r="VJE1449"/>
      <c r="VJF1449"/>
      <c r="VJG1449"/>
      <c r="VJH1449"/>
      <c r="VJI1449"/>
      <c r="VJJ1449"/>
      <c r="VJK1449"/>
      <c r="VJL1449"/>
      <c r="VJM1449"/>
      <c r="VJN1449"/>
      <c r="VJO1449"/>
      <c r="VJP1449"/>
      <c r="VJQ1449"/>
      <c r="VJR1449"/>
      <c r="VJS1449"/>
      <c r="VJT1449"/>
      <c r="VJU1449"/>
      <c r="VJV1449"/>
      <c r="VJW1449"/>
      <c r="VJX1449"/>
      <c r="VJY1449"/>
      <c r="VJZ1449"/>
      <c r="VKA1449"/>
      <c r="VKB1449"/>
      <c r="VKC1449"/>
      <c r="VKD1449"/>
      <c r="VKE1449"/>
      <c r="VKF1449"/>
      <c r="VKG1449"/>
      <c r="VKH1449"/>
      <c r="VKI1449"/>
      <c r="VKJ1449"/>
      <c r="VKK1449"/>
      <c r="VKL1449"/>
      <c r="VKM1449"/>
      <c r="VKN1449"/>
      <c r="VKO1449"/>
      <c r="VKP1449"/>
      <c r="VKQ1449"/>
      <c r="VKR1449"/>
      <c r="VKS1449"/>
      <c r="VKT1449"/>
      <c r="VKU1449"/>
      <c r="VKV1449"/>
      <c r="VKW1449"/>
      <c r="VKX1449"/>
      <c r="VKY1449"/>
      <c r="VKZ1449"/>
      <c r="VLA1449"/>
      <c r="VLB1449"/>
      <c r="VLC1449"/>
      <c r="VLD1449"/>
      <c r="VLE1449"/>
      <c r="VLF1449"/>
      <c r="VLG1449"/>
      <c r="VLH1449"/>
      <c r="VLI1449"/>
      <c r="VLJ1449"/>
      <c r="VLK1449"/>
      <c r="VLL1449"/>
      <c r="VLM1449"/>
      <c r="VLN1449"/>
      <c r="VLO1449"/>
      <c r="VLP1449"/>
      <c r="VLQ1449"/>
      <c r="VLR1449"/>
      <c r="VLS1449"/>
      <c r="VLT1449"/>
      <c r="VLU1449"/>
      <c r="VLV1449"/>
      <c r="VLW1449"/>
      <c r="VLX1449"/>
      <c r="VLY1449"/>
      <c r="VLZ1449"/>
      <c r="VMA1449"/>
      <c r="VMB1449"/>
      <c r="VMC1449"/>
      <c r="VMD1449"/>
      <c r="VME1449"/>
      <c r="VMF1449"/>
      <c r="VMG1449"/>
      <c r="VMH1449"/>
      <c r="VMI1449"/>
      <c r="VMJ1449"/>
      <c r="VMK1449"/>
      <c r="VML1449"/>
      <c r="VMM1449"/>
      <c r="VMN1449"/>
      <c r="VMO1449"/>
      <c r="VMP1449"/>
      <c r="VMQ1449"/>
      <c r="VMR1449"/>
      <c r="VMS1449"/>
      <c r="VMT1449"/>
      <c r="VMU1449"/>
      <c r="VMV1449"/>
      <c r="VMW1449"/>
      <c r="VMX1449"/>
      <c r="VMY1449"/>
      <c r="VMZ1449"/>
      <c r="VNA1449"/>
      <c r="VNB1449"/>
      <c r="VNC1449"/>
      <c r="VND1449"/>
      <c r="VNE1449"/>
      <c r="VNF1449"/>
      <c r="VNG1449"/>
      <c r="VNH1449"/>
      <c r="VNI1449"/>
      <c r="VNJ1449"/>
      <c r="VNK1449"/>
      <c r="VNL1449"/>
      <c r="VNM1449"/>
      <c r="VNN1449"/>
      <c r="VNO1449"/>
      <c r="VNP1449"/>
      <c r="VNQ1449"/>
      <c r="VNR1449"/>
      <c r="VNS1449"/>
      <c r="VNT1449"/>
      <c r="VNU1449"/>
      <c r="VNV1449"/>
      <c r="VNW1449"/>
      <c r="VNX1449"/>
      <c r="VNY1449"/>
      <c r="VNZ1449"/>
      <c r="VOA1449"/>
      <c r="VOB1449"/>
      <c r="VOC1449"/>
      <c r="VOD1449"/>
      <c r="VOE1449"/>
      <c r="VOF1449"/>
      <c r="VOG1449"/>
      <c r="VOH1449"/>
      <c r="VOI1449"/>
      <c r="VOJ1449"/>
      <c r="VOK1449"/>
      <c r="VOL1449"/>
      <c r="VOM1449"/>
      <c r="VON1449"/>
      <c r="VOO1449"/>
      <c r="VOP1449"/>
      <c r="VOQ1449"/>
      <c r="VOR1449"/>
      <c r="VOS1449"/>
      <c r="VOT1449"/>
      <c r="VOU1449"/>
      <c r="VOV1449"/>
      <c r="VOW1449"/>
      <c r="VOX1449"/>
      <c r="VOY1449"/>
      <c r="VOZ1449"/>
      <c r="VPA1449"/>
      <c r="VPB1449"/>
      <c r="VPC1449"/>
      <c r="VPD1449"/>
      <c r="VPE1449"/>
      <c r="VPF1449"/>
      <c r="VPG1449"/>
      <c r="VPH1449"/>
      <c r="VPI1449"/>
      <c r="VPJ1449"/>
      <c r="VPK1449"/>
      <c r="VPL1449"/>
      <c r="VPM1449"/>
      <c r="VPN1449"/>
      <c r="VPO1449"/>
      <c r="VPP1449"/>
      <c r="VPQ1449"/>
      <c r="VPR1449"/>
      <c r="VPS1449"/>
      <c r="VPT1449"/>
      <c r="VPU1449"/>
      <c r="VPV1449"/>
      <c r="VPW1449"/>
      <c r="VPX1449"/>
      <c r="VPY1449"/>
      <c r="VPZ1449"/>
      <c r="VQA1449"/>
      <c r="VQB1449"/>
      <c r="VQC1449"/>
      <c r="VQD1449"/>
      <c r="VQE1449"/>
      <c r="VQF1449"/>
      <c r="VQG1449"/>
      <c r="VQH1449"/>
      <c r="VQI1449"/>
      <c r="VQJ1449"/>
      <c r="VQK1449"/>
      <c r="VQL1449"/>
      <c r="VQM1449"/>
      <c r="VQN1449"/>
      <c r="VQO1449"/>
      <c r="VQP1449"/>
      <c r="VQQ1449"/>
      <c r="VQR1449"/>
      <c r="VQS1449"/>
      <c r="VQT1449"/>
      <c r="VQU1449"/>
      <c r="VQV1449"/>
      <c r="VQW1449"/>
      <c r="VQX1449"/>
      <c r="VQY1449"/>
      <c r="VQZ1449"/>
      <c r="VRA1449"/>
      <c r="VRB1449"/>
      <c r="VRC1449"/>
      <c r="VRD1449"/>
      <c r="VRE1449"/>
      <c r="VRF1449"/>
      <c r="VRG1449"/>
      <c r="VRH1449"/>
      <c r="VRI1449"/>
      <c r="VRJ1449"/>
      <c r="VRK1449"/>
      <c r="VRL1449"/>
      <c r="VRM1449"/>
      <c r="VRN1449"/>
      <c r="VRO1449"/>
      <c r="VRP1449"/>
      <c r="VRQ1449"/>
      <c r="VRR1449"/>
      <c r="VRS1449"/>
      <c r="VRT1449"/>
      <c r="VRU1449"/>
      <c r="VRV1449"/>
      <c r="VRW1449"/>
      <c r="VRX1449"/>
      <c r="VRY1449"/>
      <c r="VRZ1449"/>
      <c r="VSA1449"/>
      <c r="VSB1449"/>
      <c r="VSC1449"/>
      <c r="VSD1449"/>
      <c r="VSE1449"/>
      <c r="VSF1449"/>
      <c r="VSG1449"/>
      <c r="VSH1449"/>
      <c r="VSI1449"/>
      <c r="VSJ1449"/>
      <c r="VSK1449"/>
      <c r="VSL1449"/>
      <c r="VSM1449"/>
      <c r="VSN1449"/>
      <c r="VSO1449"/>
      <c r="VSP1449"/>
      <c r="VSQ1449"/>
      <c r="VSR1449"/>
      <c r="VSS1449"/>
      <c r="VST1449"/>
      <c r="VSU1449"/>
      <c r="VSV1449"/>
      <c r="VSW1449"/>
      <c r="VSX1449"/>
      <c r="VSY1449"/>
      <c r="VSZ1449"/>
      <c r="VTA1449"/>
      <c r="VTB1449"/>
      <c r="VTC1449"/>
      <c r="VTD1449"/>
      <c r="VTE1449"/>
      <c r="VTF1449"/>
      <c r="VTG1449"/>
      <c r="VTH1449"/>
      <c r="VTI1449"/>
      <c r="VTJ1449"/>
      <c r="VTK1449"/>
      <c r="VTL1449"/>
      <c r="VTM1449"/>
      <c r="VTN1449"/>
      <c r="VTO1449"/>
      <c r="VTP1449"/>
      <c r="VTQ1449"/>
      <c r="VTR1449"/>
      <c r="VTS1449"/>
      <c r="VTT1449"/>
      <c r="VTU1449"/>
      <c r="VTV1449"/>
      <c r="VTW1449"/>
      <c r="VTX1449"/>
      <c r="VTY1449"/>
      <c r="VTZ1449"/>
      <c r="VUA1449"/>
      <c r="VUB1449"/>
      <c r="VUC1449"/>
      <c r="VUD1449"/>
      <c r="VUE1449"/>
      <c r="VUF1449"/>
      <c r="VUG1449"/>
      <c r="VUH1449"/>
      <c r="VUI1449"/>
      <c r="VUJ1449"/>
      <c r="VUK1449"/>
      <c r="VUL1449"/>
      <c r="VUM1449"/>
      <c r="VUN1449"/>
      <c r="VUO1449"/>
      <c r="VUP1449"/>
      <c r="VUQ1449"/>
      <c r="VUR1449"/>
      <c r="VUS1449"/>
      <c r="VUT1449"/>
      <c r="VUU1449"/>
      <c r="VUV1449"/>
      <c r="VUW1449"/>
      <c r="VUX1449"/>
      <c r="VUY1449"/>
      <c r="VUZ1449"/>
      <c r="VVA1449"/>
      <c r="VVB1449"/>
      <c r="VVC1449"/>
      <c r="VVD1449"/>
      <c r="VVE1449"/>
      <c r="VVF1449"/>
      <c r="VVG1449"/>
      <c r="VVH1449"/>
      <c r="VVI1449"/>
      <c r="VVJ1449"/>
      <c r="VVK1449"/>
      <c r="VVL1449"/>
      <c r="VVM1449"/>
      <c r="VVN1449"/>
      <c r="VVO1449"/>
      <c r="VVP1449"/>
      <c r="VVQ1449"/>
      <c r="VVR1449"/>
      <c r="VVS1449"/>
      <c r="VVT1449"/>
      <c r="VVU1449"/>
      <c r="VVV1449"/>
      <c r="VVW1449"/>
      <c r="VVX1449"/>
      <c r="VVY1449"/>
      <c r="VVZ1449"/>
      <c r="VWA1449"/>
      <c r="VWB1449"/>
      <c r="VWC1449"/>
      <c r="VWD1449"/>
      <c r="VWE1449"/>
      <c r="VWF1449"/>
      <c r="VWG1449"/>
      <c r="VWH1449"/>
      <c r="VWI1449"/>
      <c r="VWJ1449"/>
      <c r="VWK1449"/>
      <c r="VWL1449"/>
      <c r="VWM1449"/>
      <c r="VWN1449"/>
      <c r="VWO1449"/>
      <c r="VWP1449"/>
      <c r="VWQ1449"/>
      <c r="VWR1449"/>
      <c r="VWS1449"/>
      <c r="VWT1449"/>
      <c r="VWU1449"/>
      <c r="VWV1449"/>
      <c r="VWW1449"/>
      <c r="VWX1449"/>
      <c r="VWY1449"/>
      <c r="VWZ1449"/>
      <c r="VXA1449"/>
      <c r="VXB1449"/>
      <c r="VXC1449"/>
      <c r="VXD1449"/>
      <c r="VXE1449"/>
      <c r="VXF1449"/>
      <c r="VXG1449"/>
      <c r="VXH1449"/>
      <c r="VXI1449"/>
      <c r="VXJ1449"/>
      <c r="VXK1449"/>
      <c r="VXL1449"/>
      <c r="VXM1449"/>
      <c r="VXN1449"/>
      <c r="VXO1449"/>
      <c r="VXP1449"/>
      <c r="VXQ1449"/>
      <c r="VXR1449"/>
      <c r="VXS1449"/>
      <c r="VXT1449"/>
      <c r="VXU1449"/>
      <c r="VXV1449"/>
      <c r="VXW1449"/>
      <c r="VXX1449"/>
      <c r="VXY1449"/>
      <c r="VXZ1449"/>
      <c r="VYA1449"/>
      <c r="VYB1449"/>
      <c r="VYC1449"/>
      <c r="VYD1449"/>
      <c r="VYE1449"/>
      <c r="VYF1449"/>
      <c r="VYG1449"/>
      <c r="VYH1449"/>
      <c r="VYI1449"/>
      <c r="VYJ1449"/>
      <c r="VYK1449"/>
      <c r="VYL1449"/>
      <c r="VYM1449"/>
      <c r="VYN1449"/>
      <c r="VYO1449"/>
      <c r="VYP1449"/>
      <c r="VYQ1449"/>
      <c r="VYR1449"/>
      <c r="VYS1449"/>
      <c r="VYT1449"/>
      <c r="VYU1449"/>
      <c r="VYV1449"/>
      <c r="VYW1449"/>
      <c r="VYX1449"/>
      <c r="VYY1449"/>
      <c r="VYZ1449"/>
      <c r="VZA1449"/>
      <c r="VZB1449"/>
      <c r="VZC1449"/>
      <c r="VZD1449"/>
      <c r="VZE1449"/>
      <c r="VZF1449"/>
      <c r="VZG1449"/>
      <c r="VZH1449"/>
      <c r="VZI1449"/>
      <c r="VZJ1449"/>
      <c r="VZK1449"/>
      <c r="VZL1449"/>
      <c r="VZM1449"/>
      <c r="VZN1449"/>
      <c r="VZO1449"/>
      <c r="VZP1449"/>
      <c r="VZQ1449"/>
      <c r="VZR1449"/>
      <c r="VZS1449"/>
      <c r="VZT1449"/>
      <c r="VZU1449"/>
      <c r="VZV1449"/>
      <c r="VZW1449"/>
      <c r="VZX1449"/>
      <c r="VZY1449"/>
      <c r="VZZ1449"/>
      <c r="WAA1449"/>
      <c r="WAB1449"/>
      <c r="WAC1449"/>
      <c r="WAD1449"/>
      <c r="WAE1449"/>
      <c r="WAF1449"/>
      <c r="WAG1449"/>
      <c r="WAH1449"/>
      <c r="WAI1449"/>
      <c r="WAJ1449"/>
      <c r="WAK1449"/>
      <c r="WAL1449"/>
      <c r="WAM1449"/>
      <c r="WAN1449"/>
      <c r="WAO1449"/>
      <c r="WAP1449"/>
      <c r="WAQ1449"/>
      <c r="WAR1449"/>
      <c r="WAS1449"/>
      <c r="WAT1449"/>
      <c r="WAU1449"/>
      <c r="WAV1449"/>
      <c r="WAW1449"/>
      <c r="WAX1449"/>
      <c r="WAY1449"/>
      <c r="WAZ1449"/>
      <c r="WBA1449"/>
      <c r="WBB1449"/>
      <c r="WBC1449"/>
      <c r="WBD1449"/>
      <c r="WBE1449"/>
      <c r="WBF1449"/>
      <c r="WBG1449"/>
      <c r="WBH1449"/>
      <c r="WBI1449"/>
      <c r="WBJ1449"/>
      <c r="WBK1449"/>
      <c r="WBL1449"/>
      <c r="WBM1449"/>
      <c r="WBN1449"/>
      <c r="WBO1449"/>
      <c r="WBP1449"/>
      <c r="WBQ1449"/>
      <c r="WBR1449"/>
      <c r="WBS1449"/>
      <c r="WBT1449"/>
      <c r="WBU1449"/>
      <c r="WBV1449"/>
      <c r="WBW1449"/>
      <c r="WBX1449"/>
      <c r="WBY1449"/>
      <c r="WBZ1449"/>
      <c r="WCA1449"/>
      <c r="WCB1449"/>
      <c r="WCC1449"/>
      <c r="WCD1449"/>
      <c r="WCE1449"/>
      <c r="WCF1449"/>
      <c r="WCG1449"/>
      <c r="WCH1449"/>
      <c r="WCI1449"/>
      <c r="WCJ1449"/>
      <c r="WCK1449"/>
      <c r="WCL1449"/>
      <c r="WCM1449"/>
      <c r="WCN1449"/>
      <c r="WCO1449"/>
      <c r="WCP1449"/>
      <c r="WCQ1449"/>
      <c r="WCR1449"/>
      <c r="WCS1449"/>
      <c r="WCT1449"/>
      <c r="WCU1449"/>
      <c r="WCV1449"/>
      <c r="WCW1449"/>
      <c r="WCX1449"/>
      <c r="WCY1449"/>
      <c r="WCZ1449"/>
      <c r="WDA1449"/>
      <c r="WDB1449"/>
      <c r="WDC1449"/>
      <c r="WDD1449"/>
      <c r="WDE1449"/>
      <c r="WDF1449"/>
      <c r="WDG1449"/>
      <c r="WDH1449"/>
      <c r="WDI1449"/>
      <c r="WDJ1449"/>
      <c r="WDK1449"/>
      <c r="WDL1449"/>
      <c r="WDM1449"/>
      <c r="WDN1449"/>
      <c r="WDO1449"/>
      <c r="WDP1449"/>
      <c r="WDQ1449"/>
      <c r="WDR1449"/>
      <c r="WDS1449"/>
      <c r="WDT1449"/>
      <c r="WDU1449"/>
      <c r="WDV1449"/>
      <c r="WDW1449"/>
      <c r="WDX1449"/>
      <c r="WDY1449"/>
      <c r="WDZ1449"/>
      <c r="WEA1449"/>
      <c r="WEB1449"/>
      <c r="WEC1449"/>
      <c r="WED1449"/>
      <c r="WEE1449"/>
      <c r="WEF1449"/>
      <c r="WEG1449"/>
      <c r="WEH1449"/>
      <c r="WEI1449"/>
      <c r="WEJ1449"/>
      <c r="WEK1449"/>
      <c r="WEL1449"/>
      <c r="WEM1449"/>
      <c r="WEN1449"/>
      <c r="WEO1449"/>
      <c r="WEP1449"/>
      <c r="WEQ1449"/>
      <c r="WER1449"/>
      <c r="WES1449"/>
      <c r="WET1449"/>
      <c r="WEU1449"/>
      <c r="WEV1449"/>
      <c r="WEW1449"/>
      <c r="WEX1449"/>
      <c r="WEY1449"/>
      <c r="WEZ1449"/>
      <c r="WFA1449"/>
      <c r="WFB1449"/>
      <c r="WFC1449"/>
      <c r="WFD1449"/>
      <c r="WFE1449"/>
      <c r="WFF1449"/>
      <c r="WFG1449"/>
      <c r="WFH1449"/>
      <c r="WFI1449"/>
      <c r="WFJ1449"/>
      <c r="WFK1449"/>
      <c r="WFL1449"/>
      <c r="WFM1449"/>
      <c r="WFN1449"/>
      <c r="WFO1449"/>
      <c r="WFP1449"/>
      <c r="WFQ1449"/>
      <c r="WFR1449"/>
      <c r="WFS1449"/>
      <c r="WFT1449"/>
      <c r="WFU1449"/>
      <c r="WFV1449"/>
      <c r="WFW1449"/>
      <c r="WFX1449"/>
      <c r="WFY1449"/>
      <c r="WFZ1449"/>
      <c r="WGA1449"/>
      <c r="WGB1449"/>
      <c r="WGC1449"/>
      <c r="WGD1449"/>
      <c r="WGE1449"/>
      <c r="WGF1449"/>
      <c r="WGG1449"/>
      <c r="WGH1449"/>
      <c r="WGI1449"/>
      <c r="WGJ1449"/>
      <c r="WGK1449"/>
      <c r="WGL1449"/>
      <c r="WGM1449"/>
      <c r="WGN1449"/>
      <c r="WGO1449"/>
      <c r="WGP1449"/>
      <c r="WGQ1449"/>
      <c r="WGR1449"/>
      <c r="WGS1449"/>
      <c r="WGT1449"/>
      <c r="WGU1449"/>
      <c r="WGV1449"/>
      <c r="WGW1449"/>
      <c r="WGX1449"/>
      <c r="WGY1449"/>
      <c r="WGZ1449"/>
      <c r="WHA1449"/>
      <c r="WHB1449"/>
      <c r="WHC1449"/>
      <c r="WHD1449"/>
      <c r="WHE1449"/>
      <c r="WHF1449"/>
      <c r="WHG1449"/>
      <c r="WHH1449"/>
      <c r="WHI1449"/>
      <c r="WHJ1449"/>
      <c r="WHK1449"/>
      <c r="WHL1449"/>
      <c r="WHM1449"/>
      <c r="WHN1449"/>
      <c r="WHO1449"/>
      <c r="WHP1449"/>
      <c r="WHQ1449"/>
      <c r="WHR1449"/>
      <c r="WHS1449"/>
      <c r="WHT1449"/>
      <c r="WHU1449"/>
      <c r="WHV1449"/>
      <c r="WHW1449"/>
      <c r="WHX1449"/>
      <c r="WHY1449"/>
      <c r="WHZ1449"/>
      <c r="WIA1449"/>
      <c r="WIB1449"/>
      <c r="WIC1449"/>
      <c r="WID1449"/>
      <c r="WIE1449"/>
      <c r="WIF1449"/>
      <c r="WIG1449"/>
      <c r="WIH1449"/>
      <c r="WII1449"/>
      <c r="WIJ1449"/>
      <c r="WIK1449"/>
      <c r="WIL1449"/>
      <c r="WIM1449"/>
      <c r="WIN1449"/>
      <c r="WIO1449"/>
      <c r="WIP1449"/>
      <c r="WIQ1449"/>
      <c r="WIR1449"/>
      <c r="WIS1449"/>
      <c r="WIT1449"/>
      <c r="WIU1449"/>
      <c r="WIV1449"/>
      <c r="WIW1449"/>
      <c r="WIX1449"/>
      <c r="WIY1449"/>
      <c r="WIZ1449"/>
      <c r="WJA1449"/>
      <c r="WJB1449"/>
      <c r="WJC1449"/>
      <c r="WJD1449"/>
      <c r="WJE1449"/>
      <c r="WJF1449"/>
      <c r="WJG1449"/>
      <c r="WJH1449"/>
      <c r="WJI1449"/>
      <c r="WJJ1449"/>
      <c r="WJK1449"/>
      <c r="WJL1449"/>
      <c r="WJM1449"/>
      <c r="WJN1449"/>
      <c r="WJO1449"/>
      <c r="WJP1449"/>
      <c r="WJQ1449"/>
      <c r="WJR1449"/>
      <c r="WJS1449"/>
      <c r="WJT1449"/>
      <c r="WJU1449"/>
      <c r="WJV1449"/>
      <c r="WJW1449"/>
      <c r="WJX1449"/>
      <c r="WJY1449"/>
      <c r="WJZ1449"/>
      <c r="WKA1449"/>
      <c r="WKB1449"/>
      <c r="WKC1449"/>
      <c r="WKD1449"/>
      <c r="WKE1449"/>
      <c r="WKF1449"/>
      <c r="WKG1449"/>
      <c r="WKH1449"/>
      <c r="WKI1449"/>
      <c r="WKJ1449"/>
      <c r="WKK1449"/>
      <c r="WKL1449"/>
      <c r="WKM1449"/>
      <c r="WKN1449"/>
      <c r="WKO1449"/>
      <c r="WKP1449"/>
      <c r="WKQ1449"/>
      <c r="WKR1449"/>
      <c r="WKS1449"/>
      <c r="WKT1449"/>
      <c r="WKU1449"/>
      <c r="WKV1449"/>
      <c r="WKW1449"/>
      <c r="WKX1449"/>
      <c r="WKY1449"/>
      <c r="WKZ1449"/>
      <c r="WLA1449"/>
      <c r="WLB1449"/>
      <c r="WLC1449"/>
      <c r="WLD1449"/>
      <c r="WLE1449"/>
      <c r="WLF1449"/>
      <c r="WLG1449"/>
      <c r="WLH1449"/>
      <c r="WLI1449"/>
      <c r="WLJ1449"/>
      <c r="WLK1449"/>
      <c r="WLL1449"/>
      <c r="WLM1449"/>
      <c r="WLN1449"/>
      <c r="WLO1449"/>
      <c r="WLP1449"/>
      <c r="WLQ1449"/>
      <c r="WLR1449"/>
      <c r="WLS1449"/>
      <c r="WLT1449"/>
      <c r="WLU1449"/>
      <c r="WLV1449"/>
      <c r="WLW1449"/>
      <c r="WLX1449"/>
      <c r="WLY1449"/>
      <c r="WLZ1449"/>
      <c r="WMA1449"/>
      <c r="WMB1449"/>
      <c r="WMC1449"/>
      <c r="WMD1449"/>
      <c r="WME1449"/>
      <c r="WMF1449"/>
      <c r="WMG1449"/>
      <c r="WMH1449"/>
      <c r="WMI1449"/>
      <c r="WMJ1449"/>
      <c r="WMK1449"/>
      <c r="WML1449"/>
      <c r="WMM1449"/>
      <c r="WMN1449"/>
      <c r="WMO1449"/>
      <c r="WMP1449"/>
      <c r="WMQ1449"/>
      <c r="WMR1449"/>
      <c r="WMS1449"/>
      <c r="WMT1449"/>
      <c r="WMU1449"/>
      <c r="WMV1449"/>
      <c r="WMW1449"/>
      <c r="WMX1449"/>
      <c r="WMY1449"/>
      <c r="WMZ1449"/>
      <c r="WNA1449"/>
      <c r="WNB1449"/>
      <c r="WNC1449"/>
      <c r="WND1449"/>
      <c r="WNE1449"/>
      <c r="WNF1449"/>
      <c r="WNG1449"/>
      <c r="WNH1449"/>
      <c r="WNI1449"/>
      <c r="WNJ1449"/>
      <c r="WNK1449"/>
      <c r="WNL1449"/>
      <c r="WNM1449"/>
      <c r="WNN1449"/>
      <c r="WNO1449"/>
      <c r="WNP1449"/>
      <c r="WNQ1449"/>
      <c r="WNR1449"/>
      <c r="WNS1449"/>
      <c r="WNT1449"/>
      <c r="WNU1449"/>
      <c r="WNV1449"/>
      <c r="WNW1449"/>
      <c r="WNX1449"/>
      <c r="WNY1449"/>
      <c r="WNZ1449"/>
      <c r="WOA1449"/>
      <c r="WOB1449"/>
      <c r="WOC1449"/>
      <c r="WOD1449"/>
      <c r="WOE1449"/>
      <c r="WOF1449"/>
      <c r="WOG1449"/>
      <c r="WOH1449"/>
      <c r="WOI1449"/>
      <c r="WOJ1449"/>
      <c r="WOK1449"/>
      <c r="WOL1449"/>
      <c r="WOM1449"/>
      <c r="WON1449"/>
      <c r="WOO1449"/>
      <c r="WOP1449"/>
      <c r="WOQ1449"/>
      <c r="WOR1449"/>
      <c r="WOS1449"/>
      <c r="WOT1449"/>
      <c r="WOU1449"/>
      <c r="WOV1449"/>
      <c r="WOW1449"/>
      <c r="WOX1449"/>
      <c r="WOY1449"/>
      <c r="WOZ1449"/>
      <c r="WPA1449"/>
      <c r="WPB1449"/>
      <c r="WPC1449"/>
      <c r="WPD1449"/>
      <c r="WPE1449"/>
      <c r="WPF1449"/>
      <c r="WPG1449"/>
      <c r="WPH1449"/>
      <c r="WPI1449"/>
      <c r="WPJ1449"/>
      <c r="WPK1449"/>
      <c r="WPL1449"/>
      <c r="WPM1449"/>
      <c r="WPN1449"/>
      <c r="WPO1449"/>
      <c r="WPP1449"/>
      <c r="WPQ1449"/>
      <c r="WPR1449"/>
      <c r="WPS1449"/>
      <c r="WPT1449"/>
      <c r="WPU1449"/>
      <c r="WPV1449"/>
      <c r="WPW1449"/>
      <c r="WPX1449"/>
      <c r="WPY1449"/>
      <c r="WPZ1449"/>
      <c r="WQA1449"/>
      <c r="WQB1449"/>
      <c r="WQC1449"/>
      <c r="WQD1449"/>
      <c r="WQE1449"/>
      <c r="WQF1449"/>
      <c r="WQG1449"/>
      <c r="WQH1449"/>
      <c r="WQI1449"/>
      <c r="WQJ1449"/>
      <c r="WQK1449"/>
      <c r="WQL1449"/>
      <c r="WQM1449"/>
      <c r="WQN1449"/>
      <c r="WQO1449"/>
      <c r="WQP1449"/>
      <c r="WQQ1449"/>
      <c r="WQR1449"/>
      <c r="WQS1449"/>
      <c r="WQT1449"/>
      <c r="WQU1449"/>
      <c r="WQV1449"/>
      <c r="WQW1449"/>
      <c r="WQX1449"/>
      <c r="WQY1449"/>
      <c r="WQZ1449"/>
      <c r="WRA1449"/>
      <c r="WRB1449"/>
      <c r="WRC1449"/>
      <c r="WRD1449"/>
      <c r="WRE1449"/>
      <c r="WRF1449"/>
      <c r="WRG1449"/>
      <c r="WRH1449"/>
      <c r="WRI1449"/>
      <c r="WRJ1449"/>
      <c r="WRK1449"/>
      <c r="WRL1449"/>
      <c r="WRM1449"/>
      <c r="WRN1449"/>
      <c r="WRO1449"/>
      <c r="WRP1449"/>
      <c r="WRQ1449"/>
      <c r="WRR1449"/>
      <c r="WRS1449"/>
      <c r="WRT1449"/>
      <c r="WRU1449"/>
      <c r="WRV1449"/>
      <c r="WRW1449"/>
      <c r="WRX1449"/>
      <c r="WRY1449"/>
      <c r="WRZ1449"/>
      <c r="WSA1449"/>
      <c r="WSB1449"/>
      <c r="WSC1449"/>
      <c r="WSD1449"/>
      <c r="WSE1449"/>
      <c r="WSF1449"/>
      <c r="WSG1449"/>
      <c r="WSH1449"/>
      <c r="WSI1449"/>
      <c r="WSJ1449"/>
      <c r="WSK1449"/>
      <c r="WSL1449"/>
      <c r="WSM1449"/>
      <c r="WSN1449"/>
      <c r="WSO1449"/>
      <c r="WSP1449"/>
      <c r="WSQ1449"/>
      <c r="WSR1449"/>
      <c r="WSS1449"/>
      <c r="WST1449"/>
      <c r="WSU1449"/>
      <c r="WSV1449"/>
      <c r="WSW1449"/>
      <c r="WSX1449"/>
      <c r="WSY1449"/>
      <c r="WSZ1449"/>
      <c r="WTA1449"/>
      <c r="WTB1449"/>
      <c r="WTC1449"/>
      <c r="WTD1449"/>
      <c r="WTE1449"/>
      <c r="WTF1449"/>
      <c r="WTG1449"/>
      <c r="WTH1449"/>
      <c r="WTI1449"/>
      <c r="WTJ1449"/>
      <c r="WTK1449"/>
      <c r="WTL1449"/>
      <c r="WTM1449"/>
      <c r="WTN1449"/>
      <c r="WTO1449"/>
      <c r="WTP1449"/>
      <c r="WTQ1449"/>
      <c r="WTR1449"/>
      <c r="WTS1449"/>
      <c r="WTT1449"/>
      <c r="WTU1449"/>
      <c r="WTV1449"/>
      <c r="WTW1449"/>
      <c r="WTX1449"/>
      <c r="WTY1449"/>
      <c r="WTZ1449"/>
      <c r="WUA1449"/>
      <c r="WUB1449"/>
      <c r="WUC1449"/>
      <c r="WUD1449"/>
      <c r="WUE1449"/>
      <c r="WUF1449"/>
      <c r="WUG1449"/>
      <c r="WUH1449"/>
      <c r="WUI1449"/>
      <c r="WUJ1449"/>
      <c r="WUK1449"/>
      <c r="WUL1449"/>
      <c r="WUM1449"/>
      <c r="WUN1449"/>
      <c r="WUO1449"/>
      <c r="WUP1449"/>
      <c r="WUQ1449"/>
      <c r="WUR1449"/>
      <c r="WUS1449"/>
      <c r="WUT1449"/>
      <c r="WUU1449"/>
      <c r="WUV1449"/>
      <c r="WUW1449"/>
      <c r="WUX1449"/>
      <c r="WUY1449"/>
      <c r="WUZ1449"/>
      <c r="WVA1449"/>
      <c r="WVB1449"/>
      <c r="WVC1449"/>
      <c r="WVD1449"/>
      <c r="WVE1449"/>
      <c r="WVF1449"/>
      <c r="WVG1449"/>
      <c r="WVH1449"/>
      <c r="WVI1449"/>
      <c r="WVJ1449"/>
      <c r="WVK1449"/>
      <c r="WVL1449"/>
      <c r="WVM1449"/>
      <c r="WVN1449"/>
      <c r="WVO1449"/>
      <c r="WVP1449"/>
      <c r="WVQ1449"/>
      <c r="WVR1449"/>
      <c r="WVS1449"/>
      <c r="WVT1449"/>
      <c r="WVU1449"/>
      <c r="WVV1449"/>
      <c r="WVW1449"/>
      <c r="WVX1449"/>
      <c r="WVY1449"/>
      <c r="WVZ1449"/>
      <c r="WWA1449"/>
      <c r="WWB1449"/>
      <c r="WWC1449"/>
      <c r="WWD1449"/>
      <c r="WWE1449"/>
      <c r="WWF1449"/>
      <c r="WWG1449"/>
      <c r="WWH1449"/>
      <c r="WWI1449"/>
      <c r="WWJ1449"/>
      <c r="WWK1449"/>
      <c r="WWL1449"/>
      <c r="WWM1449"/>
      <c r="WWN1449"/>
      <c r="WWO1449"/>
      <c r="WWP1449"/>
      <c r="WWQ1449"/>
      <c r="WWR1449"/>
      <c r="WWS1449"/>
      <c r="WWT1449"/>
      <c r="WWU1449"/>
      <c r="WWV1449"/>
      <c r="WWW1449"/>
      <c r="WWX1449"/>
      <c r="WWY1449"/>
      <c r="WWZ1449"/>
      <c r="WXA1449"/>
      <c r="WXB1449"/>
      <c r="WXC1449"/>
      <c r="WXD1449"/>
      <c r="WXE1449"/>
      <c r="WXF1449"/>
      <c r="WXG1449"/>
      <c r="WXH1449"/>
      <c r="WXI1449"/>
      <c r="WXJ1449"/>
      <c r="WXK1449"/>
      <c r="WXL1449"/>
      <c r="WXM1449"/>
      <c r="WXN1449"/>
      <c r="WXO1449"/>
      <c r="WXP1449"/>
      <c r="WXQ1449"/>
      <c r="WXR1449"/>
      <c r="WXS1449"/>
      <c r="WXT1449"/>
      <c r="WXU1449"/>
      <c r="WXV1449"/>
      <c r="WXW1449"/>
      <c r="WXX1449"/>
      <c r="WXY1449"/>
      <c r="WXZ1449"/>
      <c r="WYA1449"/>
      <c r="WYB1449"/>
      <c r="WYC1449"/>
      <c r="WYD1449"/>
      <c r="WYE1449"/>
      <c r="WYF1449"/>
      <c r="WYG1449"/>
      <c r="WYH1449"/>
      <c r="WYI1449"/>
      <c r="WYJ1449"/>
      <c r="WYK1449"/>
      <c r="WYL1449"/>
      <c r="WYM1449"/>
      <c r="WYN1449"/>
      <c r="WYO1449"/>
      <c r="WYP1449"/>
      <c r="WYQ1449"/>
      <c r="WYR1449"/>
      <c r="WYS1449"/>
      <c r="WYT1449"/>
      <c r="WYU1449"/>
      <c r="WYV1449"/>
      <c r="WYW1449"/>
      <c r="WYX1449"/>
      <c r="WYY1449"/>
      <c r="WYZ1449"/>
      <c r="WZA1449"/>
      <c r="WZB1449"/>
      <c r="WZC1449"/>
      <c r="WZD1449"/>
      <c r="WZE1449"/>
      <c r="WZF1449"/>
      <c r="WZG1449"/>
      <c r="WZH1449"/>
      <c r="WZI1449"/>
      <c r="WZJ1449"/>
      <c r="WZK1449"/>
      <c r="WZL1449"/>
      <c r="WZM1449"/>
      <c r="WZN1449"/>
      <c r="WZO1449"/>
      <c r="WZP1449"/>
      <c r="WZQ1449"/>
      <c r="WZR1449"/>
      <c r="WZS1449"/>
      <c r="WZT1449"/>
      <c r="WZU1449"/>
      <c r="WZV1449"/>
      <c r="WZW1449"/>
      <c r="WZX1449"/>
      <c r="WZY1449"/>
      <c r="WZZ1449"/>
      <c r="XAA1449"/>
      <c r="XAB1449"/>
      <c r="XAC1449"/>
      <c r="XAD1449"/>
      <c r="XAE1449"/>
      <c r="XAF1449"/>
      <c r="XAG1449"/>
      <c r="XAH1449"/>
      <c r="XAI1449"/>
      <c r="XAJ1449"/>
      <c r="XAK1449"/>
      <c r="XAL1449"/>
      <c r="XAM1449"/>
      <c r="XAN1449"/>
      <c r="XAO1449"/>
      <c r="XAP1449"/>
      <c r="XAQ1449"/>
      <c r="XAR1449"/>
      <c r="XAS1449"/>
      <c r="XAT1449"/>
      <c r="XAU1449"/>
      <c r="XAV1449"/>
      <c r="XAW1449"/>
      <c r="XAX1449"/>
      <c r="XAY1449"/>
      <c r="XAZ1449"/>
      <c r="XBA1449"/>
      <c r="XBB1449"/>
      <c r="XBC1449"/>
      <c r="XBD1449"/>
      <c r="XBE1449"/>
      <c r="XBF1449"/>
      <c r="XBG1449"/>
      <c r="XBH1449"/>
      <c r="XBI1449"/>
      <c r="XBJ1449"/>
      <c r="XBK1449"/>
      <c r="XBL1449"/>
      <c r="XBM1449"/>
      <c r="XBN1449"/>
      <c r="XBO1449"/>
      <c r="XBP1449"/>
      <c r="XBQ1449"/>
      <c r="XBR1449"/>
      <c r="XBS1449"/>
      <c r="XBT1449"/>
      <c r="XBU1449"/>
      <c r="XBV1449"/>
      <c r="XBW1449"/>
      <c r="XBX1449"/>
      <c r="XBY1449"/>
      <c r="XBZ1449"/>
      <c r="XCA1449"/>
      <c r="XCB1449"/>
      <c r="XCC1449"/>
      <c r="XCD1449"/>
      <c r="XCE1449"/>
      <c r="XCF1449"/>
      <c r="XCG1449"/>
      <c r="XCH1449"/>
      <c r="XCI1449"/>
      <c r="XCJ1449"/>
      <c r="XCK1449"/>
      <c r="XCL1449"/>
      <c r="XCM1449"/>
      <c r="XCN1449"/>
      <c r="XCO1449"/>
      <c r="XCP1449"/>
      <c r="XCQ1449"/>
      <c r="XCR1449"/>
      <c r="XCS1449"/>
      <c r="XCT1449"/>
      <c r="XCU1449"/>
      <c r="XCV1449"/>
      <c r="XCW1449"/>
      <c r="XCX1449"/>
      <c r="XCY1449"/>
      <c r="XCZ1449"/>
      <c r="XDA1449"/>
      <c r="XDB1449"/>
      <c r="XDC1449"/>
      <c r="XDD1449"/>
      <c r="XDE1449"/>
      <c r="XDF1449"/>
      <c r="XDG1449"/>
      <c r="XDH1449"/>
      <c r="XDI1449"/>
      <c r="XDJ1449"/>
      <c r="XDK1449"/>
      <c r="XDL1449"/>
      <c r="XDM1449"/>
      <c r="XDN1449"/>
      <c r="XDO1449"/>
      <c r="XDP1449"/>
      <c r="XDQ1449"/>
      <c r="XDR1449"/>
      <c r="XDS1449"/>
      <c r="XDT1449"/>
      <c r="XDU1449"/>
      <c r="XDV1449"/>
      <c r="XDW1449"/>
      <c r="XDX1449"/>
      <c r="XDY1449"/>
      <c r="XDZ1449"/>
      <c r="XEA1449"/>
      <c r="XEB1449"/>
      <c r="XEC1449"/>
      <c r="XED1449"/>
      <c r="XEE1449"/>
      <c r="XEF1449"/>
      <c r="XEG1449"/>
      <c r="XEH1449"/>
      <c r="XEI1449"/>
      <c r="XEJ1449"/>
      <c r="XEK1449"/>
      <c r="XEL1449"/>
      <c r="XEM1449"/>
      <c r="XEN1449"/>
      <c r="XEO1449"/>
      <c r="XEP1449"/>
      <c r="XEQ1449"/>
      <c r="XER1449"/>
      <c r="XES1449"/>
      <c r="XET1449"/>
      <c r="XEU1449"/>
      <c r="XEV1449"/>
      <c r="XEW1449"/>
      <c r="XEX1449"/>
      <c r="XEY1449"/>
      <c r="XEZ1449"/>
    </row>
    <row r="1450" spans="1:16380" s="103" customFormat="1" ht="15.95" customHeight="1" thickBot="1" x14ac:dyDescent="0.3">
      <c r="A1450" s="166" t="s">
        <v>1736</v>
      </c>
      <c r="B1450" s="166"/>
      <c r="C1450" s="166"/>
      <c r="D1450" s="166" t="s">
        <v>1720</v>
      </c>
      <c r="E1450" s="166" t="s">
        <v>1739</v>
      </c>
      <c r="F1450" s="166">
        <v>2020</v>
      </c>
      <c r="G1450" s="166" t="s">
        <v>1721</v>
      </c>
      <c r="H1450" s="166" t="s">
        <v>1390</v>
      </c>
      <c r="I1450" s="166" t="s">
        <v>1740</v>
      </c>
      <c r="J1450" s="166" t="s">
        <v>1737</v>
      </c>
      <c r="K1450" s="166" t="s">
        <v>64</v>
      </c>
      <c r="L1450" s="166" t="s">
        <v>1728</v>
      </c>
      <c r="M1450" s="166" t="s">
        <v>260</v>
      </c>
      <c r="N1450" s="19" t="s">
        <v>66</v>
      </c>
      <c r="O1450" s="166" t="s">
        <v>1738</v>
      </c>
      <c r="P1450" s="166" t="s">
        <v>1390</v>
      </c>
      <c r="Q1450" s="166"/>
      <c r="R1450" s="166" t="s">
        <v>163</v>
      </c>
      <c r="S1450" s="166"/>
      <c r="T1450" s="166" t="s">
        <v>49</v>
      </c>
      <c r="U1450" s="19" t="s">
        <v>49</v>
      </c>
      <c r="V1450" s="166">
        <v>6</v>
      </c>
      <c r="W1450" s="166" t="s">
        <v>45</v>
      </c>
      <c r="X1450" s="166" t="s">
        <v>46</v>
      </c>
      <c r="Y1450" s="166"/>
      <c r="Z1450" s="166"/>
      <c r="AA1450" s="166"/>
      <c r="AB1450" s="166">
        <v>40</v>
      </c>
      <c r="AC1450" s="166" t="s">
        <v>214</v>
      </c>
      <c r="AD1450" s="166"/>
      <c r="AE1450" s="169">
        <v>3.7</v>
      </c>
      <c r="AF1450" s="166"/>
      <c r="AG1450" s="166"/>
      <c r="AH1450" s="166"/>
      <c r="AI1450" s="166"/>
      <c r="AJ1450" s="167">
        <v>7</v>
      </c>
      <c r="AK1450" s="169" t="s">
        <v>1747</v>
      </c>
      <c r="AL1450" s="169" t="s">
        <v>1752</v>
      </c>
      <c r="AM1450" s="166"/>
      <c r="AN1450" s="169">
        <v>3</v>
      </c>
      <c r="AO1450" s="166"/>
      <c r="AP1450" s="169">
        <v>1.5</v>
      </c>
      <c r="AQ1450" s="169" t="s">
        <v>1756</v>
      </c>
      <c r="AR1450" s="169" t="s">
        <v>1763</v>
      </c>
      <c r="AS1450" s="166"/>
      <c r="AT1450" s="65" t="str">
        <f>IF(F1450&lt;1980,"N",IF(AC1450="M","Y",IF(AC1450="SM","Y","N")))</f>
        <v>Y</v>
      </c>
      <c r="AU1450" s="65" t="str">
        <f>IF(AT1450="N","N",IF(AJ1450&lt;6,"N",IF(AJ1450&gt;8.5,"N","Y")))</f>
        <v>Y</v>
      </c>
      <c r="AV1450" s="65" t="str">
        <f>AU1450</f>
        <v>Y</v>
      </c>
      <c r="AW1450" s="99"/>
      <c r="AX1450" s="99"/>
      <c r="AY1450" s="20"/>
      <c r="AZ1450" s="96" t="str">
        <f>IF(AV1450="N","n",T1450)</f>
        <v>EC10</v>
      </c>
      <c r="BA1450" s="96">
        <f>IF(AZ1450="n","n",VLOOKUP(AZ1450,'Conversion factors'!$C$4:$D$24,2,FALSE))</f>
        <v>1</v>
      </c>
      <c r="BB1450" s="96">
        <f>IF(BA1450="n","n",AB1450/BA1450)</f>
        <v>40</v>
      </c>
      <c r="BC1450" s="97"/>
      <c r="BD1450" s="96" t="str">
        <f>IF(AV1450="N","n",X1450)</f>
        <v>Chronic</v>
      </c>
      <c r="BE1450" s="96" t="str">
        <f>IF(BD1450="chronic","y","n")</f>
        <v>y</v>
      </c>
      <c r="BF1450" s="98" t="str">
        <f>IF(BE1450="n","",AZ1450)</f>
        <v>EC10</v>
      </c>
      <c r="BG1450" s="96" t="str">
        <f>IF(BF1450="","",IF(ISNUMBER(VLOOKUP(BF1450,'Conversion factors'!$B$35:$C$52,2,FALSE)),"y","n"))</f>
        <v>y</v>
      </c>
      <c r="BH1450" s="131"/>
      <c r="BI1450" s="126"/>
      <c r="BJ1450" s="126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  <c r="DB1450"/>
      <c r="DC1450"/>
      <c r="DD1450"/>
      <c r="DE1450"/>
      <c r="DF1450"/>
      <c r="DG1450"/>
      <c r="DH1450"/>
      <c r="DI1450"/>
      <c r="DJ1450"/>
      <c r="DK1450"/>
      <c r="DL1450"/>
      <c r="DM1450"/>
      <c r="DN1450"/>
      <c r="DO1450"/>
      <c r="DP1450"/>
      <c r="DQ1450"/>
      <c r="DR1450"/>
      <c r="DS1450"/>
      <c r="DT1450"/>
      <c r="DU1450"/>
      <c r="DV1450"/>
      <c r="DW1450"/>
      <c r="DX1450"/>
      <c r="DY1450"/>
      <c r="DZ1450"/>
      <c r="EA1450"/>
      <c r="EB1450"/>
      <c r="EC1450"/>
      <c r="ED1450"/>
      <c r="EE1450"/>
      <c r="EF1450"/>
      <c r="EG1450"/>
      <c r="EH1450"/>
      <c r="EI1450"/>
      <c r="EJ1450"/>
      <c r="EK1450"/>
      <c r="EL1450"/>
      <c r="EM1450"/>
      <c r="EN1450"/>
      <c r="EO1450"/>
      <c r="EP1450"/>
      <c r="EQ1450"/>
      <c r="ER1450"/>
      <c r="ES1450"/>
      <c r="ET1450"/>
      <c r="EU1450"/>
      <c r="EV1450"/>
      <c r="EW1450"/>
      <c r="EX1450"/>
      <c r="EY1450"/>
      <c r="EZ1450"/>
      <c r="FA1450"/>
      <c r="FB1450"/>
      <c r="FC1450"/>
      <c r="FD1450"/>
      <c r="FE1450"/>
      <c r="FF1450"/>
      <c r="FG1450"/>
      <c r="FH1450"/>
      <c r="FI1450"/>
      <c r="FJ1450"/>
      <c r="FK1450"/>
      <c r="FL1450"/>
      <c r="FM1450"/>
      <c r="FN1450"/>
      <c r="FO1450"/>
      <c r="FP1450"/>
      <c r="FQ1450"/>
      <c r="FR1450"/>
      <c r="FS1450"/>
      <c r="FT1450"/>
      <c r="FU1450"/>
      <c r="FV1450"/>
      <c r="FW1450"/>
      <c r="FX1450"/>
      <c r="FY1450"/>
      <c r="FZ1450"/>
      <c r="GA1450"/>
      <c r="GB1450"/>
      <c r="GC1450"/>
      <c r="GD1450"/>
      <c r="GE1450"/>
      <c r="GF1450"/>
      <c r="GG1450"/>
      <c r="GH1450"/>
      <c r="GI1450"/>
      <c r="GJ1450"/>
      <c r="GK1450"/>
      <c r="GL1450"/>
      <c r="GM1450"/>
      <c r="GN1450"/>
      <c r="GO1450"/>
      <c r="GP1450"/>
      <c r="GQ1450"/>
      <c r="GR1450"/>
      <c r="GS1450"/>
      <c r="GT1450"/>
      <c r="GU1450"/>
      <c r="GV1450"/>
      <c r="GW1450"/>
      <c r="GX1450"/>
      <c r="GY1450"/>
      <c r="GZ1450"/>
      <c r="HA1450"/>
      <c r="HB1450"/>
      <c r="HC1450"/>
      <c r="HD1450"/>
      <c r="HE1450"/>
      <c r="HF1450"/>
      <c r="HG1450"/>
      <c r="HH1450"/>
      <c r="HI1450"/>
      <c r="HJ1450"/>
      <c r="HK1450"/>
      <c r="HL1450"/>
      <c r="HM1450"/>
      <c r="HN1450"/>
      <c r="HO1450"/>
      <c r="HP1450"/>
      <c r="HQ1450"/>
      <c r="HR1450"/>
      <c r="HS1450"/>
      <c r="HT1450"/>
      <c r="HU1450"/>
      <c r="HV1450"/>
      <c r="HW1450"/>
      <c r="HX1450"/>
      <c r="HY1450"/>
      <c r="HZ1450"/>
      <c r="IA1450"/>
      <c r="IB1450"/>
      <c r="IC1450"/>
      <c r="ID1450"/>
      <c r="IE1450"/>
      <c r="IF1450"/>
      <c r="IG1450"/>
      <c r="IH1450"/>
      <c r="II1450"/>
      <c r="IJ1450"/>
      <c r="IK1450"/>
      <c r="IL1450"/>
      <c r="IM1450"/>
      <c r="IN1450"/>
      <c r="IO1450"/>
      <c r="IP1450"/>
      <c r="IQ1450"/>
      <c r="IR1450"/>
      <c r="IS1450"/>
      <c r="IT1450"/>
      <c r="IU1450"/>
      <c r="IV1450"/>
      <c r="IW1450"/>
      <c r="IX1450"/>
      <c r="IY1450"/>
      <c r="IZ1450"/>
      <c r="JA1450"/>
      <c r="JB1450"/>
      <c r="JC1450"/>
      <c r="JD1450"/>
      <c r="JE1450"/>
      <c r="JF1450"/>
      <c r="JG1450"/>
      <c r="JH1450"/>
      <c r="JI1450"/>
      <c r="JJ1450"/>
      <c r="JK1450"/>
      <c r="JL1450"/>
      <c r="JM1450"/>
      <c r="JN1450"/>
      <c r="JO1450"/>
      <c r="JP1450"/>
      <c r="JQ1450"/>
      <c r="JR1450"/>
      <c r="JS1450"/>
      <c r="JT1450"/>
      <c r="JU1450"/>
      <c r="JV1450"/>
      <c r="JW1450"/>
      <c r="JX1450"/>
      <c r="JY1450"/>
      <c r="JZ1450"/>
      <c r="KA1450"/>
      <c r="KB1450"/>
      <c r="KC1450"/>
      <c r="KD1450"/>
      <c r="KE1450"/>
      <c r="KF1450"/>
      <c r="KG1450"/>
      <c r="KH1450"/>
      <c r="KI1450"/>
      <c r="KJ1450"/>
      <c r="KK1450"/>
      <c r="KL1450"/>
      <c r="KM1450"/>
      <c r="KN1450"/>
      <c r="KO1450"/>
      <c r="KP1450"/>
      <c r="KQ1450"/>
      <c r="KR1450"/>
      <c r="KS1450"/>
      <c r="KT1450"/>
      <c r="KU1450"/>
      <c r="KV1450"/>
      <c r="KW1450"/>
      <c r="KX1450"/>
      <c r="KY1450"/>
      <c r="KZ1450"/>
      <c r="LA1450"/>
      <c r="LB1450"/>
      <c r="LC1450"/>
      <c r="LD1450"/>
      <c r="LE1450"/>
      <c r="LF1450"/>
      <c r="LG1450"/>
      <c r="LH1450"/>
      <c r="LI1450"/>
      <c r="LJ1450"/>
      <c r="LK1450"/>
      <c r="LL1450"/>
      <c r="LM1450"/>
      <c r="LN1450"/>
      <c r="LO1450"/>
      <c r="LP1450"/>
      <c r="LQ1450"/>
      <c r="LR1450"/>
      <c r="LS1450"/>
      <c r="LT1450"/>
      <c r="LU1450"/>
      <c r="LV1450"/>
      <c r="LW1450"/>
      <c r="LX1450"/>
      <c r="LY1450"/>
      <c r="LZ1450"/>
      <c r="MA1450"/>
      <c r="MB1450"/>
      <c r="MC1450"/>
      <c r="MD1450"/>
      <c r="ME1450"/>
      <c r="MF1450"/>
      <c r="MG1450"/>
      <c r="MH1450"/>
      <c r="MI1450"/>
      <c r="MJ1450"/>
      <c r="MK1450"/>
      <c r="ML1450"/>
      <c r="MM1450"/>
      <c r="MN1450"/>
      <c r="MO1450"/>
      <c r="MP1450"/>
      <c r="MQ1450"/>
      <c r="MR1450"/>
      <c r="MS1450"/>
      <c r="MT1450"/>
      <c r="MU1450"/>
      <c r="MV1450"/>
      <c r="MW1450"/>
      <c r="MX1450"/>
      <c r="MY1450"/>
      <c r="MZ1450"/>
      <c r="NA1450"/>
      <c r="NB1450"/>
      <c r="NC1450"/>
      <c r="ND1450"/>
      <c r="NE1450"/>
      <c r="NF1450"/>
      <c r="NG1450"/>
      <c r="NH1450"/>
      <c r="NI1450"/>
      <c r="NJ1450"/>
      <c r="NK1450"/>
      <c r="NL1450"/>
      <c r="NM1450"/>
      <c r="NN1450"/>
      <c r="NO1450"/>
      <c r="NP1450"/>
      <c r="NQ1450"/>
      <c r="NR1450"/>
      <c r="NS1450"/>
      <c r="NT1450"/>
      <c r="NU1450"/>
      <c r="NV1450"/>
      <c r="NW1450"/>
      <c r="NX1450"/>
      <c r="NY1450"/>
      <c r="NZ1450"/>
      <c r="OA1450"/>
      <c r="OB1450"/>
      <c r="OC1450"/>
      <c r="OD1450"/>
      <c r="OE1450"/>
      <c r="OF1450"/>
      <c r="OG1450"/>
      <c r="OH1450"/>
      <c r="OI1450"/>
      <c r="OJ1450"/>
      <c r="OK1450"/>
      <c r="OL1450"/>
      <c r="OM1450"/>
      <c r="ON1450"/>
      <c r="OO1450"/>
      <c r="OP1450"/>
      <c r="OQ1450"/>
      <c r="OR1450"/>
      <c r="OS1450"/>
      <c r="OT1450"/>
      <c r="OU1450"/>
      <c r="OV1450"/>
      <c r="OW1450"/>
      <c r="OX1450"/>
      <c r="OY1450"/>
      <c r="OZ1450"/>
      <c r="PA1450"/>
      <c r="PB1450"/>
      <c r="PC1450"/>
      <c r="PD1450"/>
      <c r="PE1450"/>
      <c r="PF1450"/>
      <c r="PG1450"/>
      <c r="PH1450"/>
      <c r="PI1450"/>
      <c r="PJ1450"/>
      <c r="PK1450"/>
      <c r="PL1450"/>
      <c r="PM1450"/>
      <c r="PN1450"/>
      <c r="PO1450"/>
      <c r="PP1450"/>
      <c r="PQ1450"/>
      <c r="PR1450"/>
      <c r="PS1450"/>
      <c r="PT1450"/>
      <c r="PU1450"/>
      <c r="PV1450"/>
      <c r="PW1450"/>
      <c r="PX1450"/>
      <c r="PY1450"/>
      <c r="PZ1450"/>
      <c r="QA1450"/>
      <c r="QB1450"/>
      <c r="QC1450"/>
      <c r="QD1450"/>
      <c r="QE1450"/>
      <c r="QF1450"/>
      <c r="QG1450"/>
      <c r="QH1450"/>
      <c r="QI1450"/>
      <c r="QJ1450"/>
      <c r="QK1450"/>
      <c r="QL1450"/>
      <c r="QM1450"/>
      <c r="QN1450"/>
      <c r="QO1450"/>
      <c r="QP1450"/>
      <c r="QQ1450"/>
      <c r="QR1450"/>
      <c r="QS1450"/>
      <c r="QT1450"/>
      <c r="QU1450"/>
      <c r="QV1450"/>
      <c r="QW1450"/>
      <c r="QX1450"/>
      <c r="QY1450"/>
      <c r="QZ1450"/>
      <c r="RA1450"/>
      <c r="RB1450"/>
      <c r="RC1450"/>
      <c r="RD1450"/>
      <c r="RE1450"/>
      <c r="RF1450"/>
      <c r="RG1450"/>
      <c r="RH1450"/>
      <c r="RI1450"/>
      <c r="RJ1450"/>
      <c r="RK1450"/>
      <c r="RL1450"/>
      <c r="RM1450"/>
      <c r="RN1450"/>
      <c r="RO1450"/>
      <c r="RP1450"/>
      <c r="RQ1450"/>
      <c r="RR1450"/>
      <c r="RS1450"/>
      <c r="RT1450"/>
      <c r="RU1450"/>
      <c r="RV1450"/>
      <c r="RW1450"/>
      <c r="RX1450"/>
      <c r="RY1450"/>
      <c r="RZ1450"/>
      <c r="SA1450"/>
      <c r="SB1450"/>
      <c r="SC1450"/>
      <c r="SD1450"/>
      <c r="SE1450"/>
      <c r="SF1450"/>
      <c r="SG1450"/>
      <c r="SH1450"/>
      <c r="SI1450"/>
      <c r="SJ1450"/>
      <c r="SK1450"/>
      <c r="SL1450"/>
      <c r="SM1450"/>
      <c r="SN1450"/>
      <c r="SO1450"/>
      <c r="SP1450"/>
      <c r="SQ1450"/>
      <c r="SR1450"/>
      <c r="SS1450"/>
      <c r="ST1450"/>
      <c r="SU1450"/>
      <c r="SV1450"/>
      <c r="SW1450"/>
      <c r="SX1450"/>
      <c r="SY1450"/>
      <c r="SZ1450"/>
      <c r="TA1450"/>
      <c r="TB1450"/>
      <c r="TC1450"/>
      <c r="TD1450"/>
      <c r="TE1450"/>
      <c r="TF1450"/>
      <c r="TG1450"/>
      <c r="TH1450"/>
      <c r="TI1450"/>
      <c r="TJ1450"/>
      <c r="TK1450"/>
      <c r="TL1450"/>
      <c r="TM1450"/>
      <c r="TN1450"/>
      <c r="TO1450"/>
      <c r="TP1450"/>
      <c r="TQ1450"/>
      <c r="TR1450"/>
      <c r="TS1450"/>
      <c r="TT1450"/>
      <c r="TU1450"/>
      <c r="TV1450"/>
      <c r="TW1450"/>
      <c r="TX1450"/>
      <c r="TY1450"/>
      <c r="TZ1450"/>
      <c r="UA1450"/>
      <c r="UB1450"/>
      <c r="UC1450"/>
      <c r="UD1450"/>
      <c r="UE1450"/>
      <c r="UF1450"/>
      <c r="UG1450"/>
      <c r="UH1450"/>
      <c r="UI1450"/>
      <c r="UJ1450"/>
      <c r="UK1450"/>
      <c r="UL1450"/>
      <c r="UM1450"/>
      <c r="UN1450"/>
      <c r="UO1450"/>
      <c r="UP1450"/>
      <c r="UQ1450"/>
      <c r="UR1450"/>
      <c r="US1450"/>
      <c r="UT1450"/>
      <c r="UU1450"/>
      <c r="UV1450"/>
      <c r="UW1450"/>
      <c r="UX1450"/>
      <c r="UY1450"/>
      <c r="UZ1450"/>
      <c r="VA1450"/>
      <c r="VB1450"/>
      <c r="VC1450"/>
      <c r="VD1450"/>
      <c r="VE1450"/>
      <c r="VF1450"/>
      <c r="VG1450"/>
      <c r="VH1450"/>
      <c r="VI1450"/>
      <c r="VJ1450"/>
      <c r="VK1450"/>
      <c r="VL1450"/>
      <c r="VM1450"/>
      <c r="VN1450"/>
      <c r="VO1450"/>
      <c r="VP1450"/>
      <c r="VQ1450"/>
      <c r="VR1450"/>
      <c r="VS1450"/>
      <c r="VT1450"/>
      <c r="VU1450"/>
      <c r="VV1450"/>
      <c r="VW1450"/>
      <c r="VX1450"/>
      <c r="VY1450"/>
      <c r="VZ1450"/>
      <c r="WA1450"/>
      <c r="WB1450"/>
      <c r="WC1450"/>
      <c r="WD1450"/>
      <c r="WE1450"/>
      <c r="WF1450"/>
      <c r="WG1450"/>
      <c r="WH1450"/>
      <c r="WI1450"/>
      <c r="WJ1450"/>
      <c r="WK1450"/>
      <c r="WL1450"/>
      <c r="WM1450"/>
      <c r="WN1450"/>
      <c r="WO1450"/>
      <c r="WP1450"/>
      <c r="WQ1450"/>
      <c r="WR1450"/>
      <c r="WS1450"/>
      <c r="WT1450"/>
      <c r="WU1450"/>
      <c r="WV1450"/>
      <c r="WW1450"/>
      <c r="WX1450"/>
      <c r="WY1450"/>
      <c r="WZ1450"/>
      <c r="XA1450"/>
      <c r="XB1450"/>
      <c r="XC1450"/>
      <c r="XD1450"/>
      <c r="XE1450"/>
      <c r="XF1450"/>
      <c r="XG1450"/>
      <c r="XH1450"/>
      <c r="XI1450"/>
      <c r="XJ1450"/>
      <c r="XK1450"/>
      <c r="XL1450"/>
      <c r="XM1450"/>
      <c r="XN1450"/>
      <c r="XO1450"/>
      <c r="XP1450"/>
      <c r="XQ1450"/>
      <c r="XR1450"/>
      <c r="XS1450"/>
      <c r="XT1450"/>
      <c r="XU1450"/>
      <c r="XV1450"/>
      <c r="XW1450"/>
      <c r="XX1450"/>
      <c r="XY1450"/>
      <c r="XZ1450"/>
      <c r="YA1450"/>
      <c r="YB1450"/>
      <c r="YC1450"/>
      <c r="YD1450"/>
      <c r="YE1450"/>
      <c r="YF1450"/>
      <c r="YG1450"/>
      <c r="YH1450"/>
      <c r="YI1450"/>
      <c r="YJ1450"/>
      <c r="YK1450"/>
      <c r="YL1450"/>
      <c r="YM1450"/>
      <c r="YN1450"/>
      <c r="YO1450"/>
      <c r="YP1450"/>
      <c r="YQ1450"/>
      <c r="YR1450"/>
      <c r="YS1450"/>
      <c r="YT1450"/>
      <c r="YU1450"/>
      <c r="YV1450"/>
      <c r="YW1450"/>
      <c r="YX1450"/>
      <c r="YY1450"/>
      <c r="YZ1450"/>
      <c r="ZA1450"/>
      <c r="ZB1450"/>
      <c r="ZC1450"/>
      <c r="ZD1450"/>
      <c r="ZE1450"/>
      <c r="ZF1450"/>
      <c r="ZG1450"/>
      <c r="ZH1450"/>
      <c r="ZI1450"/>
      <c r="ZJ1450"/>
      <c r="ZK1450"/>
      <c r="ZL1450"/>
      <c r="ZM1450"/>
      <c r="ZN1450"/>
      <c r="ZO1450"/>
      <c r="ZP1450"/>
      <c r="ZQ1450"/>
      <c r="ZR1450"/>
      <c r="ZS1450"/>
      <c r="ZT1450"/>
      <c r="ZU1450"/>
      <c r="ZV1450"/>
      <c r="ZW1450"/>
      <c r="ZX1450"/>
      <c r="ZY1450"/>
      <c r="ZZ1450"/>
      <c r="AAA1450"/>
      <c r="AAB1450"/>
      <c r="AAC1450"/>
      <c r="AAD1450"/>
      <c r="AAE1450"/>
      <c r="AAF1450"/>
      <c r="AAG1450"/>
      <c r="AAH1450"/>
      <c r="AAI1450"/>
      <c r="AAJ1450"/>
      <c r="AAK1450"/>
      <c r="AAL1450"/>
      <c r="AAM1450"/>
      <c r="AAN1450"/>
      <c r="AAO1450"/>
      <c r="AAP1450"/>
      <c r="AAQ1450"/>
      <c r="AAR1450"/>
      <c r="AAS1450"/>
      <c r="AAT1450"/>
      <c r="AAU1450"/>
      <c r="AAV1450"/>
      <c r="AAW1450"/>
      <c r="AAX1450"/>
      <c r="AAY1450"/>
      <c r="AAZ1450"/>
      <c r="ABA1450"/>
      <c r="ABB1450"/>
      <c r="ABC1450"/>
      <c r="ABD1450"/>
      <c r="ABE1450"/>
      <c r="ABF1450"/>
      <c r="ABG1450"/>
      <c r="ABH1450"/>
      <c r="ABI1450"/>
      <c r="ABJ1450"/>
      <c r="ABK1450"/>
      <c r="ABL1450"/>
      <c r="ABM1450"/>
      <c r="ABN1450"/>
      <c r="ABO1450"/>
      <c r="ABP1450"/>
      <c r="ABQ1450"/>
      <c r="ABR1450"/>
      <c r="ABS1450"/>
      <c r="ABT1450"/>
      <c r="ABU1450"/>
      <c r="ABV1450"/>
      <c r="ABW1450"/>
      <c r="ABX1450"/>
      <c r="ABY1450"/>
      <c r="ABZ1450"/>
      <c r="ACA1450"/>
      <c r="ACB1450"/>
      <c r="ACC1450"/>
      <c r="ACD1450"/>
      <c r="ACE1450"/>
      <c r="ACF1450"/>
      <c r="ACG1450"/>
      <c r="ACH1450"/>
      <c r="ACI1450"/>
      <c r="ACJ1450"/>
      <c r="ACK1450"/>
      <c r="ACL1450"/>
      <c r="ACM1450"/>
      <c r="ACN1450"/>
      <c r="ACO1450"/>
      <c r="ACP1450"/>
      <c r="ACQ1450"/>
      <c r="ACR1450"/>
      <c r="ACS1450"/>
      <c r="ACT1450"/>
      <c r="ACU1450"/>
      <c r="ACV1450"/>
      <c r="ACW1450"/>
      <c r="ACX1450"/>
      <c r="ACY1450"/>
      <c r="ACZ1450"/>
      <c r="ADA1450"/>
      <c r="ADB1450"/>
      <c r="ADC1450"/>
      <c r="ADD1450"/>
      <c r="ADE1450"/>
      <c r="ADF1450"/>
      <c r="ADG1450"/>
      <c r="ADH1450"/>
      <c r="ADI1450"/>
      <c r="ADJ1450"/>
      <c r="ADK1450"/>
      <c r="ADL1450"/>
      <c r="ADM1450"/>
      <c r="ADN1450"/>
      <c r="ADO1450"/>
      <c r="ADP1450"/>
      <c r="ADQ1450"/>
      <c r="ADR1450"/>
      <c r="ADS1450"/>
      <c r="ADT1450"/>
      <c r="ADU1450"/>
      <c r="ADV1450"/>
      <c r="ADW1450"/>
      <c r="ADX1450"/>
      <c r="ADY1450"/>
      <c r="ADZ1450"/>
      <c r="AEA1450"/>
      <c r="AEB1450"/>
      <c r="AEC1450"/>
      <c r="AED1450"/>
      <c r="AEE1450"/>
      <c r="AEF1450"/>
      <c r="AEG1450"/>
      <c r="AEH1450"/>
      <c r="AEI1450"/>
      <c r="AEJ1450"/>
      <c r="AEK1450"/>
      <c r="AEL1450"/>
      <c r="AEM1450"/>
      <c r="AEN1450"/>
      <c r="AEO1450"/>
      <c r="AEP1450"/>
      <c r="AEQ1450"/>
      <c r="AER1450"/>
      <c r="AES1450"/>
      <c r="AET1450"/>
      <c r="AEU1450"/>
      <c r="AEV1450"/>
      <c r="AEW1450"/>
      <c r="AEX1450"/>
      <c r="AEY1450"/>
      <c r="AEZ1450"/>
      <c r="AFA1450"/>
      <c r="AFB1450"/>
      <c r="AFC1450"/>
      <c r="AFD1450"/>
      <c r="AFE1450"/>
      <c r="AFF1450"/>
      <c r="AFG1450"/>
      <c r="AFH1450"/>
      <c r="AFI1450"/>
      <c r="AFJ1450"/>
      <c r="AFK1450"/>
      <c r="AFL1450"/>
      <c r="AFM1450"/>
      <c r="AFN1450"/>
      <c r="AFO1450"/>
      <c r="AFP1450"/>
      <c r="AFQ1450"/>
      <c r="AFR1450"/>
      <c r="AFS1450"/>
      <c r="AFT1450"/>
      <c r="AFU1450"/>
      <c r="AFV1450"/>
      <c r="AFW1450"/>
      <c r="AFX1450"/>
      <c r="AFY1450"/>
      <c r="AFZ1450"/>
      <c r="AGA1450"/>
      <c r="AGB1450"/>
      <c r="AGC1450"/>
      <c r="AGD1450"/>
      <c r="AGE1450"/>
      <c r="AGF1450"/>
      <c r="AGG1450"/>
      <c r="AGH1450"/>
      <c r="AGI1450"/>
      <c r="AGJ1450"/>
      <c r="AGK1450"/>
      <c r="AGL1450"/>
      <c r="AGM1450"/>
      <c r="AGN1450"/>
      <c r="AGO1450"/>
      <c r="AGP1450"/>
      <c r="AGQ1450"/>
      <c r="AGR1450"/>
      <c r="AGS1450"/>
      <c r="AGT1450"/>
      <c r="AGU1450"/>
      <c r="AGV1450"/>
      <c r="AGW1450"/>
      <c r="AGX1450"/>
      <c r="AGY1450"/>
      <c r="AGZ1450"/>
      <c r="AHA1450"/>
      <c r="AHB1450"/>
      <c r="AHC1450"/>
      <c r="AHD1450"/>
      <c r="AHE1450"/>
      <c r="AHF1450"/>
      <c r="AHG1450"/>
      <c r="AHH1450"/>
      <c r="AHI1450"/>
      <c r="AHJ1450"/>
      <c r="AHK1450"/>
      <c r="AHL1450"/>
      <c r="AHM1450"/>
      <c r="AHN1450"/>
      <c r="AHO1450"/>
      <c r="AHP1450"/>
      <c r="AHQ1450"/>
      <c r="AHR1450"/>
      <c r="AHS1450"/>
      <c r="AHT1450"/>
      <c r="AHU1450"/>
      <c r="AHV1450"/>
      <c r="AHW1450"/>
      <c r="AHX1450"/>
      <c r="AHY1450"/>
      <c r="AHZ1450"/>
      <c r="AIA1450"/>
      <c r="AIB1450"/>
      <c r="AIC1450"/>
      <c r="AID1450"/>
      <c r="AIE1450"/>
      <c r="AIF1450"/>
      <c r="AIG1450"/>
      <c r="AIH1450"/>
      <c r="AII1450"/>
      <c r="AIJ1450"/>
      <c r="AIK1450"/>
      <c r="AIL1450"/>
      <c r="AIM1450"/>
      <c r="AIN1450"/>
      <c r="AIO1450"/>
      <c r="AIP1450"/>
      <c r="AIQ1450"/>
      <c r="AIR1450"/>
      <c r="AIS1450"/>
      <c r="AIT1450"/>
      <c r="AIU1450"/>
      <c r="AIV1450"/>
      <c r="AIW1450"/>
      <c r="AIX1450"/>
      <c r="AIY1450"/>
      <c r="AIZ1450"/>
      <c r="AJA1450"/>
      <c r="AJB1450"/>
      <c r="AJC1450"/>
      <c r="AJD1450"/>
      <c r="AJE1450"/>
      <c r="AJF1450"/>
      <c r="AJG1450"/>
      <c r="AJH1450"/>
      <c r="AJI1450"/>
      <c r="AJJ1450"/>
      <c r="AJK1450"/>
      <c r="AJL1450"/>
      <c r="AJM1450"/>
      <c r="AJN1450"/>
      <c r="AJO1450"/>
      <c r="AJP1450"/>
      <c r="AJQ1450"/>
      <c r="AJR1450"/>
      <c r="AJS1450"/>
      <c r="AJT1450"/>
      <c r="AJU1450"/>
      <c r="AJV1450"/>
      <c r="AJW1450"/>
      <c r="AJX1450"/>
      <c r="AJY1450"/>
      <c r="AJZ1450"/>
      <c r="AKA1450"/>
      <c r="AKB1450"/>
      <c r="AKC1450"/>
      <c r="AKD1450"/>
      <c r="AKE1450"/>
      <c r="AKF1450"/>
      <c r="AKG1450"/>
      <c r="AKH1450"/>
      <c r="AKI1450"/>
      <c r="AKJ1450"/>
      <c r="AKK1450"/>
      <c r="AKL1450"/>
      <c r="AKM1450"/>
      <c r="AKN1450"/>
      <c r="AKO1450"/>
      <c r="AKP1450"/>
      <c r="AKQ1450"/>
      <c r="AKR1450"/>
      <c r="AKS1450"/>
      <c r="AKT1450"/>
      <c r="AKU1450"/>
      <c r="AKV1450"/>
      <c r="AKW1450"/>
      <c r="AKX1450"/>
      <c r="AKY1450"/>
      <c r="AKZ1450"/>
      <c r="ALA1450"/>
      <c r="ALB1450"/>
      <c r="ALC1450"/>
      <c r="ALD1450"/>
      <c r="ALE1450"/>
      <c r="ALF1450"/>
      <c r="ALG1450"/>
      <c r="ALH1450"/>
      <c r="ALI1450"/>
      <c r="ALJ1450"/>
      <c r="ALK1450"/>
      <c r="ALL1450"/>
      <c r="ALM1450"/>
      <c r="ALN1450"/>
      <c r="ALO1450"/>
      <c r="ALP1450"/>
      <c r="ALQ1450"/>
      <c r="ALR1450"/>
      <c r="ALS1450"/>
      <c r="ALT1450"/>
      <c r="ALU1450"/>
      <c r="ALV1450"/>
      <c r="ALW1450"/>
      <c r="ALX1450"/>
      <c r="ALY1450"/>
      <c r="ALZ1450"/>
      <c r="AMA1450"/>
      <c r="AMB1450"/>
      <c r="AMC1450"/>
      <c r="AMD1450"/>
      <c r="AME1450"/>
      <c r="AMF1450"/>
      <c r="AMG1450"/>
      <c r="AMH1450"/>
      <c r="AMI1450"/>
      <c r="AMJ1450"/>
      <c r="AMK1450"/>
      <c r="AML1450"/>
      <c r="AMM1450"/>
      <c r="AMN1450"/>
      <c r="AMO1450"/>
      <c r="AMP1450"/>
      <c r="AMQ1450"/>
      <c r="AMR1450"/>
      <c r="AMS1450"/>
      <c r="AMT1450"/>
      <c r="AMU1450"/>
      <c r="AMV1450"/>
      <c r="AMW1450"/>
      <c r="AMX1450"/>
      <c r="AMY1450"/>
      <c r="AMZ1450"/>
      <c r="ANA1450"/>
      <c r="ANB1450"/>
      <c r="ANC1450"/>
      <c r="AND1450"/>
      <c r="ANE1450"/>
      <c r="ANF1450"/>
      <c r="ANG1450"/>
      <c r="ANH1450"/>
      <c r="ANI1450"/>
      <c r="ANJ1450"/>
      <c r="ANK1450"/>
      <c r="ANL1450"/>
      <c r="ANM1450"/>
      <c r="ANN1450"/>
      <c r="ANO1450"/>
      <c r="ANP1450"/>
      <c r="ANQ1450"/>
      <c r="ANR1450"/>
      <c r="ANS1450"/>
      <c r="ANT1450"/>
      <c r="ANU1450"/>
      <c r="ANV1450"/>
      <c r="ANW1450"/>
      <c r="ANX1450"/>
      <c r="ANY1450"/>
      <c r="ANZ1450"/>
      <c r="AOA1450"/>
      <c r="AOB1450"/>
      <c r="AOC1450"/>
      <c r="AOD1450"/>
      <c r="AOE1450"/>
      <c r="AOF1450"/>
      <c r="AOG1450"/>
      <c r="AOH1450"/>
      <c r="AOI1450"/>
      <c r="AOJ1450"/>
      <c r="AOK1450"/>
      <c r="AOL1450"/>
      <c r="AOM1450"/>
      <c r="AON1450"/>
      <c r="AOO1450"/>
      <c r="AOP1450"/>
      <c r="AOQ1450"/>
      <c r="AOR1450"/>
      <c r="AOS1450"/>
      <c r="AOT1450"/>
      <c r="AOU1450"/>
      <c r="AOV1450"/>
      <c r="AOW1450"/>
      <c r="AOX1450"/>
      <c r="AOY1450"/>
      <c r="AOZ1450"/>
      <c r="APA1450"/>
      <c r="APB1450"/>
      <c r="APC1450"/>
      <c r="APD1450"/>
      <c r="APE1450"/>
      <c r="APF1450"/>
      <c r="APG1450"/>
      <c r="APH1450"/>
      <c r="API1450"/>
      <c r="APJ1450"/>
      <c r="APK1450"/>
      <c r="APL1450"/>
      <c r="APM1450"/>
      <c r="APN1450"/>
      <c r="APO1450"/>
      <c r="APP1450"/>
      <c r="APQ1450"/>
      <c r="APR1450"/>
      <c r="APS1450"/>
      <c r="APT1450"/>
      <c r="APU1450"/>
      <c r="APV1450"/>
      <c r="APW1450"/>
      <c r="APX1450"/>
      <c r="APY1450"/>
      <c r="APZ1450"/>
      <c r="AQA1450"/>
      <c r="AQB1450"/>
      <c r="AQC1450"/>
      <c r="AQD1450"/>
      <c r="AQE1450"/>
      <c r="AQF1450"/>
      <c r="AQG1450"/>
      <c r="AQH1450"/>
      <c r="AQI1450"/>
      <c r="AQJ1450"/>
      <c r="AQK1450"/>
      <c r="AQL1450"/>
      <c r="AQM1450"/>
      <c r="AQN1450"/>
      <c r="AQO1450"/>
      <c r="AQP1450"/>
      <c r="AQQ1450"/>
      <c r="AQR1450"/>
      <c r="AQS1450"/>
      <c r="AQT1450"/>
      <c r="AQU1450"/>
      <c r="AQV1450"/>
      <c r="AQW1450"/>
      <c r="AQX1450"/>
      <c r="AQY1450"/>
      <c r="AQZ1450"/>
      <c r="ARA1450"/>
      <c r="ARB1450"/>
      <c r="ARC1450"/>
      <c r="ARD1450"/>
      <c r="ARE1450"/>
      <c r="ARF1450"/>
      <c r="ARG1450"/>
      <c r="ARH1450"/>
      <c r="ARI1450"/>
      <c r="ARJ1450"/>
      <c r="ARK1450"/>
      <c r="ARL1450"/>
      <c r="ARM1450"/>
      <c r="ARN1450"/>
      <c r="ARO1450"/>
      <c r="ARP1450"/>
      <c r="ARQ1450"/>
      <c r="ARR1450"/>
      <c r="ARS1450"/>
      <c r="ART1450"/>
      <c r="ARU1450"/>
      <c r="ARV1450"/>
      <c r="ARW1450"/>
      <c r="ARX1450"/>
      <c r="ARY1450"/>
      <c r="ARZ1450"/>
      <c r="ASA1450"/>
      <c r="ASB1450"/>
      <c r="ASC1450"/>
      <c r="ASD1450"/>
      <c r="ASE1450"/>
      <c r="ASF1450"/>
      <c r="ASG1450"/>
      <c r="ASH1450"/>
      <c r="ASI1450"/>
      <c r="ASJ1450"/>
      <c r="ASK1450"/>
      <c r="ASL1450"/>
      <c r="ASM1450"/>
      <c r="ASN1450"/>
      <c r="ASO1450"/>
      <c r="ASP1450"/>
      <c r="ASQ1450"/>
      <c r="ASR1450"/>
      <c r="ASS1450"/>
      <c r="AST1450"/>
      <c r="ASU1450"/>
      <c r="ASV1450"/>
      <c r="ASW1450"/>
      <c r="ASX1450"/>
      <c r="ASY1450"/>
      <c r="ASZ1450"/>
      <c r="ATA1450"/>
      <c r="ATB1450"/>
      <c r="ATC1450"/>
      <c r="ATD1450"/>
      <c r="ATE1450"/>
      <c r="ATF1450"/>
      <c r="ATG1450"/>
      <c r="ATH1450"/>
      <c r="ATI1450"/>
      <c r="ATJ1450"/>
      <c r="ATK1450"/>
      <c r="ATL1450"/>
      <c r="ATM1450"/>
      <c r="ATN1450"/>
      <c r="ATO1450"/>
      <c r="ATP1450"/>
      <c r="ATQ1450"/>
      <c r="ATR1450"/>
      <c r="ATS1450"/>
      <c r="ATT1450"/>
      <c r="ATU1450"/>
      <c r="ATV1450"/>
      <c r="ATW1450"/>
      <c r="ATX1450"/>
      <c r="ATY1450"/>
      <c r="ATZ1450"/>
      <c r="AUA1450"/>
      <c r="AUB1450"/>
      <c r="AUC1450"/>
      <c r="AUD1450"/>
      <c r="AUE1450"/>
      <c r="AUF1450"/>
      <c r="AUG1450"/>
      <c r="AUH1450"/>
      <c r="AUI1450"/>
      <c r="AUJ1450"/>
      <c r="AUK1450"/>
      <c r="AUL1450"/>
      <c r="AUM1450"/>
      <c r="AUN1450"/>
      <c r="AUO1450"/>
      <c r="AUP1450"/>
      <c r="AUQ1450"/>
      <c r="AUR1450"/>
      <c r="AUS1450"/>
      <c r="AUT1450"/>
      <c r="AUU1450"/>
      <c r="AUV1450"/>
      <c r="AUW1450"/>
      <c r="AUX1450"/>
      <c r="AUY1450"/>
      <c r="AUZ1450"/>
      <c r="AVA1450"/>
      <c r="AVB1450"/>
      <c r="AVC1450"/>
      <c r="AVD1450"/>
      <c r="AVE1450"/>
      <c r="AVF1450"/>
      <c r="AVG1450"/>
      <c r="AVH1450"/>
      <c r="AVI1450"/>
      <c r="AVJ1450"/>
      <c r="AVK1450"/>
      <c r="AVL1450"/>
      <c r="AVM1450"/>
      <c r="AVN1450"/>
      <c r="AVO1450"/>
      <c r="AVP1450"/>
      <c r="AVQ1450"/>
      <c r="AVR1450"/>
      <c r="AVS1450"/>
      <c r="AVT1450"/>
      <c r="AVU1450"/>
      <c r="AVV1450"/>
      <c r="AVW1450"/>
      <c r="AVX1450"/>
      <c r="AVY1450"/>
      <c r="AVZ1450"/>
      <c r="AWA1450"/>
      <c r="AWB1450"/>
      <c r="AWC1450"/>
      <c r="AWD1450"/>
      <c r="AWE1450"/>
      <c r="AWF1450"/>
      <c r="AWG1450"/>
      <c r="AWH1450"/>
      <c r="AWI1450"/>
      <c r="AWJ1450"/>
      <c r="AWK1450"/>
      <c r="AWL1450"/>
      <c r="AWM1450"/>
      <c r="AWN1450"/>
      <c r="AWO1450"/>
      <c r="AWP1450"/>
      <c r="AWQ1450"/>
      <c r="AWR1450"/>
      <c r="AWS1450"/>
      <c r="AWT1450"/>
      <c r="AWU1450"/>
      <c r="AWV1450"/>
      <c r="AWW1450"/>
      <c r="AWX1450"/>
      <c r="AWY1450"/>
      <c r="AWZ1450"/>
      <c r="AXA1450"/>
      <c r="AXB1450"/>
      <c r="AXC1450"/>
      <c r="AXD1450"/>
      <c r="AXE1450"/>
      <c r="AXF1450"/>
      <c r="AXG1450"/>
      <c r="AXH1450"/>
      <c r="AXI1450"/>
      <c r="AXJ1450"/>
      <c r="AXK1450"/>
      <c r="AXL1450"/>
      <c r="AXM1450"/>
      <c r="AXN1450"/>
      <c r="AXO1450"/>
      <c r="AXP1450"/>
      <c r="AXQ1450"/>
      <c r="AXR1450"/>
      <c r="AXS1450"/>
      <c r="AXT1450"/>
      <c r="AXU1450"/>
      <c r="AXV1450"/>
      <c r="AXW1450"/>
      <c r="AXX1450"/>
      <c r="AXY1450"/>
      <c r="AXZ1450"/>
      <c r="AYA1450"/>
      <c r="AYB1450"/>
      <c r="AYC1450"/>
      <c r="AYD1450"/>
      <c r="AYE1450"/>
      <c r="AYF1450"/>
      <c r="AYG1450"/>
      <c r="AYH1450"/>
      <c r="AYI1450"/>
      <c r="AYJ1450"/>
      <c r="AYK1450"/>
      <c r="AYL1450"/>
      <c r="AYM1450"/>
      <c r="AYN1450"/>
      <c r="AYO1450"/>
      <c r="AYP1450"/>
      <c r="AYQ1450"/>
      <c r="AYR1450"/>
      <c r="AYS1450"/>
      <c r="AYT1450"/>
      <c r="AYU1450"/>
      <c r="AYV1450"/>
      <c r="AYW1450"/>
      <c r="AYX1450"/>
      <c r="AYY1450"/>
      <c r="AYZ1450"/>
      <c r="AZA1450"/>
      <c r="AZB1450"/>
      <c r="AZC1450"/>
      <c r="AZD1450"/>
      <c r="AZE1450"/>
      <c r="AZF1450"/>
      <c r="AZG1450"/>
      <c r="AZH1450"/>
      <c r="AZI1450"/>
      <c r="AZJ1450"/>
      <c r="AZK1450"/>
      <c r="AZL1450"/>
      <c r="AZM1450"/>
      <c r="AZN1450"/>
      <c r="AZO1450"/>
      <c r="AZP1450"/>
      <c r="AZQ1450"/>
      <c r="AZR1450"/>
      <c r="AZS1450"/>
      <c r="AZT1450"/>
      <c r="AZU1450"/>
      <c r="AZV1450"/>
      <c r="AZW1450"/>
      <c r="AZX1450"/>
      <c r="AZY1450"/>
      <c r="AZZ1450"/>
      <c r="BAA1450"/>
      <c r="BAB1450"/>
      <c r="BAC1450"/>
      <c r="BAD1450"/>
      <c r="BAE1450"/>
      <c r="BAF1450"/>
      <c r="BAG1450"/>
      <c r="BAH1450"/>
      <c r="BAI1450"/>
      <c r="BAJ1450"/>
      <c r="BAK1450"/>
      <c r="BAL1450"/>
      <c r="BAM1450"/>
      <c r="BAN1450"/>
      <c r="BAO1450"/>
      <c r="BAP1450"/>
      <c r="BAQ1450"/>
      <c r="BAR1450"/>
      <c r="BAS1450"/>
      <c r="BAT1450"/>
      <c r="BAU1450"/>
      <c r="BAV1450"/>
      <c r="BAW1450"/>
      <c r="BAX1450"/>
      <c r="BAY1450"/>
      <c r="BAZ1450"/>
      <c r="BBA1450"/>
      <c r="BBB1450"/>
      <c r="BBC1450"/>
      <c r="BBD1450"/>
      <c r="BBE1450"/>
      <c r="BBF1450"/>
      <c r="BBG1450"/>
      <c r="BBH1450"/>
      <c r="BBI1450"/>
      <c r="BBJ1450"/>
      <c r="BBK1450"/>
      <c r="BBL1450"/>
      <c r="BBM1450"/>
      <c r="BBN1450"/>
      <c r="BBO1450"/>
      <c r="BBP1450"/>
      <c r="BBQ1450"/>
      <c r="BBR1450"/>
      <c r="BBS1450"/>
      <c r="BBT1450"/>
      <c r="BBU1450"/>
      <c r="BBV1450"/>
      <c r="BBW1450"/>
      <c r="BBX1450"/>
      <c r="BBY1450"/>
      <c r="BBZ1450"/>
      <c r="BCA1450"/>
      <c r="BCB1450"/>
      <c r="BCC1450"/>
      <c r="BCD1450"/>
      <c r="BCE1450"/>
      <c r="BCF1450"/>
      <c r="BCG1450"/>
      <c r="BCH1450"/>
      <c r="BCI1450"/>
      <c r="BCJ1450"/>
      <c r="BCK1450"/>
      <c r="BCL1450"/>
      <c r="BCM1450"/>
      <c r="BCN1450"/>
      <c r="BCO1450"/>
      <c r="BCP1450"/>
      <c r="BCQ1450"/>
      <c r="BCR1450"/>
      <c r="BCS1450"/>
      <c r="BCT1450"/>
      <c r="BCU1450"/>
      <c r="BCV1450"/>
      <c r="BCW1450"/>
      <c r="BCX1450"/>
      <c r="BCY1450"/>
      <c r="BCZ1450"/>
      <c r="BDA1450"/>
      <c r="BDB1450"/>
      <c r="BDC1450"/>
      <c r="BDD1450"/>
      <c r="BDE1450"/>
      <c r="BDF1450"/>
      <c r="BDG1450"/>
      <c r="BDH1450"/>
      <c r="BDI1450"/>
      <c r="BDJ1450"/>
      <c r="BDK1450"/>
      <c r="BDL1450"/>
      <c r="BDM1450"/>
      <c r="BDN1450"/>
      <c r="BDO1450"/>
      <c r="BDP1450"/>
      <c r="BDQ1450"/>
      <c r="BDR1450"/>
      <c r="BDS1450"/>
      <c r="BDT1450"/>
      <c r="BDU1450"/>
      <c r="BDV1450"/>
      <c r="BDW1450"/>
      <c r="BDX1450"/>
      <c r="BDY1450"/>
      <c r="BDZ1450"/>
      <c r="BEA1450"/>
      <c r="BEB1450"/>
      <c r="BEC1450"/>
      <c r="BED1450"/>
      <c r="BEE1450"/>
      <c r="BEF1450"/>
      <c r="BEG1450"/>
      <c r="BEH1450"/>
      <c r="BEI1450"/>
      <c r="BEJ1450"/>
      <c r="BEK1450"/>
      <c r="BEL1450"/>
      <c r="BEM1450"/>
      <c r="BEN1450"/>
      <c r="BEO1450"/>
      <c r="BEP1450"/>
      <c r="BEQ1450"/>
      <c r="BER1450"/>
      <c r="BES1450"/>
      <c r="BET1450"/>
      <c r="BEU1450"/>
      <c r="BEV1450"/>
      <c r="BEW1450"/>
      <c r="BEX1450"/>
      <c r="BEY1450"/>
      <c r="BEZ1450"/>
      <c r="BFA1450"/>
      <c r="BFB1450"/>
      <c r="BFC1450"/>
      <c r="BFD1450"/>
      <c r="BFE1450"/>
      <c r="BFF1450"/>
      <c r="BFG1450"/>
      <c r="BFH1450"/>
      <c r="BFI1450"/>
      <c r="BFJ1450"/>
      <c r="BFK1450"/>
      <c r="BFL1450"/>
      <c r="BFM1450"/>
      <c r="BFN1450"/>
      <c r="BFO1450"/>
      <c r="BFP1450"/>
      <c r="BFQ1450"/>
      <c r="BFR1450"/>
      <c r="BFS1450"/>
      <c r="BFT1450"/>
      <c r="BFU1450"/>
      <c r="BFV1450"/>
      <c r="BFW1450"/>
      <c r="BFX1450"/>
      <c r="BFY1450"/>
      <c r="BFZ1450"/>
      <c r="BGA1450"/>
      <c r="BGB1450"/>
      <c r="BGC1450"/>
      <c r="BGD1450"/>
      <c r="BGE1450"/>
      <c r="BGF1450"/>
      <c r="BGG1450"/>
      <c r="BGH1450"/>
      <c r="BGI1450"/>
      <c r="BGJ1450"/>
      <c r="BGK1450"/>
      <c r="BGL1450"/>
      <c r="BGM1450"/>
      <c r="BGN1450"/>
      <c r="BGO1450"/>
      <c r="BGP1450"/>
      <c r="BGQ1450"/>
      <c r="BGR1450"/>
      <c r="BGS1450"/>
      <c r="BGT1450"/>
      <c r="BGU1450"/>
      <c r="BGV1450"/>
      <c r="BGW1450"/>
      <c r="BGX1450"/>
      <c r="BGY1450"/>
      <c r="BGZ1450"/>
      <c r="BHA1450"/>
      <c r="BHB1450"/>
      <c r="BHC1450"/>
      <c r="BHD1450"/>
      <c r="BHE1450"/>
      <c r="BHF1450"/>
      <c r="BHG1450"/>
      <c r="BHH1450"/>
      <c r="BHI1450"/>
      <c r="BHJ1450"/>
      <c r="BHK1450"/>
      <c r="BHL1450"/>
      <c r="BHM1450"/>
      <c r="BHN1450"/>
      <c r="BHO1450"/>
      <c r="BHP1450"/>
      <c r="BHQ1450"/>
      <c r="BHR1450"/>
      <c r="BHS1450"/>
      <c r="BHT1450"/>
      <c r="BHU1450"/>
      <c r="BHV1450"/>
      <c r="BHW1450"/>
      <c r="BHX1450"/>
      <c r="BHY1450"/>
      <c r="BHZ1450"/>
      <c r="BIA1450"/>
      <c r="BIB1450"/>
      <c r="BIC1450"/>
      <c r="BID1450"/>
      <c r="BIE1450"/>
      <c r="BIF1450"/>
      <c r="BIG1450"/>
      <c r="BIH1450"/>
      <c r="BII1450"/>
      <c r="BIJ1450"/>
      <c r="BIK1450"/>
      <c r="BIL1450"/>
      <c r="BIM1450"/>
      <c r="BIN1450"/>
      <c r="BIO1450"/>
      <c r="BIP1450"/>
      <c r="BIQ1450"/>
      <c r="BIR1450"/>
      <c r="BIS1450"/>
      <c r="BIT1450"/>
      <c r="BIU1450"/>
      <c r="BIV1450"/>
      <c r="BIW1450"/>
      <c r="BIX1450"/>
      <c r="BIY1450"/>
      <c r="BIZ1450"/>
      <c r="BJA1450"/>
      <c r="BJB1450"/>
      <c r="BJC1450"/>
      <c r="BJD1450"/>
      <c r="BJE1450"/>
      <c r="BJF1450"/>
      <c r="BJG1450"/>
      <c r="BJH1450"/>
      <c r="BJI1450"/>
      <c r="BJJ1450"/>
      <c r="BJK1450"/>
      <c r="BJL1450"/>
      <c r="BJM1450"/>
      <c r="BJN1450"/>
      <c r="BJO1450"/>
      <c r="BJP1450"/>
      <c r="BJQ1450"/>
      <c r="BJR1450"/>
      <c r="BJS1450"/>
      <c r="BJT1450"/>
      <c r="BJU1450"/>
      <c r="BJV1450"/>
      <c r="BJW1450"/>
      <c r="BJX1450"/>
      <c r="BJY1450"/>
      <c r="BJZ1450"/>
      <c r="BKA1450"/>
      <c r="BKB1450"/>
      <c r="BKC1450"/>
      <c r="BKD1450"/>
      <c r="BKE1450"/>
      <c r="BKF1450"/>
      <c r="BKG1450"/>
      <c r="BKH1450"/>
      <c r="BKI1450"/>
      <c r="BKJ1450"/>
      <c r="BKK1450"/>
      <c r="BKL1450"/>
      <c r="BKM1450"/>
      <c r="BKN1450"/>
      <c r="BKO1450"/>
      <c r="BKP1450"/>
      <c r="BKQ1450"/>
      <c r="BKR1450"/>
      <c r="BKS1450"/>
      <c r="BKT1450"/>
      <c r="BKU1450"/>
      <c r="BKV1450"/>
      <c r="BKW1450"/>
      <c r="BKX1450"/>
      <c r="BKY1450"/>
      <c r="BKZ1450"/>
      <c r="BLA1450"/>
      <c r="BLB1450"/>
      <c r="BLC1450"/>
      <c r="BLD1450"/>
      <c r="BLE1450"/>
      <c r="BLF1450"/>
      <c r="BLG1450"/>
      <c r="BLH1450"/>
      <c r="BLI1450"/>
      <c r="BLJ1450"/>
      <c r="BLK1450"/>
      <c r="BLL1450"/>
      <c r="BLM1450"/>
      <c r="BLN1450"/>
      <c r="BLO1450"/>
      <c r="BLP1450"/>
      <c r="BLQ1450"/>
      <c r="BLR1450"/>
      <c r="BLS1450"/>
      <c r="BLT1450"/>
      <c r="BLU1450"/>
      <c r="BLV1450"/>
      <c r="BLW1450"/>
      <c r="BLX1450"/>
      <c r="BLY1450"/>
      <c r="BLZ1450"/>
      <c r="BMA1450"/>
      <c r="BMB1450"/>
      <c r="BMC1450"/>
      <c r="BMD1450"/>
      <c r="BME1450"/>
      <c r="BMF1450"/>
      <c r="BMG1450"/>
      <c r="BMH1450"/>
      <c r="BMI1450"/>
      <c r="BMJ1450"/>
      <c r="BMK1450"/>
      <c r="BML1450"/>
      <c r="BMM1450"/>
      <c r="BMN1450"/>
      <c r="BMO1450"/>
      <c r="BMP1450"/>
      <c r="BMQ1450"/>
      <c r="BMR1450"/>
      <c r="BMS1450"/>
      <c r="BMT1450"/>
      <c r="BMU1450"/>
      <c r="BMV1450"/>
      <c r="BMW1450"/>
      <c r="BMX1450"/>
      <c r="BMY1450"/>
      <c r="BMZ1450"/>
      <c r="BNA1450"/>
      <c r="BNB1450"/>
      <c r="BNC1450"/>
      <c r="BND1450"/>
      <c r="BNE1450"/>
      <c r="BNF1450"/>
      <c r="BNG1450"/>
      <c r="BNH1450"/>
      <c r="BNI1450"/>
      <c r="BNJ1450"/>
      <c r="BNK1450"/>
      <c r="BNL1450"/>
      <c r="BNM1450"/>
      <c r="BNN1450"/>
      <c r="BNO1450"/>
      <c r="BNP1450"/>
      <c r="BNQ1450"/>
      <c r="BNR1450"/>
      <c r="BNS1450"/>
      <c r="BNT1450"/>
      <c r="BNU1450"/>
      <c r="BNV1450"/>
      <c r="BNW1450"/>
      <c r="BNX1450"/>
      <c r="BNY1450"/>
      <c r="BNZ1450"/>
      <c r="BOA1450"/>
      <c r="BOB1450"/>
      <c r="BOC1450"/>
      <c r="BOD1450"/>
      <c r="BOE1450"/>
      <c r="BOF1450"/>
      <c r="BOG1450"/>
      <c r="BOH1450"/>
      <c r="BOI1450"/>
      <c r="BOJ1450"/>
      <c r="BOK1450"/>
      <c r="BOL1450"/>
      <c r="BOM1450"/>
      <c r="BON1450"/>
      <c r="BOO1450"/>
      <c r="BOP1450"/>
      <c r="BOQ1450"/>
      <c r="BOR1450"/>
      <c r="BOS1450"/>
      <c r="BOT1450"/>
      <c r="BOU1450"/>
      <c r="BOV1450"/>
      <c r="BOW1450"/>
      <c r="BOX1450"/>
      <c r="BOY1450"/>
      <c r="BOZ1450"/>
      <c r="BPA1450"/>
      <c r="BPB1450"/>
      <c r="BPC1450"/>
      <c r="BPD1450"/>
      <c r="BPE1450"/>
      <c r="BPF1450"/>
      <c r="BPG1450"/>
      <c r="BPH1450"/>
      <c r="BPI1450"/>
      <c r="BPJ1450"/>
      <c r="BPK1450"/>
      <c r="BPL1450"/>
      <c r="BPM1450"/>
      <c r="BPN1450"/>
      <c r="BPO1450"/>
      <c r="BPP1450"/>
      <c r="BPQ1450"/>
      <c r="BPR1450"/>
      <c r="BPS1450"/>
      <c r="BPT1450"/>
      <c r="BPU1450"/>
      <c r="BPV1450"/>
      <c r="BPW1450"/>
      <c r="BPX1450"/>
      <c r="BPY1450"/>
      <c r="BPZ1450"/>
      <c r="BQA1450"/>
      <c r="BQB1450"/>
      <c r="BQC1450"/>
      <c r="BQD1450"/>
      <c r="BQE1450"/>
      <c r="BQF1450"/>
      <c r="BQG1450"/>
      <c r="BQH1450"/>
      <c r="BQI1450"/>
      <c r="BQJ1450"/>
      <c r="BQK1450"/>
      <c r="BQL1450"/>
      <c r="BQM1450"/>
      <c r="BQN1450"/>
      <c r="BQO1450"/>
      <c r="BQP1450"/>
      <c r="BQQ1450"/>
      <c r="BQR1450"/>
      <c r="BQS1450"/>
      <c r="BQT1450"/>
      <c r="BQU1450"/>
      <c r="BQV1450"/>
      <c r="BQW1450"/>
      <c r="BQX1450"/>
      <c r="BQY1450"/>
      <c r="BQZ1450"/>
      <c r="BRA1450"/>
      <c r="BRB1450"/>
      <c r="BRC1450"/>
      <c r="BRD1450"/>
      <c r="BRE1450"/>
      <c r="BRF1450"/>
      <c r="BRG1450"/>
      <c r="BRH1450"/>
      <c r="BRI1450"/>
      <c r="BRJ1450"/>
      <c r="BRK1450"/>
      <c r="BRL1450"/>
      <c r="BRM1450"/>
      <c r="BRN1450"/>
      <c r="BRO1450"/>
      <c r="BRP1450"/>
      <c r="BRQ1450"/>
      <c r="BRR1450"/>
      <c r="BRS1450"/>
      <c r="BRT1450"/>
      <c r="BRU1450"/>
      <c r="BRV1450"/>
      <c r="BRW1450"/>
      <c r="BRX1450"/>
      <c r="BRY1450"/>
      <c r="BRZ1450"/>
      <c r="BSA1450"/>
      <c r="BSB1450"/>
      <c r="BSC1450"/>
      <c r="BSD1450"/>
      <c r="BSE1450"/>
      <c r="BSF1450"/>
      <c r="BSG1450"/>
      <c r="BSH1450"/>
      <c r="BSI1450"/>
      <c r="BSJ1450"/>
      <c r="BSK1450"/>
      <c r="BSL1450"/>
      <c r="BSM1450"/>
      <c r="BSN1450"/>
      <c r="BSO1450"/>
      <c r="BSP1450"/>
      <c r="BSQ1450"/>
      <c r="BSR1450"/>
      <c r="BSS1450"/>
      <c r="BST1450"/>
      <c r="BSU1450"/>
      <c r="BSV1450"/>
      <c r="BSW1450"/>
      <c r="BSX1450"/>
      <c r="BSY1450"/>
      <c r="BSZ1450"/>
      <c r="BTA1450"/>
      <c r="BTB1450"/>
      <c r="BTC1450"/>
      <c r="BTD1450"/>
      <c r="BTE1450"/>
      <c r="BTF1450"/>
      <c r="BTG1450"/>
      <c r="BTH1450"/>
      <c r="BTI1450"/>
      <c r="BTJ1450"/>
      <c r="BTK1450"/>
      <c r="BTL1450"/>
      <c r="BTM1450"/>
      <c r="BTN1450"/>
      <c r="BTO1450"/>
      <c r="BTP1450"/>
      <c r="BTQ1450"/>
      <c r="BTR1450"/>
      <c r="BTS1450"/>
      <c r="BTT1450"/>
      <c r="BTU1450"/>
      <c r="BTV1450"/>
      <c r="BTW1450"/>
      <c r="BTX1450"/>
      <c r="BTY1450"/>
      <c r="BTZ1450"/>
      <c r="BUA1450"/>
      <c r="BUB1450"/>
      <c r="BUC1450"/>
      <c r="BUD1450"/>
      <c r="BUE1450"/>
      <c r="BUF1450"/>
      <c r="BUG1450"/>
      <c r="BUH1450"/>
      <c r="BUI1450"/>
      <c r="BUJ1450"/>
      <c r="BUK1450"/>
      <c r="BUL1450"/>
      <c r="BUM1450"/>
      <c r="BUN1450"/>
      <c r="BUO1450"/>
      <c r="BUP1450"/>
      <c r="BUQ1450"/>
      <c r="BUR1450"/>
      <c r="BUS1450"/>
      <c r="BUT1450"/>
      <c r="BUU1450"/>
      <c r="BUV1450"/>
      <c r="BUW1450"/>
      <c r="BUX1450"/>
      <c r="BUY1450"/>
      <c r="BUZ1450"/>
      <c r="BVA1450"/>
      <c r="BVB1450"/>
      <c r="BVC1450"/>
      <c r="BVD1450"/>
      <c r="BVE1450"/>
      <c r="BVF1450"/>
      <c r="BVG1450"/>
      <c r="BVH1450"/>
      <c r="BVI1450"/>
      <c r="BVJ1450"/>
      <c r="BVK1450"/>
      <c r="BVL1450"/>
      <c r="BVM1450"/>
      <c r="BVN1450"/>
      <c r="BVO1450"/>
      <c r="BVP1450"/>
      <c r="BVQ1450"/>
      <c r="BVR1450"/>
      <c r="BVS1450"/>
      <c r="BVT1450"/>
      <c r="BVU1450"/>
      <c r="BVV1450"/>
      <c r="BVW1450"/>
      <c r="BVX1450"/>
      <c r="BVY1450"/>
      <c r="BVZ1450"/>
      <c r="BWA1450"/>
      <c r="BWB1450"/>
      <c r="BWC1450"/>
      <c r="BWD1450"/>
      <c r="BWE1450"/>
      <c r="BWF1450"/>
      <c r="BWG1450"/>
      <c r="BWH1450"/>
      <c r="BWI1450"/>
      <c r="BWJ1450"/>
      <c r="BWK1450"/>
      <c r="BWL1450"/>
      <c r="BWM1450"/>
      <c r="BWN1450"/>
      <c r="BWO1450"/>
      <c r="BWP1450"/>
      <c r="BWQ1450"/>
      <c r="BWR1450"/>
      <c r="BWS1450"/>
      <c r="BWT1450"/>
      <c r="BWU1450"/>
      <c r="BWV1450"/>
      <c r="BWW1450"/>
      <c r="BWX1450"/>
      <c r="BWY1450"/>
      <c r="BWZ1450"/>
      <c r="BXA1450"/>
      <c r="BXB1450"/>
      <c r="BXC1450"/>
      <c r="BXD1450"/>
      <c r="BXE1450"/>
      <c r="BXF1450"/>
      <c r="BXG1450"/>
      <c r="BXH1450"/>
      <c r="BXI1450"/>
      <c r="BXJ1450"/>
      <c r="BXK1450"/>
      <c r="BXL1450"/>
      <c r="BXM1450"/>
      <c r="BXN1450"/>
      <c r="BXO1450"/>
      <c r="BXP1450"/>
      <c r="BXQ1450"/>
      <c r="BXR1450"/>
      <c r="BXS1450"/>
      <c r="BXT1450"/>
      <c r="BXU1450"/>
      <c r="BXV1450"/>
      <c r="BXW1450"/>
      <c r="BXX1450"/>
      <c r="BXY1450"/>
      <c r="BXZ1450"/>
      <c r="BYA1450"/>
      <c r="BYB1450"/>
      <c r="BYC1450"/>
      <c r="BYD1450"/>
      <c r="BYE1450"/>
      <c r="BYF1450"/>
      <c r="BYG1450"/>
      <c r="BYH1450"/>
      <c r="BYI1450"/>
      <c r="BYJ1450"/>
      <c r="BYK1450"/>
      <c r="BYL1450"/>
      <c r="BYM1450"/>
      <c r="BYN1450"/>
      <c r="BYO1450"/>
      <c r="BYP1450"/>
      <c r="BYQ1450"/>
      <c r="BYR1450"/>
      <c r="BYS1450"/>
      <c r="BYT1450"/>
      <c r="BYU1450"/>
      <c r="BYV1450"/>
      <c r="BYW1450"/>
      <c r="BYX1450"/>
      <c r="BYY1450"/>
      <c r="BYZ1450"/>
      <c r="BZA1450"/>
      <c r="BZB1450"/>
      <c r="BZC1450"/>
      <c r="BZD1450"/>
      <c r="BZE1450"/>
      <c r="BZF1450"/>
      <c r="BZG1450"/>
      <c r="BZH1450"/>
      <c r="BZI1450"/>
      <c r="BZJ1450"/>
      <c r="BZK1450"/>
      <c r="BZL1450"/>
      <c r="BZM1450"/>
      <c r="BZN1450"/>
      <c r="BZO1450"/>
      <c r="BZP1450"/>
      <c r="BZQ1450"/>
      <c r="BZR1450"/>
      <c r="BZS1450"/>
      <c r="BZT1450"/>
      <c r="BZU1450"/>
      <c r="BZV1450"/>
      <c r="BZW1450"/>
      <c r="BZX1450"/>
      <c r="BZY1450"/>
      <c r="BZZ1450"/>
      <c r="CAA1450"/>
      <c r="CAB1450"/>
      <c r="CAC1450"/>
      <c r="CAD1450"/>
      <c r="CAE1450"/>
      <c r="CAF1450"/>
      <c r="CAG1450"/>
      <c r="CAH1450"/>
      <c r="CAI1450"/>
      <c r="CAJ1450"/>
      <c r="CAK1450"/>
      <c r="CAL1450"/>
      <c r="CAM1450"/>
      <c r="CAN1450"/>
      <c r="CAO1450"/>
      <c r="CAP1450"/>
      <c r="CAQ1450"/>
      <c r="CAR1450"/>
      <c r="CAS1450"/>
      <c r="CAT1450"/>
      <c r="CAU1450"/>
      <c r="CAV1450"/>
      <c r="CAW1450"/>
      <c r="CAX1450"/>
      <c r="CAY1450"/>
      <c r="CAZ1450"/>
      <c r="CBA1450"/>
      <c r="CBB1450"/>
      <c r="CBC1450"/>
      <c r="CBD1450"/>
      <c r="CBE1450"/>
      <c r="CBF1450"/>
      <c r="CBG1450"/>
      <c r="CBH1450"/>
      <c r="CBI1450"/>
      <c r="CBJ1450"/>
      <c r="CBK1450"/>
      <c r="CBL1450"/>
      <c r="CBM1450"/>
      <c r="CBN1450"/>
      <c r="CBO1450"/>
      <c r="CBP1450"/>
      <c r="CBQ1450"/>
      <c r="CBR1450"/>
      <c r="CBS1450"/>
      <c r="CBT1450"/>
      <c r="CBU1450"/>
      <c r="CBV1450"/>
      <c r="CBW1450"/>
      <c r="CBX1450"/>
      <c r="CBY1450"/>
      <c r="CBZ1450"/>
      <c r="CCA1450"/>
      <c r="CCB1450"/>
      <c r="CCC1450"/>
      <c r="CCD1450"/>
      <c r="CCE1450"/>
      <c r="CCF1450"/>
      <c r="CCG1450"/>
      <c r="CCH1450"/>
      <c r="CCI1450"/>
      <c r="CCJ1450"/>
      <c r="CCK1450"/>
      <c r="CCL1450"/>
      <c r="CCM1450"/>
      <c r="CCN1450"/>
      <c r="CCO1450"/>
      <c r="CCP1450"/>
      <c r="CCQ1450"/>
      <c r="CCR1450"/>
      <c r="CCS1450"/>
      <c r="CCT1450"/>
      <c r="CCU1450"/>
      <c r="CCV1450"/>
      <c r="CCW1450"/>
      <c r="CCX1450"/>
      <c r="CCY1450"/>
      <c r="CCZ1450"/>
      <c r="CDA1450"/>
      <c r="CDB1450"/>
      <c r="CDC1450"/>
      <c r="CDD1450"/>
      <c r="CDE1450"/>
      <c r="CDF1450"/>
      <c r="CDG1450"/>
      <c r="CDH1450"/>
      <c r="CDI1450"/>
      <c r="CDJ1450"/>
      <c r="CDK1450"/>
      <c r="CDL1450"/>
      <c r="CDM1450"/>
      <c r="CDN1450"/>
      <c r="CDO1450"/>
      <c r="CDP1450"/>
      <c r="CDQ1450"/>
      <c r="CDR1450"/>
      <c r="CDS1450"/>
      <c r="CDT1450"/>
      <c r="CDU1450"/>
      <c r="CDV1450"/>
      <c r="CDW1450"/>
      <c r="CDX1450"/>
      <c r="CDY1450"/>
      <c r="CDZ1450"/>
      <c r="CEA1450"/>
      <c r="CEB1450"/>
      <c r="CEC1450"/>
      <c r="CED1450"/>
      <c r="CEE1450"/>
      <c r="CEF1450"/>
      <c r="CEG1450"/>
      <c r="CEH1450"/>
      <c r="CEI1450"/>
      <c r="CEJ1450"/>
      <c r="CEK1450"/>
      <c r="CEL1450"/>
      <c r="CEM1450"/>
      <c r="CEN1450"/>
      <c r="CEO1450"/>
      <c r="CEP1450"/>
      <c r="CEQ1450"/>
      <c r="CER1450"/>
      <c r="CES1450"/>
      <c r="CET1450"/>
      <c r="CEU1450"/>
      <c r="CEV1450"/>
      <c r="CEW1450"/>
      <c r="CEX1450"/>
      <c r="CEY1450"/>
      <c r="CEZ1450"/>
      <c r="CFA1450"/>
      <c r="CFB1450"/>
      <c r="CFC1450"/>
      <c r="CFD1450"/>
      <c r="CFE1450"/>
      <c r="CFF1450"/>
      <c r="CFG1450"/>
      <c r="CFH1450"/>
      <c r="CFI1450"/>
      <c r="CFJ1450"/>
      <c r="CFK1450"/>
      <c r="CFL1450"/>
      <c r="CFM1450"/>
      <c r="CFN1450"/>
      <c r="CFO1450"/>
      <c r="CFP1450"/>
      <c r="CFQ1450"/>
      <c r="CFR1450"/>
      <c r="CFS1450"/>
      <c r="CFT1450"/>
      <c r="CFU1450"/>
      <c r="CFV1450"/>
      <c r="CFW1450"/>
      <c r="CFX1450"/>
      <c r="CFY1450"/>
      <c r="CFZ1450"/>
      <c r="CGA1450"/>
      <c r="CGB1450"/>
      <c r="CGC1450"/>
      <c r="CGD1450"/>
      <c r="CGE1450"/>
      <c r="CGF1450"/>
      <c r="CGG1450"/>
      <c r="CGH1450"/>
      <c r="CGI1450"/>
      <c r="CGJ1450"/>
      <c r="CGK1450"/>
      <c r="CGL1450"/>
      <c r="CGM1450"/>
      <c r="CGN1450"/>
      <c r="CGO1450"/>
      <c r="CGP1450"/>
      <c r="CGQ1450"/>
      <c r="CGR1450"/>
      <c r="CGS1450"/>
      <c r="CGT1450"/>
      <c r="CGU1450"/>
      <c r="CGV1450"/>
      <c r="CGW1450"/>
      <c r="CGX1450"/>
      <c r="CGY1450"/>
      <c r="CGZ1450"/>
      <c r="CHA1450"/>
      <c r="CHB1450"/>
      <c r="CHC1450"/>
      <c r="CHD1450"/>
      <c r="CHE1450"/>
      <c r="CHF1450"/>
      <c r="CHG1450"/>
      <c r="CHH1450"/>
      <c r="CHI1450"/>
      <c r="CHJ1450"/>
      <c r="CHK1450"/>
      <c r="CHL1450"/>
      <c r="CHM1450"/>
      <c r="CHN1450"/>
      <c r="CHO1450"/>
      <c r="CHP1450"/>
      <c r="CHQ1450"/>
      <c r="CHR1450"/>
      <c r="CHS1450"/>
      <c r="CHT1450"/>
      <c r="CHU1450"/>
      <c r="CHV1450"/>
      <c r="CHW1450"/>
      <c r="CHX1450"/>
      <c r="CHY1450"/>
      <c r="CHZ1450"/>
      <c r="CIA1450"/>
      <c r="CIB1450"/>
      <c r="CIC1450"/>
      <c r="CID1450"/>
      <c r="CIE1450"/>
      <c r="CIF1450"/>
      <c r="CIG1450"/>
      <c r="CIH1450"/>
      <c r="CII1450"/>
      <c r="CIJ1450"/>
      <c r="CIK1450"/>
      <c r="CIL1450"/>
      <c r="CIM1450"/>
      <c r="CIN1450"/>
      <c r="CIO1450"/>
      <c r="CIP1450"/>
      <c r="CIQ1450"/>
      <c r="CIR1450"/>
      <c r="CIS1450"/>
      <c r="CIT1450"/>
      <c r="CIU1450"/>
      <c r="CIV1450"/>
      <c r="CIW1450"/>
      <c r="CIX1450"/>
      <c r="CIY1450"/>
      <c r="CIZ1450"/>
      <c r="CJA1450"/>
      <c r="CJB1450"/>
      <c r="CJC1450"/>
      <c r="CJD1450"/>
      <c r="CJE1450"/>
      <c r="CJF1450"/>
      <c r="CJG1450"/>
      <c r="CJH1450"/>
      <c r="CJI1450"/>
      <c r="CJJ1450"/>
      <c r="CJK1450"/>
      <c r="CJL1450"/>
      <c r="CJM1450"/>
      <c r="CJN1450"/>
      <c r="CJO1450"/>
      <c r="CJP1450"/>
      <c r="CJQ1450"/>
      <c r="CJR1450"/>
      <c r="CJS1450"/>
      <c r="CJT1450"/>
      <c r="CJU1450"/>
      <c r="CJV1450"/>
      <c r="CJW1450"/>
      <c r="CJX1450"/>
      <c r="CJY1450"/>
      <c r="CJZ1450"/>
      <c r="CKA1450"/>
      <c r="CKB1450"/>
      <c r="CKC1450"/>
      <c r="CKD1450"/>
      <c r="CKE1450"/>
      <c r="CKF1450"/>
      <c r="CKG1450"/>
      <c r="CKH1450"/>
      <c r="CKI1450"/>
      <c r="CKJ1450"/>
      <c r="CKK1450"/>
      <c r="CKL1450"/>
      <c r="CKM1450"/>
      <c r="CKN1450"/>
      <c r="CKO1450"/>
      <c r="CKP1450"/>
      <c r="CKQ1450"/>
      <c r="CKR1450"/>
      <c r="CKS1450"/>
      <c r="CKT1450"/>
      <c r="CKU1450"/>
      <c r="CKV1450"/>
      <c r="CKW1450"/>
      <c r="CKX1450"/>
      <c r="CKY1450"/>
      <c r="CKZ1450"/>
      <c r="CLA1450"/>
      <c r="CLB1450"/>
      <c r="CLC1450"/>
      <c r="CLD1450"/>
      <c r="CLE1450"/>
      <c r="CLF1450"/>
      <c r="CLG1450"/>
      <c r="CLH1450"/>
      <c r="CLI1450"/>
      <c r="CLJ1450"/>
      <c r="CLK1450"/>
      <c r="CLL1450"/>
      <c r="CLM1450"/>
      <c r="CLN1450"/>
      <c r="CLO1450"/>
      <c r="CLP1450"/>
      <c r="CLQ1450"/>
      <c r="CLR1450"/>
      <c r="CLS1450"/>
      <c r="CLT1450"/>
      <c r="CLU1450"/>
      <c r="CLV1450"/>
      <c r="CLW1450"/>
      <c r="CLX1450"/>
      <c r="CLY1450"/>
      <c r="CLZ1450"/>
      <c r="CMA1450"/>
      <c r="CMB1450"/>
      <c r="CMC1450"/>
      <c r="CMD1450"/>
      <c r="CME1450"/>
      <c r="CMF1450"/>
      <c r="CMG1450"/>
      <c r="CMH1450"/>
      <c r="CMI1450"/>
      <c r="CMJ1450"/>
      <c r="CMK1450"/>
      <c r="CML1450"/>
      <c r="CMM1450"/>
      <c r="CMN1450"/>
      <c r="CMO1450"/>
      <c r="CMP1450"/>
      <c r="CMQ1450"/>
      <c r="CMR1450"/>
      <c r="CMS1450"/>
      <c r="CMT1450"/>
      <c r="CMU1450"/>
      <c r="CMV1450"/>
      <c r="CMW1450"/>
      <c r="CMX1450"/>
      <c r="CMY1450"/>
      <c r="CMZ1450"/>
      <c r="CNA1450"/>
      <c r="CNB1450"/>
      <c r="CNC1450"/>
      <c r="CND1450"/>
      <c r="CNE1450"/>
      <c r="CNF1450"/>
      <c r="CNG1450"/>
      <c r="CNH1450"/>
      <c r="CNI1450"/>
      <c r="CNJ1450"/>
      <c r="CNK1450"/>
      <c r="CNL1450"/>
      <c r="CNM1450"/>
      <c r="CNN1450"/>
      <c r="CNO1450"/>
      <c r="CNP1450"/>
      <c r="CNQ1450"/>
      <c r="CNR1450"/>
      <c r="CNS1450"/>
      <c r="CNT1450"/>
      <c r="CNU1450"/>
      <c r="CNV1450"/>
      <c r="CNW1450"/>
      <c r="CNX1450"/>
      <c r="CNY1450"/>
      <c r="CNZ1450"/>
      <c r="COA1450"/>
      <c r="COB1450"/>
      <c r="COC1450"/>
      <c r="COD1450"/>
      <c r="COE1450"/>
      <c r="COF1450"/>
      <c r="COG1450"/>
      <c r="COH1450"/>
      <c r="COI1450"/>
      <c r="COJ1450"/>
      <c r="COK1450"/>
      <c r="COL1450"/>
      <c r="COM1450"/>
      <c r="CON1450"/>
      <c r="COO1450"/>
      <c r="COP1450"/>
      <c r="COQ1450"/>
      <c r="COR1450"/>
      <c r="COS1450"/>
      <c r="COT1450"/>
      <c r="COU1450"/>
      <c r="COV1450"/>
      <c r="COW1450"/>
      <c r="COX1450"/>
      <c r="COY1450"/>
      <c r="COZ1450"/>
      <c r="CPA1450"/>
      <c r="CPB1450"/>
      <c r="CPC1450"/>
      <c r="CPD1450"/>
      <c r="CPE1450"/>
      <c r="CPF1450"/>
      <c r="CPG1450"/>
      <c r="CPH1450"/>
      <c r="CPI1450"/>
      <c r="CPJ1450"/>
      <c r="CPK1450"/>
      <c r="CPL1450"/>
      <c r="CPM1450"/>
      <c r="CPN1450"/>
      <c r="CPO1450"/>
      <c r="CPP1450"/>
      <c r="CPQ1450"/>
      <c r="CPR1450"/>
      <c r="CPS1450"/>
      <c r="CPT1450"/>
      <c r="CPU1450"/>
      <c r="CPV1450"/>
      <c r="CPW1450"/>
      <c r="CPX1450"/>
      <c r="CPY1450"/>
      <c r="CPZ1450"/>
      <c r="CQA1450"/>
      <c r="CQB1450"/>
      <c r="CQC1450"/>
      <c r="CQD1450"/>
      <c r="CQE1450"/>
      <c r="CQF1450"/>
      <c r="CQG1450"/>
      <c r="CQH1450"/>
      <c r="CQI1450"/>
      <c r="CQJ1450"/>
      <c r="CQK1450"/>
      <c r="CQL1450"/>
      <c r="CQM1450"/>
      <c r="CQN1450"/>
      <c r="CQO1450"/>
      <c r="CQP1450"/>
      <c r="CQQ1450"/>
      <c r="CQR1450"/>
      <c r="CQS1450"/>
      <c r="CQT1450"/>
      <c r="CQU1450"/>
      <c r="CQV1450"/>
      <c r="CQW1450"/>
      <c r="CQX1450"/>
      <c r="CQY1450"/>
      <c r="CQZ1450"/>
      <c r="CRA1450"/>
      <c r="CRB1450"/>
      <c r="CRC1450"/>
      <c r="CRD1450"/>
      <c r="CRE1450"/>
      <c r="CRF1450"/>
      <c r="CRG1450"/>
      <c r="CRH1450"/>
      <c r="CRI1450"/>
      <c r="CRJ1450"/>
      <c r="CRK1450"/>
      <c r="CRL1450"/>
      <c r="CRM1450"/>
      <c r="CRN1450"/>
      <c r="CRO1450"/>
      <c r="CRP1450"/>
      <c r="CRQ1450"/>
      <c r="CRR1450"/>
      <c r="CRS1450"/>
      <c r="CRT1450"/>
      <c r="CRU1450"/>
      <c r="CRV1450"/>
      <c r="CRW1450"/>
      <c r="CRX1450"/>
      <c r="CRY1450"/>
      <c r="CRZ1450"/>
      <c r="CSA1450"/>
      <c r="CSB1450"/>
      <c r="CSC1450"/>
      <c r="CSD1450"/>
      <c r="CSE1450"/>
      <c r="CSF1450"/>
      <c r="CSG1450"/>
      <c r="CSH1450"/>
      <c r="CSI1450"/>
      <c r="CSJ1450"/>
      <c r="CSK1450"/>
      <c r="CSL1450"/>
      <c r="CSM1450"/>
      <c r="CSN1450"/>
      <c r="CSO1450"/>
      <c r="CSP1450"/>
      <c r="CSQ1450"/>
      <c r="CSR1450"/>
      <c r="CSS1450"/>
      <c r="CST1450"/>
      <c r="CSU1450"/>
      <c r="CSV1450"/>
      <c r="CSW1450"/>
      <c r="CSX1450"/>
      <c r="CSY1450"/>
      <c r="CSZ1450"/>
      <c r="CTA1450"/>
      <c r="CTB1450"/>
      <c r="CTC1450"/>
      <c r="CTD1450"/>
      <c r="CTE1450"/>
      <c r="CTF1450"/>
      <c r="CTG1450"/>
      <c r="CTH1450"/>
      <c r="CTI1450"/>
      <c r="CTJ1450"/>
      <c r="CTK1450"/>
      <c r="CTL1450"/>
      <c r="CTM1450"/>
      <c r="CTN1450"/>
      <c r="CTO1450"/>
      <c r="CTP1450"/>
      <c r="CTQ1450"/>
      <c r="CTR1450"/>
      <c r="CTS1450"/>
      <c r="CTT1450"/>
      <c r="CTU1450"/>
      <c r="CTV1450"/>
      <c r="CTW1450"/>
      <c r="CTX1450"/>
      <c r="CTY1450"/>
      <c r="CTZ1450"/>
      <c r="CUA1450"/>
      <c r="CUB1450"/>
      <c r="CUC1450"/>
      <c r="CUD1450"/>
      <c r="CUE1450"/>
      <c r="CUF1450"/>
      <c r="CUG1450"/>
      <c r="CUH1450"/>
      <c r="CUI1450"/>
      <c r="CUJ1450"/>
      <c r="CUK1450"/>
      <c r="CUL1450"/>
      <c r="CUM1450"/>
      <c r="CUN1450"/>
      <c r="CUO1450"/>
      <c r="CUP1450"/>
      <c r="CUQ1450"/>
      <c r="CUR1450"/>
      <c r="CUS1450"/>
      <c r="CUT1450"/>
      <c r="CUU1450"/>
      <c r="CUV1450"/>
      <c r="CUW1450"/>
      <c r="CUX1450"/>
      <c r="CUY1450"/>
      <c r="CUZ1450"/>
      <c r="CVA1450"/>
      <c r="CVB1450"/>
      <c r="CVC1450"/>
      <c r="CVD1450"/>
      <c r="CVE1450"/>
      <c r="CVF1450"/>
      <c r="CVG1450"/>
      <c r="CVH1450"/>
      <c r="CVI1450"/>
      <c r="CVJ1450"/>
      <c r="CVK1450"/>
      <c r="CVL1450"/>
      <c r="CVM1450"/>
      <c r="CVN1450"/>
      <c r="CVO1450"/>
      <c r="CVP1450"/>
      <c r="CVQ1450"/>
      <c r="CVR1450"/>
      <c r="CVS1450"/>
      <c r="CVT1450"/>
      <c r="CVU1450"/>
      <c r="CVV1450"/>
      <c r="CVW1450"/>
      <c r="CVX1450"/>
      <c r="CVY1450"/>
      <c r="CVZ1450"/>
      <c r="CWA1450"/>
      <c r="CWB1450"/>
      <c r="CWC1450"/>
      <c r="CWD1450"/>
      <c r="CWE1450"/>
      <c r="CWF1450"/>
      <c r="CWG1450"/>
      <c r="CWH1450"/>
      <c r="CWI1450"/>
      <c r="CWJ1450"/>
      <c r="CWK1450"/>
      <c r="CWL1450"/>
      <c r="CWM1450"/>
      <c r="CWN1450"/>
      <c r="CWO1450"/>
      <c r="CWP1450"/>
      <c r="CWQ1450"/>
      <c r="CWR1450"/>
      <c r="CWS1450"/>
      <c r="CWT1450"/>
      <c r="CWU1450"/>
      <c r="CWV1450"/>
      <c r="CWW1450"/>
      <c r="CWX1450"/>
      <c r="CWY1450"/>
      <c r="CWZ1450"/>
      <c r="CXA1450"/>
      <c r="CXB1450"/>
      <c r="CXC1450"/>
      <c r="CXD1450"/>
      <c r="CXE1450"/>
      <c r="CXF1450"/>
      <c r="CXG1450"/>
      <c r="CXH1450"/>
      <c r="CXI1450"/>
      <c r="CXJ1450"/>
      <c r="CXK1450"/>
      <c r="CXL1450"/>
      <c r="CXM1450"/>
      <c r="CXN1450"/>
      <c r="CXO1450"/>
      <c r="CXP1450"/>
      <c r="CXQ1450"/>
      <c r="CXR1450"/>
      <c r="CXS1450"/>
      <c r="CXT1450"/>
      <c r="CXU1450"/>
      <c r="CXV1450"/>
      <c r="CXW1450"/>
      <c r="CXX1450"/>
      <c r="CXY1450"/>
      <c r="CXZ1450"/>
      <c r="CYA1450"/>
      <c r="CYB1450"/>
      <c r="CYC1450"/>
      <c r="CYD1450"/>
      <c r="CYE1450"/>
      <c r="CYF1450"/>
      <c r="CYG1450"/>
      <c r="CYH1450"/>
      <c r="CYI1450"/>
      <c r="CYJ1450"/>
      <c r="CYK1450"/>
      <c r="CYL1450"/>
      <c r="CYM1450"/>
      <c r="CYN1450"/>
      <c r="CYO1450"/>
      <c r="CYP1450"/>
      <c r="CYQ1450"/>
      <c r="CYR1450"/>
      <c r="CYS1450"/>
      <c r="CYT1450"/>
      <c r="CYU1450"/>
      <c r="CYV1450"/>
      <c r="CYW1450"/>
      <c r="CYX1450"/>
      <c r="CYY1450"/>
      <c r="CYZ1450"/>
      <c r="CZA1450"/>
      <c r="CZB1450"/>
      <c r="CZC1450"/>
      <c r="CZD1450"/>
      <c r="CZE1450"/>
      <c r="CZF1450"/>
      <c r="CZG1450"/>
      <c r="CZH1450"/>
      <c r="CZI1450"/>
      <c r="CZJ1450"/>
      <c r="CZK1450"/>
      <c r="CZL1450"/>
      <c r="CZM1450"/>
      <c r="CZN1450"/>
      <c r="CZO1450"/>
      <c r="CZP1450"/>
      <c r="CZQ1450"/>
      <c r="CZR1450"/>
      <c r="CZS1450"/>
      <c r="CZT1450"/>
      <c r="CZU1450"/>
      <c r="CZV1450"/>
      <c r="CZW1450"/>
      <c r="CZX1450"/>
      <c r="CZY1450"/>
      <c r="CZZ1450"/>
      <c r="DAA1450"/>
      <c r="DAB1450"/>
      <c r="DAC1450"/>
      <c r="DAD1450"/>
      <c r="DAE1450"/>
      <c r="DAF1450"/>
      <c r="DAG1450"/>
      <c r="DAH1450"/>
      <c r="DAI1450"/>
      <c r="DAJ1450"/>
      <c r="DAK1450"/>
      <c r="DAL1450"/>
      <c r="DAM1450"/>
      <c r="DAN1450"/>
      <c r="DAO1450"/>
      <c r="DAP1450"/>
      <c r="DAQ1450"/>
      <c r="DAR1450"/>
      <c r="DAS1450"/>
      <c r="DAT1450"/>
      <c r="DAU1450"/>
      <c r="DAV1450"/>
      <c r="DAW1450"/>
      <c r="DAX1450"/>
      <c r="DAY1450"/>
      <c r="DAZ1450"/>
      <c r="DBA1450"/>
      <c r="DBB1450"/>
      <c r="DBC1450"/>
      <c r="DBD1450"/>
      <c r="DBE1450"/>
      <c r="DBF1450"/>
      <c r="DBG1450"/>
      <c r="DBH1450"/>
      <c r="DBI1450"/>
      <c r="DBJ1450"/>
      <c r="DBK1450"/>
      <c r="DBL1450"/>
      <c r="DBM1450"/>
      <c r="DBN1450"/>
      <c r="DBO1450"/>
      <c r="DBP1450"/>
      <c r="DBQ1450"/>
      <c r="DBR1450"/>
      <c r="DBS1450"/>
      <c r="DBT1450"/>
      <c r="DBU1450"/>
      <c r="DBV1450"/>
      <c r="DBW1450"/>
      <c r="DBX1450"/>
      <c r="DBY1450"/>
      <c r="DBZ1450"/>
      <c r="DCA1450"/>
      <c r="DCB1450"/>
      <c r="DCC1450"/>
      <c r="DCD1450"/>
      <c r="DCE1450"/>
      <c r="DCF1450"/>
      <c r="DCG1450"/>
      <c r="DCH1450"/>
      <c r="DCI1450"/>
      <c r="DCJ1450"/>
      <c r="DCK1450"/>
      <c r="DCL1450"/>
      <c r="DCM1450"/>
      <c r="DCN1450"/>
      <c r="DCO1450"/>
      <c r="DCP1450"/>
      <c r="DCQ1450"/>
      <c r="DCR1450"/>
      <c r="DCS1450"/>
      <c r="DCT1450"/>
      <c r="DCU1450"/>
      <c r="DCV1450"/>
      <c r="DCW1450"/>
      <c r="DCX1450"/>
      <c r="DCY1450"/>
      <c r="DCZ1450"/>
      <c r="DDA1450"/>
      <c r="DDB1450"/>
      <c r="DDC1450"/>
      <c r="DDD1450"/>
      <c r="DDE1450"/>
      <c r="DDF1450"/>
      <c r="DDG1450"/>
      <c r="DDH1450"/>
      <c r="DDI1450"/>
      <c r="DDJ1450"/>
      <c r="DDK1450"/>
      <c r="DDL1450"/>
      <c r="DDM1450"/>
      <c r="DDN1450"/>
      <c r="DDO1450"/>
      <c r="DDP1450"/>
      <c r="DDQ1450"/>
      <c r="DDR1450"/>
      <c r="DDS1450"/>
      <c r="DDT1450"/>
      <c r="DDU1450"/>
      <c r="DDV1450"/>
      <c r="DDW1450"/>
      <c r="DDX1450"/>
      <c r="DDY1450"/>
      <c r="DDZ1450"/>
      <c r="DEA1450"/>
      <c r="DEB1450"/>
      <c r="DEC1450"/>
      <c r="DED1450"/>
      <c r="DEE1450"/>
      <c r="DEF1450"/>
      <c r="DEG1450"/>
      <c r="DEH1450"/>
      <c r="DEI1450"/>
      <c r="DEJ1450"/>
      <c r="DEK1450"/>
      <c r="DEL1450"/>
      <c r="DEM1450"/>
      <c r="DEN1450"/>
      <c r="DEO1450"/>
      <c r="DEP1450"/>
      <c r="DEQ1450"/>
      <c r="DER1450"/>
      <c r="DES1450"/>
      <c r="DET1450"/>
      <c r="DEU1450"/>
      <c r="DEV1450"/>
      <c r="DEW1450"/>
      <c r="DEX1450"/>
      <c r="DEY1450"/>
      <c r="DEZ1450"/>
      <c r="DFA1450"/>
      <c r="DFB1450"/>
      <c r="DFC1450"/>
      <c r="DFD1450"/>
      <c r="DFE1450"/>
      <c r="DFF1450"/>
      <c r="DFG1450"/>
      <c r="DFH1450"/>
      <c r="DFI1450"/>
      <c r="DFJ1450"/>
      <c r="DFK1450"/>
      <c r="DFL1450"/>
      <c r="DFM1450"/>
      <c r="DFN1450"/>
      <c r="DFO1450"/>
      <c r="DFP1450"/>
      <c r="DFQ1450"/>
      <c r="DFR1450"/>
      <c r="DFS1450"/>
      <c r="DFT1450"/>
      <c r="DFU1450"/>
      <c r="DFV1450"/>
      <c r="DFW1450"/>
      <c r="DFX1450"/>
      <c r="DFY1450"/>
      <c r="DFZ1450"/>
      <c r="DGA1450"/>
      <c r="DGB1450"/>
      <c r="DGC1450"/>
      <c r="DGD1450"/>
      <c r="DGE1450"/>
      <c r="DGF1450"/>
      <c r="DGG1450"/>
      <c r="DGH1450"/>
      <c r="DGI1450"/>
      <c r="DGJ1450"/>
      <c r="DGK1450"/>
      <c r="DGL1450"/>
      <c r="DGM1450"/>
      <c r="DGN1450"/>
      <c r="DGO1450"/>
      <c r="DGP1450"/>
      <c r="DGQ1450"/>
      <c r="DGR1450"/>
      <c r="DGS1450"/>
      <c r="DGT1450"/>
      <c r="DGU1450"/>
      <c r="DGV1450"/>
      <c r="DGW1450"/>
      <c r="DGX1450"/>
      <c r="DGY1450"/>
      <c r="DGZ1450"/>
      <c r="DHA1450"/>
      <c r="DHB1450"/>
      <c r="DHC1450"/>
      <c r="DHD1450"/>
      <c r="DHE1450"/>
      <c r="DHF1450"/>
      <c r="DHG1450"/>
      <c r="DHH1450"/>
      <c r="DHI1450"/>
      <c r="DHJ1450"/>
      <c r="DHK1450"/>
      <c r="DHL1450"/>
      <c r="DHM1450"/>
      <c r="DHN1450"/>
      <c r="DHO1450"/>
      <c r="DHP1450"/>
      <c r="DHQ1450"/>
      <c r="DHR1450"/>
      <c r="DHS1450"/>
      <c r="DHT1450"/>
      <c r="DHU1450"/>
      <c r="DHV1450"/>
      <c r="DHW1450"/>
      <c r="DHX1450"/>
      <c r="DHY1450"/>
      <c r="DHZ1450"/>
      <c r="DIA1450"/>
      <c r="DIB1450"/>
      <c r="DIC1450"/>
      <c r="DID1450"/>
      <c r="DIE1450"/>
      <c r="DIF1450"/>
      <c r="DIG1450"/>
      <c r="DIH1450"/>
      <c r="DII1450"/>
      <c r="DIJ1450"/>
      <c r="DIK1450"/>
      <c r="DIL1450"/>
      <c r="DIM1450"/>
      <c r="DIN1450"/>
      <c r="DIO1450"/>
      <c r="DIP1450"/>
      <c r="DIQ1450"/>
      <c r="DIR1450"/>
      <c r="DIS1450"/>
      <c r="DIT1450"/>
      <c r="DIU1450"/>
      <c r="DIV1450"/>
      <c r="DIW1450"/>
      <c r="DIX1450"/>
      <c r="DIY1450"/>
      <c r="DIZ1450"/>
      <c r="DJA1450"/>
      <c r="DJB1450"/>
      <c r="DJC1450"/>
      <c r="DJD1450"/>
      <c r="DJE1450"/>
      <c r="DJF1450"/>
      <c r="DJG1450"/>
      <c r="DJH1450"/>
      <c r="DJI1450"/>
      <c r="DJJ1450"/>
      <c r="DJK1450"/>
      <c r="DJL1450"/>
      <c r="DJM1450"/>
      <c r="DJN1450"/>
      <c r="DJO1450"/>
      <c r="DJP1450"/>
      <c r="DJQ1450"/>
      <c r="DJR1450"/>
      <c r="DJS1450"/>
      <c r="DJT1450"/>
      <c r="DJU1450"/>
      <c r="DJV1450"/>
      <c r="DJW1450"/>
      <c r="DJX1450"/>
      <c r="DJY1450"/>
      <c r="DJZ1450"/>
      <c r="DKA1450"/>
      <c r="DKB1450"/>
      <c r="DKC1450"/>
      <c r="DKD1450"/>
      <c r="DKE1450"/>
      <c r="DKF1450"/>
      <c r="DKG1450"/>
      <c r="DKH1450"/>
      <c r="DKI1450"/>
      <c r="DKJ1450"/>
      <c r="DKK1450"/>
      <c r="DKL1450"/>
      <c r="DKM1450"/>
      <c r="DKN1450"/>
      <c r="DKO1450"/>
      <c r="DKP1450"/>
      <c r="DKQ1450"/>
      <c r="DKR1450"/>
      <c r="DKS1450"/>
      <c r="DKT1450"/>
      <c r="DKU1450"/>
      <c r="DKV1450"/>
      <c r="DKW1450"/>
      <c r="DKX1450"/>
      <c r="DKY1450"/>
      <c r="DKZ1450"/>
      <c r="DLA1450"/>
      <c r="DLB1450"/>
      <c r="DLC1450"/>
      <c r="DLD1450"/>
      <c r="DLE1450"/>
      <c r="DLF1450"/>
      <c r="DLG1450"/>
      <c r="DLH1450"/>
      <c r="DLI1450"/>
      <c r="DLJ1450"/>
      <c r="DLK1450"/>
      <c r="DLL1450"/>
      <c r="DLM1450"/>
      <c r="DLN1450"/>
      <c r="DLO1450"/>
      <c r="DLP1450"/>
      <c r="DLQ1450"/>
      <c r="DLR1450"/>
      <c r="DLS1450"/>
      <c r="DLT1450"/>
      <c r="DLU1450"/>
      <c r="DLV1450"/>
      <c r="DLW1450"/>
      <c r="DLX1450"/>
      <c r="DLY1450"/>
      <c r="DLZ1450"/>
      <c r="DMA1450"/>
      <c r="DMB1450"/>
      <c r="DMC1450"/>
      <c r="DMD1450"/>
      <c r="DME1450"/>
      <c r="DMF1450"/>
      <c r="DMG1450"/>
      <c r="DMH1450"/>
      <c r="DMI1450"/>
      <c r="DMJ1450"/>
      <c r="DMK1450"/>
      <c r="DML1450"/>
      <c r="DMM1450"/>
      <c r="DMN1450"/>
      <c r="DMO1450"/>
      <c r="DMP1450"/>
      <c r="DMQ1450"/>
      <c r="DMR1450"/>
      <c r="DMS1450"/>
      <c r="DMT1450"/>
      <c r="DMU1450"/>
      <c r="DMV1450"/>
      <c r="DMW1450"/>
      <c r="DMX1450"/>
      <c r="DMY1450"/>
      <c r="DMZ1450"/>
      <c r="DNA1450"/>
      <c r="DNB1450"/>
      <c r="DNC1450"/>
      <c r="DND1450"/>
      <c r="DNE1450"/>
      <c r="DNF1450"/>
      <c r="DNG1450"/>
      <c r="DNH1450"/>
      <c r="DNI1450"/>
      <c r="DNJ1450"/>
      <c r="DNK1450"/>
      <c r="DNL1450"/>
      <c r="DNM1450"/>
      <c r="DNN1450"/>
      <c r="DNO1450"/>
      <c r="DNP1450"/>
      <c r="DNQ1450"/>
      <c r="DNR1450"/>
      <c r="DNS1450"/>
      <c r="DNT1450"/>
      <c r="DNU1450"/>
      <c r="DNV1450"/>
      <c r="DNW1450"/>
      <c r="DNX1450"/>
      <c r="DNY1450"/>
      <c r="DNZ1450"/>
      <c r="DOA1450"/>
      <c r="DOB1450"/>
      <c r="DOC1450"/>
      <c r="DOD1450"/>
      <c r="DOE1450"/>
      <c r="DOF1450"/>
      <c r="DOG1450"/>
      <c r="DOH1450"/>
      <c r="DOI1450"/>
      <c r="DOJ1450"/>
      <c r="DOK1450"/>
      <c r="DOL1450"/>
      <c r="DOM1450"/>
      <c r="DON1450"/>
      <c r="DOO1450"/>
      <c r="DOP1450"/>
      <c r="DOQ1450"/>
      <c r="DOR1450"/>
      <c r="DOS1450"/>
      <c r="DOT1450"/>
      <c r="DOU1450"/>
      <c r="DOV1450"/>
      <c r="DOW1450"/>
      <c r="DOX1450"/>
      <c r="DOY1450"/>
      <c r="DOZ1450"/>
      <c r="DPA1450"/>
      <c r="DPB1450"/>
      <c r="DPC1450"/>
      <c r="DPD1450"/>
      <c r="DPE1450"/>
      <c r="DPF1450"/>
      <c r="DPG1450"/>
      <c r="DPH1450"/>
      <c r="DPI1450"/>
      <c r="DPJ1450"/>
      <c r="DPK1450"/>
      <c r="DPL1450"/>
      <c r="DPM1450"/>
      <c r="DPN1450"/>
      <c r="DPO1450"/>
      <c r="DPP1450"/>
      <c r="DPQ1450"/>
      <c r="DPR1450"/>
      <c r="DPS1450"/>
      <c r="DPT1450"/>
      <c r="DPU1450"/>
      <c r="DPV1450"/>
      <c r="DPW1450"/>
      <c r="DPX1450"/>
      <c r="DPY1450"/>
      <c r="DPZ1450"/>
      <c r="DQA1450"/>
      <c r="DQB1450"/>
      <c r="DQC1450"/>
      <c r="DQD1450"/>
      <c r="DQE1450"/>
      <c r="DQF1450"/>
      <c r="DQG1450"/>
      <c r="DQH1450"/>
      <c r="DQI1450"/>
      <c r="DQJ1450"/>
      <c r="DQK1450"/>
      <c r="DQL1450"/>
      <c r="DQM1450"/>
      <c r="DQN1450"/>
      <c r="DQO1450"/>
      <c r="DQP1450"/>
      <c r="DQQ1450"/>
      <c r="DQR1450"/>
      <c r="DQS1450"/>
      <c r="DQT1450"/>
      <c r="DQU1450"/>
      <c r="DQV1450"/>
      <c r="DQW1450"/>
      <c r="DQX1450"/>
      <c r="DQY1450"/>
      <c r="DQZ1450"/>
      <c r="DRA1450"/>
      <c r="DRB1450"/>
      <c r="DRC1450"/>
      <c r="DRD1450"/>
      <c r="DRE1450"/>
      <c r="DRF1450"/>
      <c r="DRG1450"/>
      <c r="DRH1450"/>
      <c r="DRI1450"/>
      <c r="DRJ1450"/>
      <c r="DRK1450"/>
      <c r="DRL1450"/>
      <c r="DRM1450"/>
      <c r="DRN1450"/>
      <c r="DRO1450"/>
      <c r="DRP1450"/>
      <c r="DRQ1450"/>
      <c r="DRR1450"/>
      <c r="DRS1450"/>
      <c r="DRT1450"/>
      <c r="DRU1450"/>
      <c r="DRV1450"/>
      <c r="DRW1450"/>
      <c r="DRX1450"/>
      <c r="DRY1450"/>
      <c r="DRZ1450"/>
      <c r="DSA1450"/>
      <c r="DSB1450"/>
      <c r="DSC1450"/>
      <c r="DSD1450"/>
      <c r="DSE1450"/>
      <c r="DSF1450"/>
      <c r="DSG1450"/>
      <c r="DSH1450"/>
      <c r="DSI1450"/>
      <c r="DSJ1450"/>
      <c r="DSK1450"/>
      <c r="DSL1450"/>
      <c r="DSM1450"/>
      <c r="DSN1450"/>
      <c r="DSO1450"/>
      <c r="DSP1450"/>
      <c r="DSQ1450"/>
      <c r="DSR1450"/>
      <c r="DSS1450"/>
      <c r="DST1450"/>
      <c r="DSU1450"/>
      <c r="DSV1450"/>
      <c r="DSW1450"/>
      <c r="DSX1450"/>
      <c r="DSY1450"/>
      <c r="DSZ1450"/>
      <c r="DTA1450"/>
      <c r="DTB1450"/>
      <c r="DTC1450"/>
      <c r="DTD1450"/>
      <c r="DTE1450"/>
      <c r="DTF1450"/>
      <c r="DTG1450"/>
      <c r="DTH1450"/>
      <c r="DTI1450"/>
      <c r="DTJ1450"/>
      <c r="DTK1450"/>
      <c r="DTL1450"/>
      <c r="DTM1450"/>
      <c r="DTN1450"/>
      <c r="DTO1450"/>
      <c r="DTP1450"/>
      <c r="DTQ1450"/>
      <c r="DTR1450"/>
      <c r="DTS1450"/>
      <c r="DTT1450"/>
      <c r="DTU1450"/>
      <c r="DTV1450"/>
      <c r="DTW1450"/>
      <c r="DTX1450"/>
      <c r="DTY1450"/>
      <c r="DTZ1450"/>
      <c r="DUA1450"/>
      <c r="DUB1450"/>
      <c r="DUC1450"/>
      <c r="DUD1450"/>
      <c r="DUE1450"/>
      <c r="DUF1450"/>
      <c r="DUG1450"/>
      <c r="DUH1450"/>
      <c r="DUI1450"/>
      <c r="DUJ1450"/>
      <c r="DUK1450"/>
      <c r="DUL1450"/>
      <c r="DUM1450"/>
      <c r="DUN1450"/>
      <c r="DUO1450"/>
      <c r="DUP1450"/>
      <c r="DUQ1450"/>
      <c r="DUR1450"/>
      <c r="DUS1450"/>
      <c r="DUT1450"/>
      <c r="DUU1450"/>
      <c r="DUV1450"/>
      <c r="DUW1450"/>
      <c r="DUX1450"/>
      <c r="DUY1450"/>
      <c r="DUZ1450"/>
      <c r="DVA1450"/>
      <c r="DVB1450"/>
      <c r="DVC1450"/>
      <c r="DVD1450"/>
      <c r="DVE1450"/>
      <c r="DVF1450"/>
      <c r="DVG1450"/>
      <c r="DVH1450"/>
      <c r="DVI1450"/>
      <c r="DVJ1450"/>
      <c r="DVK1450"/>
      <c r="DVL1450"/>
      <c r="DVM1450"/>
      <c r="DVN1450"/>
      <c r="DVO1450"/>
      <c r="DVP1450"/>
      <c r="DVQ1450"/>
      <c r="DVR1450"/>
      <c r="DVS1450"/>
      <c r="DVT1450"/>
      <c r="DVU1450"/>
      <c r="DVV1450"/>
      <c r="DVW1450"/>
      <c r="DVX1450"/>
      <c r="DVY1450"/>
      <c r="DVZ1450"/>
      <c r="DWA1450"/>
      <c r="DWB1450"/>
      <c r="DWC1450"/>
      <c r="DWD1450"/>
      <c r="DWE1450"/>
      <c r="DWF1450"/>
      <c r="DWG1450"/>
      <c r="DWH1450"/>
      <c r="DWI1450"/>
      <c r="DWJ1450"/>
      <c r="DWK1450"/>
      <c r="DWL1450"/>
      <c r="DWM1450"/>
      <c r="DWN1450"/>
      <c r="DWO1450"/>
      <c r="DWP1450"/>
      <c r="DWQ1450"/>
      <c r="DWR1450"/>
      <c r="DWS1450"/>
      <c r="DWT1450"/>
      <c r="DWU1450"/>
      <c r="DWV1450"/>
      <c r="DWW1450"/>
      <c r="DWX1450"/>
      <c r="DWY1450"/>
      <c r="DWZ1450"/>
      <c r="DXA1450"/>
      <c r="DXB1450"/>
      <c r="DXC1450"/>
      <c r="DXD1450"/>
      <c r="DXE1450"/>
      <c r="DXF1450"/>
      <c r="DXG1450"/>
      <c r="DXH1450"/>
      <c r="DXI1450"/>
      <c r="DXJ1450"/>
      <c r="DXK1450"/>
      <c r="DXL1450"/>
      <c r="DXM1450"/>
      <c r="DXN1450"/>
      <c r="DXO1450"/>
      <c r="DXP1450"/>
      <c r="DXQ1450"/>
      <c r="DXR1450"/>
      <c r="DXS1450"/>
      <c r="DXT1450"/>
      <c r="DXU1450"/>
      <c r="DXV1450"/>
      <c r="DXW1450"/>
      <c r="DXX1450"/>
      <c r="DXY1450"/>
      <c r="DXZ1450"/>
      <c r="DYA1450"/>
      <c r="DYB1450"/>
      <c r="DYC1450"/>
      <c r="DYD1450"/>
      <c r="DYE1450"/>
      <c r="DYF1450"/>
      <c r="DYG1450"/>
      <c r="DYH1450"/>
      <c r="DYI1450"/>
      <c r="DYJ1450"/>
      <c r="DYK1450"/>
      <c r="DYL1450"/>
      <c r="DYM1450"/>
      <c r="DYN1450"/>
      <c r="DYO1450"/>
      <c r="DYP1450"/>
      <c r="DYQ1450"/>
      <c r="DYR1450"/>
      <c r="DYS1450"/>
      <c r="DYT1450"/>
      <c r="DYU1450"/>
      <c r="DYV1450"/>
      <c r="DYW1450"/>
      <c r="DYX1450"/>
      <c r="DYY1450"/>
      <c r="DYZ1450"/>
      <c r="DZA1450"/>
      <c r="DZB1450"/>
      <c r="DZC1450"/>
      <c r="DZD1450"/>
      <c r="DZE1450"/>
      <c r="DZF1450"/>
      <c r="DZG1450"/>
      <c r="DZH1450"/>
      <c r="DZI1450"/>
      <c r="DZJ1450"/>
      <c r="DZK1450"/>
      <c r="DZL1450"/>
      <c r="DZM1450"/>
      <c r="DZN1450"/>
      <c r="DZO1450"/>
      <c r="DZP1450"/>
      <c r="DZQ1450"/>
      <c r="DZR1450"/>
      <c r="DZS1450"/>
      <c r="DZT1450"/>
      <c r="DZU1450"/>
      <c r="DZV1450"/>
      <c r="DZW1450"/>
      <c r="DZX1450"/>
      <c r="DZY1450"/>
      <c r="DZZ1450"/>
      <c r="EAA1450"/>
      <c r="EAB1450"/>
      <c r="EAC1450"/>
      <c r="EAD1450"/>
      <c r="EAE1450"/>
      <c r="EAF1450"/>
      <c r="EAG1450"/>
      <c r="EAH1450"/>
      <c r="EAI1450"/>
      <c r="EAJ1450"/>
      <c r="EAK1450"/>
      <c r="EAL1450"/>
      <c r="EAM1450"/>
      <c r="EAN1450"/>
      <c r="EAO1450"/>
      <c r="EAP1450"/>
      <c r="EAQ1450"/>
      <c r="EAR1450"/>
      <c r="EAS1450"/>
      <c r="EAT1450"/>
      <c r="EAU1450"/>
      <c r="EAV1450"/>
      <c r="EAW1450"/>
      <c r="EAX1450"/>
      <c r="EAY1450"/>
      <c r="EAZ1450"/>
      <c r="EBA1450"/>
      <c r="EBB1450"/>
      <c r="EBC1450"/>
      <c r="EBD1450"/>
      <c r="EBE1450"/>
      <c r="EBF1450"/>
      <c r="EBG1450"/>
      <c r="EBH1450"/>
      <c r="EBI1450"/>
      <c r="EBJ1450"/>
      <c r="EBK1450"/>
      <c r="EBL1450"/>
      <c r="EBM1450"/>
      <c r="EBN1450"/>
      <c r="EBO1450"/>
      <c r="EBP1450"/>
      <c r="EBQ1450"/>
      <c r="EBR1450"/>
      <c r="EBS1450"/>
      <c r="EBT1450"/>
      <c r="EBU1450"/>
      <c r="EBV1450"/>
      <c r="EBW1450"/>
      <c r="EBX1450"/>
      <c r="EBY1450"/>
      <c r="EBZ1450"/>
      <c r="ECA1450"/>
      <c r="ECB1450"/>
      <c r="ECC1450"/>
      <c r="ECD1450"/>
      <c r="ECE1450"/>
      <c r="ECF1450"/>
      <c r="ECG1450"/>
      <c r="ECH1450"/>
      <c r="ECI1450"/>
      <c r="ECJ1450"/>
      <c r="ECK1450"/>
      <c r="ECL1450"/>
      <c r="ECM1450"/>
      <c r="ECN1450"/>
      <c r="ECO1450"/>
      <c r="ECP1450"/>
      <c r="ECQ1450"/>
      <c r="ECR1450"/>
      <c r="ECS1450"/>
      <c r="ECT1450"/>
      <c r="ECU1450"/>
      <c r="ECV1450"/>
      <c r="ECW1450"/>
      <c r="ECX1450"/>
      <c r="ECY1450"/>
      <c r="ECZ1450"/>
      <c r="EDA1450"/>
      <c r="EDB1450"/>
      <c r="EDC1450"/>
      <c r="EDD1450"/>
      <c r="EDE1450"/>
      <c r="EDF1450"/>
      <c r="EDG1450"/>
      <c r="EDH1450"/>
      <c r="EDI1450"/>
      <c r="EDJ1450"/>
      <c r="EDK1450"/>
      <c r="EDL1450"/>
      <c r="EDM1450"/>
      <c r="EDN1450"/>
      <c r="EDO1450"/>
      <c r="EDP1450"/>
      <c r="EDQ1450"/>
      <c r="EDR1450"/>
      <c r="EDS1450"/>
      <c r="EDT1450"/>
      <c r="EDU1450"/>
      <c r="EDV1450"/>
      <c r="EDW1450"/>
      <c r="EDX1450"/>
      <c r="EDY1450"/>
      <c r="EDZ1450"/>
      <c r="EEA1450"/>
      <c r="EEB1450"/>
      <c r="EEC1450"/>
      <c r="EED1450"/>
      <c r="EEE1450"/>
      <c r="EEF1450"/>
      <c r="EEG1450"/>
      <c r="EEH1450"/>
      <c r="EEI1450"/>
      <c r="EEJ1450"/>
      <c r="EEK1450"/>
      <c r="EEL1450"/>
      <c r="EEM1450"/>
      <c r="EEN1450"/>
      <c r="EEO1450"/>
      <c r="EEP1450"/>
      <c r="EEQ1450"/>
      <c r="EER1450"/>
      <c r="EES1450"/>
      <c r="EET1450"/>
      <c r="EEU1450"/>
      <c r="EEV1450"/>
      <c r="EEW1450"/>
      <c r="EEX1450"/>
      <c r="EEY1450"/>
      <c r="EEZ1450"/>
      <c r="EFA1450"/>
      <c r="EFB1450"/>
      <c r="EFC1450"/>
      <c r="EFD1450"/>
      <c r="EFE1450"/>
      <c r="EFF1450"/>
      <c r="EFG1450"/>
      <c r="EFH1450"/>
      <c r="EFI1450"/>
      <c r="EFJ1450"/>
      <c r="EFK1450"/>
      <c r="EFL1450"/>
      <c r="EFM1450"/>
      <c r="EFN1450"/>
      <c r="EFO1450"/>
      <c r="EFP1450"/>
      <c r="EFQ1450"/>
      <c r="EFR1450"/>
      <c r="EFS1450"/>
      <c r="EFT1450"/>
      <c r="EFU1450"/>
      <c r="EFV1450"/>
      <c r="EFW1450"/>
      <c r="EFX1450"/>
      <c r="EFY1450"/>
      <c r="EFZ1450"/>
      <c r="EGA1450"/>
      <c r="EGB1450"/>
      <c r="EGC1450"/>
      <c r="EGD1450"/>
      <c r="EGE1450"/>
      <c r="EGF1450"/>
      <c r="EGG1450"/>
      <c r="EGH1450"/>
      <c r="EGI1450"/>
      <c r="EGJ1450"/>
      <c r="EGK1450"/>
      <c r="EGL1450"/>
      <c r="EGM1450"/>
      <c r="EGN1450"/>
      <c r="EGO1450"/>
      <c r="EGP1450"/>
      <c r="EGQ1450"/>
      <c r="EGR1450"/>
      <c r="EGS1450"/>
      <c r="EGT1450"/>
      <c r="EGU1450"/>
      <c r="EGV1450"/>
      <c r="EGW1450"/>
      <c r="EGX1450"/>
      <c r="EGY1450"/>
      <c r="EGZ1450"/>
      <c r="EHA1450"/>
      <c r="EHB1450"/>
      <c r="EHC1450"/>
      <c r="EHD1450"/>
      <c r="EHE1450"/>
      <c r="EHF1450"/>
      <c r="EHG1450"/>
      <c r="EHH1450"/>
      <c r="EHI1450"/>
      <c r="EHJ1450"/>
      <c r="EHK1450"/>
      <c r="EHL1450"/>
      <c r="EHM1450"/>
      <c r="EHN1450"/>
      <c r="EHO1450"/>
      <c r="EHP1450"/>
      <c r="EHQ1450"/>
      <c r="EHR1450"/>
      <c r="EHS1450"/>
      <c r="EHT1450"/>
      <c r="EHU1450"/>
      <c r="EHV1450"/>
      <c r="EHW1450"/>
      <c r="EHX1450"/>
      <c r="EHY1450"/>
      <c r="EHZ1450"/>
      <c r="EIA1450"/>
      <c r="EIB1450"/>
      <c r="EIC1450"/>
      <c r="EID1450"/>
      <c r="EIE1450"/>
      <c r="EIF1450"/>
      <c r="EIG1450"/>
      <c r="EIH1450"/>
      <c r="EII1450"/>
      <c r="EIJ1450"/>
      <c r="EIK1450"/>
      <c r="EIL1450"/>
      <c r="EIM1450"/>
      <c r="EIN1450"/>
      <c r="EIO1450"/>
      <c r="EIP1450"/>
      <c r="EIQ1450"/>
      <c r="EIR1450"/>
      <c r="EIS1450"/>
      <c r="EIT1450"/>
      <c r="EIU1450"/>
      <c r="EIV1450"/>
      <c r="EIW1450"/>
      <c r="EIX1450"/>
      <c r="EIY1450"/>
      <c r="EIZ1450"/>
      <c r="EJA1450"/>
      <c r="EJB1450"/>
      <c r="EJC1450"/>
      <c r="EJD1450"/>
      <c r="EJE1450"/>
      <c r="EJF1450"/>
      <c r="EJG1450"/>
      <c r="EJH1450"/>
      <c r="EJI1450"/>
      <c r="EJJ1450"/>
      <c r="EJK1450"/>
      <c r="EJL1450"/>
      <c r="EJM1450"/>
      <c r="EJN1450"/>
      <c r="EJO1450"/>
      <c r="EJP1450"/>
      <c r="EJQ1450"/>
      <c r="EJR1450"/>
      <c r="EJS1450"/>
      <c r="EJT1450"/>
      <c r="EJU1450"/>
      <c r="EJV1450"/>
      <c r="EJW1450"/>
      <c r="EJX1450"/>
      <c r="EJY1450"/>
      <c r="EJZ1450"/>
      <c r="EKA1450"/>
      <c r="EKB1450"/>
      <c r="EKC1450"/>
      <c r="EKD1450"/>
      <c r="EKE1450"/>
      <c r="EKF1450"/>
      <c r="EKG1450"/>
      <c r="EKH1450"/>
      <c r="EKI1450"/>
      <c r="EKJ1450"/>
      <c r="EKK1450"/>
      <c r="EKL1450"/>
      <c r="EKM1450"/>
      <c r="EKN1450"/>
      <c r="EKO1450"/>
      <c r="EKP1450"/>
      <c r="EKQ1450"/>
      <c r="EKR1450"/>
      <c r="EKS1450"/>
      <c r="EKT1450"/>
      <c r="EKU1450"/>
      <c r="EKV1450"/>
      <c r="EKW1450"/>
      <c r="EKX1450"/>
      <c r="EKY1450"/>
      <c r="EKZ1450"/>
      <c r="ELA1450"/>
      <c r="ELB1450"/>
      <c r="ELC1450"/>
      <c r="ELD1450"/>
      <c r="ELE1450"/>
      <c r="ELF1450"/>
      <c r="ELG1450"/>
      <c r="ELH1450"/>
      <c r="ELI1450"/>
      <c r="ELJ1450"/>
      <c r="ELK1450"/>
      <c r="ELL1450"/>
      <c r="ELM1450"/>
      <c r="ELN1450"/>
      <c r="ELO1450"/>
      <c r="ELP1450"/>
      <c r="ELQ1450"/>
      <c r="ELR1450"/>
      <c r="ELS1450"/>
      <c r="ELT1450"/>
      <c r="ELU1450"/>
      <c r="ELV1450"/>
      <c r="ELW1450"/>
      <c r="ELX1450"/>
      <c r="ELY1450"/>
      <c r="ELZ1450"/>
      <c r="EMA1450"/>
      <c r="EMB1450"/>
      <c r="EMC1450"/>
      <c r="EMD1450"/>
      <c r="EME1450"/>
      <c r="EMF1450"/>
      <c r="EMG1450"/>
      <c r="EMH1450"/>
      <c r="EMI1450"/>
      <c r="EMJ1450"/>
      <c r="EMK1450"/>
      <c r="EML1450"/>
      <c r="EMM1450"/>
      <c r="EMN1450"/>
      <c r="EMO1450"/>
      <c r="EMP1450"/>
      <c r="EMQ1450"/>
      <c r="EMR1450"/>
      <c r="EMS1450"/>
      <c r="EMT1450"/>
      <c r="EMU1450"/>
      <c r="EMV1450"/>
      <c r="EMW1450"/>
      <c r="EMX1450"/>
      <c r="EMY1450"/>
      <c r="EMZ1450"/>
      <c r="ENA1450"/>
      <c r="ENB1450"/>
      <c r="ENC1450"/>
      <c r="END1450"/>
      <c r="ENE1450"/>
      <c r="ENF1450"/>
      <c r="ENG1450"/>
      <c r="ENH1450"/>
      <c r="ENI1450"/>
      <c r="ENJ1450"/>
      <c r="ENK1450"/>
      <c r="ENL1450"/>
      <c r="ENM1450"/>
      <c r="ENN1450"/>
      <c r="ENO1450"/>
      <c r="ENP1450"/>
      <c r="ENQ1450"/>
      <c r="ENR1450"/>
      <c r="ENS1450"/>
      <c r="ENT1450"/>
      <c r="ENU1450"/>
      <c r="ENV1450"/>
      <c r="ENW1450"/>
      <c r="ENX1450"/>
      <c r="ENY1450"/>
      <c r="ENZ1450"/>
      <c r="EOA1450"/>
      <c r="EOB1450"/>
      <c r="EOC1450"/>
      <c r="EOD1450"/>
      <c r="EOE1450"/>
      <c r="EOF1450"/>
      <c r="EOG1450"/>
      <c r="EOH1450"/>
      <c r="EOI1450"/>
      <c r="EOJ1450"/>
      <c r="EOK1450"/>
      <c r="EOL1450"/>
      <c r="EOM1450"/>
      <c r="EON1450"/>
      <c r="EOO1450"/>
      <c r="EOP1450"/>
      <c r="EOQ1450"/>
      <c r="EOR1450"/>
      <c r="EOS1450"/>
      <c r="EOT1450"/>
      <c r="EOU1450"/>
      <c r="EOV1450"/>
      <c r="EOW1450"/>
      <c r="EOX1450"/>
      <c r="EOY1450"/>
      <c r="EOZ1450"/>
      <c r="EPA1450"/>
      <c r="EPB1450"/>
      <c r="EPC1450"/>
      <c r="EPD1450"/>
      <c r="EPE1450"/>
      <c r="EPF1450"/>
      <c r="EPG1450"/>
      <c r="EPH1450"/>
      <c r="EPI1450"/>
      <c r="EPJ1450"/>
      <c r="EPK1450"/>
      <c r="EPL1450"/>
      <c r="EPM1450"/>
      <c r="EPN1450"/>
      <c r="EPO1450"/>
      <c r="EPP1450"/>
      <c r="EPQ1450"/>
      <c r="EPR1450"/>
      <c r="EPS1450"/>
      <c r="EPT1450"/>
      <c r="EPU1450"/>
      <c r="EPV1450"/>
      <c r="EPW1450"/>
      <c r="EPX1450"/>
      <c r="EPY1450"/>
      <c r="EPZ1450"/>
      <c r="EQA1450"/>
      <c r="EQB1450"/>
      <c r="EQC1450"/>
      <c r="EQD1450"/>
      <c r="EQE1450"/>
      <c r="EQF1450"/>
      <c r="EQG1450"/>
      <c r="EQH1450"/>
      <c r="EQI1450"/>
      <c r="EQJ1450"/>
      <c r="EQK1450"/>
      <c r="EQL1450"/>
      <c r="EQM1450"/>
      <c r="EQN1450"/>
      <c r="EQO1450"/>
      <c r="EQP1450"/>
      <c r="EQQ1450"/>
      <c r="EQR1450"/>
      <c r="EQS1450"/>
      <c r="EQT1450"/>
      <c r="EQU1450"/>
      <c r="EQV1450"/>
      <c r="EQW1450"/>
      <c r="EQX1450"/>
      <c r="EQY1450"/>
      <c r="EQZ1450"/>
      <c r="ERA1450"/>
      <c r="ERB1450"/>
      <c r="ERC1450"/>
      <c r="ERD1450"/>
      <c r="ERE1450"/>
      <c r="ERF1450"/>
      <c r="ERG1450"/>
      <c r="ERH1450"/>
      <c r="ERI1450"/>
      <c r="ERJ1450"/>
      <c r="ERK1450"/>
      <c r="ERL1450"/>
      <c r="ERM1450"/>
      <c r="ERN1450"/>
      <c r="ERO1450"/>
      <c r="ERP1450"/>
      <c r="ERQ1450"/>
      <c r="ERR1450"/>
      <c r="ERS1450"/>
      <c r="ERT1450"/>
      <c r="ERU1450"/>
      <c r="ERV1450"/>
      <c r="ERW1450"/>
      <c r="ERX1450"/>
      <c r="ERY1450"/>
      <c r="ERZ1450"/>
      <c r="ESA1450"/>
      <c r="ESB1450"/>
      <c r="ESC1450"/>
      <c r="ESD1450"/>
      <c r="ESE1450"/>
      <c r="ESF1450"/>
      <c r="ESG1450"/>
      <c r="ESH1450"/>
      <c r="ESI1450"/>
      <c r="ESJ1450"/>
      <c r="ESK1450"/>
      <c r="ESL1450"/>
      <c r="ESM1450"/>
      <c r="ESN1450"/>
      <c r="ESO1450"/>
      <c r="ESP1450"/>
      <c r="ESQ1450"/>
      <c r="ESR1450"/>
      <c r="ESS1450"/>
      <c r="EST1450"/>
      <c r="ESU1450"/>
      <c r="ESV1450"/>
      <c r="ESW1450"/>
      <c r="ESX1450"/>
      <c r="ESY1450"/>
      <c r="ESZ1450"/>
      <c r="ETA1450"/>
      <c r="ETB1450"/>
      <c r="ETC1450"/>
      <c r="ETD1450"/>
      <c r="ETE1450"/>
      <c r="ETF1450"/>
      <c r="ETG1450"/>
      <c r="ETH1450"/>
      <c r="ETI1450"/>
      <c r="ETJ1450"/>
      <c r="ETK1450"/>
      <c r="ETL1450"/>
      <c r="ETM1450"/>
      <c r="ETN1450"/>
      <c r="ETO1450"/>
      <c r="ETP1450"/>
      <c r="ETQ1450"/>
      <c r="ETR1450"/>
      <c r="ETS1450"/>
      <c r="ETT1450"/>
      <c r="ETU1450"/>
      <c r="ETV1450"/>
      <c r="ETW1450"/>
      <c r="ETX1450"/>
      <c r="ETY1450"/>
      <c r="ETZ1450"/>
      <c r="EUA1450"/>
      <c r="EUB1450"/>
      <c r="EUC1450"/>
      <c r="EUD1450"/>
      <c r="EUE1450"/>
      <c r="EUF1450"/>
      <c r="EUG1450"/>
      <c r="EUH1450"/>
      <c r="EUI1450"/>
      <c r="EUJ1450"/>
      <c r="EUK1450"/>
      <c r="EUL1450"/>
      <c r="EUM1450"/>
      <c r="EUN1450"/>
      <c r="EUO1450"/>
      <c r="EUP1450"/>
      <c r="EUQ1450"/>
      <c r="EUR1450"/>
      <c r="EUS1450"/>
      <c r="EUT1450"/>
      <c r="EUU1450"/>
      <c r="EUV1450"/>
      <c r="EUW1450"/>
      <c r="EUX1450"/>
      <c r="EUY1450"/>
      <c r="EUZ1450"/>
      <c r="EVA1450"/>
      <c r="EVB1450"/>
      <c r="EVC1450"/>
      <c r="EVD1450"/>
      <c r="EVE1450"/>
      <c r="EVF1450"/>
      <c r="EVG1450"/>
      <c r="EVH1450"/>
      <c r="EVI1450"/>
      <c r="EVJ1450"/>
      <c r="EVK1450"/>
      <c r="EVL1450"/>
      <c r="EVM1450"/>
      <c r="EVN1450"/>
      <c r="EVO1450"/>
      <c r="EVP1450"/>
      <c r="EVQ1450"/>
      <c r="EVR1450"/>
      <c r="EVS1450"/>
      <c r="EVT1450"/>
      <c r="EVU1450"/>
      <c r="EVV1450"/>
      <c r="EVW1450"/>
      <c r="EVX1450"/>
      <c r="EVY1450"/>
      <c r="EVZ1450"/>
      <c r="EWA1450"/>
      <c r="EWB1450"/>
      <c r="EWC1450"/>
      <c r="EWD1450"/>
      <c r="EWE1450"/>
      <c r="EWF1450"/>
      <c r="EWG1450"/>
      <c r="EWH1450"/>
      <c r="EWI1450"/>
      <c r="EWJ1450"/>
      <c r="EWK1450"/>
      <c r="EWL1450"/>
      <c r="EWM1450"/>
      <c r="EWN1450"/>
      <c r="EWO1450"/>
      <c r="EWP1450"/>
      <c r="EWQ1450"/>
      <c r="EWR1450"/>
      <c r="EWS1450"/>
      <c r="EWT1450"/>
      <c r="EWU1450"/>
      <c r="EWV1450"/>
      <c r="EWW1450"/>
      <c r="EWX1450"/>
      <c r="EWY1450"/>
      <c r="EWZ1450"/>
      <c r="EXA1450"/>
      <c r="EXB1450"/>
      <c r="EXC1450"/>
      <c r="EXD1450"/>
      <c r="EXE1450"/>
      <c r="EXF1450"/>
      <c r="EXG1450"/>
      <c r="EXH1450"/>
      <c r="EXI1450"/>
      <c r="EXJ1450"/>
      <c r="EXK1450"/>
      <c r="EXL1450"/>
      <c r="EXM1450"/>
      <c r="EXN1450"/>
      <c r="EXO1450"/>
      <c r="EXP1450"/>
      <c r="EXQ1450"/>
      <c r="EXR1450"/>
      <c r="EXS1450"/>
      <c r="EXT1450"/>
      <c r="EXU1450"/>
      <c r="EXV1450"/>
      <c r="EXW1450"/>
      <c r="EXX1450"/>
      <c r="EXY1450"/>
      <c r="EXZ1450"/>
      <c r="EYA1450"/>
      <c r="EYB1450"/>
      <c r="EYC1450"/>
      <c r="EYD1450"/>
      <c r="EYE1450"/>
      <c r="EYF1450"/>
      <c r="EYG1450"/>
      <c r="EYH1450"/>
      <c r="EYI1450"/>
      <c r="EYJ1450"/>
      <c r="EYK1450"/>
      <c r="EYL1450"/>
      <c r="EYM1450"/>
      <c r="EYN1450"/>
      <c r="EYO1450"/>
      <c r="EYP1450"/>
      <c r="EYQ1450"/>
      <c r="EYR1450"/>
      <c r="EYS1450"/>
      <c r="EYT1450"/>
      <c r="EYU1450"/>
      <c r="EYV1450"/>
      <c r="EYW1450"/>
      <c r="EYX1450"/>
      <c r="EYY1450"/>
      <c r="EYZ1450"/>
      <c r="EZA1450"/>
      <c r="EZB1450"/>
      <c r="EZC1450"/>
      <c r="EZD1450"/>
      <c r="EZE1450"/>
      <c r="EZF1450"/>
      <c r="EZG1450"/>
      <c r="EZH1450"/>
      <c r="EZI1450"/>
      <c r="EZJ1450"/>
      <c r="EZK1450"/>
      <c r="EZL1450"/>
      <c r="EZM1450"/>
      <c r="EZN1450"/>
      <c r="EZO1450"/>
      <c r="EZP1450"/>
      <c r="EZQ1450"/>
      <c r="EZR1450"/>
      <c r="EZS1450"/>
      <c r="EZT1450"/>
      <c r="EZU1450"/>
      <c r="EZV1450"/>
      <c r="EZW1450"/>
      <c r="EZX1450"/>
      <c r="EZY1450"/>
      <c r="EZZ1450"/>
      <c r="FAA1450"/>
      <c r="FAB1450"/>
      <c r="FAC1450"/>
      <c r="FAD1450"/>
      <c r="FAE1450"/>
      <c r="FAF1450"/>
      <c r="FAG1450"/>
      <c r="FAH1450"/>
      <c r="FAI1450"/>
      <c r="FAJ1450"/>
      <c r="FAK1450"/>
      <c r="FAL1450"/>
      <c r="FAM1450"/>
      <c r="FAN1450"/>
      <c r="FAO1450"/>
      <c r="FAP1450"/>
      <c r="FAQ1450"/>
      <c r="FAR1450"/>
      <c r="FAS1450"/>
      <c r="FAT1450"/>
      <c r="FAU1450"/>
      <c r="FAV1450"/>
      <c r="FAW1450"/>
      <c r="FAX1450"/>
      <c r="FAY1450"/>
      <c r="FAZ1450"/>
      <c r="FBA1450"/>
      <c r="FBB1450"/>
      <c r="FBC1450"/>
      <c r="FBD1450"/>
      <c r="FBE1450"/>
      <c r="FBF1450"/>
      <c r="FBG1450"/>
      <c r="FBH1450"/>
      <c r="FBI1450"/>
      <c r="FBJ1450"/>
      <c r="FBK1450"/>
      <c r="FBL1450"/>
      <c r="FBM1450"/>
      <c r="FBN1450"/>
      <c r="FBO1450"/>
      <c r="FBP1450"/>
      <c r="FBQ1450"/>
      <c r="FBR1450"/>
      <c r="FBS1450"/>
      <c r="FBT1450"/>
      <c r="FBU1450"/>
      <c r="FBV1450"/>
      <c r="FBW1450"/>
      <c r="FBX1450"/>
      <c r="FBY1450"/>
      <c r="FBZ1450"/>
      <c r="FCA1450"/>
      <c r="FCB1450"/>
      <c r="FCC1450"/>
      <c r="FCD1450"/>
      <c r="FCE1450"/>
      <c r="FCF1450"/>
      <c r="FCG1450"/>
      <c r="FCH1450"/>
      <c r="FCI1450"/>
      <c r="FCJ1450"/>
      <c r="FCK1450"/>
      <c r="FCL1450"/>
      <c r="FCM1450"/>
      <c r="FCN1450"/>
      <c r="FCO1450"/>
      <c r="FCP1450"/>
      <c r="FCQ1450"/>
      <c r="FCR1450"/>
      <c r="FCS1450"/>
      <c r="FCT1450"/>
      <c r="FCU1450"/>
      <c r="FCV1450"/>
      <c r="FCW1450"/>
      <c r="FCX1450"/>
      <c r="FCY1450"/>
      <c r="FCZ1450"/>
      <c r="FDA1450"/>
      <c r="FDB1450"/>
      <c r="FDC1450"/>
      <c r="FDD1450"/>
      <c r="FDE1450"/>
      <c r="FDF1450"/>
      <c r="FDG1450"/>
      <c r="FDH1450"/>
      <c r="FDI1450"/>
      <c r="FDJ1450"/>
      <c r="FDK1450"/>
      <c r="FDL1450"/>
      <c r="FDM1450"/>
      <c r="FDN1450"/>
      <c r="FDO1450"/>
      <c r="FDP1450"/>
      <c r="FDQ1450"/>
      <c r="FDR1450"/>
      <c r="FDS1450"/>
      <c r="FDT1450"/>
      <c r="FDU1450"/>
      <c r="FDV1450"/>
      <c r="FDW1450"/>
      <c r="FDX1450"/>
      <c r="FDY1450"/>
      <c r="FDZ1450"/>
      <c r="FEA1450"/>
      <c r="FEB1450"/>
      <c r="FEC1450"/>
      <c r="FED1450"/>
      <c r="FEE1450"/>
      <c r="FEF1450"/>
      <c r="FEG1450"/>
      <c r="FEH1450"/>
      <c r="FEI1450"/>
      <c r="FEJ1450"/>
      <c r="FEK1450"/>
      <c r="FEL1450"/>
      <c r="FEM1450"/>
      <c r="FEN1450"/>
      <c r="FEO1450"/>
      <c r="FEP1450"/>
      <c r="FEQ1450"/>
      <c r="FER1450"/>
      <c r="FES1450"/>
      <c r="FET1450"/>
      <c r="FEU1450"/>
      <c r="FEV1450"/>
      <c r="FEW1450"/>
      <c r="FEX1450"/>
      <c r="FEY1450"/>
      <c r="FEZ1450"/>
      <c r="FFA1450"/>
      <c r="FFB1450"/>
      <c r="FFC1450"/>
      <c r="FFD1450"/>
      <c r="FFE1450"/>
      <c r="FFF1450"/>
      <c r="FFG1450"/>
      <c r="FFH1450"/>
      <c r="FFI1450"/>
      <c r="FFJ1450"/>
      <c r="FFK1450"/>
      <c r="FFL1450"/>
      <c r="FFM1450"/>
      <c r="FFN1450"/>
      <c r="FFO1450"/>
      <c r="FFP1450"/>
      <c r="FFQ1450"/>
      <c r="FFR1450"/>
      <c r="FFS1450"/>
      <c r="FFT1450"/>
      <c r="FFU1450"/>
      <c r="FFV1450"/>
      <c r="FFW1450"/>
      <c r="FFX1450"/>
      <c r="FFY1450"/>
      <c r="FFZ1450"/>
      <c r="FGA1450"/>
      <c r="FGB1450"/>
      <c r="FGC1450"/>
      <c r="FGD1450"/>
      <c r="FGE1450"/>
      <c r="FGF1450"/>
      <c r="FGG1450"/>
      <c r="FGH1450"/>
      <c r="FGI1450"/>
      <c r="FGJ1450"/>
      <c r="FGK1450"/>
      <c r="FGL1450"/>
      <c r="FGM1450"/>
      <c r="FGN1450"/>
      <c r="FGO1450"/>
      <c r="FGP1450"/>
      <c r="FGQ1450"/>
      <c r="FGR1450"/>
      <c r="FGS1450"/>
      <c r="FGT1450"/>
      <c r="FGU1450"/>
      <c r="FGV1450"/>
      <c r="FGW1450"/>
      <c r="FGX1450"/>
      <c r="FGY1450"/>
      <c r="FGZ1450"/>
      <c r="FHA1450"/>
      <c r="FHB1450"/>
      <c r="FHC1450"/>
      <c r="FHD1450"/>
      <c r="FHE1450"/>
      <c r="FHF1450"/>
      <c r="FHG1450"/>
      <c r="FHH1450"/>
      <c r="FHI1450"/>
      <c r="FHJ1450"/>
      <c r="FHK1450"/>
      <c r="FHL1450"/>
      <c r="FHM1450"/>
      <c r="FHN1450"/>
      <c r="FHO1450"/>
      <c r="FHP1450"/>
      <c r="FHQ1450"/>
      <c r="FHR1450"/>
      <c r="FHS1450"/>
      <c r="FHT1450"/>
      <c r="FHU1450"/>
      <c r="FHV1450"/>
      <c r="FHW1450"/>
      <c r="FHX1450"/>
      <c r="FHY1450"/>
      <c r="FHZ1450"/>
      <c r="FIA1450"/>
      <c r="FIB1450"/>
      <c r="FIC1450"/>
      <c r="FID1450"/>
      <c r="FIE1450"/>
      <c r="FIF1450"/>
      <c r="FIG1450"/>
      <c r="FIH1450"/>
      <c r="FII1450"/>
      <c r="FIJ1450"/>
      <c r="FIK1450"/>
      <c r="FIL1450"/>
      <c r="FIM1450"/>
      <c r="FIN1450"/>
      <c r="FIO1450"/>
      <c r="FIP1450"/>
      <c r="FIQ1450"/>
      <c r="FIR1450"/>
      <c r="FIS1450"/>
      <c r="FIT1450"/>
      <c r="FIU1450"/>
      <c r="FIV1450"/>
      <c r="FIW1450"/>
      <c r="FIX1450"/>
      <c r="FIY1450"/>
      <c r="FIZ1450"/>
      <c r="FJA1450"/>
      <c r="FJB1450"/>
      <c r="FJC1450"/>
      <c r="FJD1450"/>
      <c r="FJE1450"/>
      <c r="FJF1450"/>
      <c r="FJG1450"/>
      <c r="FJH1450"/>
      <c r="FJI1450"/>
      <c r="FJJ1450"/>
      <c r="FJK1450"/>
      <c r="FJL1450"/>
      <c r="FJM1450"/>
      <c r="FJN1450"/>
      <c r="FJO1450"/>
      <c r="FJP1450"/>
      <c r="FJQ1450"/>
      <c r="FJR1450"/>
      <c r="FJS1450"/>
      <c r="FJT1450"/>
      <c r="FJU1450"/>
      <c r="FJV1450"/>
      <c r="FJW1450"/>
      <c r="FJX1450"/>
      <c r="FJY1450"/>
      <c r="FJZ1450"/>
      <c r="FKA1450"/>
      <c r="FKB1450"/>
      <c r="FKC1450"/>
      <c r="FKD1450"/>
      <c r="FKE1450"/>
      <c r="FKF1450"/>
      <c r="FKG1450"/>
      <c r="FKH1450"/>
      <c r="FKI1450"/>
      <c r="FKJ1450"/>
      <c r="FKK1450"/>
      <c r="FKL1450"/>
      <c r="FKM1450"/>
      <c r="FKN1450"/>
      <c r="FKO1450"/>
      <c r="FKP1450"/>
      <c r="FKQ1450"/>
      <c r="FKR1450"/>
      <c r="FKS1450"/>
      <c r="FKT1450"/>
      <c r="FKU1450"/>
      <c r="FKV1450"/>
      <c r="FKW1450"/>
      <c r="FKX1450"/>
      <c r="FKY1450"/>
      <c r="FKZ1450"/>
      <c r="FLA1450"/>
      <c r="FLB1450"/>
      <c r="FLC1450"/>
      <c r="FLD1450"/>
      <c r="FLE1450"/>
      <c r="FLF1450"/>
      <c r="FLG1450"/>
      <c r="FLH1450"/>
      <c r="FLI1450"/>
      <c r="FLJ1450"/>
      <c r="FLK1450"/>
      <c r="FLL1450"/>
      <c r="FLM1450"/>
      <c r="FLN1450"/>
      <c r="FLO1450"/>
      <c r="FLP1450"/>
      <c r="FLQ1450"/>
      <c r="FLR1450"/>
      <c r="FLS1450"/>
      <c r="FLT1450"/>
      <c r="FLU1450"/>
      <c r="FLV1450"/>
      <c r="FLW1450"/>
      <c r="FLX1450"/>
      <c r="FLY1450"/>
      <c r="FLZ1450"/>
      <c r="FMA1450"/>
      <c r="FMB1450"/>
      <c r="FMC1450"/>
      <c r="FMD1450"/>
      <c r="FME1450"/>
      <c r="FMF1450"/>
      <c r="FMG1450"/>
      <c r="FMH1450"/>
      <c r="FMI1450"/>
      <c r="FMJ1450"/>
      <c r="FMK1450"/>
      <c r="FML1450"/>
      <c r="FMM1450"/>
      <c r="FMN1450"/>
      <c r="FMO1450"/>
      <c r="FMP1450"/>
      <c r="FMQ1450"/>
      <c r="FMR1450"/>
      <c r="FMS1450"/>
      <c r="FMT1450"/>
      <c r="FMU1450"/>
      <c r="FMV1450"/>
      <c r="FMW1450"/>
      <c r="FMX1450"/>
      <c r="FMY1450"/>
      <c r="FMZ1450"/>
      <c r="FNA1450"/>
      <c r="FNB1450"/>
      <c r="FNC1450"/>
      <c r="FND1450"/>
      <c r="FNE1450"/>
      <c r="FNF1450"/>
      <c r="FNG1450"/>
      <c r="FNH1450"/>
      <c r="FNI1450"/>
      <c r="FNJ1450"/>
      <c r="FNK1450"/>
      <c r="FNL1450"/>
      <c r="FNM1450"/>
      <c r="FNN1450"/>
      <c r="FNO1450"/>
      <c r="FNP1450"/>
      <c r="FNQ1450"/>
      <c r="FNR1450"/>
      <c r="FNS1450"/>
      <c r="FNT1450"/>
      <c r="FNU1450"/>
      <c r="FNV1450"/>
      <c r="FNW1450"/>
      <c r="FNX1450"/>
      <c r="FNY1450"/>
      <c r="FNZ1450"/>
      <c r="FOA1450"/>
      <c r="FOB1450"/>
      <c r="FOC1450"/>
      <c r="FOD1450"/>
      <c r="FOE1450"/>
      <c r="FOF1450"/>
      <c r="FOG1450"/>
      <c r="FOH1450"/>
      <c r="FOI1450"/>
      <c r="FOJ1450"/>
      <c r="FOK1450"/>
      <c r="FOL1450"/>
      <c r="FOM1450"/>
      <c r="FON1450"/>
      <c r="FOO1450"/>
      <c r="FOP1450"/>
      <c r="FOQ1450"/>
      <c r="FOR1450"/>
      <c r="FOS1450"/>
      <c r="FOT1450"/>
      <c r="FOU1450"/>
      <c r="FOV1450"/>
      <c r="FOW1450"/>
      <c r="FOX1450"/>
      <c r="FOY1450"/>
      <c r="FOZ1450"/>
      <c r="FPA1450"/>
      <c r="FPB1450"/>
      <c r="FPC1450"/>
      <c r="FPD1450"/>
      <c r="FPE1450"/>
      <c r="FPF1450"/>
      <c r="FPG1450"/>
      <c r="FPH1450"/>
      <c r="FPI1450"/>
      <c r="FPJ1450"/>
      <c r="FPK1450"/>
      <c r="FPL1450"/>
      <c r="FPM1450"/>
      <c r="FPN1450"/>
      <c r="FPO1450"/>
      <c r="FPP1450"/>
      <c r="FPQ1450"/>
      <c r="FPR1450"/>
      <c r="FPS1450"/>
      <c r="FPT1450"/>
      <c r="FPU1450"/>
      <c r="FPV1450"/>
      <c r="FPW1450"/>
      <c r="FPX1450"/>
      <c r="FPY1450"/>
      <c r="FPZ1450"/>
      <c r="FQA1450"/>
      <c r="FQB1450"/>
      <c r="FQC1450"/>
      <c r="FQD1450"/>
      <c r="FQE1450"/>
      <c r="FQF1450"/>
      <c r="FQG1450"/>
      <c r="FQH1450"/>
      <c r="FQI1450"/>
      <c r="FQJ1450"/>
      <c r="FQK1450"/>
      <c r="FQL1450"/>
      <c r="FQM1450"/>
      <c r="FQN1450"/>
      <c r="FQO1450"/>
      <c r="FQP1450"/>
      <c r="FQQ1450"/>
      <c r="FQR1450"/>
      <c r="FQS1450"/>
      <c r="FQT1450"/>
      <c r="FQU1450"/>
      <c r="FQV1450"/>
      <c r="FQW1450"/>
      <c r="FQX1450"/>
      <c r="FQY1450"/>
      <c r="FQZ1450"/>
      <c r="FRA1450"/>
      <c r="FRB1450"/>
      <c r="FRC1450"/>
      <c r="FRD1450"/>
      <c r="FRE1450"/>
      <c r="FRF1450"/>
      <c r="FRG1450"/>
      <c r="FRH1450"/>
      <c r="FRI1450"/>
      <c r="FRJ1450"/>
      <c r="FRK1450"/>
      <c r="FRL1450"/>
      <c r="FRM1450"/>
      <c r="FRN1450"/>
      <c r="FRO1450"/>
      <c r="FRP1450"/>
      <c r="FRQ1450"/>
      <c r="FRR1450"/>
      <c r="FRS1450"/>
      <c r="FRT1450"/>
      <c r="FRU1450"/>
      <c r="FRV1450"/>
      <c r="FRW1450"/>
      <c r="FRX1450"/>
      <c r="FRY1450"/>
      <c r="FRZ1450"/>
      <c r="FSA1450"/>
      <c r="FSB1450"/>
      <c r="FSC1450"/>
      <c r="FSD1450"/>
      <c r="FSE1450"/>
      <c r="FSF1450"/>
      <c r="FSG1450"/>
      <c r="FSH1450"/>
      <c r="FSI1450"/>
      <c r="FSJ1450"/>
      <c r="FSK1450"/>
      <c r="FSL1450"/>
      <c r="FSM1450"/>
      <c r="FSN1450"/>
      <c r="FSO1450"/>
      <c r="FSP1450"/>
      <c r="FSQ1450"/>
      <c r="FSR1450"/>
      <c r="FSS1450"/>
      <c r="FST1450"/>
      <c r="FSU1450"/>
      <c r="FSV1450"/>
      <c r="FSW1450"/>
      <c r="FSX1450"/>
      <c r="FSY1450"/>
      <c r="FSZ1450"/>
      <c r="FTA1450"/>
      <c r="FTB1450"/>
      <c r="FTC1450"/>
      <c r="FTD1450"/>
      <c r="FTE1450"/>
      <c r="FTF1450"/>
      <c r="FTG1450"/>
      <c r="FTH1450"/>
      <c r="FTI1450"/>
      <c r="FTJ1450"/>
      <c r="FTK1450"/>
      <c r="FTL1450"/>
      <c r="FTM1450"/>
      <c r="FTN1450"/>
      <c r="FTO1450"/>
      <c r="FTP1450"/>
      <c r="FTQ1450"/>
      <c r="FTR1450"/>
      <c r="FTS1450"/>
      <c r="FTT1450"/>
      <c r="FTU1450"/>
      <c r="FTV1450"/>
      <c r="FTW1450"/>
      <c r="FTX1450"/>
      <c r="FTY1450"/>
      <c r="FTZ1450"/>
      <c r="FUA1450"/>
      <c r="FUB1450"/>
      <c r="FUC1450"/>
      <c r="FUD1450"/>
      <c r="FUE1450"/>
      <c r="FUF1450"/>
      <c r="FUG1450"/>
      <c r="FUH1450"/>
      <c r="FUI1450"/>
      <c r="FUJ1450"/>
      <c r="FUK1450"/>
      <c r="FUL1450"/>
      <c r="FUM1450"/>
      <c r="FUN1450"/>
      <c r="FUO1450"/>
      <c r="FUP1450"/>
      <c r="FUQ1450"/>
      <c r="FUR1450"/>
      <c r="FUS1450"/>
      <c r="FUT1450"/>
      <c r="FUU1450"/>
      <c r="FUV1450"/>
      <c r="FUW1450"/>
      <c r="FUX1450"/>
      <c r="FUY1450"/>
      <c r="FUZ1450"/>
      <c r="FVA1450"/>
      <c r="FVB1450"/>
      <c r="FVC1450"/>
      <c r="FVD1450"/>
      <c r="FVE1450"/>
      <c r="FVF1450"/>
      <c r="FVG1450"/>
      <c r="FVH1450"/>
      <c r="FVI1450"/>
      <c r="FVJ1450"/>
      <c r="FVK1450"/>
      <c r="FVL1450"/>
      <c r="FVM1450"/>
      <c r="FVN1450"/>
      <c r="FVO1450"/>
      <c r="FVP1450"/>
      <c r="FVQ1450"/>
      <c r="FVR1450"/>
      <c r="FVS1450"/>
      <c r="FVT1450"/>
      <c r="FVU1450"/>
      <c r="FVV1450"/>
      <c r="FVW1450"/>
      <c r="FVX1450"/>
      <c r="FVY1450"/>
      <c r="FVZ1450"/>
      <c r="FWA1450"/>
      <c r="FWB1450"/>
      <c r="FWC1450"/>
      <c r="FWD1450"/>
      <c r="FWE1450"/>
      <c r="FWF1450"/>
      <c r="FWG1450"/>
      <c r="FWH1450"/>
      <c r="FWI1450"/>
      <c r="FWJ1450"/>
      <c r="FWK1450"/>
      <c r="FWL1450"/>
      <c r="FWM1450"/>
      <c r="FWN1450"/>
      <c r="FWO1450"/>
      <c r="FWP1450"/>
      <c r="FWQ1450"/>
      <c r="FWR1450"/>
      <c r="FWS1450"/>
      <c r="FWT1450"/>
      <c r="FWU1450"/>
      <c r="FWV1450"/>
      <c r="FWW1450"/>
      <c r="FWX1450"/>
      <c r="FWY1450"/>
      <c r="FWZ1450"/>
      <c r="FXA1450"/>
      <c r="FXB1450"/>
      <c r="FXC1450"/>
      <c r="FXD1450"/>
      <c r="FXE1450"/>
      <c r="FXF1450"/>
      <c r="FXG1450"/>
      <c r="FXH1450"/>
      <c r="FXI1450"/>
      <c r="FXJ1450"/>
      <c r="FXK1450"/>
      <c r="FXL1450"/>
      <c r="FXM1450"/>
      <c r="FXN1450"/>
      <c r="FXO1450"/>
      <c r="FXP1450"/>
      <c r="FXQ1450"/>
      <c r="FXR1450"/>
      <c r="FXS1450"/>
      <c r="FXT1450"/>
      <c r="FXU1450"/>
      <c r="FXV1450"/>
      <c r="FXW1450"/>
      <c r="FXX1450"/>
      <c r="FXY1450"/>
      <c r="FXZ1450"/>
      <c r="FYA1450"/>
      <c r="FYB1450"/>
      <c r="FYC1450"/>
      <c r="FYD1450"/>
      <c r="FYE1450"/>
      <c r="FYF1450"/>
      <c r="FYG1450"/>
      <c r="FYH1450"/>
      <c r="FYI1450"/>
      <c r="FYJ1450"/>
      <c r="FYK1450"/>
      <c r="FYL1450"/>
      <c r="FYM1450"/>
      <c r="FYN1450"/>
      <c r="FYO1450"/>
      <c r="FYP1450"/>
      <c r="FYQ1450"/>
      <c r="FYR1450"/>
      <c r="FYS1450"/>
      <c r="FYT1450"/>
      <c r="FYU1450"/>
      <c r="FYV1450"/>
      <c r="FYW1450"/>
      <c r="FYX1450"/>
      <c r="FYY1450"/>
      <c r="FYZ1450"/>
      <c r="FZA1450"/>
      <c r="FZB1450"/>
      <c r="FZC1450"/>
      <c r="FZD1450"/>
      <c r="FZE1450"/>
      <c r="FZF1450"/>
      <c r="FZG1450"/>
      <c r="FZH1450"/>
      <c r="FZI1450"/>
      <c r="FZJ1450"/>
      <c r="FZK1450"/>
      <c r="FZL1450"/>
      <c r="FZM1450"/>
      <c r="FZN1450"/>
      <c r="FZO1450"/>
      <c r="FZP1450"/>
      <c r="FZQ1450"/>
      <c r="FZR1450"/>
      <c r="FZS1450"/>
      <c r="FZT1450"/>
      <c r="FZU1450"/>
      <c r="FZV1450"/>
      <c r="FZW1450"/>
      <c r="FZX1450"/>
      <c r="FZY1450"/>
      <c r="FZZ1450"/>
      <c r="GAA1450"/>
      <c r="GAB1450"/>
      <c r="GAC1450"/>
      <c r="GAD1450"/>
      <c r="GAE1450"/>
      <c r="GAF1450"/>
      <c r="GAG1450"/>
      <c r="GAH1450"/>
      <c r="GAI1450"/>
      <c r="GAJ1450"/>
      <c r="GAK1450"/>
      <c r="GAL1450"/>
      <c r="GAM1450"/>
      <c r="GAN1450"/>
      <c r="GAO1450"/>
      <c r="GAP1450"/>
      <c r="GAQ1450"/>
      <c r="GAR1450"/>
      <c r="GAS1450"/>
      <c r="GAT1450"/>
      <c r="GAU1450"/>
      <c r="GAV1450"/>
      <c r="GAW1450"/>
      <c r="GAX1450"/>
      <c r="GAY1450"/>
      <c r="GAZ1450"/>
      <c r="GBA1450"/>
      <c r="GBB1450"/>
      <c r="GBC1450"/>
      <c r="GBD1450"/>
      <c r="GBE1450"/>
      <c r="GBF1450"/>
      <c r="GBG1450"/>
      <c r="GBH1450"/>
      <c r="GBI1450"/>
      <c r="GBJ1450"/>
      <c r="GBK1450"/>
      <c r="GBL1450"/>
      <c r="GBM1450"/>
      <c r="GBN1450"/>
      <c r="GBO1450"/>
      <c r="GBP1450"/>
      <c r="GBQ1450"/>
      <c r="GBR1450"/>
      <c r="GBS1450"/>
      <c r="GBT1450"/>
      <c r="GBU1450"/>
      <c r="GBV1450"/>
      <c r="GBW1450"/>
      <c r="GBX1450"/>
      <c r="GBY1450"/>
      <c r="GBZ1450"/>
      <c r="GCA1450"/>
      <c r="GCB1450"/>
      <c r="GCC1450"/>
      <c r="GCD1450"/>
      <c r="GCE1450"/>
      <c r="GCF1450"/>
      <c r="GCG1450"/>
      <c r="GCH1450"/>
      <c r="GCI1450"/>
      <c r="GCJ1450"/>
      <c r="GCK1450"/>
      <c r="GCL1450"/>
      <c r="GCM1450"/>
      <c r="GCN1450"/>
      <c r="GCO1450"/>
      <c r="GCP1450"/>
      <c r="GCQ1450"/>
      <c r="GCR1450"/>
      <c r="GCS1450"/>
      <c r="GCT1450"/>
      <c r="GCU1450"/>
      <c r="GCV1450"/>
      <c r="GCW1450"/>
      <c r="GCX1450"/>
      <c r="GCY1450"/>
      <c r="GCZ1450"/>
      <c r="GDA1450"/>
      <c r="GDB1450"/>
      <c r="GDC1450"/>
      <c r="GDD1450"/>
      <c r="GDE1450"/>
      <c r="GDF1450"/>
      <c r="GDG1450"/>
      <c r="GDH1450"/>
      <c r="GDI1450"/>
      <c r="GDJ1450"/>
      <c r="GDK1450"/>
      <c r="GDL1450"/>
      <c r="GDM1450"/>
      <c r="GDN1450"/>
      <c r="GDO1450"/>
      <c r="GDP1450"/>
      <c r="GDQ1450"/>
      <c r="GDR1450"/>
      <c r="GDS1450"/>
      <c r="GDT1450"/>
      <c r="GDU1450"/>
      <c r="GDV1450"/>
      <c r="GDW1450"/>
      <c r="GDX1450"/>
      <c r="GDY1450"/>
      <c r="GDZ1450"/>
      <c r="GEA1450"/>
      <c r="GEB1450"/>
      <c r="GEC1450"/>
      <c r="GED1450"/>
      <c r="GEE1450"/>
      <c r="GEF1450"/>
      <c r="GEG1450"/>
      <c r="GEH1450"/>
      <c r="GEI1450"/>
      <c r="GEJ1450"/>
      <c r="GEK1450"/>
      <c r="GEL1450"/>
      <c r="GEM1450"/>
      <c r="GEN1450"/>
      <c r="GEO1450"/>
      <c r="GEP1450"/>
      <c r="GEQ1450"/>
      <c r="GER1450"/>
      <c r="GES1450"/>
      <c r="GET1450"/>
      <c r="GEU1450"/>
      <c r="GEV1450"/>
      <c r="GEW1450"/>
      <c r="GEX1450"/>
      <c r="GEY1450"/>
      <c r="GEZ1450"/>
      <c r="GFA1450"/>
      <c r="GFB1450"/>
      <c r="GFC1450"/>
      <c r="GFD1450"/>
      <c r="GFE1450"/>
      <c r="GFF1450"/>
      <c r="GFG1450"/>
      <c r="GFH1450"/>
      <c r="GFI1450"/>
      <c r="GFJ1450"/>
      <c r="GFK1450"/>
      <c r="GFL1450"/>
      <c r="GFM1450"/>
      <c r="GFN1450"/>
      <c r="GFO1450"/>
      <c r="GFP1450"/>
      <c r="GFQ1450"/>
      <c r="GFR1450"/>
      <c r="GFS1450"/>
      <c r="GFT1450"/>
      <c r="GFU1450"/>
      <c r="GFV1450"/>
      <c r="GFW1450"/>
      <c r="GFX1450"/>
      <c r="GFY1450"/>
      <c r="GFZ1450"/>
      <c r="GGA1450"/>
      <c r="GGB1450"/>
      <c r="GGC1450"/>
      <c r="GGD1450"/>
      <c r="GGE1450"/>
      <c r="GGF1450"/>
      <c r="GGG1450"/>
      <c r="GGH1450"/>
      <c r="GGI1450"/>
      <c r="GGJ1450"/>
      <c r="GGK1450"/>
      <c r="GGL1450"/>
      <c r="GGM1450"/>
      <c r="GGN1450"/>
      <c r="GGO1450"/>
      <c r="GGP1450"/>
      <c r="GGQ1450"/>
      <c r="GGR1450"/>
      <c r="GGS1450"/>
      <c r="GGT1450"/>
      <c r="GGU1450"/>
      <c r="GGV1450"/>
      <c r="GGW1450"/>
      <c r="GGX1450"/>
      <c r="GGY1450"/>
      <c r="GGZ1450"/>
      <c r="GHA1450"/>
      <c r="GHB1450"/>
      <c r="GHC1450"/>
      <c r="GHD1450"/>
      <c r="GHE1450"/>
      <c r="GHF1450"/>
      <c r="GHG1450"/>
      <c r="GHH1450"/>
      <c r="GHI1450"/>
      <c r="GHJ1450"/>
      <c r="GHK1450"/>
      <c r="GHL1450"/>
      <c r="GHM1450"/>
      <c r="GHN1450"/>
      <c r="GHO1450"/>
      <c r="GHP1450"/>
      <c r="GHQ1450"/>
      <c r="GHR1450"/>
      <c r="GHS1450"/>
      <c r="GHT1450"/>
      <c r="GHU1450"/>
      <c r="GHV1450"/>
      <c r="GHW1450"/>
      <c r="GHX1450"/>
      <c r="GHY1450"/>
      <c r="GHZ1450"/>
      <c r="GIA1450"/>
      <c r="GIB1450"/>
      <c r="GIC1450"/>
      <c r="GID1450"/>
      <c r="GIE1450"/>
      <c r="GIF1450"/>
      <c r="GIG1450"/>
      <c r="GIH1450"/>
      <c r="GII1450"/>
      <c r="GIJ1450"/>
      <c r="GIK1450"/>
      <c r="GIL1450"/>
      <c r="GIM1450"/>
      <c r="GIN1450"/>
      <c r="GIO1450"/>
      <c r="GIP1450"/>
      <c r="GIQ1450"/>
      <c r="GIR1450"/>
      <c r="GIS1450"/>
      <c r="GIT1450"/>
      <c r="GIU1450"/>
      <c r="GIV1450"/>
      <c r="GIW1450"/>
      <c r="GIX1450"/>
      <c r="GIY1450"/>
      <c r="GIZ1450"/>
      <c r="GJA1450"/>
      <c r="GJB1450"/>
      <c r="GJC1450"/>
      <c r="GJD1450"/>
      <c r="GJE1450"/>
      <c r="GJF1450"/>
      <c r="GJG1450"/>
      <c r="GJH1450"/>
      <c r="GJI1450"/>
      <c r="GJJ1450"/>
      <c r="GJK1450"/>
      <c r="GJL1450"/>
      <c r="GJM1450"/>
      <c r="GJN1450"/>
      <c r="GJO1450"/>
      <c r="GJP1450"/>
      <c r="GJQ1450"/>
      <c r="GJR1450"/>
      <c r="GJS1450"/>
      <c r="GJT1450"/>
      <c r="GJU1450"/>
      <c r="GJV1450"/>
      <c r="GJW1450"/>
      <c r="GJX1450"/>
      <c r="GJY1450"/>
      <c r="GJZ1450"/>
      <c r="GKA1450"/>
      <c r="GKB1450"/>
      <c r="GKC1450"/>
      <c r="GKD1450"/>
      <c r="GKE1450"/>
      <c r="GKF1450"/>
      <c r="GKG1450"/>
      <c r="GKH1450"/>
      <c r="GKI1450"/>
      <c r="GKJ1450"/>
      <c r="GKK1450"/>
      <c r="GKL1450"/>
      <c r="GKM1450"/>
      <c r="GKN1450"/>
      <c r="GKO1450"/>
      <c r="GKP1450"/>
      <c r="GKQ1450"/>
      <c r="GKR1450"/>
      <c r="GKS1450"/>
      <c r="GKT1450"/>
      <c r="GKU1450"/>
      <c r="GKV1450"/>
      <c r="GKW1450"/>
      <c r="GKX1450"/>
      <c r="GKY1450"/>
      <c r="GKZ1450"/>
      <c r="GLA1450"/>
      <c r="GLB1450"/>
      <c r="GLC1450"/>
      <c r="GLD1450"/>
      <c r="GLE1450"/>
      <c r="GLF1450"/>
      <c r="GLG1450"/>
      <c r="GLH1450"/>
      <c r="GLI1450"/>
      <c r="GLJ1450"/>
      <c r="GLK1450"/>
      <c r="GLL1450"/>
      <c r="GLM1450"/>
      <c r="GLN1450"/>
      <c r="GLO1450"/>
      <c r="GLP1450"/>
      <c r="GLQ1450"/>
      <c r="GLR1450"/>
      <c r="GLS1450"/>
      <c r="GLT1450"/>
      <c r="GLU1450"/>
      <c r="GLV1450"/>
      <c r="GLW1450"/>
      <c r="GLX1450"/>
      <c r="GLY1450"/>
      <c r="GLZ1450"/>
      <c r="GMA1450"/>
      <c r="GMB1450"/>
      <c r="GMC1450"/>
      <c r="GMD1450"/>
      <c r="GME1450"/>
      <c r="GMF1450"/>
      <c r="GMG1450"/>
      <c r="GMH1450"/>
      <c r="GMI1450"/>
      <c r="GMJ1450"/>
      <c r="GMK1450"/>
      <c r="GML1450"/>
      <c r="GMM1450"/>
      <c r="GMN1450"/>
      <c r="GMO1450"/>
      <c r="GMP1450"/>
      <c r="GMQ1450"/>
      <c r="GMR1450"/>
      <c r="GMS1450"/>
      <c r="GMT1450"/>
      <c r="GMU1450"/>
      <c r="GMV1450"/>
      <c r="GMW1450"/>
      <c r="GMX1450"/>
      <c r="GMY1450"/>
      <c r="GMZ1450"/>
      <c r="GNA1450"/>
      <c r="GNB1450"/>
      <c r="GNC1450"/>
      <c r="GND1450"/>
      <c r="GNE1450"/>
      <c r="GNF1450"/>
      <c r="GNG1450"/>
      <c r="GNH1450"/>
      <c r="GNI1450"/>
      <c r="GNJ1450"/>
      <c r="GNK1450"/>
      <c r="GNL1450"/>
      <c r="GNM1450"/>
      <c r="GNN1450"/>
      <c r="GNO1450"/>
      <c r="GNP1450"/>
      <c r="GNQ1450"/>
      <c r="GNR1450"/>
      <c r="GNS1450"/>
      <c r="GNT1450"/>
      <c r="GNU1450"/>
      <c r="GNV1450"/>
      <c r="GNW1450"/>
      <c r="GNX1450"/>
      <c r="GNY1450"/>
      <c r="GNZ1450"/>
      <c r="GOA1450"/>
      <c r="GOB1450"/>
      <c r="GOC1450"/>
      <c r="GOD1450"/>
      <c r="GOE1450"/>
      <c r="GOF1450"/>
      <c r="GOG1450"/>
      <c r="GOH1450"/>
      <c r="GOI1450"/>
      <c r="GOJ1450"/>
      <c r="GOK1450"/>
      <c r="GOL1450"/>
      <c r="GOM1450"/>
      <c r="GON1450"/>
      <c r="GOO1450"/>
      <c r="GOP1450"/>
      <c r="GOQ1450"/>
      <c r="GOR1450"/>
      <c r="GOS1450"/>
      <c r="GOT1450"/>
      <c r="GOU1450"/>
      <c r="GOV1450"/>
      <c r="GOW1450"/>
      <c r="GOX1450"/>
      <c r="GOY1450"/>
      <c r="GOZ1450"/>
      <c r="GPA1450"/>
      <c r="GPB1450"/>
      <c r="GPC1450"/>
      <c r="GPD1450"/>
      <c r="GPE1450"/>
      <c r="GPF1450"/>
      <c r="GPG1450"/>
      <c r="GPH1450"/>
      <c r="GPI1450"/>
      <c r="GPJ1450"/>
      <c r="GPK1450"/>
      <c r="GPL1450"/>
      <c r="GPM1450"/>
      <c r="GPN1450"/>
      <c r="GPO1450"/>
      <c r="GPP1450"/>
      <c r="GPQ1450"/>
      <c r="GPR1450"/>
      <c r="GPS1450"/>
      <c r="GPT1450"/>
      <c r="GPU1450"/>
      <c r="GPV1450"/>
      <c r="GPW1450"/>
      <c r="GPX1450"/>
      <c r="GPY1450"/>
      <c r="GPZ1450"/>
      <c r="GQA1450"/>
      <c r="GQB1450"/>
      <c r="GQC1450"/>
      <c r="GQD1450"/>
      <c r="GQE1450"/>
      <c r="GQF1450"/>
      <c r="GQG1450"/>
      <c r="GQH1450"/>
      <c r="GQI1450"/>
      <c r="GQJ1450"/>
      <c r="GQK1450"/>
      <c r="GQL1450"/>
      <c r="GQM1450"/>
      <c r="GQN1450"/>
      <c r="GQO1450"/>
      <c r="GQP1450"/>
      <c r="GQQ1450"/>
      <c r="GQR1450"/>
      <c r="GQS1450"/>
      <c r="GQT1450"/>
      <c r="GQU1450"/>
      <c r="GQV1450"/>
      <c r="GQW1450"/>
      <c r="GQX1450"/>
      <c r="GQY1450"/>
      <c r="GQZ1450"/>
      <c r="GRA1450"/>
      <c r="GRB1450"/>
      <c r="GRC1450"/>
      <c r="GRD1450"/>
      <c r="GRE1450"/>
      <c r="GRF1450"/>
      <c r="GRG1450"/>
      <c r="GRH1450"/>
      <c r="GRI1450"/>
      <c r="GRJ1450"/>
      <c r="GRK1450"/>
      <c r="GRL1450"/>
      <c r="GRM1450"/>
      <c r="GRN1450"/>
      <c r="GRO1450"/>
      <c r="GRP1450"/>
      <c r="GRQ1450"/>
      <c r="GRR1450"/>
      <c r="GRS1450"/>
      <c r="GRT1450"/>
      <c r="GRU1450"/>
      <c r="GRV1450"/>
      <c r="GRW1450"/>
      <c r="GRX1450"/>
      <c r="GRY1450"/>
      <c r="GRZ1450"/>
      <c r="GSA1450"/>
      <c r="GSB1450"/>
      <c r="GSC1450"/>
      <c r="GSD1450"/>
      <c r="GSE1450"/>
      <c r="GSF1450"/>
      <c r="GSG1450"/>
      <c r="GSH1450"/>
      <c r="GSI1450"/>
      <c r="GSJ1450"/>
      <c r="GSK1450"/>
      <c r="GSL1450"/>
      <c r="GSM1450"/>
      <c r="GSN1450"/>
      <c r="GSO1450"/>
      <c r="GSP1450"/>
      <c r="GSQ1450"/>
      <c r="GSR1450"/>
      <c r="GSS1450"/>
      <c r="GST1450"/>
      <c r="GSU1450"/>
      <c r="GSV1450"/>
      <c r="GSW1450"/>
      <c r="GSX1450"/>
      <c r="GSY1450"/>
      <c r="GSZ1450"/>
      <c r="GTA1450"/>
      <c r="GTB1450"/>
      <c r="GTC1450"/>
      <c r="GTD1450"/>
      <c r="GTE1450"/>
      <c r="GTF1450"/>
      <c r="GTG1450"/>
      <c r="GTH1450"/>
      <c r="GTI1450"/>
      <c r="GTJ1450"/>
      <c r="GTK1450"/>
      <c r="GTL1450"/>
      <c r="GTM1450"/>
      <c r="GTN1450"/>
      <c r="GTO1450"/>
      <c r="GTP1450"/>
      <c r="GTQ1450"/>
      <c r="GTR1450"/>
      <c r="GTS1450"/>
      <c r="GTT1450"/>
      <c r="GTU1450"/>
      <c r="GTV1450"/>
      <c r="GTW1450"/>
      <c r="GTX1450"/>
      <c r="GTY1450"/>
      <c r="GTZ1450"/>
      <c r="GUA1450"/>
      <c r="GUB1450"/>
      <c r="GUC1450"/>
      <c r="GUD1450"/>
      <c r="GUE1450"/>
      <c r="GUF1450"/>
      <c r="GUG1450"/>
      <c r="GUH1450"/>
      <c r="GUI1450"/>
      <c r="GUJ1450"/>
      <c r="GUK1450"/>
      <c r="GUL1450"/>
      <c r="GUM1450"/>
      <c r="GUN1450"/>
      <c r="GUO1450"/>
      <c r="GUP1450"/>
      <c r="GUQ1450"/>
      <c r="GUR1450"/>
      <c r="GUS1450"/>
      <c r="GUT1450"/>
      <c r="GUU1450"/>
      <c r="GUV1450"/>
      <c r="GUW1450"/>
      <c r="GUX1450"/>
      <c r="GUY1450"/>
      <c r="GUZ1450"/>
      <c r="GVA1450"/>
      <c r="GVB1450"/>
      <c r="GVC1450"/>
      <c r="GVD1450"/>
      <c r="GVE1450"/>
      <c r="GVF1450"/>
      <c r="GVG1450"/>
      <c r="GVH1450"/>
      <c r="GVI1450"/>
      <c r="GVJ1450"/>
      <c r="GVK1450"/>
      <c r="GVL1450"/>
      <c r="GVM1450"/>
      <c r="GVN1450"/>
      <c r="GVO1450"/>
      <c r="GVP1450"/>
      <c r="GVQ1450"/>
      <c r="GVR1450"/>
      <c r="GVS1450"/>
      <c r="GVT1450"/>
      <c r="GVU1450"/>
      <c r="GVV1450"/>
      <c r="GVW1450"/>
      <c r="GVX1450"/>
      <c r="GVY1450"/>
      <c r="GVZ1450"/>
      <c r="GWA1450"/>
      <c r="GWB1450"/>
      <c r="GWC1450"/>
      <c r="GWD1450"/>
      <c r="GWE1450"/>
      <c r="GWF1450"/>
      <c r="GWG1450"/>
      <c r="GWH1450"/>
      <c r="GWI1450"/>
      <c r="GWJ1450"/>
      <c r="GWK1450"/>
      <c r="GWL1450"/>
      <c r="GWM1450"/>
      <c r="GWN1450"/>
      <c r="GWO1450"/>
      <c r="GWP1450"/>
      <c r="GWQ1450"/>
      <c r="GWR1450"/>
      <c r="GWS1450"/>
      <c r="GWT1450"/>
      <c r="GWU1450"/>
      <c r="GWV1450"/>
      <c r="GWW1450"/>
      <c r="GWX1450"/>
      <c r="GWY1450"/>
      <c r="GWZ1450"/>
      <c r="GXA1450"/>
      <c r="GXB1450"/>
      <c r="GXC1450"/>
      <c r="GXD1450"/>
      <c r="GXE1450"/>
      <c r="GXF1450"/>
      <c r="GXG1450"/>
      <c r="GXH1450"/>
      <c r="GXI1450"/>
      <c r="GXJ1450"/>
      <c r="GXK1450"/>
      <c r="GXL1450"/>
      <c r="GXM1450"/>
      <c r="GXN1450"/>
      <c r="GXO1450"/>
      <c r="GXP1450"/>
      <c r="GXQ1450"/>
      <c r="GXR1450"/>
      <c r="GXS1450"/>
      <c r="GXT1450"/>
      <c r="GXU1450"/>
      <c r="GXV1450"/>
      <c r="GXW1450"/>
      <c r="GXX1450"/>
      <c r="GXY1450"/>
      <c r="GXZ1450"/>
      <c r="GYA1450"/>
      <c r="GYB1450"/>
      <c r="GYC1450"/>
      <c r="GYD1450"/>
      <c r="GYE1450"/>
      <c r="GYF1450"/>
      <c r="GYG1450"/>
      <c r="GYH1450"/>
      <c r="GYI1450"/>
      <c r="GYJ1450"/>
      <c r="GYK1450"/>
      <c r="GYL1450"/>
      <c r="GYM1450"/>
      <c r="GYN1450"/>
      <c r="GYO1450"/>
      <c r="GYP1450"/>
      <c r="GYQ1450"/>
      <c r="GYR1450"/>
      <c r="GYS1450"/>
      <c r="GYT1450"/>
      <c r="GYU1450"/>
      <c r="GYV1450"/>
      <c r="GYW1450"/>
      <c r="GYX1450"/>
      <c r="GYY1450"/>
      <c r="GYZ1450"/>
      <c r="GZA1450"/>
      <c r="GZB1450"/>
      <c r="GZC1450"/>
      <c r="GZD1450"/>
      <c r="GZE1450"/>
      <c r="GZF1450"/>
      <c r="GZG1450"/>
      <c r="GZH1450"/>
      <c r="GZI1450"/>
      <c r="GZJ1450"/>
      <c r="GZK1450"/>
      <c r="GZL1450"/>
      <c r="GZM1450"/>
      <c r="GZN1450"/>
      <c r="GZO1450"/>
      <c r="GZP1450"/>
      <c r="GZQ1450"/>
      <c r="GZR1450"/>
      <c r="GZS1450"/>
      <c r="GZT1450"/>
      <c r="GZU1450"/>
      <c r="GZV1450"/>
      <c r="GZW1450"/>
      <c r="GZX1450"/>
      <c r="GZY1450"/>
      <c r="GZZ1450"/>
      <c r="HAA1450"/>
      <c r="HAB1450"/>
      <c r="HAC1450"/>
      <c r="HAD1450"/>
      <c r="HAE1450"/>
      <c r="HAF1450"/>
      <c r="HAG1450"/>
      <c r="HAH1450"/>
      <c r="HAI1450"/>
      <c r="HAJ1450"/>
      <c r="HAK1450"/>
      <c r="HAL1450"/>
      <c r="HAM1450"/>
      <c r="HAN1450"/>
      <c r="HAO1450"/>
      <c r="HAP1450"/>
      <c r="HAQ1450"/>
      <c r="HAR1450"/>
      <c r="HAS1450"/>
      <c r="HAT1450"/>
      <c r="HAU1450"/>
      <c r="HAV1450"/>
      <c r="HAW1450"/>
      <c r="HAX1450"/>
      <c r="HAY1450"/>
      <c r="HAZ1450"/>
      <c r="HBA1450"/>
      <c r="HBB1450"/>
      <c r="HBC1450"/>
      <c r="HBD1450"/>
      <c r="HBE1450"/>
      <c r="HBF1450"/>
      <c r="HBG1450"/>
      <c r="HBH1450"/>
      <c r="HBI1450"/>
      <c r="HBJ1450"/>
      <c r="HBK1450"/>
      <c r="HBL1450"/>
      <c r="HBM1450"/>
      <c r="HBN1450"/>
      <c r="HBO1450"/>
      <c r="HBP1450"/>
      <c r="HBQ1450"/>
      <c r="HBR1450"/>
      <c r="HBS1450"/>
      <c r="HBT1450"/>
      <c r="HBU1450"/>
      <c r="HBV1450"/>
      <c r="HBW1450"/>
      <c r="HBX1450"/>
      <c r="HBY1450"/>
      <c r="HBZ1450"/>
      <c r="HCA1450"/>
      <c r="HCB1450"/>
      <c r="HCC1450"/>
      <c r="HCD1450"/>
      <c r="HCE1450"/>
      <c r="HCF1450"/>
      <c r="HCG1450"/>
      <c r="HCH1450"/>
      <c r="HCI1450"/>
      <c r="HCJ1450"/>
      <c r="HCK1450"/>
      <c r="HCL1450"/>
      <c r="HCM1450"/>
      <c r="HCN1450"/>
      <c r="HCO1450"/>
      <c r="HCP1450"/>
      <c r="HCQ1450"/>
      <c r="HCR1450"/>
      <c r="HCS1450"/>
      <c r="HCT1450"/>
      <c r="HCU1450"/>
      <c r="HCV1450"/>
      <c r="HCW1450"/>
      <c r="HCX1450"/>
      <c r="HCY1450"/>
      <c r="HCZ1450"/>
      <c r="HDA1450"/>
      <c r="HDB1450"/>
      <c r="HDC1450"/>
      <c r="HDD1450"/>
      <c r="HDE1450"/>
      <c r="HDF1450"/>
      <c r="HDG1450"/>
      <c r="HDH1450"/>
      <c r="HDI1450"/>
      <c r="HDJ1450"/>
      <c r="HDK1450"/>
      <c r="HDL1450"/>
      <c r="HDM1450"/>
      <c r="HDN1450"/>
      <c r="HDO1450"/>
      <c r="HDP1450"/>
      <c r="HDQ1450"/>
      <c r="HDR1450"/>
      <c r="HDS1450"/>
      <c r="HDT1450"/>
      <c r="HDU1450"/>
      <c r="HDV1450"/>
      <c r="HDW1450"/>
      <c r="HDX1450"/>
      <c r="HDY1450"/>
      <c r="HDZ1450"/>
      <c r="HEA1450"/>
      <c r="HEB1450"/>
      <c r="HEC1450"/>
      <c r="HED1450"/>
      <c r="HEE1450"/>
      <c r="HEF1450"/>
      <c r="HEG1450"/>
      <c r="HEH1450"/>
      <c r="HEI1450"/>
      <c r="HEJ1450"/>
      <c r="HEK1450"/>
      <c r="HEL1450"/>
      <c r="HEM1450"/>
      <c r="HEN1450"/>
      <c r="HEO1450"/>
      <c r="HEP1450"/>
      <c r="HEQ1450"/>
      <c r="HER1450"/>
      <c r="HES1450"/>
      <c r="HET1450"/>
      <c r="HEU1450"/>
      <c r="HEV1450"/>
      <c r="HEW1450"/>
      <c r="HEX1450"/>
      <c r="HEY1450"/>
      <c r="HEZ1450"/>
      <c r="HFA1450"/>
      <c r="HFB1450"/>
      <c r="HFC1450"/>
      <c r="HFD1450"/>
      <c r="HFE1450"/>
      <c r="HFF1450"/>
      <c r="HFG1450"/>
      <c r="HFH1450"/>
      <c r="HFI1450"/>
      <c r="HFJ1450"/>
      <c r="HFK1450"/>
      <c r="HFL1450"/>
      <c r="HFM1450"/>
      <c r="HFN1450"/>
      <c r="HFO1450"/>
      <c r="HFP1450"/>
      <c r="HFQ1450"/>
      <c r="HFR1450"/>
      <c r="HFS1450"/>
      <c r="HFT1450"/>
      <c r="HFU1450"/>
      <c r="HFV1450"/>
      <c r="HFW1450"/>
      <c r="HFX1450"/>
      <c r="HFY1450"/>
      <c r="HFZ1450"/>
      <c r="HGA1450"/>
      <c r="HGB1450"/>
      <c r="HGC1450"/>
      <c r="HGD1450"/>
      <c r="HGE1450"/>
      <c r="HGF1450"/>
      <c r="HGG1450"/>
      <c r="HGH1450"/>
      <c r="HGI1450"/>
      <c r="HGJ1450"/>
      <c r="HGK1450"/>
      <c r="HGL1450"/>
      <c r="HGM1450"/>
      <c r="HGN1450"/>
      <c r="HGO1450"/>
      <c r="HGP1450"/>
      <c r="HGQ1450"/>
      <c r="HGR1450"/>
      <c r="HGS1450"/>
      <c r="HGT1450"/>
      <c r="HGU1450"/>
      <c r="HGV1450"/>
      <c r="HGW1450"/>
      <c r="HGX1450"/>
      <c r="HGY1450"/>
      <c r="HGZ1450"/>
      <c r="HHA1450"/>
      <c r="HHB1450"/>
      <c r="HHC1450"/>
      <c r="HHD1450"/>
      <c r="HHE1450"/>
      <c r="HHF1450"/>
      <c r="HHG1450"/>
      <c r="HHH1450"/>
      <c r="HHI1450"/>
      <c r="HHJ1450"/>
      <c r="HHK1450"/>
      <c r="HHL1450"/>
      <c r="HHM1450"/>
      <c r="HHN1450"/>
      <c r="HHO1450"/>
      <c r="HHP1450"/>
      <c r="HHQ1450"/>
      <c r="HHR1450"/>
      <c r="HHS1450"/>
      <c r="HHT1450"/>
      <c r="HHU1450"/>
      <c r="HHV1450"/>
      <c r="HHW1450"/>
      <c r="HHX1450"/>
      <c r="HHY1450"/>
      <c r="HHZ1450"/>
      <c r="HIA1450"/>
      <c r="HIB1450"/>
      <c r="HIC1450"/>
      <c r="HID1450"/>
      <c r="HIE1450"/>
      <c r="HIF1450"/>
      <c r="HIG1450"/>
      <c r="HIH1450"/>
      <c r="HII1450"/>
      <c r="HIJ1450"/>
      <c r="HIK1450"/>
      <c r="HIL1450"/>
      <c r="HIM1450"/>
      <c r="HIN1450"/>
      <c r="HIO1450"/>
      <c r="HIP1450"/>
      <c r="HIQ1450"/>
      <c r="HIR1450"/>
      <c r="HIS1450"/>
      <c r="HIT1450"/>
      <c r="HIU1450"/>
      <c r="HIV1450"/>
      <c r="HIW1450"/>
      <c r="HIX1450"/>
      <c r="HIY1450"/>
      <c r="HIZ1450"/>
      <c r="HJA1450"/>
      <c r="HJB1450"/>
      <c r="HJC1450"/>
      <c r="HJD1450"/>
      <c r="HJE1450"/>
      <c r="HJF1450"/>
      <c r="HJG1450"/>
      <c r="HJH1450"/>
      <c r="HJI1450"/>
      <c r="HJJ1450"/>
      <c r="HJK1450"/>
      <c r="HJL1450"/>
      <c r="HJM1450"/>
      <c r="HJN1450"/>
      <c r="HJO1450"/>
      <c r="HJP1450"/>
      <c r="HJQ1450"/>
      <c r="HJR1450"/>
      <c r="HJS1450"/>
      <c r="HJT1450"/>
      <c r="HJU1450"/>
      <c r="HJV1450"/>
      <c r="HJW1450"/>
      <c r="HJX1450"/>
      <c r="HJY1450"/>
      <c r="HJZ1450"/>
      <c r="HKA1450"/>
      <c r="HKB1450"/>
      <c r="HKC1450"/>
      <c r="HKD1450"/>
      <c r="HKE1450"/>
      <c r="HKF1450"/>
      <c r="HKG1450"/>
      <c r="HKH1450"/>
      <c r="HKI1450"/>
      <c r="HKJ1450"/>
      <c r="HKK1450"/>
      <c r="HKL1450"/>
      <c r="HKM1450"/>
      <c r="HKN1450"/>
      <c r="HKO1450"/>
      <c r="HKP1450"/>
      <c r="HKQ1450"/>
      <c r="HKR1450"/>
      <c r="HKS1450"/>
      <c r="HKT1450"/>
      <c r="HKU1450"/>
      <c r="HKV1450"/>
      <c r="HKW1450"/>
      <c r="HKX1450"/>
      <c r="HKY1450"/>
      <c r="HKZ1450"/>
      <c r="HLA1450"/>
      <c r="HLB1450"/>
      <c r="HLC1450"/>
      <c r="HLD1450"/>
      <c r="HLE1450"/>
      <c r="HLF1450"/>
      <c r="HLG1450"/>
      <c r="HLH1450"/>
      <c r="HLI1450"/>
      <c r="HLJ1450"/>
      <c r="HLK1450"/>
      <c r="HLL1450"/>
      <c r="HLM1450"/>
      <c r="HLN1450"/>
      <c r="HLO1450"/>
      <c r="HLP1450"/>
      <c r="HLQ1450"/>
      <c r="HLR1450"/>
      <c r="HLS1450"/>
      <c r="HLT1450"/>
      <c r="HLU1450"/>
      <c r="HLV1450"/>
      <c r="HLW1450"/>
      <c r="HLX1450"/>
      <c r="HLY1450"/>
      <c r="HLZ1450"/>
      <c r="HMA1450"/>
      <c r="HMB1450"/>
      <c r="HMC1450"/>
      <c r="HMD1450"/>
      <c r="HME1450"/>
      <c r="HMF1450"/>
      <c r="HMG1450"/>
      <c r="HMH1450"/>
      <c r="HMI1450"/>
      <c r="HMJ1450"/>
      <c r="HMK1450"/>
      <c r="HML1450"/>
      <c r="HMM1450"/>
      <c r="HMN1450"/>
      <c r="HMO1450"/>
      <c r="HMP1450"/>
      <c r="HMQ1450"/>
      <c r="HMR1450"/>
      <c r="HMS1450"/>
      <c r="HMT1450"/>
      <c r="HMU1450"/>
      <c r="HMV1450"/>
      <c r="HMW1450"/>
      <c r="HMX1450"/>
      <c r="HMY1450"/>
      <c r="HMZ1450"/>
      <c r="HNA1450"/>
      <c r="HNB1450"/>
      <c r="HNC1450"/>
      <c r="HND1450"/>
      <c r="HNE1450"/>
      <c r="HNF1450"/>
      <c r="HNG1450"/>
      <c r="HNH1450"/>
      <c r="HNI1450"/>
      <c r="HNJ1450"/>
      <c r="HNK1450"/>
      <c r="HNL1450"/>
      <c r="HNM1450"/>
      <c r="HNN1450"/>
      <c r="HNO1450"/>
      <c r="HNP1450"/>
      <c r="HNQ1450"/>
      <c r="HNR1450"/>
      <c r="HNS1450"/>
      <c r="HNT1450"/>
      <c r="HNU1450"/>
      <c r="HNV1450"/>
      <c r="HNW1450"/>
      <c r="HNX1450"/>
      <c r="HNY1450"/>
      <c r="HNZ1450"/>
      <c r="HOA1450"/>
      <c r="HOB1450"/>
      <c r="HOC1450"/>
      <c r="HOD1450"/>
      <c r="HOE1450"/>
      <c r="HOF1450"/>
      <c r="HOG1450"/>
      <c r="HOH1450"/>
      <c r="HOI1450"/>
      <c r="HOJ1450"/>
      <c r="HOK1450"/>
      <c r="HOL1450"/>
      <c r="HOM1450"/>
      <c r="HON1450"/>
      <c r="HOO1450"/>
      <c r="HOP1450"/>
      <c r="HOQ1450"/>
      <c r="HOR1450"/>
      <c r="HOS1450"/>
      <c r="HOT1450"/>
      <c r="HOU1450"/>
      <c r="HOV1450"/>
      <c r="HOW1450"/>
      <c r="HOX1450"/>
      <c r="HOY1450"/>
      <c r="HOZ1450"/>
      <c r="HPA1450"/>
      <c r="HPB1450"/>
      <c r="HPC1450"/>
      <c r="HPD1450"/>
      <c r="HPE1450"/>
      <c r="HPF1450"/>
      <c r="HPG1450"/>
      <c r="HPH1450"/>
      <c r="HPI1450"/>
      <c r="HPJ1450"/>
      <c r="HPK1450"/>
      <c r="HPL1450"/>
      <c r="HPM1450"/>
      <c r="HPN1450"/>
      <c r="HPO1450"/>
      <c r="HPP1450"/>
      <c r="HPQ1450"/>
      <c r="HPR1450"/>
      <c r="HPS1450"/>
      <c r="HPT1450"/>
      <c r="HPU1450"/>
      <c r="HPV1450"/>
      <c r="HPW1450"/>
      <c r="HPX1450"/>
      <c r="HPY1450"/>
      <c r="HPZ1450"/>
      <c r="HQA1450"/>
      <c r="HQB1450"/>
      <c r="HQC1450"/>
      <c r="HQD1450"/>
      <c r="HQE1450"/>
      <c r="HQF1450"/>
      <c r="HQG1450"/>
      <c r="HQH1450"/>
      <c r="HQI1450"/>
      <c r="HQJ1450"/>
      <c r="HQK1450"/>
      <c r="HQL1450"/>
      <c r="HQM1450"/>
      <c r="HQN1450"/>
      <c r="HQO1450"/>
      <c r="HQP1450"/>
      <c r="HQQ1450"/>
      <c r="HQR1450"/>
      <c r="HQS1450"/>
      <c r="HQT1450"/>
      <c r="HQU1450"/>
      <c r="HQV1450"/>
      <c r="HQW1450"/>
      <c r="HQX1450"/>
      <c r="HQY1450"/>
      <c r="HQZ1450"/>
      <c r="HRA1450"/>
      <c r="HRB1450"/>
      <c r="HRC1450"/>
      <c r="HRD1450"/>
      <c r="HRE1450"/>
      <c r="HRF1450"/>
      <c r="HRG1450"/>
      <c r="HRH1450"/>
      <c r="HRI1450"/>
      <c r="HRJ1450"/>
      <c r="HRK1450"/>
      <c r="HRL1450"/>
      <c r="HRM1450"/>
      <c r="HRN1450"/>
      <c r="HRO1450"/>
      <c r="HRP1450"/>
      <c r="HRQ1450"/>
      <c r="HRR1450"/>
      <c r="HRS1450"/>
      <c r="HRT1450"/>
      <c r="HRU1450"/>
      <c r="HRV1450"/>
      <c r="HRW1450"/>
      <c r="HRX1450"/>
      <c r="HRY1450"/>
      <c r="HRZ1450"/>
      <c r="HSA1450"/>
      <c r="HSB1450"/>
      <c r="HSC1450"/>
      <c r="HSD1450"/>
      <c r="HSE1450"/>
      <c r="HSF1450"/>
      <c r="HSG1450"/>
      <c r="HSH1450"/>
      <c r="HSI1450"/>
      <c r="HSJ1450"/>
      <c r="HSK1450"/>
      <c r="HSL1450"/>
      <c r="HSM1450"/>
      <c r="HSN1450"/>
      <c r="HSO1450"/>
      <c r="HSP1450"/>
      <c r="HSQ1450"/>
      <c r="HSR1450"/>
      <c r="HSS1450"/>
      <c r="HST1450"/>
      <c r="HSU1450"/>
      <c r="HSV1450"/>
      <c r="HSW1450"/>
      <c r="HSX1450"/>
      <c r="HSY1450"/>
      <c r="HSZ1450"/>
      <c r="HTA1450"/>
      <c r="HTB1450"/>
      <c r="HTC1450"/>
      <c r="HTD1450"/>
      <c r="HTE1450"/>
      <c r="HTF1450"/>
      <c r="HTG1450"/>
      <c r="HTH1450"/>
      <c r="HTI1450"/>
      <c r="HTJ1450"/>
      <c r="HTK1450"/>
      <c r="HTL1450"/>
      <c r="HTM1450"/>
      <c r="HTN1450"/>
      <c r="HTO1450"/>
      <c r="HTP1450"/>
      <c r="HTQ1450"/>
      <c r="HTR1450"/>
      <c r="HTS1450"/>
      <c r="HTT1450"/>
      <c r="HTU1450"/>
      <c r="HTV1450"/>
      <c r="HTW1450"/>
      <c r="HTX1450"/>
      <c r="HTY1450"/>
      <c r="HTZ1450"/>
      <c r="HUA1450"/>
      <c r="HUB1450"/>
      <c r="HUC1450"/>
      <c r="HUD1450"/>
      <c r="HUE1450"/>
      <c r="HUF1450"/>
      <c r="HUG1450"/>
      <c r="HUH1450"/>
      <c r="HUI1450"/>
      <c r="HUJ1450"/>
      <c r="HUK1450"/>
      <c r="HUL1450"/>
      <c r="HUM1450"/>
      <c r="HUN1450"/>
      <c r="HUO1450"/>
      <c r="HUP1450"/>
      <c r="HUQ1450"/>
      <c r="HUR1450"/>
      <c r="HUS1450"/>
      <c r="HUT1450"/>
      <c r="HUU1450"/>
      <c r="HUV1450"/>
      <c r="HUW1450"/>
      <c r="HUX1450"/>
      <c r="HUY1450"/>
      <c r="HUZ1450"/>
      <c r="HVA1450"/>
      <c r="HVB1450"/>
      <c r="HVC1450"/>
      <c r="HVD1450"/>
      <c r="HVE1450"/>
      <c r="HVF1450"/>
      <c r="HVG1450"/>
      <c r="HVH1450"/>
      <c r="HVI1450"/>
      <c r="HVJ1450"/>
      <c r="HVK1450"/>
      <c r="HVL1450"/>
      <c r="HVM1450"/>
      <c r="HVN1450"/>
      <c r="HVO1450"/>
      <c r="HVP1450"/>
      <c r="HVQ1450"/>
      <c r="HVR1450"/>
      <c r="HVS1450"/>
      <c r="HVT1450"/>
      <c r="HVU1450"/>
      <c r="HVV1450"/>
      <c r="HVW1450"/>
      <c r="HVX1450"/>
      <c r="HVY1450"/>
      <c r="HVZ1450"/>
      <c r="HWA1450"/>
      <c r="HWB1450"/>
      <c r="HWC1450"/>
      <c r="HWD1450"/>
      <c r="HWE1450"/>
      <c r="HWF1450"/>
      <c r="HWG1450"/>
      <c r="HWH1450"/>
      <c r="HWI1450"/>
      <c r="HWJ1450"/>
      <c r="HWK1450"/>
      <c r="HWL1450"/>
      <c r="HWM1450"/>
      <c r="HWN1450"/>
      <c r="HWO1450"/>
      <c r="HWP1450"/>
      <c r="HWQ1450"/>
      <c r="HWR1450"/>
      <c r="HWS1450"/>
      <c r="HWT1450"/>
      <c r="HWU1450"/>
      <c r="HWV1450"/>
      <c r="HWW1450"/>
      <c r="HWX1450"/>
      <c r="HWY1450"/>
      <c r="HWZ1450"/>
      <c r="HXA1450"/>
      <c r="HXB1450"/>
      <c r="HXC1450"/>
      <c r="HXD1450"/>
      <c r="HXE1450"/>
      <c r="HXF1450"/>
      <c r="HXG1450"/>
      <c r="HXH1450"/>
      <c r="HXI1450"/>
      <c r="HXJ1450"/>
      <c r="HXK1450"/>
      <c r="HXL1450"/>
      <c r="HXM1450"/>
      <c r="HXN1450"/>
      <c r="HXO1450"/>
      <c r="HXP1450"/>
      <c r="HXQ1450"/>
      <c r="HXR1450"/>
      <c r="HXS1450"/>
      <c r="HXT1450"/>
      <c r="HXU1450"/>
      <c r="HXV1450"/>
      <c r="HXW1450"/>
      <c r="HXX1450"/>
      <c r="HXY1450"/>
      <c r="HXZ1450"/>
      <c r="HYA1450"/>
      <c r="HYB1450"/>
      <c r="HYC1450"/>
      <c r="HYD1450"/>
      <c r="HYE1450"/>
      <c r="HYF1450"/>
      <c r="HYG1450"/>
      <c r="HYH1450"/>
      <c r="HYI1450"/>
      <c r="HYJ1450"/>
      <c r="HYK1450"/>
      <c r="HYL1450"/>
      <c r="HYM1450"/>
      <c r="HYN1450"/>
      <c r="HYO1450"/>
      <c r="HYP1450"/>
      <c r="HYQ1450"/>
      <c r="HYR1450"/>
      <c r="HYS1450"/>
      <c r="HYT1450"/>
      <c r="HYU1450"/>
      <c r="HYV1450"/>
      <c r="HYW1450"/>
      <c r="HYX1450"/>
      <c r="HYY1450"/>
      <c r="HYZ1450"/>
      <c r="HZA1450"/>
      <c r="HZB1450"/>
      <c r="HZC1450"/>
      <c r="HZD1450"/>
      <c r="HZE1450"/>
      <c r="HZF1450"/>
      <c r="HZG1450"/>
      <c r="HZH1450"/>
      <c r="HZI1450"/>
      <c r="HZJ1450"/>
      <c r="HZK1450"/>
      <c r="HZL1450"/>
      <c r="HZM1450"/>
      <c r="HZN1450"/>
      <c r="HZO1450"/>
      <c r="HZP1450"/>
      <c r="HZQ1450"/>
      <c r="HZR1450"/>
      <c r="HZS1450"/>
      <c r="HZT1450"/>
      <c r="HZU1450"/>
      <c r="HZV1450"/>
      <c r="HZW1450"/>
      <c r="HZX1450"/>
      <c r="HZY1450"/>
      <c r="HZZ1450"/>
      <c r="IAA1450"/>
      <c r="IAB1450"/>
      <c r="IAC1450"/>
      <c r="IAD1450"/>
      <c r="IAE1450"/>
      <c r="IAF1450"/>
      <c r="IAG1450"/>
      <c r="IAH1450"/>
      <c r="IAI1450"/>
      <c r="IAJ1450"/>
      <c r="IAK1450"/>
      <c r="IAL1450"/>
      <c r="IAM1450"/>
      <c r="IAN1450"/>
      <c r="IAO1450"/>
      <c r="IAP1450"/>
      <c r="IAQ1450"/>
      <c r="IAR1450"/>
      <c r="IAS1450"/>
      <c r="IAT1450"/>
      <c r="IAU1450"/>
      <c r="IAV1450"/>
      <c r="IAW1450"/>
      <c r="IAX1450"/>
      <c r="IAY1450"/>
      <c r="IAZ1450"/>
      <c r="IBA1450"/>
      <c r="IBB1450"/>
      <c r="IBC1450"/>
      <c r="IBD1450"/>
      <c r="IBE1450"/>
      <c r="IBF1450"/>
      <c r="IBG1450"/>
      <c r="IBH1450"/>
      <c r="IBI1450"/>
      <c r="IBJ1450"/>
      <c r="IBK1450"/>
      <c r="IBL1450"/>
      <c r="IBM1450"/>
      <c r="IBN1450"/>
      <c r="IBO1450"/>
      <c r="IBP1450"/>
      <c r="IBQ1450"/>
      <c r="IBR1450"/>
      <c r="IBS1450"/>
      <c r="IBT1450"/>
      <c r="IBU1450"/>
      <c r="IBV1450"/>
      <c r="IBW1450"/>
      <c r="IBX1450"/>
      <c r="IBY1450"/>
      <c r="IBZ1450"/>
      <c r="ICA1450"/>
      <c r="ICB1450"/>
      <c r="ICC1450"/>
      <c r="ICD1450"/>
      <c r="ICE1450"/>
      <c r="ICF1450"/>
      <c r="ICG1450"/>
      <c r="ICH1450"/>
      <c r="ICI1450"/>
      <c r="ICJ1450"/>
      <c r="ICK1450"/>
      <c r="ICL1450"/>
      <c r="ICM1450"/>
      <c r="ICN1450"/>
      <c r="ICO1450"/>
      <c r="ICP1450"/>
      <c r="ICQ1450"/>
      <c r="ICR1450"/>
      <c r="ICS1450"/>
      <c r="ICT1450"/>
      <c r="ICU1450"/>
      <c r="ICV1450"/>
      <c r="ICW1450"/>
      <c r="ICX1450"/>
      <c r="ICY1450"/>
      <c r="ICZ1450"/>
      <c r="IDA1450"/>
      <c r="IDB1450"/>
      <c r="IDC1450"/>
      <c r="IDD1450"/>
      <c r="IDE1450"/>
      <c r="IDF1450"/>
      <c r="IDG1450"/>
      <c r="IDH1450"/>
      <c r="IDI1450"/>
      <c r="IDJ1450"/>
      <c r="IDK1450"/>
      <c r="IDL1450"/>
      <c r="IDM1450"/>
      <c r="IDN1450"/>
      <c r="IDO1450"/>
      <c r="IDP1450"/>
      <c r="IDQ1450"/>
      <c r="IDR1450"/>
      <c r="IDS1450"/>
      <c r="IDT1450"/>
      <c r="IDU1450"/>
      <c r="IDV1450"/>
      <c r="IDW1450"/>
      <c r="IDX1450"/>
      <c r="IDY1450"/>
      <c r="IDZ1450"/>
      <c r="IEA1450"/>
      <c r="IEB1450"/>
      <c r="IEC1450"/>
      <c r="IED1450"/>
      <c r="IEE1450"/>
      <c r="IEF1450"/>
      <c r="IEG1450"/>
      <c r="IEH1450"/>
      <c r="IEI1450"/>
      <c r="IEJ1450"/>
      <c r="IEK1450"/>
      <c r="IEL1450"/>
      <c r="IEM1450"/>
      <c r="IEN1450"/>
      <c r="IEO1450"/>
      <c r="IEP1450"/>
      <c r="IEQ1450"/>
      <c r="IER1450"/>
      <c r="IES1450"/>
      <c r="IET1450"/>
      <c r="IEU1450"/>
      <c r="IEV1450"/>
      <c r="IEW1450"/>
      <c r="IEX1450"/>
      <c r="IEY1450"/>
      <c r="IEZ1450"/>
      <c r="IFA1450"/>
      <c r="IFB1450"/>
      <c r="IFC1450"/>
      <c r="IFD1450"/>
      <c r="IFE1450"/>
      <c r="IFF1450"/>
      <c r="IFG1450"/>
      <c r="IFH1450"/>
      <c r="IFI1450"/>
      <c r="IFJ1450"/>
      <c r="IFK1450"/>
      <c r="IFL1450"/>
      <c r="IFM1450"/>
      <c r="IFN1450"/>
      <c r="IFO1450"/>
      <c r="IFP1450"/>
      <c r="IFQ1450"/>
      <c r="IFR1450"/>
      <c r="IFS1450"/>
      <c r="IFT1450"/>
      <c r="IFU1450"/>
      <c r="IFV1450"/>
      <c r="IFW1450"/>
      <c r="IFX1450"/>
      <c r="IFY1450"/>
      <c r="IFZ1450"/>
      <c r="IGA1450"/>
      <c r="IGB1450"/>
      <c r="IGC1450"/>
      <c r="IGD1450"/>
      <c r="IGE1450"/>
      <c r="IGF1450"/>
      <c r="IGG1450"/>
      <c r="IGH1450"/>
      <c r="IGI1450"/>
      <c r="IGJ1450"/>
      <c r="IGK1450"/>
      <c r="IGL1450"/>
      <c r="IGM1450"/>
      <c r="IGN1450"/>
      <c r="IGO1450"/>
      <c r="IGP1450"/>
      <c r="IGQ1450"/>
      <c r="IGR1450"/>
      <c r="IGS1450"/>
      <c r="IGT1450"/>
      <c r="IGU1450"/>
      <c r="IGV1450"/>
      <c r="IGW1450"/>
      <c r="IGX1450"/>
      <c r="IGY1450"/>
      <c r="IGZ1450"/>
      <c r="IHA1450"/>
      <c r="IHB1450"/>
      <c r="IHC1450"/>
      <c r="IHD1450"/>
      <c r="IHE1450"/>
      <c r="IHF1450"/>
      <c r="IHG1450"/>
      <c r="IHH1450"/>
      <c r="IHI1450"/>
      <c r="IHJ1450"/>
      <c r="IHK1450"/>
      <c r="IHL1450"/>
      <c r="IHM1450"/>
      <c r="IHN1450"/>
      <c r="IHO1450"/>
      <c r="IHP1450"/>
      <c r="IHQ1450"/>
      <c r="IHR1450"/>
      <c r="IHS1450"/>
      <c r="IHT1450"/>
      <c r="IHU1450"/>
      <c r="IHV1450"/>
      <c r="IHW1450"/>
      <c r="IHX1450"/>
      <c r="IHY1450"/>
      <c r="IHZ1450"/>
      <c r="IIA1450"/>
      <c r="IIB1450"/>
      <c r="IIC1450"/>
      <c r="IID1450"/>
      <c r="IIE1450"/>
      <c r="IIF1450"/>
      <c r="IIG1450"/>
      <c r="IIH1450"/>
      <c r="III1450"/>
      <c r="IIJ1450"/>
      <c r="IIK1450"/>
      <c r="IIL1450"/>
      <c r="IIM1450"/>
      <c r="IIN1450"/>
      <c r="IIO1450"/>
      <c r="IIP1450"/>
      <c r="IIQ1450"/>
      <c r="IIR1450"/>
      <c r="IIS1450"/>
      <c r="IIT1450"/>
      <c r="IIU1450"/>
      <c r="IIV1450"/>
      <c r="IIW1450"/>
      <c r="IIX1450"/>
      <c r="IIY1450"/>
      <c r="IIZ1450"/>
      <c r="IJA1450"/>
      <c r="IJB1450"/>
      <c r="IJC1450"/>
      <c r="IJD1450"/>
      <c r="IJE1450"/>
      <c r="IJF1450"/>
      <c r="IJG1450"/>
      <c r="IJH1450"/>
      <c r="IJI1450"/>
      <c r="IJJ1450"/>
      <c r="IJK1450"/>
      <c r="IJL1450"/>
      <c r="IJM1450"/>
      <c r="IJN1450"/>
      <c r="IJO1450"/>
      <c r="IJP1450"/>
      <c r="IJQ1450"/>
      <c r="IJR1450"/>
      <c r="IJS1450"/>
      <c r="IJT1450"/>
      <c r="IJU1450"/>
      <c r="IJV1450"/>
      <c r="IJW1450"/>
      <c r="IJX1450"/>
      <c r="IJY1450"/>
      <c r="IJZ1450"/>
      <c r="IKA1450"/>
      <c r="IKB1450"/>
      <c r="IKC1450"/>
      <c r="IKD1450"/>
      <c r="IKE1450"/>
      <c r="IKF1450"/>
      <c r="IKG1450"/>
      <c r="IKH1450"/>
      <c r="IKI1450"/>
      <c r="IKJ1450"/>
      <c r="IKK1450"/>
      <c r="IKL1450"/>
      <c r="IKM1450"/>
      <c r="IKN1450"/>
      <c r="IKO1450"/>
      <c r="IKP1450"/>
      <c r="IKQ1450"/>
      <c r="IKR1450"/>
      <c r="IKS1450"/>
      <c r="IKT1450"/>
      <c r="IKU1450"/>
      <c r="IKV1450"/>
      <c r="IKW1450"/>
      <c r="IKX1450"/>
      <c r="IKY1450"/>
      <c r="IKZ1450"/>
      <c r="ILA1450"/>
      <c r="ILB1450"/>
      <c r="ILC1450"/>
      <c r="ILD1450"/>
      <c r="ILE1450"/>
      <c r="ILF1450"/>
      <c r="ILG1450"/>
      <c r="ILH1450"/>
      <c r="ILI1450"/>
      <c r="ILJ1450"/>
      <c r="ILK1450"/>
      <c r="ILL1450"/>
      <c r="ILM1450"/>
      <c r="ILN1450"/>
      <c r="ILO1450"/>
      <c r="ILP1450"/>
      <c r="ILQ1450"/>
      <c r="ILR1450"/>
      <c r="ILS1450"/>
      <c r="ILT1450"/>
      <c r="ILU1450"/>
      <c r="ILV1450"/>
      <c r="ILW1450"/>
      <c r="ILX1450"/>
      <c r="ILY1450"/>
      <c r="ILZ1450"/>
      <c r="IMA1450"/>
      <c r="IMB1450"/>
      <c r="IMC1450"/>
      <c r="IMD1450"/>
      <c r="IME1450"/>
      <c r="IMF1450"/>
      <c r="IMG1450"/>
      <c r="IMH1450"/>
      <c r="IMI1450"/>
      <c r="IMJ1450"/>
      <c r="IMK1450"/>
      <c r="IML1450"/>
      <c r="IMM1450"/>
      <c r="IMN1450"/>
      <c r="IMO1450"/>
      <c r="IMP1450"/>
      <c r="IMQ1450"/>
      <c r="IMR1450"/>
      <c r="IMS1450"/>
      <c r="IMT1450"/>
      <c r="IMU1450"/>
      <c r="IMV1450"/>
      <c r="IMW1450"/>
      <c r="IMX1450"/>
      <c r="IMY1450"/>
      <c r="IMZ1450"/>
      <c r="INA1450"/>
      <c r="INB1450"/>
      <c r="INC1450"/>
      <c r="IND1450"/>
      <c r="INE1450"/>
      <c r="INF1450"/>
      <c r="ING1450"/>
      <c r="INH1450"/>
      <c r="INI1450"/>
      <c r="INJ1450"/>
      <c r="INK1450"/>
      <c r="INL1450"/>
      <c r="INM1450"/>
      <c r="INN1450"/>
      <c r="INO1450"/>
      <c r="INP1450"/>
      <c r="INQ1450"/>
      <c r="INR1450"/>
      <c r="INS1450"/>
      <c r="INT1450"/>
      <c r="INU1450"/>
      <c r="INV1450"/>
      <c r="INW1450"/>
      <c r="INX1450"/>
      <c r="INY1450"/>
      <c r="INZ1450"/>
      <c r="IOA1450"/>
      <c r="IOB1450"/>
      <c r="IOC1450"/>
      <c r="IOD1450"/>
      <c r="IOE1450"/>
      <c r="IOF1450"/>
      <c r="IOG1450"/>
      <c r="IOH1450"/>
      <c r="IOI1450"/>
      <c r="IOJ1450"/>
      <c r="IOK1450"/>
      <c r="IOL1450"/>
      <c r="IOM1450"/>
      <c r="ION1450"/>
      <c r="IOO1450"/>
      <c r="IOP1450"/>
      <c r="IOQ1450"/>
      <c r="IOR1450"/>
      <c r="IOS1450"/>
      <c r="IOT1450"/>
      <c r="IOU1450"/>
      <c r="IOV1450"/>
      <c r="IOW1450"/>
      <c r="IOX1450"/>
      <c r="IOY1450"/>
      <c r="IOZ1450"/>
      <c r="IPA1450"/>
      <c r="IPB1450"/>
      <c r="IPC1450"/>
      <c r="IPD1450"/>
      <c r="IPE1450"/>
      <c r="IPF1450"/>
      <c r="IPG1450"/>
      <c r="IPH1450"/>
      <c r="IPI1450"/>
      <c r="IPJ1450"/>
      <c r="IPK1450"/>
      <c r="IPL1450"/>
      <c r="IPM1450"/>
      <c r="IPN1450"/>
      <c r="IPO1450"/>
      <c r="IPP1450"/>
      <c r="IPQ1450"/>
      <c r="IPR1450"/>
      <c r="IPS1450"/>
      <c r="IPT1450"/>
      <c r="IPU1450"/>
      <c r="IPV1450"/>
      <c r="IPW1450"/>
      <c r="IPX1450"/>
      <c r="IPY1450"/>
      <c r="IPZ1450"/>
      <c r="IQA1450"/>
      <c r="IQB1450"/>
      <c r="IQC1450"/>
      <c r="IQD1450"/>
      <c r="IQE1450"/>
      <c r="IQF1450"/>
      <c r="IQG1450"/>
      <c r="IQH1450"/>
      <c r="IQI1450"/>
      <c r="IQJ1450"/>
      <c r="IQK1450"/>
      <c r="IQL1450"/>
      <c r="IQM1450"/>
      <c r="IQN1450"/>
      <c r="IQO1450"/>
      <c r="IQP1450"/>
      <c r="IQQ1450"/>
      <c r="IQR1450"/>
      <c r="IQS1450"/>
      <c r="IQT1450"/>
      <c r="IQU1450"/>
      <c r="IQV1450"/>
      <c r="IQW1450"/>
      <c r="IQX1450"/>
      <c r="IQY1450"/>
      <c r="IQZ1450"/>
      <c r="IRA1450"/>
      <c r="IRB1450"/>
      <c r="IRC1450"/>
      <c r="IRD1450"/>
      <c r="IRE1450"/>
      <c r="IRF1450"/>
      <c r="IRG1450"/>
      <c r="IRH1450"/>
      <c r="IRI1450"/>
      <c r="IRJ1450"/>
      <c r="IRK1450"/>
      <c r="IRL1450"/>
      <c r="IRM1450"/>
      <c r="IRN1450"/>
      <c r="IRO1450"/>
      <c r="IRP1450"/>
      <c r="IRQ1450"/>
      <c r="IRR1450"/>
      <c r="IRS1450"/>
      <c r="IRT1450"/>
      <c r="IRU1450"/>
      <c r="IRV1450"/>
      <c r="IRW1450"/>
      <c r="IRX1450"/>
      <c r="IRY1450"/>
      <c r="IRZ1450"/>
      <c r="ISA1450"/>
      <c r="ISB1450"/>
      <c r="ISC1450"/>
      <c r="ISD1450"/>
      <c r="ISE1450"/>
      <c r="ISF1450"/>
      <c r="ISG1450"/>
      <c r="ISH1450"/>
      <c r="ISI1450"/>
      <c r="ISJ1450"/>
      <c r="ISK1450"/>
      <c r="ISL1450"/>
      <c r="ISM1450"/>
      <c r="ISN1450"/>
      <c r="ISO1450"/>
      <c r="ISP1450"/>
      <c r="ISQ1450"/>
      <c r="ISR1450"/>
      <c r="ISS1450"/>
      <c r="IST1450"/>
      <c r="ISU1450"/>
      <c r="ISV1450"/>
      <c r="ISW1450"/>
      <c r="ISX1450"/>
      <c r="ISY1450"/>
      <c r="ISZ1450"/>
      <c r="ITA1450"/>
      <c r="ITB1450"/>
      <c r="ITC1450"/>
      <c r="ITD1450"/>
      <c r="ITE1450"/>
      <c r="ITF1450"/>
      <c r="ITG1450"/>
      <c r="ITH1450"/>
      <c r="ITI1450"/>
      <c r="ITJ1450"/>
      <c r="ITK1450"/>
      <c r="ITL1450"/>
      <c r="ITM1450"/>
      <c r="ITN1450"/>
      <c r="ITO1450"/>
      <c r="ITP1450"/>
      <c r="ITQ1450"/>
      <c r="ITR1450"/>
      <c r="ITS1450"/>
      <c r="ITT1450"/>
      <c r="ITU1450"/>
      <c r="ITV1450"/>
      <c r="ITW1450"/>
      <c r="ITX1450"/>
      <c r="ITY1450"/>
      <c r="ITZ1450"/>
      <c r="IUA1450"/>
      <c r="IUB1450"/>
      <c r="IUC1450"/>
      <c r="IUD1450"/>
      <c r="IUE1450"/>
      <c r="IUF1450"/>
      <c r="IUG1450"/>
      <c r="IUH1450"/>
      <c r="IUI1450"/>
      <c r="IUJ1450"/>
      <c r="IUK1450"/>
      <c r="IUL1450"/>
      <c r="IUM1450"/>
      <c r="IUN1450"/>
      <c r="IUO1450"/>
      <c r="IUP1450"/>
      <c r="IUQ1450"/>
      <c r="IUR1450"/>
      <c r="IUS1450"/>
      <c r="IUT1450"/>
      <c r="IUU1450"/>
      <c r="IUV1450"/>
      <c r="IUW1450"/>
      <c r="IUX1450"/>
      <c r="IUY1450"/>
      <c r="IUZ1450"/>
      <c r="IVA1450"/>
      <c r="IVB1450"/>
      <c r="IVC1450"/>
      <c r="IVD1450"/>
      <c r="IVE1450"/>
      <c r="IVF1450"/>
      <c r="IVG1450"/>
      <c r="IVH1450"/>
      <c r="IVI1450"/>
      <c r="IVJ1450"/>
      <c r="IVK1450"/>
      <c r="IVL1450"/>
      <c r="IVM1450"/>
      <c r="IVN1450"/>
      <c r="IVO1450"/>
      <c r="IVP1450"/>
      <c r="IVQ1450"/>
      <c r="IVR1450"/>
      <c r="IVS1450"/>
      <c r="IVT1450"/>
      <c r="IVU1450"/>
      <c r="IVV1450"/>
      <c r="IVW1450"/>
      <c r="IVX1450"/>
      <c r="IVY1450"/>
      <c r="IVZ1450"/>
      <c r="IWA1450"/>
      <c r="IWB1450"/>
      <c r="IWC1450"/>
      <c r="IWD1450"/>
      <c r="IWE1450"/>
      <c r="IWF1450"/>
      <c r="IWG1450"/>
      <c r="IWH1450"/>
      <c r="IWI1450"/>
      <c r="IWJ1450"/>
      <c r="IWK1450"/>
      <c r="IWL1450"/>
      <c r="IWM1450"/>
      <c r="IWN1450"/>
      <c r="IWO1450"/>
      <c r="IWP1450"/>
      <c r="IWQ1450"/>
      <c r="IWR1450"/>
      <c r="IWS1450"/>
      <c r="IWT1450"/>
      <c r="IWU1450"/>
      <c r="IWV1450"/>
      <c r="IWW1450"/>
      <c r="IWX1450"/>
      <c r="IWY1450"/>
      <c r="IWZ1450"/>
      <c r="IXA1450"/>
      <c r="IXB1450"/>
      <c r="IXC1450"/>
      <c r="IXD1450"/>
      <c r="IXE1450"/>
      <c r="IXF1450"/>
      <c r="IXG1450"/>
      <c r="IXH1450"/>
      <c r="IXI1450"/>
      <c r="IXJ1450"/>
      <c r="IXK1450"/>
      <c r="IXL1450"/>
      <c r="IXM1450"/>
      <c r="IXN1450"/>
      <c r="IXO1450"/>
      <c r="IXP1450"/>
      <c r="IXQ1450"/>
      <c r="IXR1450"/>
      <c r="IXS1450"/>
      <c r="IXT1450"/>
      <c r="IXU1450"/>
      <c r="IXV1450"/>
      <c r="IXW1450"/>
      <c r="IXX1450"/>
      <c r="IXY1450"/>
      <c r="IXZ1450"/>
      <c r="IYA1450"/>
      <c r="IYB1450"/>
      <c r="IYC1450"/>
      <c r="IYD1450"/>
      <c r="IYE1450"/>
      <c r="IYF1450"/>
      <c r="IYG1450"/>
      <c r="IYH1450"/>
      <c r="IYI1450"/>
      <c r="IYJ1450"/>
      <c r="IYK1450"/>
      <c r="IYL1450"/>
      <c r="IYM1450"/>
      <c r="IYN1450"/>
      <c r="IYO1450"/>
      <c r="IYP1450"/>
      <c r="IYQ1450"/>
      <c r="IYR1450"/>
      <c r="IYS1450"/>
      <c r="IYT1450"/>
      <c r="IYU1450"/>
      <c r="IYV1450"/>
      <c r="IYW1450"/>
      <c r="IYX1450"/>
      <c r="IYY1450"/>
      <c r="IYZ1450"/>
      <c r="IZA1450"/>
      <c r="IZB1450"/>
      <c r="IZC1450"/>
      <c r="IZD1450"/>
      <c r="IZE1450"/>
      <c r="IZF1450"/>
      <c r="IZG1450"/>
      <c r="IZH1450"/>
      <c r="IZI1450"/>
      <c r="IZJ1450"/>
      <c r="IZK1450"/>
      <c r="IZL1450"/>
      <c r="IZM1450"/>
      <c r="IZN1450"/>
      <c r="IZO1450"/>
      <c r="IZP1450"/>
      <c r="IZQ1450"/>
      <c r="IZR1450"/>
      <c r="IZS1450"/>
      <c r="IZT1450"/>
      <c r="IZU1450"/>
      <c r="IZV1450"/>
      <c r="IZW1450"/>
      <c r="IZX1450"/>
      <c r="IZY1450"/>
      <c r="IZZ1450"/>
      <c r="JAA1450"/>
      <c r="JAB1450"/>
      <c r="JAC1450"/>
      <c r="JAD1450"/>
      <c r="JAE1450"/>
      <c r="JAF1450"/>
      <c r="JAG1450"/>
      <c r="JAH1450"/>
      <c r="JAI1450"/>
      <c r="JAJ1450"/>
      <c r="JAK1450"/>
      <c r="JAL1450"/>
      <c r="JAM1450"/>
      <c r="JAN1450"/>
      <c r="JAO1450"/>
      <c r="JAP1450"/>
      <c r="JAQ1450"/>
      <c r="JAR1450"/>
      <c r="JAS1450"/>
      <c r="JAT1450"/>
      <c r="JAU1450"/>
      <c r="JAV1450"/>
      <c r="JAW1450"/>
      <c r="JAX1450"/>
      <c r="JAY1450"/>
      <c r="JAZ1450"/>
      <c r="JBA1450"/>
      <c r="JBB1450"/>
      <c r="JBC1450"/>
      <c r="JBD1450"/>
      <c r="JBE1450"/>
      <c r="JBF1450"/>
      <c r="JBG1450"/>
      <c r="JBH1450"/>
      <c r="JBI1450"/>
      <c r="JBJ1450"/>
      <c r="JBK1450"/>
      <c r="JBL1450"/>
      <c r="JBM1450"/>
      <c r="JBN1450"/>
      <c r="JBO1450"/>
      <c r="JBP1450"/>
      <c r="JBQ1450"/>
      <c r="JBR1450"/>
      <c r="JBS1450"/>
      <c r="JBT1450"/>
      <c r="JBU1450"/>
      <c r="JBV1450"/>
      <c r="JBW1450"/>
      <c r="JBX1450"/>
      <c r="JBY1450"/>
      <c r="JBZ1450"/>
      <c r="JCA1450"/>
      <c r="JCB1450"/>
      <c r="JCC1450"/>
      <c r="JCD1450"/>
      <c r="JCE1450"/>
      <c r="JCF1450"/>
      <c r="JCG1450"/>
      <c r="JCH1450"/>
      <c r="JCI1450"/>
      <c r="JCJ1450"/>
      <c r="JCK1450"/>
      <c r="JCL1450"/>
      <c r="JCM1450"/>
      <c r="JCN1450"/>
      <c r="JCO1450"/>
      <c r="JCP1450"/>
      <c r="JCQ1450"/>
      <c r="JCR1450"/>
      <c r="JCS1450"/>
      <c r="JCT1450"/>
      <c r="JCU1450"/>
      <c r="JCV1450"/>
      <c r="JCW1450"/>
      <c r="JCX1450"/>
      <c r="JCY1450"/>
      <c r="JCZ1450"/>
      <c r="JDA1450"/>
      <c r="JDB1450"/>
      <c r="JDC1450"/>
      <c r="JDD1450"/>
      <c r="JDE1450"/>
      <c r="JDF1450"/>
      <c r="JDG1450"/>
      <c r="JDH1450"/>
      <c r="JDI1450"/>
      <c r="JDJ1450"/>
      <c r="JDK1450"/>
      <c r="JDL1450"/>
      <c r="JDM1450"/>
      <c r="JDN1450"/>
      <c r="JDO1450"/>
      <c r="JDP1450"/>
      <c r="JDQ1450"/>
      <c r="JDR1450"/>
      <c r="JDS1450"/>
      <c r="JDT1450"/>
      <c r="JDU1450"/>
      <c r="JDV1450"/>
      <c r="JDW1450"/>
      <c r="JDX1450"/>
      <c r="JDY1450"/>
      <c r="JDZ1450"/>
      <c r="JEA1450"/>
      <c r="JEB1450"/>
      <c r="JEC1450"/>
      <c r="JED1450"/>
      <c r="JEE1450"/>
      <c r="JEF1450"/>
      <c r="JEG1450"/>
      <c r="JEH1450"/>
      <c r="JEI1450"/>
      <c r="JEJ1450"/>
      <c r="JEK1450"/>
      <c r="JEL1450"/>
      <c r="JEM1450"/>
      <c r="JEN1450"/>
      <c r="JEO1450"/>
      <c r="JEP1450"/>
      <c r="JEQ1450"/>
      <c r="JER1450"/>
      <c r="JES1450"/>
      <c r="JET1450"/>
      <c r="JEU1450"/>
      <c r="JEV1450"/>
      <c r="JEW1450"/>
      <c r="JEX1450"/>
      <c r="JEY1450"/>
      <c r="JEZ1450"/>
      <c r="JFA1450"/>
      <c r="JFB1450"/>
      <c r="JFC1450"/>
      <c r="JFD1450"/>
      <c r="JFE1450"/>
      <c r="JFF1450"/>
      <c r="JFG1450"/>
      <c r="JFH1450"/>
      <c r="JFI1450"/>
      <c r="JFJ1450"/>
      <c r="JFK1450"/>
      <c r="JFL1450"/>
      <c r="JFM1450"/>
      <c r="JFN1450"/>
      <c r="JFO1450"/>
      <c r="JFP1450"/>
      <c r="JFQ1450"/>
      <c r="JFR1450"/>
      <c r="JFS1450"/>
      <c r="JFT1450"/>
      <c r="JFU1450"/>
      <c r="JFV1450"/>
      <c r="JFW1450"/>
      <c r="JFX1450"/>
      <c r="JFY1450"/>
      <c r="JFZ1450"/>
      <c r="JGA1450"/>
      <c r="JGB1450"/>
      <c r="JGC1450"/>
      <c r="JGD1450"/>
      <c r="JGE1450"/>
      <c r="JGF1450"/>
      <c r="JGG1450"/>
      <c r="JGH1450"/>
      <c r="JGI1450"/>
      <c r="JGJ1450"/>
      <c r="JGK1450"/>
      <c r="JGL1450"/>
      <c r="JGM1450"/>
      <c r="JGN1450"/>
      <c r="JGO1450"/>
      <c r="JGP1450"/>
      <c r="JGQ1450"/>
      <c r="JGR1450"/>
      <c r="JGS1450"/>
      <c r="JGT1450"/>
      <c r="JGU1450"/>
      <c r="JGV1450"/>
      <c r="JGW1450"/>
      <c r="JGX1450"/>
      <c r="JGY1450"/>
      <c r="JGZ1450"/>
      <c r="JHA1450"/>
      <c r="JHB1450"/>
      <c r="JHC1450"/>
      <c r="JHD1450"/>
      <c r="JHE1450"/>
      <c r="JHF1450"/>
      <c r="JHG1450"/>
      <c r="JHH1450"/>
      <c r="JHI1450"/>
      <c r="JHJ1450"/>
      <c r="JHK1450"/>
      <c r="JHL1450"/>
      <c r="JHM1450"/>
      <c r="JHN1450"/>
      <c r="JHO1450"/>
      <c r="JHP1450"/>
      <c r="JHQ1450"/>
      <c r="JHR1450"/>
      <c r="JHS1450"/>
      <c r="JHT1450"/>
      <c r="JHU1450"/>
      <c r="JHV1450"/>
      <c r="JHW1450"/>
      <c r="JHX1450"/>
      <c r="JHY1450"/>
      <c r="JHZ1450"/>
      <c r="JIA1450"/>
      <c r="JIB1450"/>
      <c r="JIC1450"/>
      <c r="JID1450"/>
      <c r="JIE1450"/>
      <c r="JIF1450"/>
      <c r="JIG1450"/>
      <c r="JIH1450"/>
      <c r="JII1450"/>
      <c r="JIJ1450"/>
      <c r="JIK1450"/>
      <c r="JIL1450"/>
      <c r="JIM1450"/>
      <c r="JIN1450"/>
      <c r="JIO1450"/>
      <c r="JIP1450"/>
      <c r="JIQ1450"/>
      <c r="JIR1450"/>
      <c r="JIS1450"/>
      <c r="JIT1450"/>
      <c r="JIU1450"/>
      <c r="JIV1450"/>
      <c r="JIW1450"/>
      <c r="JIX1450"/>
      <c r="JIY1450"/>
      <c r="JIZ1450"/>
      <c r="JJA1450"/>
      <c r="JJB1450"/>
      <c r="JJC1450"/>
      <c r="JJD1450"/>
      <c r="JJE1450"/>
      <c r="JJF1450"/>
      <c r="JJG1450"/>
      <c r="JJH1450"/>
      <c r="JJI1450"/>
      <c r="JJJ1450"/>
      <c r="JJK1450"/>
      <c r="JJL1450"/>
      <c r="JJM1450"/>
      <c r="JJN1450"/>
      <c r="JJO1450"/>
      <c r="JJP1450"/>
      <c r="JJQ1450"/>
      <c r="JJR1450"/>
      <c r="JJS1450"/>
      <c r="JJT1450"/>
      <c r="JJU1450"/>
      <c r="JJV1450"/>
      <c r="JJW1450"/>
      <c r="JJX1450"/>
      <c r="JJY1450"/>
      <c r="JJZ1450"/>
      <c r="JKA1450"/>
      <c r="JKB1450"/>
      <c r="JKC1450"/>
      <c r="JKD1450"/>
      <c r="JKE1450"/>
      <c r="JKF1450"/>
      <c r="JKG1450"/>
      <c r="JKH1450"/>
      <c r="JKI1450"/>
      <c r="JKJ1450"/>
      <c r="JKK1450"/>
      <c r="JKL1450"/>
      <c r="JKM1450"/>
      <c r="JKN1450"/>
      <c r="JKO1450"/>
      <c r="JKP1450"/>
      <c r="JKQ1450"/>
      <c r="JKR1450"/>
      <c r="JKS1450"/>
      <c r="JKT1450"/>
      <c r="JKU1450"/>
      <c r="JKV1450"/>
      <c r="JKW1450"/>
      <c r="JKX1450"/>
      <c r="JKY1450"/>
      <c r="JKZ1450"/>
      <c r="JLA1450"/>
      <c r="JLB1450"/>
      <c r="JLC1450"/>
      <c r="JLD1450"/>
      <c r="JLE1450"/>
      <c r="JLF1450"/>
      <c r="JLG1450"/>
      <c r="JLH1450"/>
      <c r="JLI1450"/>
      <c r="JLJ1450"/>
      <c r="JLK1450"/>
      <c r="JLL1450"/>
      <c r="JLM1450"/>
      <c r="JLN1450"/>
      <c r="JLO1450"/>
      <c r="JLP1450"/>
      <c r="JLQ1450"/>
      <c r="JLR1450"/>
      <c r="JLS1450"/>
      <c r="JLT1450"/>
      <c r="JLU1450"/>
      <c r="JLV1450"/>
      <c r="JLW1450"/>
      <c r="JLX1450"/>
      <c r="JLY1450"/>
      <c r="JLZ1450"/>
      <c r="JMA1450"/>
      <c r="JMB1450"/>
      <c r="JMC1450"/>
      <c r="JMD1450"/>
      <c r="JME1450"/>
      <c r="JMF1450"/>
      <c r="JMG1450"/>
      <c r="JMH1450"/>
      <c r="JMI1450"/>
      <c r="JMJ1450"/>
      <c r="JMK1450"/>
      <c r="JML1450"/>
      <c r="JMM1450"/>
      <c r="JMN1450"/>
      <c r="JMO1450"/>
      <c r="JMP1450"/>
      <c r="JMQ1450"/>
      <c r="JMR1450"/>
      <c r="JMS1450"/>
      <c r="JMT1450"/>
      <c r="JMU1450"/>
      <c r="JMV1450"/>
      <c r="JMW1450"/>
      <c r="JMX1450"/>
      <c r="JMY1450"/>
      <c r="JMZ1450"/>
      <c r="JNA1450"/>
      <c r="JNB1450"/>
      <c r="JNC1450"/>
      <c r="JND1450"/>
      <c r="JNE1450"/>
      <c r="JNF1450"/>
      <c r="JNG1450"/>
      <c r="JNH1450"/>
      <c r="JNI1450"/>
      <c r="JNJ1450"/>
      <c r="JNK1450"/>
      <c r="JNL1450"/>
      <c r="JNM1450"/>
      <c r="JNN1450"/>
      <c r="JNO1450"/>
      <c r="JNP1450"/>
      <c r="JNQ1450"/>
      <c r="JNR1450"/>
      <c r="JNS1450"/>
      <c r="JNT1450"/>
      <c r="JNU1450"/>
      <c r="JNV1450"/>
      <c r="JNW1450"/>
      <c r="JNX1450"/>
      <c r="JNY1450"/>
      <c r="JNZ1450"/>
      <c r="JOA1450"/>
      <c r="JOB1450"/>
      <c r="JOC1450"/>
      <c r="JOD1450"/>
      <c r="JOE1450"/>
      <c r="JOF1450"/>
      <c r="JOG1450"/>
      <c r="JOH1450"/>
      <c r="JOI1450"/>
      <c r="JOJ1450"/>
      <c r="JOK1450"/>
      <c r="JOL1450"/>
      <c r="JOM1450"/>
      <c r="JON1450"/>
      <c r="JOO1450"/>
      <c r="JOP1450"/>
      <c r="JOQ1450"/>
      <c r="JOR1450"/>
      <c r="JOS1450"/>
      <c r="JOT1450"/>
      <c r="JOU1450"/>
      <c r="JOV1450"/>
      <c r="JOW1450"/>
      <c r="JOX1450"/>
      <c r="JOY1450"/>
      <c r="JOZ1450"/>
      <c r="JPA1450"/>
      <c r="JPB1450"/>
      <c r="JPC1450"/>
      <c r="JPD1450"/>
      <c r="JPE1450"/>
      <c r="JPF1450"/>
      <c r="JPG1450"/>
      <c r="JPH1450"/>
      <c r="JPI1450"/>
      <c r="JPJ1450"/>
      <c r="JPK1450"/>
      <c r="JPL1450"/>
      <c r="JPM1450"/>
      <c r="JPN1450"/>
      <c r="JPO1450"/>
      <c r="JPP1450"/>
      <c r="JPQ1450"/>
      <c r="JPR1450"/>
      <c r="JPS1450"/>
      <c r="JPT1450"/>
      <c r="JPU1450"/>
      <c r="JPV1450"/>
      <c r="JPW1450"/>
      <c r="JPX1450"/>
      <c r="JPY1450"/>
      <c r="JPZ1450"/>
      <c r="JQA1450"/>
      <c r="JQB1450"/>
      <c r="JQC1450"/>
      <c r="JQD1450"/>
      <c r="JQE1450"/>
      <c r="JQF1450"/>
      <c r="JQG1450"/>
      <c r="JQH1450"/>
      <c r="JQI1450"/>
      <c r="JQJ1450"/>
      <c r="JQK1450"/>
      <c r="JQL1450"/>
      <c r="JQM1450"/>
      <c r="JQN1450"/>
      <c r="JQO1450"/>
      <c r="JQP1450"/>
      <c r="JQQ1450"/>
      <c r="JQR1450"/>
      <c r="JQS1450"/>
      <c r="JQT1450"/>
      <c r="JQU1450"/>
      <c r="JQV1450"/>
      <c r="JQW1450"/>
      <c r="JQX1450"/>
      <c r="JQY1450"/>
      <c r="JQZ1450"/>
      <c r="JRA1450"/>
      <c r="JRB1450"/>
      <c r="JRC1450"/>
      <c r="JRD1450"/>
      <c r="JRE1450"/>
      <c r="JRF1450"/>
      <c r="JRG1450"/>
      <c r="JRH1450"/>
      <c r="JRI1450"/>
      <c r="JRJ1450"/>
      <c r="JRK1450"/>
      <c r="JRL1450"/>
      <c r="JRM1450"/>
      <c r="JRN1450"/>
      <c r="JRO1450"/>
      <c r="JRP1450"/>
      <c r="JRQ1450"/>
      <c r="JRR1450"/>
      <c r="JRS1450"/>
      <c r="JRT1450"/>
      <c r="JRU1450"/>
      <c r="JRV1450"/>
      <c r="JRW1450"/>
      <c r="JRX1450"/>
      <c r="JRY1450"/>
      <c r="JRZ1450"/>
      <c r="JSA1450"/>
      <c r="JSB1450"/>
      <c r="JSC1450"/>
      <c r="JSD1450"/>
      <c r="JSE1450"/>
      <c r="JSF1450"/>
      <c r="JSG1450"/>
      <c r="JSH1450"/>
      <c r="JSI1450"/>
      <c r="JSJ1450"/>
      <c r="JSK1450"/>
      <c r="JSL1450"/>
      <c r="JSM1450"/>
      <c r="JSN1450"/>
      <c r="JSO1450"/>
      <c r="JSP1450"/>
      <c r="JSQ1450"/>
      <c r="JSR1450"/>
      <c r="JSS1450"/>
      <c r="JST1450"/>
      <c r="JSU1450"/>
      <c r="JSV1450"/>
      <c r="JSW1450"/>
      <c r="JSX1450"/>
      <c r="JSY1450"/>
      <c r="JSZ1450"/>
      <c r="JTA1450"/>
      <c r="JTB1450"/>
      <c r="JTC1450"/>
      <c r="JTD1450"/>
      <c r="JTE1450"/>
      <c r="JTF1450"/>
      <c r="JTG1450"/>
      <c r="JTH1450"/>
      <c r="JTI1450"/>
      <c r="JTJ1450"/>
      <c r="JTK1450"/>
      <c r="JTL1450"/>
      <c r="JTM1450"/>
      <c r="JTN1450"/>
      <c r="JTO1450"/>
      <c r="JTP1450"/>
      <c r="JTQ1450"/>
      <c r="JTR1450"/>
      <c r="JTS1450"/>
      <c r="JTT1450"/>
      <c r="JTU1450"/>
      <c r="JTV1450"/>
      <c r="JTW1450"/>
      <c r="JTX1450"/>
      <c r="JTY1450"/>
      <c r="JTZ1450"/>
      <c r="JUA1450"/>
      <c r="JUB1450"/>
      <c r="JUC1450"/>
      <c r="JUD1450"/>
      <c r="JUE1450"/>
      <c r="JUF1450"/>
      <c r="JUG1450"/>
      <c r="JUH1450"/>
      <c r="JUI1450"/>
      <c r="JUJ1450"/>
      <c r="JUK1450"/>
      <c r="JUL1450"/>
      <c r="JUM1450"/>
      <c r="JUN1450"/>
      <c r="JUO1450"/>
      <c r="JUP1450"/>
      <c r="JUQ1450"/>
      <c r="JUR1450"/>
      <c r="JUS1450"/>
      <c r="JUT1450"/>
      <c r="JUU1450"/>
      <c r="JUV1450"/>
      <c r="JUW1450"/>
      <c r="JUX1450"/>
      <c r="JUY1450"/>
      <c r="JUZ1450"/>
      <c r="JVA1450"/>
      <c r="JVB1450"/>
      <c r="JVC1450"/>
      <c r="JVD1450"/>
      <c r="JVE1450"/>
      <c r="JVF1450"/>
      <c r="JVG1450"/>
      <c r="JVH1450"/>
      <c r="JVI1450"/>
      <c r="JVJ1450"/>
      <c r="JVK1450"/>
      <c r="JVL1450"/>
      <c r="JVM1450"/>
      <c r="JVN1450"/>
      <c r="JVO1450"/>
      <c r="JVP1450"/>
      <c r="JVQ1450"/>
      <c r="JVR1450"/>
      <c r="JVS1450"/>
      <c r="JVT1450"/>
      <c r="JVU1450"/>
      <c r="JVV1450"/>
      <c r="JVW1450"/>
      <c r="JVX1450"/>
      <c r="JVY1450"/>
      <c r="JVZ1450"/>
      <c r="JWA1450"/>
      <c r="JWB1450"/>
      <c r="JWC1450"/>
      <c r="JWD1450"/>
      <c r="JWE1450"/>
      <c r="JWF1450"/>
      <c r="JWG1450"/>
      <c r="JWH1450"/>
      <c r="JWI1450"/>
      <c r="JWJ1450"/>
      <c r="JWK1450"/>
      <c r="JWL1450"/>
      <c r="JWM1450"/>
      <c r="JWN1450"/>
      <c r="JWO1450"/>
      <c r="JWP1450"/>
      <c r="JWQ1450"/>
      <c r="JWR1450"/>
      <c r="JWS1450"/>
      <c r="JWT1450"/>
      <c r="JWU1450"/>
      <c r="JWV1450"/>
      <c r="JWW1450"/>
      <c r="JWX1450"/>
      <c r="JWY1450"/>
      <c r="JWZ1450"/>
      <c r="JXA1450"/>
      <c r="JXB1450"/>
      <c r="JXC1450"/>
      <c r="JXD1450"/>
      <c r="JXE1450"/>
      <c r="JXF1450"/>
      <c r="JXG1450"/>
      <c r="JXH1450"/>
      <c r="JXI1450"/>
      <c r="JXJ1450"/>
      <c r="JXK1450"/>
      <c r="JXL1450"/>
      <c r="JXM1450"/>
      <c r="JXN1450"/>
      <c r="JXO1450"/>
      <c r="JXP1450"/>
      <c r="JXQ1450"/>
      <c r="JXR1450"/>
      <c r="JXS1450"/>
      <c r="JXT1450"/>
      <c r="JXU1450"/>
      <c r="JXV1450"/>
      <c r="JXW1450"/>
      <c r="JXX1450"/>
      <c r="JXY1450"/>
      <c r="JXZ1450"/>
      <c r="JYA1450"/>
      <c r="JYB1450"/>
      <c r="JYC1450"/>
      <c r="JYD1450"/>
      <c r="JYE1450"/>
      <c r="JYF1450"/>
      <c r="JYG1450"/>
      <c r="JYH1450"/>
      <c r="JYI1450"/>
      <c r="JYJ1450"/>
      <c r="JYK1450"/>
      <c r="JYL1450"/>
      <c r="JYM1450"/>
      <c r="JYN1450"/>
      <c r="JYO1450"/>
      <c r="JYP1450"/>
      <c r="JYQ1450"/>
      <c r="JYR1450"/>
      <c r="JYS1450"/>
      <c r="JYT1450"/>
      <c r="JYU1450"/>
      <c r="JYV1450"/>
      <c r="JYW1450"/>
      <c r="JYX1450"/>
      <c r="JYY1450"/>
      <c r="JYZ1450"/>
      <c r="JZA1450"/>
      <c r="JZB1450"/>
      <c r="JZC1450"/>
      <c r="JZD1450"/>
      <c r="JZE1450"/>
      <c r="JZF1450"/>
      <c r="JZG1450"/>
      <c r="JZH1450"/>
      <c r="JZI1450"/>
      <c r="JZJ1450"/>
      <c r="JZK1450"/>
      <c r="JZL1450"/>
      <c r="JZM1450"/>
      <c r="JZN1450"/>
      <c r="JZO1450"/>
      <c r="JZP1450"/>
      <c r="JZQ1450"/>
      <c r="JZR1450"/>
      <c r="JZS1450"/>
      <c r="JZT1450"/>
      <c r="JZU1450"/>
      <c r="JZV1450"/>
      <c r="JZW1450"/>
      <c r="JZX1450"/>
      <c r="JZY1450"/>
      <c r="JZZ1450"/>
      <c r="KAA1450"/>
      <c r="KAB1450"/>
      <c r="KAC1450"/>
      <c r="KAD1450"/>
      <c r="KAE1450"/>
      <c r="KAF1450"/>
      <c r="KAG1450"/>
      <c r="KAH1450"/>
      <c r="KAI1450"/>
      <c r="KAJ1450"/>
      <c r="KAK1450"/>
      <c r="KAL1450"/>
      <c r="KAM1450"/>
      <c r="KAN1450"/>
      <c r="KAO1450"/>
      <c r="KAP1450"/>
      <c r="KAQ1450"/>
      <c r="KAR1450"/>
      <c r="KAS1450"/>
      <c r="KAT1450"/>
      <c r="KAU1450"/>
      <c r="KAV1450"/>
      <c r="KAW1450"/>
      <c r="KAX1450"/>
      <c r="KAY1450"/>
      <c r="KAZ1450"/>
      <c r="KBA1450"/>
      <c r="KBB1450"/>
      <c r="KBC1450"/>
      <c r="KBD1450"/>
      <c r="KBE1450"/>
      <c r="KBF1450"/>
      <c r="KBG1450"/>
      <c r="KBH1450"/>
      <c r="KBI1450"/>
      <c r="KBJ1450"/>
      <c r="KBK1450"/>
      <c r="KBL1450"/>
      <c r="KBM1450"/>
      <c r="KBN1450"/>
      <c r="KBO1450"/>
      <c r="KBP1450"/>
      <c r="KBQ1450"/>
      <c r="KBR1450"/>
      <c r="KBS1450"/>
      <c r="KBT1450"/>
      <c r="KBU1450"/>
      <c r="KBV1450"/>
      <c r="KBW1450"/>
      <c r="KBX1450"/>
      <c r="KBY1450"/>
      <c r="KBZ1450"/>
      <c r="KCA1450"/>
      <c r="KCB1450"/>
      <c r="KCC1450"/>
      <c r="KCD1450"/>
      <c r="KCE1450"/>
      <c r="KCF1450"/>
      <c r="KCG1450"/>
      <c r="KCH1450"/>
      <c r="KCI1450"/>
      <c r="KCJ1450"/>
      <c r="KCK1450"/>
      <c r="KCL1450"/>
      <c r="KCM1450"/>
      <c r="KCN1450"/>
      <c r="KCO1450"/>
      <c r="KCP1450"/>
      <c r="KCQ1450"/>
      <c r="KCR1450"/>
      <c r="KCS1450"/>
      <c r="KCT1450"/>
      <c r="KCU1450"/>
      <c r="KCV1450"/>
      <c r="KCW1450"/>
      <c r="KCX1450"/>
      <c r="KCY1450"/>
      <c r="KCZ1450"/>
      <c r="KDA1450"/>
      <c r="KDB1450"/>
      <c r="KDC1450"/>
      <c r="KDD1450"/>
      <c r="KDE1450"/>
      <c r="KDF1450"/>
      <c r="KDG1450"/>
      <c r="KDH1450"/>
      <c r="KDI1450"/>
      <c r="KDJ1450"/>
      <c r="KDK1450"/>
      <c r="KDL1450"/>
      <c r="KDM1450"/>
      <c r="KDN1450"/>
      <c r="KDO1450"/>
      <c r="KDP1450"/>
      <c r="KDQ1450"/>
      <c r="KDR1450"/>
      <c r="KDS1450"/>
      <c r="KDT1450"/>
      <c r="KDU1450"/>
      <c r="KDV1450"/>
      <c r="KDW1450"/>
      <c r="KDX1450"/>
      <c r="KDY1450"/>
      <c r="KDZ1450"/>
      <c r="KEA1450"/>
      <c r="KEB1450"/>
      <c r="KEC1450"/>
      <c r="KED1450"/>
      <c r="KEE1450"/>
      <c r="KEF1450"/>
      <c r="KEG1450"/>
      <c r="KEH1450"/>
      <c r="KEI1450"/>
      <c r="KEJ1450"/>
      <c r="KEK1450"/>
      <c r="KEL1450"/>
      <c r="KEM1450"/>
      <c r="KEN1450"/>
      <c r="KEO1450"/>
      <c r="KEP1450"/>
      <c r="KEQ1450"/>
      <c r="KER1450"/>
      <c r="KES1450"/>
      <c r="KET1450"/>
      <c r="KEU1450"/>
      <c r="KEV1450"/>
      <c r="KEW1450"/>
      <c r="KEX1450"/>
      <c r="KEY1450"/>
      <c r="KEZ1450"/>
      <c r="KFA1450"/>
      <c r="KFB1450"/>
      <c r="KFC1450"/>
      <c r="KFD1450"/>
      <c r="KFE1450"/>
      <c r="KFF1450"/>
      <c r="KFG1450"/>
      <c r="KFH1450"/>
      <c r="KFI1450"/>
      <c r="KFJ1450"/>
      <c r="KFK1450"/>
      <c r="KFL1450"/>
      <c r="KFM1450"/>
      <c r="KFN1450"/>
      <c r="KFO1450"/>
      <c r="KFP1450"/>
      <c r="KFQ1450"/>
      <c r="KFR1450"/>
      <c r="KFS1450"/>
      <c r="KFT1450"/>
      <c r="KFU1450"/>
      <c r="KFV1450"/>
      <c r="KFW1450"/>
      <c r="KFX1450"/>
      <c r="KFY1450"/>
      <c r="KFZ1450"/>
      <c r="KGA1450"/>
      <c r="KGB1450"/>
      <c r="KGC1450"/>
      <c r="KGD1450"/>
      <c r="KGE1450"/>
      <c r="KGF1450"/>
      <c r="KGG1450"/>
      <c r="KGH1450"/>
      <c r="KGI1450"/>
      <c r="KGJ1450"/>
      <c r="KGK1450"/>
      <c r="KGL1450"/>
      <c r="KGM1450"/>
      <c r="KGN1450"/>
      <c r="KGO1450"/>
      <c r="KGP1450"/>
      <c r="KGQ1450"/>
      <c r="KGR1450"/>
      <c r="KGS1450"/>
      <c r="KGT1450"/>
      <c r="KGU1450"/>
      <c r="KGV1450"/>
      <c r="KGW1450"/>
      <c r="KGX1450"/>
      <c r="KGY1450"/>
      <c r="KGZ1450"/>
      <c r="KHA1450"/>
      <c r="KHB1450"/>
      <c r="KHC1450"/>
      <c r="KHD1450"/>
      <c r="KHE1450"/>
      <c r="KHF1450"/>
      <c r="KHG1450"/>
      <c r="KHH1450"/>
      <c r="KHI1450"/>
      <c r="KHJ1450"/>
      <c r="KHK1450"/>
      <c r="KHL1450"/>
      <c r="KHM1450"/>
      <c r="KHN1450"/>
      <c r="KHO1450"/>
      <c r="KHP1450"/>
      <c r="KHQ1450"/>
      <c r="KHR1450"/>
      <c r="KHS1450"/>
      <c r="KHT1450"/>
      <c r="KHU1450"/>
      <c r="KHV1450"/>
      <c r="KHW1450"/>
      <c r="KHX1450"/>
      <c r="KHY1450"/>
      <c r="KHZ1450"/>
      <c r="KIA1450"/>
      <c r="KIB1450"/>
      <c r="KIC1450"/>
      <c r="KID1450"/>
      <c r="KIE1450"/>
      <c r="KIF1450"/>
      <c r="KIG1450"/>
      <c r="KIH1450"/>
      <c r="KII1450"/>
      <c r="KIJ1450"/>
      <c r="KIK1450"/>
      <c r="KIL1450"/>
      <c r="KIM1450"/>
      <c r="KIN1450"/>
      <c r="KIO1450"/>
      <c r="KIP1450"/>
      <c r="KIQ1450"/>
      <c r="KIR1450"/>
      <c r="KIS1450"/>
      <c r="KIT1450"/>
      <c r="KIU1450"/>
      <c r="KIV1450"/>
      <c r="KIW1450"/>
      <c r="KIX1450"/>
      <c r="KIY1450"/>
      <c r="KIZ1450"/>
      <c r="KJA1450"/>
      <c r="KJB1450"/>
      <c r="KJC1450"/>
      <c r="KJD1450"/>
      <c r="KJE1450"/>
      <c r="KJF1450"/>
      <c r="KJG1450"/>
      <c r="KJH1450"/>
      <c r="KJI1450"/>
      <c r="KJJ1450"/>
      <c r="KJK1450"/>
      <c r="KJL1450"/>
      <c r="KJM1450"/>
      <c r="KJN1450"/>
      <c r="KJO1450"/>
      <c r="KJP1450"/>
      <c r="KJQ1450"/>
      <c r="KJR1450"/>
      <c r="KJS1450"/>
      <c r="KJT1450"/>
      <c r="KJU1450"/>
      <c r="KJV1450"/>
      <c r="KJW1450"/>
      <c r="KJX1450"/>
      <c r="KJY1450"/>
      <c r="KJZ1450"/>
      <c r="KKA1450"/>
      <c r="KKB1450"/>
      <c r="KKC1450"/>
      <c r="KKD1450"/>
      <c r="KKE1450"/>
      <c r="KKF1450"/>
      <c r="KKG1450"/>
      <c r="KKH1450"/>
      <c r="KKI1450"/>
      <c r="KKJ1450"/>
      <c r="KKK1450"/>
      <c r="KKL1450"/>
      <c r="KKM1450"/>
      <c r="KKN1450"/>
      <c r="KKO1450"/>
      <c r="KKP1450"/>
      <c r="KKQ1450"/>
      <c r="KKR1450"/>
      <c r="KKS1450"/>
      <c r="KKT1450"/>
      <c r="KKU1450"/>
      <c r="KKV1450"/>
      <c r="KKW1450"/>
      <c r="KKX1450"/>
      <c r="KKY1450"/>
      <c r="KKZ1450"/>
      <c r="KLA1450"/>
      <c r="KLB1450"/>
      <c r="KLC1450"/>
      <c r="KLD1450"/>
      <c r="KLE1450"/>
      <c r="KLF1450"/>
      <c r="KLG1450"/>
      <c r="KLH1450"/>
      <c r="KLI1450"/>
      <c r="KLJ1450"/>
      <c r="KLK1450"/>
      <c r="KLL1450"/>
      <c r="KLM1450"/>
      <c r="KLN1450"/>
      <c r="KLO1450"/>
      <c r="KLP1450"/>
      <c r="KLQ1450"/>
      <c r="KLR1450"/>
      <c r="KLS1450"/>
      <c r="KLT1450"/>
      <c r="KLU1450"/>
      <c r="KLV1450"/>
      <c r="KLW1450"/>
      <c r="KLX1450"/>
      <c r="KLY1450"/>
      <c r="KLZ1450"/>
      <c r="KMA1450"/>
      <c r="KMB1450"/>
      <c r="KMC1450"/>
      <c r="KMD1450"/>
      <c r="KME1450"/>
      <c r="KMF1450"/>
      <c r="KMG1450"/>
      <c r="KMH1450"/>
      <c r="KMI1450"/>
      <c r="KMJ1450"/>
      <c r="KMK1450"/>
      <c r="KML1450"/>
      <c r="KMM1450"/>
      <c r="KMN1450"/>
      <c r="KMO1450"/>
      <c r="KMP1450"/>
      <c r="KMQ1450"/>
      <c r="KMR1450"/>
      <c r="KMS1450"/>
      <c r="KMT1450"/>
      <c r="KMU1450"/>
      <c r="KMV1450"/>
      <c r="KMW1450"/>
      <c r="KMX1450"/>
      <c r="KMY1450"/>
      <c r="KMZ1450"/>
      <c r="KNA1450"/>
      <c r="KNB1450"/>
      <c r="KNC1450"/>
      <c r="KND1450"/>
      <c r="KNE1450"/>
      <c r="KNF1450"/>
      <c r="KNG1450"/>
      <c r="KNH1450"/>
      <c r="KNI1450"/>
      <c r="KNJ1450"/>
      <c r="KNK1450"/>
      <c r="KNL1450"/>
      <c r="KNM1450"/>
      <c r="KNN1450"/>
      <c r="KNO1450"/>
      <c r="KNP1450"/>
      <c r="KNQ1450"/>
      <c r="KNR1450"/>
      <c r="KNS1450"/>
      <c r="KNT1450"/>
      <c r="KNU1450"/>
      <c r="KNV1450"/>
      <c r="KNW1450"/>
      <c r="KNX1450"/>
      <c r="KNY1450"/>
      <c r="KNZ1450"/>
      <c r="KOA1450"/>
      <c r="KOB1450"/>
      <c r="KOC1450"/>
      <c r="KOD1450"/>
      <c r="KOE1450"/>
      <c r="KOF1450"/>
      <c r="KOG1450"/>
      <c r="KOH1450"/>
      <c r="KOI1450"/>
      <c r="KOJ1450"/>
      <c r="KOK1450"/>
      <c r="KOL1450"/>
      <c r="KOM1450"/>
      <c r="KON1450"/>
      <c r="KOO1450"/>
      <c r="KOP1450"/>
      <c r="KOQ1450"/>
      <c r="KOR1450"/>
      <c r="KOS1450"/>
      <c r="KOT1450"/>
      <c r="KOU1450"/>
      <c r="KOV1450"/>
      <c r="KOW1450"/>
      <c r="KOX1450"/>
      <c r="KOY1450"/>
      <c r="KOZ1450"/>
      <c r="KPA1450"/>
      <c r="KPB1450"/>
      <c r="KPC1450"/>
      <c r="KPD1450"/>
      <c r="KPE1450"/>
      <c r="KPF1450"/>
      <c r="KPG1450"/>
      <c r="KPH1450"/>
      <c r="KPI1450"/>
      <c r="KPJ1450"/>
      <c r="KPK1450"/>
      <c r="KPL1450"/>
      <c r="KPM1450"/>
      <c r="KPN1450"/>
      <c r="KPO1450"/>
      <c r="KPP1450"/>
      <c r="KPQ1450"/>
      <c r="KPR1450"/>
      <c r="KPS1450"/>
      <c r="KPT1450"/>
      <c r="KPU1450"/>
      <c r="KPV1450"/>
      <c r="KPW1450"/>
      <c r="KPX1450"/>
      <c r="KPY1450"/>
      <c r="KPZ1450"/>
      <c r="KQA1450"/>
      <c r="KQB1450"/>
      <c r="KQC1450"/>
      <c r="KQD1450"/>
      <c r="KQE1450"/>
      <c r="KQF1450"/>
      <c r="KQG1450"/>
      <c r="KQH1450"/>
      <c r="KQI1450"/>
      <c r="KQJ1450"/>
      <c r="KQK1450"/>
      <c r="KQL1450"/>
      <c r="KQM1450"/>
      <c r="KQN1450"/>
      <c r="KQO1450"/>
      <c r="KQP1450"/>
      <c r="KQQ1450"/>
      <c r="KQR1450"/>
      <c r="KQS1450"/>
      <c r="KQT1450"/>
      <c r="KQU1450"/>
      <c r="KQV1450"/>
      <c r="KQW1450"/>
      <c r="KQX1450"/>
      <c r="KQY1450"/>
      <c r="KQZ1450"/>
      <c r="KRA1450"/>
      <c r="KRB1450"/>
      <c r="KRC1450"/>
      <c r="KRD1450"/>
      <c r="KRE1450"/>
      <c r="KRF1450"/>
      <c r="KRG1450"/>
      <c r="KRH1450"/>
      <c r="KRI1450"/>
      <c r="KRJ1450"/>
      <c r="KRK1450"/>
      <c r="KRL1450"/>
      <c r="KRM1450"/>
      <c r="KRN1450"/>
      <c r="KRO1450"/>
      <c r="KRP1450"/>
      <c r="KRQ1450"/>
      <c r="KRR1450"/>
      <c r="KRS1450"/>
      <c r="KRT1450"/>
      <c r="KRU1450"/>
      <c r="KRV1450"/>
      <c r="KRW1450"/>
      <c r="KRX1450"/>
      <c r="KRY1450"/>
      <c r="KRZ1450"/>
      <c r="KSA1450"/>
      <c r="KSB1450"/>
      <c r="KSC1450"/>
      <c r="KSD1450"/>
      <c r="KSE1450"/>
      <c r="KSF1450"/>
      <c r="KSG1450"/>
      <c r="KSH1450"/>
      <c r="KSI1450"/>
      <c r="KSJ1450"/>
      <c r="KSK1450"/>
      <c r="KSL1450"/>
      <c r="KSM1450"/>
      <c r="KSN1450"/>
      <c r="KSO1450"/>
      <c r="KSP1450"/>
      <c r="KSQ1450"/>
      <c r="KSR1450"/>
      <c r="KSS1450"/>
      <c r="KST1450"/>
      <c r="KSU1450"/>
      <c r="KSV1450"/>
      <c r="KSW1450"/>
      <c r="KSX1450"/>
      <c r="KSY1450"/>
      <c r="KSZ1450"/>
      <c r="KTA1450"/>
      <c r="KTB1450"/>
      <c r="KTC1450"/>
      <c r="KTD1450"/>
      <c r="KTE1450"/>
      <c r="KTF1450"/>
      <c r="KTG1450"/>
      <c r="KTH1450"/>
      <c r="KTI1450"/>
      <c r="KTJ1450"/>
      <c r="KTK1450"/>
      <c r="KTL1450"/>
      <c r="KTM1450"/>
      <c r="KTN1450"/>
      <c r="KTO1450"/>
      <c r="KTP1450"/>
      <c r="KTQ1450"/>
      <c r="KTR1450"/>
      <c r="KTS1450"/>
      <c r="KTT1450"/>
      <c r="KTU1450"/>
      <c r="KTV1450"/>
      <c r="KTW1450"/>
      <c r="KTX1450"/>
      <c r="KTY1450"/>
      <c r="KTZ1450"/>
      <c r="KUA1450"/>
      <c r="KUB1450"/>
      <c r="KUC1450"/>
      <c r="KUD1450"/>
      <c r="KUE1450"/>
      <c r="KUF1450"/>
      <c r="KUG1450"/>
      <c r="KUH1450"/>
      <c r="KUI1450"/>
      <c r="KUJ1450"/>
      <c r="KUK1450"/>
      <c r="KUL1450"/>
      <c r="KUM1450"/>
      <c r="KUN1450"/>
      <c r="KUO1450"/>
      <c r="KUP1450"/>
      <c r="KUQ1450"/>
      <c r="KUR1450"/>
      <c r="KUS1450"/>
      <c r="KUT1450"/>
      <c r="KUU1450"/>
      <c r="KUV1450"/>
      <c r="KUW1450"/>
      <c r="KUX1450"/>
      <c r="KUY1450"/>
      <c r="KUZ1450"/>
      <c r="KVA1450"/>
      <c r="KVB1450"/>
      <c r="KVC1450"/>
      <c r="KVD1450"/>
      <c r="KVE1450"/>
      <c r="KVF1450"/>
      <c r="KVG1450"/>
      <c r="KVH1450"/>
      <c r="KVI1450"/>
      <c r="KVJ1450"/>
      <c r="KVK1450"/>
      <c r="KVL1450"/>
      <c r="KVM1450"/>
      <c r="KVN1450"/>
      <c r="KVO1450"/>
      <c r="KVP1450"/>
      <c r="KVQ1450"/>
      <c r="KVR1450"/>
      <c r="KVS1450"/>
      <c r="KVT1450"/>
      <c r="KVU1450"/>
      <c r="KVV1450"/>
      <c r="KVW1450"/>
      <c r="KVX1450"/>
      <c r="KVY1450"/>
      <c r="KVZ1450"/>
      <c r="KWA1450"/>
      <c r="KWB1450"/>
      <c r="KWC1450"/>
      <c r="KWD1450"/>
      <c r="KWE1450"/>
      <c r="KWF1450"/>
      <c r="KWG1450"/>
      <c r="KWH1450"/>
      <c r="KWI1450"/>
      <c r="KWJ1450"/>
      <c r="KWK1450"/>
      <c r="KWL1450"/>
      <c r="KWM1450"/>
      <c r="KWN1450"/>
      <c r="KWO1450"/>
      <c r="KWP1450"/>
      <c r="KWQ1450"/>
      <c r="KWR1450"/>
      <c r="KWS1450"/>
      <c r="KWT1450"/>
      <c r="KWU1450"/>
      <c r="KWV1450"/>
      <c r="KWW1450"/>
      <c r="KWX1450"/>
      <c r="KWY1450"/>
      <c r="KWZ1450"/>
      <c r="KXA1450"/>
      <c r="KXB1450"/>
      <c r="KXC1450"/>
      <c r="KXD1450"/>
      <c r="KXE1450"/>
      <c r="KXF1450"/>
      <c r="KXG1450"/>
      <c r="KXH1450"/>
      <c r="KXI1450"/>
      <c r="KXJ1450"/>
      <c r="KXK1450"/>
      <c r="KXL1450"/>
      <c r="KXM1450"/>
      <c r="KXN1450"/>
      <c r="KXO1450"/>
      <c r="KXP1450"/>
      <c r="KXQ1450"/>
      <c r="KXR1450"/>
      <c r="KXS1450"/>
      <c r="KXT1450"/>
      <c r="KXU1450"/>
      <c r="KXV1450"/>
      <c r="KXW1450"/>
      <c r="KXX1450"/>
      <c r="KXY1450"/>
      <c r="KXZ1450"/>
      <c r="KYA1450"/>
      <c r="KYB1450"/>
      <c r="KYC1450"/>
      <c r="KYD1450"/>
      <c r="KYE1450"/>
      <c r="KYF1450"/>
      <c r="KYG1450"/>
      <c r="KYH1450"/>
      <c r="KYI1450"/>
      <c r="KYJ1450"/>
      <c r="KYK1450"/>
      <c r="KYL1450"/>
      <c r="KYM1450"/>
      <c r="KYN1450"/>
      <c r="KYO1450"/>
      <c r="KYP1450"/>
      <c r="KYQ1450"/>
      <c r="KYR1450"/>
      <c r="KYS1450"/>
      <c r="KYT1450"/>
      <c r="KYU1450"/>
      <c r="KYV1450"/>
      <c r="KYW1450"/>
      <c r="KYX1450"/>
      <c r="KYY1450"/>
      <c r="KYZ1450"/>
      <c r="KZA1450"/>
      <c r="KZB1450"/>
      <c r="KZC1450"/>
      <c r="KZD1450"/>
      <c r="KZE1450"/>
      <c r="KZF1450"/>
      <c r="KZG1450"/>
      <c r="KZH1450"/>
      <c r="KZI1450"/>
      <c r="KZJ1450"/>
      <c r="KZK1450"/>
      <c r="KZL1450"/>
      <c r="KZM1450"/>
      <c r="KZN1450"/>
      <c r="KZO1450"/>
      <c r="KZP1450"/>
      <c r="KZQ1450"/>
      <c r="KZR1450"/>
      <c r="KZS1450"/>
      <c r="KZT1450"/>
      <c r="KZU1450"/>
      <c r="KZV1450"/>
      <c r="KZW1450"/>
      <c r="KZX1450"/>
      <c r="KZY1450"/>
      <c r="KZZ1450"/>
      <c r="LAA1450"/>
      <c r="LAB1450"/>
      <c r="LAC1450"/>
      <c r="LAD1450"/>
      <c r="LAE1450"/>
      <c r="LAF1450"/>
      <c r="LAG1450"/>
      <c r="LAH1450"/>
      <c r="LAI1450"/>
      <c r="LAJ1450"/>
      <c r="LAK1450"/>
      <c r="LAL1450"/>
      <c r="LAM1450"/>
      <c r="LAN1450"/>
      <c r="LAO1450"/>
      <c r="LAP1450"/>
      <c r="LAQ1450"/>
      <c r="LAR1450"/>
      <c r="LAS1450"/>
      <c r="LAT1450"/>
      <c r="LAU1450"/>
      <c r="LAV1450"/>
      <c r="LAW1450"/>
      <c r="LAX1450"/>
      <c r="LAY1450"/>
      <c r="LAZ1450"/>
      <c r="LBA1450"/>
      <c r="LBB1450"/>
      <c r="LBC1450"/>
      <c r="LBD1450"/>
      <c r="LBE1450"/>
      <c r="LBF1450"/>
      <c r="LBG1450"/>
      <c r="LBH1450"/>
      <c r="LBI1450"/>
      <c r="LBJ1450"/>
      <c r="LBK1450"/>
      <c r="LBL1450"/>
      <c r="LBM1450"/>
      <c r="LBN1450"/>
      <c r="LBO1450"/>
      <c r="LBP1450"/>
      <c r="LBQ1450"/>
      <c r="LBR1450"/>
      <c r="LBS1450"/>
      <c r="LBT1450"/>
      <c r="LBU1450"/>
      <c r="LBV1450"/>
      <c r="LBW1450"/>
      <c r="LBX1450"/>
      <c r="LBY1450"/>
      <c r="LBZ1450"/>
      <c r="LCA1450"/>
      <c r="LCB1450"/>
      <c r="LCC1450"/>
      <c r="LCD1450"/>
      <c r="LCE1450"/>
      <c r="LCF1450"/>
      <c r="LCG1450"/>
      <c r="LCH1450"/>
      <c r="LCI1450"/>
      <c r="LCJ1450"/>
      <c r="LCK1450"/>
      <c r="LCL1450"/>
      <c r="LCM1450"/>
      <c r="LCN1450"/>
      <c r="LCO1450"/>
      <c r="LCP1450"/>
      <c r="LCQ1450"/>
      <c r="LCR1450"/>
      <c r="LCS1450"/>
      <c r="LCT1450"/>
      <c r="LCU1450"/>
      <c r="LCV1450"/>
      <c r="LCW1450"/>
      <c r="LCX1450"/>
      <c r="LCY1450"/>
      <c r="LCZ1450"/>
      <c r="LDA1450"/>
      <c r="LDB1450"/>
      <c r="LDC1450"/>
      <c r="LDD1450"/>
      <c r="LDE1450"/>
      <c r="LDF1450"/>
      <c r="LDG1450"/>
      <c r="LDH1450"/>
      <c r="LDI1450"/>
      <c r="LDJ1450"/>
      <c r="LDK1450"/>
      <c r="LDL1450"/>
      <c r="LDM1450"/>
      <c r="LDN1450"/>
      <c r="LDO1450"/>
      <c r="LDP1450"/>
      <c r="LDQ1450"/>
      <c r="LDR1450"/>
      <c r="LDS1450"/>
      <c r="LDT1450"/>
      <c r="LDU1450"/>
      <c r="LDV1450"/>
      <c r="LDW1450"/>
      <c r="LDX1450"/>
      <c r="LDY1450"/>
      <c r="LDZ1450"/>
      <c r="LEA1450"/>
      <c r="LEB1450"/>
      <c r="LEC1450"/>
      <c r="LED1450"/>
      <c r="LEE1450"/>
      <c r="LEF1450"/>
      <c r="LEG1450"/>
      <c r="LEH1450"/>
      <c r="LEI1450"/>
      <c r="LEJ1450"/>
      <c r="LEK1450"/>
      <c r="LEL1450"/>
      <c r="LEM1450"/>
      <c r="LEN1450"/>
      <c r="LEO1450"/>
      <c r="LEP1450"/>
      <c r="LEQ1450"/>
      <c r="LER1450"/>
      <c r="LES1450"/>
      <c r="LET1450"/>
      <c r="LEU1450"/>
      <c r="LEV1450"/>
      <c r="LEW1450"/>
      <c r="LEX1450"/>
      <c r="LEY1450"/>
      <c r="LEZ1450"/>
      <c r="LFA1450"/>
      <c r="LFB1450"/>
      <c r="LFC1450"/>
      <c r="LFD1450"/>
      <c r="LFE1450"/>
      <c r="LFF1450"/>
      <c r="LFG1450"/>
      <c r="LFH1450"/>
      <c r="LFI1450"/>
      <c r="LFJ1450"/>
      <c r="LFK1450"/>
      <c r="LFL1450"/>
      <c r="LFM1450"/>
      <c r="LFN1450"/>
      <c r="LFO1450"/>
      <c r="LFP1450"/>
      <c r="LFQ1450"/>
      <c r="LFR1450"/>
      <c r="LFS1450"/>
      <c r="LFT1450"/>
      <c r="LFU1450"/>
      <c r="LFV1450"/>
      <c r="LFW1450"/>
      <c r="LFX1450"/>
      <c r="LFY1450"/>
      <c r="LFZ1450"/>
      <c r="LGA1450"/>
      <c r="LGB1450"/>
      <c r="LGC1450"/>
      <c r="LGD1450"/>
      <c r="LGE1450"/>
      <c r="LGF1450"/>
      <c r="LGG1450"/>
      <c r="LGH1450"/>
      <c r="LGI1450"/>
      <c r="LGJ1450"/>
      <c r="LGK1450"/>
      <c r="LGL1450"/>
      <c r="LGM1450"/>
      <c r="LGN1450"/>
      <c r="LGO1450"/>
      <c r="LGP1450"/>
      <c r="LGQ1450"/>
      <c r="LGR1450"/>
      <c r="LGS1450"/>
      <c r="LGT1450"/>
      <c r="LGU1450"/>
      <c r="LGV1450"/>
      <c r="LGW1450"/>
      <c r="LGX1450"/>
      <c r="LGY1450"/>
      <c r="LGZ1450"/>
      <c r="LHA1450"/>
      <c r="LHB1450"/>
      <c r="LHC1450"/>
      <c r="LHD1450"/>
      <c r="LHE1450"/>
      <c r="LHF1450"/>
      <c r="LHG1450"/>
      <c r="LHH1450"/>
      <c r="LHI1450"/>
      <c r="LHJ1450"/>
      <c r="LHK1450"/>
      <c r="LHL1450"/>
      <c r="LHM1450"/>
      <c r="LHN1450"/>
      <c r="LHO1450"/>
      <c r="LHP1450"/>
      <c r="LHQ1450"/>
      <c r="LHR1450"/>
      <c r="LHS1450"/>
      <c r="LHT1450"/>
      <c r="LHU1450"/>
      <c r="LHV1450"/>
      <c r="LHW1450"/>
      <c r="LHX1450"/>
      <c r="LHY1450"/>
      <c r="LHZ1450"/>
      <c r="LIA1450"/>
      <c r="LIB1450"/>
      <c r="LIC1450"/>
      <c r="LID1450"/>
      <c r="LIE1450"/>
      <c r="LIF1450"/>
      <c r="LIG1450"/>
      <c r="LIH1450"/>
      <c r="LII1450"/>
      <c r="LIJ1450"/>
      <c r="LIK1450"/>
      <c r="LIL1450"/>
      <c r="LIM1450"/>
      <c r="LIN1450"/>
      <c r="LIO1450"/>
      <c r="LIP1450"/>
      <c r="LIQ1450"/>
      <c r="LIR1450"/>
      <c r="LIS1450"/>
      <c r="LIT1450"/>
      <c r="LIU1450"/>
      <c r="LIV1450"/>
      <c r="LIW1450"/>
      <c r="LIX1450"/>
      <c r="LIY1450"/>
      <c r="LIZ1450"/>
      <c r="LJA1450"/>
      <c r="LJB1450"/>
      <c r="LJC1450"/>
      <c r="LJD1450"/>
      <c r="LJE1450"/>
      <c r="LJF1450"/>
      <c r="LJG1450"/>
      <c r="LJH1450"/>
      <c r="LJI1450"/>
      <c r="LJJ1450"/>
      <c r="LJK1450"/>
      <c r="LJL1450"/>
      <c r="LJM1450"/>
      <c r="LJN1450"/>
      <c r="LJO1450"/>
      <c r="LJP1450"/>
      <c r="LJQ1450"/>
      <c r="LJR1450"/>
      <c r="LJS1450"/>
      <c r="LJT1450"/>
      <c r="LJU1450"/>
      <c r="LJV1450"/>
      <c r="LJW1450"/>
      <c r="LJX1450"/>
      <c r="LJY1450"/>
      <c r="LJZ1450"/>
      <c r="LKA1450"/>
      <c r="LKB1450"/>
      <c r="LKC1450"/>
      <c r="LKD1450"/>
      <c r="LKE1450"/>
      <c r="LKF1450"/>
      <c r="LKG1450"/>
      <c r="LKH1450"/>
      <c r="LKI1450"/>
      <c r="LKJ1450"/>
      <c r="LKK1450"/>
      <c r="LKL1450"/>
      <c r="LKM1450"/>
      <c r="LKN1450"/>
      <c r="LKO1450"/>
      <c r="LKP1450"/>
      <c r="LKQ1450"/>
      <c r="LKR1450"/>
      <c r="LKS1450"/>
      <c r="LKT1450"/>
      <c r="LKU1450"/>
      <c r="LKV1450"/>
      <c r="LKW1450"/>
      <c r="LKX1450"/>
      <c r="LKY1450"/>
      <c r="LKZ1450"/>
      <c r="LLA1450"/>
      <c r="LLB1450"/>
      <c r="LLC1450"/>
      <c r="LLD1450"/>
      <c r="LLE1450"/>
      <c r="LLF1450"/>
      <c r="LLG1450"/>
      <c r="LLH1450"/>
      <c r="LLI1450"/>
      <c r="LLJ1450"/>
      <c r="LLK1450"/>
      <c r="LLL1450"/>
      <c r="LLM1450"/>
      <c r="LLN1450"/>
      <c r="LLO1450"/>
      <c r="LLP1450"/>
      <c r="LLQ1450"/>
      <c r="LLR1450"/>
      <c r="LLS1450"/>
      <c r="LLT1450"/>
      <c r="LLU1450"/>
      <c r="LLV1450"/>
      <c r="LLW1450"/>
      <c r="LLX1450"/>
      <c r="LLY1450"/>
      <c r="LLZ1450"/>
      <c r="LMA1450"/>
      <c r="LMB1450"/>
      <c r="LMC1450"/>
      <c r="LMD1450"/>
      <c r="LME1450"/>
      <c r="LMF1450"/>
      <c r="LMG1450"/>
      <c r="LMH1450"/>
      <c r="LMI1450"/>
      <c r="LMJ1450"/>
      <c r="LMK1450"/>
      <c r="LML1450"/>
      <c r="LMM1450"/>
      <c r="LMN1450"/>
      <c r="LMO1450"/>
      <c r="LMP1450"/>
      <c r="LMQ1450"/>
      <c r="LMR1450"/>
      <c r="LMS1450"/>
      <c r="LMT1450"/>
      <c r="LMU1450"/>
      <c r="LMV1450"/>
      <c r="LMW1450"/>
      <c r="LMX1450"/>
      <c r="LMY1450"/>
      <c r="LMZ1450"/>
      <c r="LNA1450"/>
      <c r="LNB1450"/>
      <c r="LNC1450"/>
      <c r="LND1450"/>
      <c r="LNE1450"/>
      <c r="LNF1450"/>
      <c r="LNG1450"/>
      <c r="LNH1450"/>
      <c r="LNI1450"/>
      <c r="LNJ1450"/>
      <c r="LNK1450"/>
      <c r="LNL1450"/>
      <c r="LNM1450"/>
      <c r="LNN1450"/>
      <c r="LNO1450"/>
      <c r="LNP1450"/>
      <c r="LNQ1450"/>
      <c r="LNR1450"/>
      <c r="LNS1450"/>
      <c r="LNT1450"/>
      <c r="LNU1450"/>
      <c r="LNV1450"/>
      <c r="LNW1450"/>
      <c r="LNX1450"/>
      <c r="LNY1450"/>
      <c r="LNZ1450"/>
      <c r="LOA1450"/>
      <c r="LOB1450"/>
      <c r="LOC1450"/>
      <c r="LOD1450"/>
      <c r="LOE1450"/>
      <c r="LOF1450"/>
      <c r="LOG1450"/>
      <c r="LOH1450"/>
      <c r="LOI1450"/>
      <c r="LOJ1450"/>
      <c r="LOK1450"/>
      <c r="LOL1450"/>
      <c r="LOM1450"/>
      <c r="LON1450"/>
      <c r="LOO1450"/>
      <c r="LOP1450"/>
      <c r="LOQ1450"/>
      <c r="LOR1450"/>
      <c r="LOS1450"/>
      <c r="LOT1450"/>
      <c r="LOU1450"/>
      <c r="LOV1450"/>
      <c r="LOW1450"/>
      <c r="LOX1450"/>
      <c r="LOY1450"/>
      <c r="LOZ1450"/>
      <c r="LPA1450"/>
      <c r="LPB1450"/>
      <c r="LPC1450"/>
      <c r="LPD1450"/>
      <c r="LPE1450"/>
      <c r="LPF1450"/>
      <c r="LPG1450"/>
      <c r="LPH1450"/>
      <c r="LPI1450"/>
      <c r="LPJ1450"/>
      <c r="LPK1450"/>
      <c r="LPL1450"/>
      <c r="LPM1450"/>
      <c r="LPN1450"/>
      <c r="LPO1450"/>
      <c r="LPP1450"/>
      <c r="LPQ1450"/>
      <c r="LPR1450"/>
      <c r="LPS1450"/>
      <c r="LPT1450"/>
      <c r="LPU1450"/>
      <c r="LPV1450"/>
      <c r="LPW1450"/>
      <c r="LPX1450"/>
      <c r="LPY1450"/>
      <c r="LPZ1450"/>
      <c r="LQA1450"/>
      <c r="LQB1450"/>
      <c r="LQC1450"/>
      <c r="LQD1450"/>
      <c r="LQE1450"/>
      <c r="LQF1450"/>
      <c r="LQG1450"/>
      <c r="LQH1450"/>
      <c r="LQI1450"/>
      <c r="LQJ1450"/>
      <c r="LQK1450"/>
      <c r="LQL1450"/>
      <c r="LQM1450"/>
      <c r="LQN1450"/>
      <c r="LQO1450"/>
      <c r="LQP1450"/>
      <c r="LQQ1450"/>
      <c r="LQR1450"/>
      <c r="LQS1450"/>
      <c r="LQT1450"/>
      <c r="LQU1450"/>
      <c r="LQV1450"/>
      <c r="LQW1450"/>
      <c r="LQX1450"/>
      <c r="LQY1450"/>
      <c r="LQZ1450"/>
      <c r="LRA1450"/>
      <c r="LRB1450"/>
      <c r="LRC1450"/>
      <c r="LRD1450"/>
      <c r="LRE1450"/>
      <c r="LRF1450"/>
      <c r="LRG1450"/>
      <c r="LRH1450"/>
      <c r="LRI1450"/>
      <c r="LRJ1450"/>
      <c r="LRK1450"/>
      <c r="LRL1450"/>
      <c r="LRM1450"/>
      <c r="LRN1450"/>
      <c r="LRO1450"/>
      <c r="LRP1450"/>
      <c r="LRQ1450"/>
      <c r="LRR1450"/>
      <c r="LRS1450"/>
      <c r="LRT1450"/>
      <c r="LRU1450"/>
      <c r="LRV1450"/>
      <c r="LRW1450"/>
      <c r="LRX1450"/>
      <c r="LRY1450"/>
      <c r="LRZ1450"/>
      <c r="LSA1450"/>
      <c r="LSB1450"/>
      <c r="LSC1450"/>
      <c r="LSD1450"/>
      <c r="LSE1450"/>
      <c r="LSF1450"/>
      <c r="LSG1450"/>
      <c r="LSH1450"/>
      <c r="LSI1450"/>
      <c r="LSJ1450"/>
      <c r="LSK1450"/>
      <c r="LSL1450"/>
      <c r="LSM1450"/>
      <c r="LSN1450"/>
      <c r="LSO1450"/>
      <c r="LSP1450"/>
      <c r="LSQ1450"/>
      <c r="LSR1450"/>
      <c r="LSS1450"/>
      <c r="LST1450"/>
      <c r="LSU1450"/>
      <c r="LSV1450"/>
      <c r="LSW1450"/>
      <c r="LSX1450"/>
      <c r="LSY1450"/>
      <c r="LSZ1450"/>
      <c r="LTA1450"/>
      <c r="LTB1450"/>
      <c r="LTC1450"/>
      <c r="LTD1450"/>
      <c r="LTE1450"/>
      <c r="LTF1450"/>
      <c r="LTG1450"/>
      <c r="LTH1450"/>
      <c r="LTI1450"/>
      <c r="LTJ1450"/>
      <c r="LTK1450"/>
      <c r="LTL1450"/>
      <c r="LTM1450"/>
      <c r="LTN1450"/>
      <c r="LTO1450"/>
      <c r="LTP1450"/>
      <c r="LTQ1450"/>
      <c r="LTR1450"/>
      <c r="LTS1450"/>
      <c r="LTT1450"/>
      <c r="LTU1450"/>
      <c r="LTV1450"/>
      <c r="LTW1450"/>
      <c r="LTX1450"/>
      <c r="LTY1450"/>
      <c r="LTZ1450"/>
      <c r="LUA1450"/>
      <c r="LUB1450"/>
      <c r="LUC1450"/>
      <c r="LUD1450"/>
      <c r="LUE1450"/>
      <c r="LUF1450"/>
      <c r="LUG1450"/>
      <c r="LUH1450"/>
      <c r="LUI1450"/>
      <c r="LUJ1450"/>
      <c r="LUK1450"/>
      <c r="LUL1450"/>
      <c r="LUM1450"/>
      <c r="LUN1450"/>
      <c r="LUO1450"/>
      <c r="LUP1450"/>
      <c r="LUQ1450"/>
      <c r="LUR1450"/>
      <c r="LUS1450"/>
      <c r="LUT1450"/>
      <c r="LUU1450"/>
      <c r="LUV1450"/>
      <c r="LUW1450"/>
      <c r="LUX1450"/>
      <c r="LUY1450"/>
      <c r="LUZ1450"/>
      <c r="LVA1450"/>
      <c r="LVB1450"/>
      <c r="LVC1450"/>
      <c r="LVD1450"/>
      <c r="LVE1450"/>
      <c r="LVF1450"/>
      <c r="LVG1450"/>
      <c r="LVH1450"/>
      <c r="LVI1450"/>
      <c r="LVJ1450"/>
      <c r="LVK1450"/>
      <c r="LVL1450"/>
      <c r="LVM1450"/>
      <c r="LVN1450"/>
      <c r="LVO1450"/>
      <c r="LVP1450"/>
      <c r="LVQ1450"/>
      <c r="LVR1450"/>
      <c r="LVS1450"/>
      <c r="LVT1450"/>
      <c r="LVU1450"/>
      <c r="LVV1450"/>
      <c r="LVW1450"/>
      <c r="LVX1450"/>
      <c r="LVY1450"/>
      <c r="LVZ1450"/>
      <c r="LWA1450"/>
      <c r="LWB1450"/>
      <c r="LWC1450"/>
      <c r="LWD1450"/>
      <c r="LWE1450"/>
      <c r="LWF1450"/>
      <c r="LWG1450"/>
      <c r="LWH1450"/>
      <c r="LWI1450"/>
      <c r="LWJ1450"/>
      <c r="LWK1450"/>
      <c r="LWL1450"/>
      <c r="LWM1450"/>
      <c r="LWN1450"/>
      <c r="LWO1450"/>
      <c r="LWP1450"/>
      <c r="LWQ1450"/>
      <c r="LWR1450"/>
      <c r="LWS1450"/>
      <c r="LWT1450"/>
      <c r="LWU1450"/>
      <c r="LWV1450"/>
      <c r="LWW1450"/>
      <c r="LWX1450"/>
      <c r="LWY1450"/>
      <c r="LWZ1450"/>
      <c r="LXA1450"/>
      <c r="LXB1450"/>
      <c r="LXC1450"/>
      <c r="LXD1450"/>
      <c r="LXE1450"/>
      <c r="LXF1450"/>
      <c r="LXG1450"/>
      <c r="LXH1450"/>
      <c r="LXI1450"/>
      <c r="LXJ1450"/>
      <c r="LXK1450"/>
      <c r="LXL1450"/>
      <c r="LXM1450"/>
      <c r="LXN1450"/>
      <c r="LXO1450"/>
      <c r="LXP1450"/>
      <c r="LXQ1450"/>
      <c r="LXR1450"/>
      <c r="LXS1450"/>
      <c r="LXT1450"/>
      <c r="LXU1450"/>
      <c r="LXV1450"/>
      <c r="LXW1450"/>
      <c r="LXX1450"/>
      <c r="LXY1450"/>
      <c r="LXZ1450"/>
      <c r="LYA1450"/>
      <c r="LYB1450"/>
      <c r="LYC1450"/>
      <c r="LYD1450"/>
      <c r="LYE1450"/>
      <c r="LYF1450"/>
      <c r="LYG1450"/>
      <c r="LYH1450"/>
      <c r="LYI1450"/>
      <c r="LYJ1450"/>
      <c r="LYK1450"/>
      <c r="LYL1450"/>
      <c r="LYM1450"/>
      <c r="LYN1450"/>
      <c r="LYO1450"/>
      <c r="LYP1450"/>
      <c r="LYQ1450"/>
      <c r="LYR1450"/>
      <c r="LYS1450"/>
      <c r="LYT1450"/>
      <c r="LYU1450"/>
      <c r="LYV1450"/>
      <c r="LYW1450"/>
      <c r="LYX1450"/>
      <c r="LYY1450"/>
      <c r="LYZ1450"/>
      <c r="LZA1450"/>
      <c r="LZB1450"/>
      <c r="LZC1450"/>
      <c r="LZD1450"/>
      <c r="LZE1450"/>
      <c r="LZF1450"/>
      <c r="LZG1450"/>
      <c r="LZH1450"/>
      <c r="LZI1450"/>
      <c r="LZJ1450"/>
      <c r="LZK1450"/>
      <c r="LZL1450"/>
      <c r="LZM1450"/>
      <c r="LZN1450"/>
      <c r="LZO1450"/>
      <c r="LZP1450"/>
      <c r="LZQ1450"/>
      <c r="LZR1450"/>
      <c r="LZS1450"/>
      <c r="LZT1450"/>
      <c r="LZU1450"/>
      <c r="LZV1450"/>
      <c r="LZW1450"/>
      <c r="LZX1450"/>
      <c r="LZY1450"/>
      <c r="LZZ1450"/>
      <c r="MAA1450"/>
      <c r="MAB1450"/>
      <c r="MAC1450"/>
      <c r="MAD1450"/>
      <c r="MAE1450"/>
      <c r="MAF1450"/>
      <c r="MAG1450"/>
      <c r="MAH1450"/>
      <c r="MAI1450"/>
      <c r="MAJ1450"/>
      <c r="MAK1450"/>
      <c r="MAL1450"/>
      <c r="MAM1450"/>
      <c r="MAN1450"/>
      <c r="MAO1450"/>
      <c r="MAP1450"/>
      <c r="MAQ1450"/>
      <c r="MAR1450"/>
      <c r="MAS1450"/>
      <c r="MAT1450"/>
      <c r="MAU1450"/>
      <c r="MAV1450"/>
      <c r="MAW1450"/>
      <c r="MAX1450"/>
      <c r="MAY1450"/>
      <c r="MAZ1450"/>
      <c r="MBA1450"/>
      <c r="MBB1450"/>
      <c r="MBC1450"/>
      <c r="MBD1450"/>
      <c r="MBE1450"/>
      <c r="MBF1450"/>
      <c r="MBG1450"/>
      <c r="MBH1450"/>
      <c r="MBI1450"/>
      <c r="MBJ1450"/>
      <c r="MBK1450"/>
      <c r="MBL1450"/>
      <c r="MBM1450"/>
      <c r="MBN1450"/>
      <c r="MBO1450"/>
      <c r="MBP1450"/>
      <c r="MBQ1450"/>
      <c r="MBR1450"/>
      <c r="MBS1450"/>
      <c r="MBT1450"/>
      <c r="MBU1450"/>
      <c r="MBV1450"/>
      <c r="MBW1450"/>
      <c r="MBX1450"/>
      <c r="MBY1450"/>
      <c r="MBZ1450"/>
      <c r="MCA1450"/>
      <c r="MCB1450"/>
      <c r="MCC1450"/>
      <c r="MCD1450"/>
      <c r="MCE1450"/>
      <c r="MCF1450"/>
      <c r="MCG1450"/>
      <c r="MCH1450"/>
      <c r="MCI1450"/>
      <c r="MCJ1450"/>
      <c r="MCK1450"/>
      <c r="MCL1450"/>
      <c r="MCM1450"/>
      <c r="MCN1450"/>
      <c r="MCO1450"/>
      <c r="MCP1450"/>
      <c r="MCQ1450"/>
      <c r="MCR1450"/>
      <c r="MCS1450"/>
      <c r="MCT1450"/>
      <c r="MCU1450"/>
      <c r="MCV1450"/>
      <c r="MCW1450"/>
      <c r="MCX1450"/>
      <c r="MCY1450"/>
      <c r="MCZ1450"/>
      <c r="MDA1450"/>
      <c r="MDB1450"/>
      <c r="MDC1450"/>
      <c r="MDD1450"/>
      <c r="MDE1450"/>
      <c r="MDF1450"/>
      <c r="MDG1450"/>
      <c r="MDH1450"/>
      <c r="MDI1450"/>
      <c r="MDJ1450"/>
      <c r="MDK1450"/>
      <c r="MDL1450"/>
      <c r="MDM1450"/>
      <c r="MDN1450"/>
      <c r="MDO1450"/>
      <c r="MDP1450"/>
      <c r="MDQ1450"/>
      <c r="MDR1450"/>
      <c r="MDS1450"/>
      <c r="MDT1450"/>
      <c r="MDU1450"/>
      <c r="MDV1450"/>
      <c r="MDW1450"/>
      <c r="MDX1450"/>
      <c r="MDY1450"/>
      <c r="MDZ1450"/>
      <c r="MEA1450"/>
      <c r="MEB1450"/>
      <c r="MEC1450"/>
      <c r="MED1450"/>
      <c r="MEE1450"/>
      <c r="MEF1450"/>
      <c r="MEG1450"/>
      <c r="MEH1450"/>
      <c r="MEI1450"/>
      <c r="MEJ1450"/>
      <c r="MEK1450"/>
      <c r="MEL1450"/>
      <c r="MEM1450"/>
      <c r="MEN1450"/>
      <c r="MEO1450"/>
      <c r="MEP1450"/>
      <c r="MEQ1450"/>
      <c r="MER1450"/>
      <c r="MES1450"/>
      <c r="MET1450"/>
      <c r="MEU1450"/>
      <c r="MEV1450"/>
      <c r="MEW1450"/>
      <c r="MEX1450"/>
      <c r="MEY1450"/>
      <c r="MEZ1450"/>
      <c r="MFA1450"/>
      <c r="MFB1450"/>
      <c r="MFC1450"/>
      <c r="MFD1450"/>
      <c r="MFE1450"/>
      <c r="MFF1450"/>
      <c r="MFG1450"/>
      <c r="MFH1450"/>
      <c r="MFI1450"/>
      <c r="MFJ1450"/>
      <c r="MFK1450"/>
      <c r="MFL1450"/>
      <c r="MFM1450"/>
      <c r="MFN1450"/>
      <c r="MFO1450"/>
      <c r="MFP1450"/>
      <c r="MFQ1450"/>
      <c r="MFR1450"/>
      <c r="MFS1450"/>
      <c r="MFT1450"/>
      <c r="MFU1450"/>
      <c r="MFV1450"/>
      <c r="MFW1450"/>
      <c r="MFX1450"/>
      <c r="MFY1450"/>
      <c r="MFZ1450"/>
      <c r="MGA1450"/>
      <c r="MGB1450"/>
      <c r="MGC1450"/>
      <c r="MGD1450"/>
      <c r="MGE1450"/>
      <c r="MGF1450"/>
      <c r="MGG1450"/>
      <c r="MGH1450"/>
      <c r="MGI1450"/>
      <c r="MGJ1450"/>
      <c r="MGK1450"/>
      <c r="MGL1450"/>
      <c r="MGM1450"/>
      <c r="MGN1450"/>
      <c r="MGO1450"/>
      <c r="MGP1450"/>
      <c r="MGQ1450"/>
      <c r="MGR1450"/>
      <c r="MGS1450"/>
      <c r="MGT1450"/>
      <c r="MGU1450"/>
      <c r="MGV1450"/>
      <c r="MGW1450"/>
      <c r="MGX1450"/>
      <c r="MGY1450"/>
      <c r="MGZ1450"/>
      <c r="MHA1450"/>
      <c r="MHB1450"/>
      <c r="MHC1450"/>
      <c r="MHD1450"/>
      <c r="MHE1450"/>
      <c r="MHF1450"/>
      <c r="MHG1450"/>
      <c r="MHH1450"/>
      <c r="MHI1450"/>
      <c r="MHJ1450"/>
      <c r="MHK1450"/>
      <c r="MHL1450"/>
      <c r="MHM1450"/>
      <c r="MHN1450"/>
      <c r="MHO1450"/>
      <c r="MHP1450"/>
      <c r="MHQ1450"/>
      <c r="MHR1450"/>
      <c r="MHS1450"/>
      <c r="MHT1450"/>
      <c r="MHU1450"/>
      <c r="MHV1450"/>
      <c r="MHW1450"/>
      <c r="MHX1450"/>
      <c r="MHY1450"/>
      <c r="MHZ1450"/>
      <c r="MIA1450"/>
      <c r="MIB1450"/>
      <c r="MIC1450"/>
      <c r="MID1450"/>
      <c r="MIE1450"/>
      <c r="MIF1450"/>
      <c r="MIG1450"/>
      <c r="MIH1450"/>
      <c r="MII1450"/>
      <c r="MIJ1450"/>
      <c r="MIK1450"/>
      <c r="MIL1450"/>
      <c r="MIM1450"/>
      <c r="MIN1450"/>
      <c r="MIO1450"/>
      <c r="MIP1450"/>
      <c r="MIQ1450"/>
      <c r="MIR1450"/>
      <c r="MIS1450"/>
      <c r="MIT1450"/>
      <c r="MIU1450"/>
      <c r="MIV1450"/>
      <c r="MIW1450"/>
      <c r="MIX1450"/>
      <c r="MIY1450"/>
      <c r="MIZ1450"/>
      <c r="MJA1450"/>
      <c r="MJB1450"/>
      <c r="MJC1450"/>
      <c r="MJD1450"/>
      <c r="MJE1450"/>
      <c r="MJF1450"/>
      <c r="MJG1450"/>
      <c r="MJH1450"/>
      <c r="MJI1450"/>
      <c r="MJJ1450"/>
      <c r="MJK1450"/>
      <c r="MJL1450"/>
      <c r="MJM1450"/>
      <c r="MJN1450"/>
      <c r="MJO1450"/>
      <c r="MJP1450"/>
      <c r="MJQ1450"/>
      <c r="MJR1450"/>
      <c r="MJS1450"/>
      <c r="MJT1450"/>
      <c r="MJU1450"/>
      <c r="MJV1450"/>
      <c r="MJW1450"/>
      <c r="MJX1450"/>
      <c r="MJY1450"/>
      <c r="MJZ1450"/>
      <c r="MKA1450"/>
      <c r="MKB1450"/>
      <c r="MKC1450"/>
      <c r="MKD1450"/>
      <c r="MKE1450"/>
      <c r="MKF1450"/>
      <c r="MKG1450"/>
      <c r="MKH1450"/>
      <c r="MKI1450"/>
      <c r="MKJ1450"/>
      <c r="MKK1450"/>
      <c r="MKL1450"/>
      <c r="MKM1450"/>
      <c r="MKN1450"/>
      <c r="MKO1450"/>
      <c r="MKP1450"/>
      <c r="MKQ1450"/>
      <c r="MKR1450"/>
      <c r="MKS1450"/>
      <c r="MKT1450"/>
      <c r="MKU1450"/>
      <c r="MKV1450"/>
      <c r="MKW1450"/>
      <c r="MKX1450"/>
      <c r="MKY1450"/>
      <c r="MKZ1450"/>
      <c r="MLA1450"/>
      <c r="MLB1450"/>
      <c r="MLC1450"/>
      <c r="MLD1450"/>
      <c r="MLE1450"/>
      <c r="MLF1450"/>
      <c r="MLG1450"/>
      <c r="MLH1450"/>
      <c r="MLI1450"/>
      <c r="MLJ1450"/>
      <c r="MLK1450"/>
      <c r="MLL1450"/>
      <c r="MLM1450"/>
      <c r="MLN1450"/>
      <c r="MLO1450"/>
      <c r="MLP1450"/>
      <c r="MLQ1450"/>
      <c r="MLR1450"/>
      <c r="MLS1450"/>
      <c r="MLT1450"/>
      <c r="MLU1450"/>
      <c r="MLV1450"/>
      <c r="MLW1450"/>
      <c r="MLX1450"/>
      <c r="MLY1450"/>
      <c r="MLZ1450"/>
      <c r="MMA1450"/>
      <c r="MMB1450"/>
      <c r="MMC1450"/>
      <c r="MMD1450"/>
      <c r="MME1450"/>
      <c r="MMF1450"/>
      <c r="MMG1450"/>
      <c r="MMH1450"/>
      <c r="MMI1450"/>
      <c r="MMJ1450"/>
      <c r="MMK1450"/>
      <c r="MML1450"/>
      <c r="MMM1450"/>
      <c r="MMN1450"/>
      <c r="MMO1450"/>
      <c r="MMP1450"/>
      <c r="MMQ1450"/>
      <c r="MMR1450"/>
      <c r="MMS1450"/>
      <c r="MMT1450"/>
      <c r="MMU1450"/>
      <c r="MMV1450"/>
      <c r="MMW1450"/>
      <c r="MMX1450"/>
      <c r="MMY1450"/>
      <c r="MMZ1450"/>
      <c r="MNA1450"/>
      <c r="MNB1450"/>
      <c r="MNC1450"/>
      <c r="MND1450"/>
      <c r="MNE1450"/>
      <c r="MNF1450"/>
      <c r="MNG1450"/>
      <c r="MNH1450"/>
      <c r="MNI1450"/>
      <c r="MNJ1450"/>
      <c r="MNK1450"/>
      <c r="MNL1450"/>
      <c r="MNM1450"/>
      <c r="MNN1450"/>
      <c r="MNO1450"/>
      <c r="MNP1450"/>
      <c r="MNQ1450"/>
      <c r="MNR1450"/>
      <c r="MNS1450"/>
      <c r="MNT1450"/>
      <c r="MNU1450"/>
      <c r="MNV1450"/>
      <c r="MNW1450"/>
      <c r="MNX1450"/>
      <c r="MNY1450"/>
      <c r="MNZ1450"/>
      <c r="MOA1450"/>
      <c r="MOB1450"/>
      <c r="MOC1450"/>
      <c r="MOD1450"/>
      <c r="MOE1450"/>
      <c r="MOF1450"/>
      <c r="MOG1450"/>
      <c r="MOH1450"/>
      <c r="MOI1450"/>
      <c r="MOJ1450"/>
      <c r="MOK1450"/>
      <c r="MOL1450"/>
      <c r="MOM1450"/>
      <c r="MON1450"/>
      <c r="MOO1450"/>
      <c r="MOP1450"/>
      <c r="MOQ1450"/>
      <c r="MOR1450"/>
      <c r="MOS1450"/>
      <c r="MOT1450"/>
      <c r="MOU1450"/>
      <c r="MOV1450"/>
      <c r="MOW1450"/>
      <c r="MOX1450"/>
      <c r="MOY1450"/>
      <c r="MOZ1450"/>
      <c r="MPA1450"/>
      <c r="MPB1450"/>
      <c r="MPC1450"/>
      <c r="MPD1450"/>
      <c r="MPE1450"/>
      <c r="MPF1450"/>
      <c r="MPG1450"/>
      <c r="MPH1450"/>
      <c r="MPI1450"/>
      <c r="MPJ1450"/>
      <c r="MPK1450"/>
      <c r="MPL1450"/>
      <c r="MPM1450"/>
      <c r="MPN1450"/>
      <c r="MPO1450"/>
      <c r="MPP1450"/>
      <c r="MPQ1450"/>
      <c r="MPR1450"/>
      <c r="MPS1450"/>
      <c r="MPT1450"/>
      <c r="MPU1450"/>
      <c r="MPV1450"/>
      <c r="MPW1450"/>
      <c r="MPX1450"/>
      <c r="MPY1450"/>
      <c r="MPZ1450"/>
      <c r="MQA1450"/>
      <c r="MQB1450"/>
      <c r="MQC1450"/>
      <c r="MQD1450"/>
      <c r="MQE1450"/>
      <c r="MQF1450"/>
      <c r="MQG1450"/>
      <c r="MQH1450"/>
      <c r="MQI1450"/>
      <c r="MQJ1450"/>
      <c r="MQK1450"/>
      <c r="MQL1450"/>
      <c r="MQM1450"/>
      <c r="MQN1450"/>
      <c r="MQO1450"/>
      <c r="MQP1450"/>
      <c r="MQQ1450"/>
      <c r="MQR1450"/>
      <c r="MQS1450"/>
      <c r="MQT1450"/>
      <c r="MQU1450"/>
      <c r="MQV1450"/>
      <c r="MQW1450"/>
      <c r="MQX1450"/>
      <c r="MQY1450"/>
      <c r="MQZ1450"/>
      <c r="MRA1450"/>
      <c r="MRB1450"/>
      <c r="MRC1450"/>
      <c r="MRD1450"/>
      <c r="MRE1450"/>
      <c r="MRF1450"/>
      <c r="MRG1450"/>
      <c r="MRH1450"/>
      <c r="MRI1450"/>
      <c r="MRJ1450"/>
      <c r="MRK1450"/>
      <c r="MRL1450"/>
      <c r="MRM1450"/>
      <c r="MRN1450"/>
      <c r="MRO1450"/>
      <c r="MRP1450"/>
      <c r="MRQ1450"/>
      <c r="MRR1450"/>
      <c r="MRS1450"/>
      <c r="MRT1450"/>
      <c r="MRU1450"/>
      <c r="MRV1450"/>
      <c r="MRW1450"/>
      <c r="MRX1450"/>
      <c r="MRY1450"/>
      <c r="MRZ1450"/>
      <c r="MSA1450"/>
      <c r="MSB1450"/>
      <c r="MSC1450"/>
      <c r="MSD1450"/>
      <c r="MSE1450"/>
      <c r="MSF1450"/>
      <c r="MSG1450"/>
      <c r="MSH1450"/>
      <c r="MSI1450"/>
      <c r="MSJ1450"/>
      <c r="MSK1450"/>
      <c r="MSL1450"/>
      <c r="MSM1450"/>
      <c r="MSN1450"/>
      <c r="MSO1450"/>
      <c r="MSP1450"/>
      <c r="MSQ1450"/>
      <c r="MSR1450"/>
      <c r="MSS1450"/>
      <c r="MST1450"/>
      <c r="MSU1450"/>
      <c r="MSV1450"/>
      <c r="MSW1450"/>
      <c r="MSX1450"/>
      <c r="MSY1450"/>
      <c r="MSZ1450"/>
      <c r="MTA1450"/>
      <c r="MTB1450"/>
      <c r="MTC1450"/>
      <c r="MTD1450"/>
      <c r="MTE1450"/>
      <c r="MTF1450"/>
      <c r="MTG1450"/>
      <c r="MTH1450"/>
      <c r="MTI1450"/>
      <c r="MTJ1450"/>
      <c r="MTK1450"/>
      <c r="MTL1450"/>
      <c r="MTM1450"/>
      <c r="MTN1450"/>
      <c r="MTO1450"/>
      <c r="MTP1450"/>
      <c r="MTQ1450"/>
      <c r="MTR1450"/>
      <c r="MTS1450"/>
      <c r="MTT1450"/>
      <c r="MTU1450"/>
      <c r="MTV1450"/>
      <c r="MTW1450"/>
      <c r="MTX1450"/>
      <c r="MTY1450"/>
      <c r="MTZ1450"/>
      <c r="MUA1450"/>
      <c r="MUB1450"/>
      <c r="MUC1450"/>
      <c r="MUD1450"/>
      <c r="MUE1450"/>
      <c r="MUF1450"/>
      <c r="MUG1450"/>
      <c r="MUH1450"/>
      <c r="MUI1450"/>
      <c r="MUJ1450"/>
      <c r="MUK1450"/>
      <c r="MUL1450"/>
      <c r="MUM1450"/>
      <c r="MUN1450"/>
      <c r="MUO1450"/>
      <c r="MUP1450"/>
      <c r="MUQ1450"/>
      <c r="MUR1450"/>
      <c r="MUS1450"/>
      <c r="MUT1450"/>
      <c r="MUU1450"/>
      <c r="MUV1450"/>
      <c r="MUW1450"/>
      <c r="MUX1450"/>
      <c r="MUY1450"/>
      <c r="MUZ1450"/>
      <c r="MVA1450"/>
      <c r="MVB1450"/>
      <c r="MVC1450"/>
      <c r="MVD1450"/>
      <c r="MVE1450"/>
      <c r="MVF1450"/>
      <c r="MVG1450"/>
      <c r="MVH1450"/>
      <c r="MVI1450"/>
      <c r="MVJ1450"/>
      <c r="MVK1450"/>
      <c r="MVL1450"/>
      <c r="MVM1450"/>
      <c r="MVN1450"/>
      <c r="MVO1450"/>
      <c r="MVP1450"/>
      <c r="MVQ1450"/>
      <c r="MVR1450"/>
      <c r="MVS1450"/>
      <c r="MVT1450"/>
      <c r="MVU1450"/>
      <c r="MVV1450"/>
      <c r="MVW1450"/>
      <c r="MVX1450"/>
      <c r="MVY1450"/>
      <c r="MVZ1450"/>
      <c r="MWA1450"/>
      <c r="MWB1450"/>
      <c r="MWC1450"/>
      <c r="MWD1450"/>
      <c r="MWE1450"/>
      <c r="MWF1450"/>
      <c r="MWG1450"/>
      <c r="MWH1450"/>
      <c r="MWI1450"/>
      <c r="MWJ1450"/>
      <c r="MWK1450"/>
      <c r="MWL1450"/>
      <c r="MWM1450"/>
      <c r="MWN1450"/>
      <c r="MWO1450"/>
      <c r="MWP1450"/>
      <c r="MWQ1450"/>
      <c r="MWR1450"/>
      <c r="MWS1450"/>
      <c r="MWT1450"/>
      <c r="MWU1450"/>
      <c r="MWV1450"/>
      <c r="MWW1450"/>
      <c r="MWX1450"/>
      <c r="MWY1450"/>
      <c r="MWZ1450"/>
      <c r="MXA1450"/>
      <c r="MXB1450"/>
      <c r="MXC1450"/>
      <c r="MXD1450"/>
      <c r="MXE1450"/>
      <c r="MXF1450"/>
      <c r="MXG1450"/>
      <c r="MXH1450"/>
      <c r="MXI1450"/>
      <c r="MXJ1450"/>
      <c r="MXK1450"/>
      <c r="MXL1450"/>
      <c r="MXM1450"/>
      <c r="MXN1450"/>
      <c r="MXO1450"/>
      <c r="MXP1450"/>
      <c r="MXQ1450"/>
      <c r="MXR1450"/>
      <c r="MXS1450"/>
      <c r="MXT1450"/>
      <c r="MXU1450"/>
      <c r="MXV1450"/>
      <c r="MXW1450"/>
      <c r="MXX1450"/>
      <c r="MXY1450"/>
      <c r="MXZ1450"/>
      <c r="MYA1450"/>
      <c r="MYB1450"/>
      <c r="MYC1450"/>
      <c r="MYD1450"/>
      <c r="MYE1450"/>
      <c r="MYF1450"/>
      <c r="MYG1450"/>
      <c r="MYH1450"/>
      <c r="MYI1450"/>
      <c r="MYJ1450"/>
      <c r="MYK1450"/>
      <c r="MYL1450"/>
      <c r="MYM1450"/>
      <c r="MYN1450"/>
      <c r="MYO1450"/>
      <c r="MYP1450"/>
      <c r="MYQ1450"/>
      <c r="MYR1450"/>
      <c r="MYS1450"/>
      <c r="MYT1450"/>
      <c r="MYU1450"/>
      <c r="MYV1450"/>
      <c r="MYW1450"/>
      <c r="MYX1450"/>
      <c r="MYY1450"/>
      <c r="MYZ1450"/>
      <c r="MZA1450"/>
      <c r="MZB1450"/>
      <c r="MZC1450"/>
      <c r="MZD1450"/>
      <c r="MZE1450"/>
      <c r="MZF1450"/>
      <c r="MZG1450"/>
      <c r="MZH1450"/>
      <c r="MZI1450"/>
      <c r="MZJ1450"/>
      <c r="MZK1450"/>
      <c r="MZL1450"/>
      <c r="MZM1450"/>
      <c r="MZN1450"/>
      <c r="MZO1450"/>
      <c r="MZP1450"/>
      <c r="MZQ1450"/>
      <c r="MZR1450"/>
      <c r="MZS1450"/>
      <c r="MZT1450"/>
      <c r="MZU1450"/>
      <c r="MZV1450"/>
      <c r="MZW1450"/>
      <c r="MZX1450"/>
      <c r="MZY1450"/>
      <c r="MZZ1450"/>
      <c r="NAA1450"/>
      <c r="NAB1450"/>
      <c r="NAC1450"/>
      <c r="NAD1450"/>
      <c r="NAE1450"/>
      <c r="NAF1450"/>
      <c r="NAG1450"/>
      <c r="NAH1450"/>
      <c r="NAI1450"/>
      <c r="NAJ1450"/>
      <c r="NAK1450"/>
      <c r="NAL1450"/>
      <c r="NAM1450"/>
      <c r="NAN1450"/>
      <c r="NAO1450"/>
      <c r="NAP1450"/>
      <c r="NAQ1450"/>
      <c r="NAR1450"/>
      <c r="NAS1450"/>
      <c r="NAT1450"/>
      <c r="NAU1450"/>
      <c r="NAV1450"/>
      <c r="NAW1450"/>
      <c r="NAX1450"/>
      <c r="NAY1450"/>
      <c r="NAZ1450"/>
      <c r="NBA1450"/>
      <c r="NBB1450"/>
      <c r="NBC1450"/>
      <c r="NBD1450"/>
      <c r="NBE1450"/>
      <c r="NBF1450"/>
      <c r="NBG1450"/>
      <c r="NBH1450"/>
      <c r="NBI1450"/>
      <c r="NBJ1450"/>
      <c r="NBK1450"/>
      <c r="NBL1450"/>
      <c r="NBM1450"/>
      <c r="NBN1450"/>
      <c r="NBO1450"/>
      <c r="NBP1450"/>
      <c r="NBQ1450"/>
      <c r="NBR1450"/>
      <c r="NBS1450"/>
      <c r="NBT1450"/>
      <c r="NBU1450"/>
      <c r="NBV1450"/>
      <c r="NBW1450"/>
      <c r="NBX1450"/>
      <c r="NBY1450"/>
      <c r="NBZ1450"/>
      <c r="NCA1450"/>
      <c r="NCB1450"/>
      <c r="NCC1450"/>
      <c r="NCD1450"/>
      <c r="NCE1450"/>
      <c r="NCF1450"/>
      <c r="NCG1450"/>
      <c r="NCH1450"/>
      <c r="NCI1450"/>
      <c r="NCJ1450"/>
      <c r="NCK1450"/>
      <c r="NCL1450"/>
      <c r="NCM1450"/>
      <c r="NCN1450"/>
      <c r="NCO1450"/>
      <c r="NCP1450"/>
      <c r="NCQ1450"/>
      <c r="NCR1450"/>
      <c r="NCS1450"/>
      <c r="NCT1450"/>
      <c r="NCU1450"/>
      <c r="NCV1450"/>
      <c r="NCW1450"/>
      <c r="NCX1450"/>
      <c r="NCY1450"/>
      <c r="NCZ1450"/>
      <c r="NDA1450"/>
      <c r="NDB1450"/>
      <c r="NDC1450"/>
      <c r="NDD1450"/>
      <c r="NDE1450"/>
      <c r="NDF1450"/>
      <c r="NDG1450"/>
      <c r="NDH1450"/>
      <c r="NDI1450"/>
      <c r="NDJ1450"/>
      <c r="NDK1450"/>
      <c r="NDL1450"/>
      <c r="NDM1450"/>
      <c r="NDN1450"/>
      <c r="NDO1450"/>
      <c r="NDP1450"/>
      <c r="NDQ1450"/>
      <c r="NDR1450"/>
      <c r="NDS1450"/>
      <c r="NDT1450"/>
      <c r="NDU1450"/>
      <c r="NDV1450"/>
      <c r="NDW1450"/>
      <c r="NDX1450"/>
      <c r="NDY1450"/>
      <c r="NDZ1450"/>
      <c r="NEA1450"/>
      <c r="NEB1450"/>
      <c r="NEC1450"/>
      <c r="NED1450"/>
      <c r="NEE1450"/>
      <c r="NEF1450"/>
      <c r="NEG1450"/>
      <c r="NEH1450"/>
      <c r="NEI1450"/>
      <c r="NEJ1450"/>
      <c r="NEK1450"/>
      <c r="NEL1450"/>
      <c r="NEM1450"/>
      <c r="NEN1450"/>
      <c r="NEO1450"/>
      <c r="NEP1450"/>
      <c r="NEQ1450"/>
      <c r="NER1450"/>
      <c r="NES1450"/>
      <c r="NET1450"/>
      <c r="NEU1450"/>
      <c r="NEV1450"/>
      <c r="NEW1450"/>
      <c r="NEX1450"/>
      <c r="NEY1450"/>
      <c r="NEZ1450"/>
      <c r="NFA1450"/>
      <c r="NFB1450"/>
      <c r="NFC1450"/>
      <c r="NFD1450"/>
      <c r="NFE1450"/>
      <c r="NFF1450"/>
      <c r="NFG1450"/>
      <c r="NFH1450"/>
      <c r="NFI1450"/>
      <c r="NFJ1450"/>
      <c r="NFK1450"/>
      <c r="NFL1450"/>
      <c r="NFM1450"/>
      <c r="NFN1450"/>
      <c r="NFO1450"/>
      <c r="NFP1450"/>
      <c r="NFQ1450"/>
      <c r="NFR1450"/>
      <c r="NFS1450"/>
      <c r="NFT1450"/>
      <c r="NFU1450"/>
      <c r="NFV1450"/>
      <c r="NFW1450"/>
      <c r="NFX1450"/>
      <c r="NFY1450"/>
      <c r="NFZ1450"/>
      <c r="NGA1450"/>
      <c r="NGB1450"/>
      <c r="NGC1450"/>
      <c r="NGD1450"/>
      <c r="NGE1450"/>
      <c r="NGF1450"/>
      <c r="NGG1450"/>
      <c r="NGH1450"/>
      <c r="NGI1450"/>
      <c r="NGJ1450"/>
      <c r="NGK1450"/>
      <c r="NGL1450"/>
      <c r="NGM1450"/>
      <c r="NGN1450"/>
      <c r="NGO1450"/>
      <c r="NGP1450"/>
      <c r="NGQ1450"/>
      <c r="NGR1450"/>
      <c r="NGS1450"/>
      <c r="NGT1450"/>
      <c r="NGU1450"/>
      <c r="NGV1450"/>
      <c r="NGW1450"/>
      <c r="NGX1450"/>
      <c r="NGY1450"/>
      <c r="NGZ1450"/>
      <c r="NHA1450"/>
      <c r="NHB1450"/>
      <c r="NHC1450"/>
      <c r="NHD1450"/>
      <c r="NHE1450"/>
      <c r="NHF1450"/>
      <c r="NHG1450"/>
      <c r="NHH1450"/>
      <c r="NHI1450"/>
      <c r="NHJ1450"/>
      <c r="NHK1450"/>
      <c r="NHL1450"/>
      <c r="NHM1450"/>
      <c r="NHN1450"/>
      <c r="NHO1450"/>
      <c r="NHP1450"/>
      <c r="NHQ1450"/>
      <c r="NHR1450"/>
      <c r="NHS1450"/>
      <c r="NHT1450"/>
      <c r="NHU1450"/>
      <c r="NHV1450"/>
      <c r="NHW1450"/>
      <c r="NHX1450"/>
      <c r="NHY1450"/>
      <c r="NHZ1450"/>
      <c r="NIA1450"/>
      <c r="NIB1450"/>
      <c r="NIC1450"/>
      <c r="NID1450"/>
      <c r="NIE1450"/>
      <c r="NIF1450"/>
      <c r="NIG1450"/>
      <c r="NIH1450"/>
      <c r="NII1450"/>
      <c r="NIJ1450"/>
      <c r="NIK1450"/>
      <c r="NIL1450"/>
      <c r="NIM1450"/>
      <c r="NIN1450"/>
      <c r="NIO1450"/>
      <c r="NIP1450"/>
      <c r="NIQ1450"/>
      <c r="NIR1450"/>
      <c r="NIS1450"/>
      <c r="NIT1450"/>
      <c r="NIU1450"/>
      <c r="NIV1450"/>
      <c r="NIW1450"/>
      <c r="NIX1450"/>
      <c r="NIY1450"/>
      <c r="NIZ1450"/>
      <c r="NJA1450"/>
      <c r="NJB1450"/>
      <c r="NJC1450"/>
      <c r="NJD1450"/>
      <c r="NJE1450"/>
      <c r="NJF1450"/>
      <c r="NJG1450"/>
      <c r="NJH1450"/>
      <c r="NJI1450"/>
      <c r="NJJ1450"/>
      <c r="NJK1450"/>
      <c r="NJL1450"/>
      <c r="NJM1450"/>
      <c r="NJN1450"/>
      <c r="NJO1450"/>
      <c r="NJP1450"/>
      <c r="NJQ1450"/>
      <c r="NJR1450"/>
      <c r="NJS1450"/>
      <c r="NJT1450"/>
      <c r="NJU1450"/>
      <c r="NJV1450"/>
      <c r="NJW1450"/>
      <c r="NJX1450"/>
      <c r="NJY1450"/>
      <c r="NJZ1450"/>
      <c r="NKA1450"/>
      <c r="NKB1450"/>
      <c r="NKC1450"/>
      <c r="NKD1450"/>
      <c r="NKE1450"/>
      <c r="NKF1450"/>
      <c r="NKG1450"/>
      <c r="NKH1450"/>
      <c r="NKI1450"/>
      <c r="NKJ1450"/>
      <c r="NKK1450"/>
      <c r="NKL1450"/>
      <c r="NKM1450"/>
      <c r="NKN1450"/>
      <c r="NKO1450"/>
      <c r="NKP1450"/>
      <c r="NKQ1450"/>
      <c r="NKR1450"/>
      <c r="NKS1450"/>
      <c r="NKT1450"/>
      <c r="NKU1450"/>
      <c r="NKV1450"/>
      <c r="NKW1450"/>
      <c r="NKX1450"/>
      <c r="NKY1450"/>
      <c r="NKZ1450"/>
      <c r="NLA1450"/>
      <c r="NLB1450"/>
      <c r="NLC1450"/>
      <c r="NLD1450"/>
      <c r="NLE1450"/>
      <c r="NLF1450"/>
      <c r="NLG1450"/>
      <c r="NLH1450"/>
      <c r="NLI1450"/>
      <c r="NLJ1450"/>
      <c r="NLK1450"/>
      <c r="NLL1450"/>
      <c r="NLM1450"/>
      <c r="NLN1450"/>
      <c r="NLO1450"/>
      <c r="NLP1450"/>
      <c r="NLQ1450"/>
      <c r="NLR1450"/>
      <c r="NLS1450"/>
      <c r="NLT1450"/>
      <c r="NLU1450"/>
      <c r="NLV1450"/>
      <c r="NLW1450"/>
      <c r="NLX1450"/>
      <c r="NLY1450"/>
      <c r="NLZ1450"/>
      <c r="NMA1450"/>
      <c r="NMB1450"/>
      <c r="NMC1450"/>
      <c r="NMD1450"/>
      <c r="NME1450"/>
      <c r="NMF1450"/>
      <c r="NMG1450"/>
      <c r="NMH1450"/>
      <c r="NMI1450"/>
      <c r="NMJ1450"/>
      <c r="NMK1450"/>
      <c r="NML1450"/>
      <c r="NMM1450"/>
      <c r="NMN1450"/>
      <c r="NMO1450"/>
      <c r="NMP1450"/>
      <c r="NMQ1450"/>
      <c r="NMR1450"/>
      <c r="NMS1450"/>
      <c r="NMT1450"/>
      <c r="NMU1450"/>
      <c r="NMV1450"/>
      <c r="NMW1450"/>
      <c r="NMX1450"/>
      <c r="NMY1450"/>
      <c r="NMZ1450"/>
      <c r="NNA1450"/>
      <c r="NNB1450"/>
      <c r="NNC1450"/>
      <c r="NND1450"/>
      <c r="NNE1450"/>
      <c r="NNF1450"/>
      <c r="NNG1450"/>
      <c r="NNH1450"/>
      <c r="NNI1450"/>
      <c r="NNJ1450"/>
      <c r="NNK1450"/>
      <c r="NNL1450"/>
      <c r="NNM1450"/>
      <c r="NNN1450"/>
      <c r="NNO1450"/>
      <c r="NNP1450"/>
      <c r="NNQ1450"/>
      <c r="NNR1450"/>
      <c r="NNS1450"/>
      <c r="NNT1450"/>
      <c r="NNU1450"/>
      <c r="NNV1450"/>
      <c r="NNW1450"/>
      <c r="NNX1450"/>
      <c r="NNY1450"/>
      <c r="NNZ1450"/>
      <c r="NOA1450"/>
      <c r="NOB1450"/>
      <c r="NOC1450"/>
      <c r="NOD1450"/>
      <c r="NOE1450"/>
      <c r="NOF1450"/>
      <c r="NOG1450"/>
      <c r="NOH1450"/>
      <c r="NOI1450"/>
      <c r="NOJ1450"/>
      <c r="NOK1450"/>
      <c r="NOL1450"/>
      <c r="NOM1450"/>
      <c r="NON1450"/>
      <c r="NOO1450"/>
      <c r="NOP1450"/>
      <c r="NOQ1450"/>
      <c r="NOR1450"/>
      <c r="NOS1450"/>
      <c r="NOT1450"/>
      <c r="NOU1450"/>
      <c r="NOV1450"/>
      <c r="NOW1450"/>
      <c r="NOX1450"/>
      <c r="NOY1450"/>
      <c r="NOZ1450"/>
      <c r="NPA1450"/>
      <c r="NPB1450"/>
      <c r="NPC1450"/>
      <c r="NPD1450"/>
      <c r="NPE1450"/>
      <c r="NPF1450"/>
      <c r="NPG1450"/>
      <c r="NPH1450"/>
      <c r="NPI1450"/>
      <c r="NPJ1450"/>
      <c r="NPK1450"/>
      <c r="NPL1450"/>
      <c r="NPM1450"/>
      <c r="NPN1450"/>
      <c r="NPO1450"/>
      <c r="NPP1450"/>
      <c r="NPQ1450"/>
      <c r="NPR1450"/>
      <c r="NPS1450"/>
      <c r="NPT1450"/>
      <c r="NPU1450"/>
      <c r="NPV1450"/>
      <c r="NPW1450"/>
      <c r="NPX1450"/>
      <c r="NPY1450"/>
      <c r="NPZ1450"/>
      <c r="NQA1450"/>
      <c r="NQB1450"/>
      <c r="NQC1450"/>
      <c r="NQD1450"/>
      <c r="NQE1450"/>
      <c r="NQF1450"/>
      <c r="NQG1450"/>
      <c r="NQH1450"/>
      <c r="NQI1450"/>
      <c r="NQJ1450"/>
      <c r="NQK1450"/>
      <c r="NQL1450"/>
      <c r="NQM1450"/>
      <c r="NQN1450"/>
      <c r="NQO1450"/>
      <c r="NQP1450"/>
      <c r="NQQ1450"/>
      <c r="NQR1450"/>
      <c r="NQS1450"/>
      <c r="NQT1450"/>
      <c r="NQU1450"/>
      <c r="NQV1450"/>
      <c r="NQW1450"/>
      <c r="NQX1450"/>
      <c r="NQY1450"/>
      <c r="NQZ1450"/>
      <c r="NRA1450"/>
      <c r="NRB1450"/>
      <c r="NRC1450"/>
      <c r="NRD1450"/>
      <c r="NRE1450"/>
      <c r="NRF1450"/>
      <c r="NRG1450"/>
      <c r="NRH1450"/>
      <c r="NRI1450"/>
      <c r="NRJ1450"/>
      <c r="NRK1450"/>
      <c r="NRL1450"/>
      <c r="NRM1450"/>
      <c r="NRN1450"/>
      <c r="NRO1450"/>
      <c r="NRP1450"/>
      <c r="NRQ1450"/>
      <c r="NRR1450"/>
      <c r="NRS1450"/>
      <c r="NRT1450"/>
      <c r="NRU1450"/>
      <c r="NRV1450"/>
      <c r="NRW1450"/>
      <c r="NRX1450"/>
      <c r="NRY1450"/>
      <c r="NRZ1450"/>
      <c r="NSA1450"/>
      <c r="NSB1450"/>
      <c r="NSC1450"/>
      <c r="NSD1450"/>
      <c r="NSE1450"/>
      <c r="NSF1450"/>
      <c r="NSG1450"/>
      <c r="NSH1450"/>
      <c r="NSI1450"/>
      <c r="NSJ1450"/>
      <c r="NSK1450"/>
      <c r="NSL1450"/>
      <c r="NSM1450"/>
      <c r="NSN1450"/>
      <c r="NSO1450"/>
      <c r="NSP1450"/>
      <c r="NSQ1450"/>
      <c r="NSR1450"/>
      <c r="NSS1450"/>
      <c r="NST1450"/>
      <c r="NSU1450"/>
      <c r="NSV1450"/>
      <c r="NSW1450"/>
      <c r="NSX1450"/>
      <c r="NSY1450"/>
      <c r="NSZ1450"/>
      <c r="NTA1450"/>
      <c r="NTB1450"/>
      <c r="NTC1450"/>
      <c r="NTD1450"/>
      <c r="NTE1450"/>
      <c r="NTF1450"/>
      <c r="NTG1450"/>
      <c r="NTH1450"/>
      <c r="NTI1450"/>
      <c r="NTJ1450"/>
      <c r="NTK1450"/>
      <c r="NTL1450"/>
      <c r="NTM1450"/>
      <c r="NTN1450"/>
      <c r="NTO1450"/>
      <c r="NTP1450"/>
      <c r="NTQ1450"/>
      <c r="NTR1450"/>
      <c r="NTS1450"/>
      <c r="NTT1450"/>
      <c r="NTU1450"/>
      <c r="NTV1450"/>
      <c r="NTW1450"/>
      <c r="NTX1450"/>
      <c r="NTY1450"/>
      <c r="NTZ1450"/>
      <c r="NUA1450"/>
      <c r="NUB1450"/>
      <c r="NUC1450"/>
      <c r="NUD1450"/>
      <c r="NUE1450"/>
      <c r="NUF1450"/>
      <c r="NUG1450"/>
      <c r="NUH1450"/>
      <c r="NUI1450"/>
      <c r="NUJ1450"/>
      <c r="NUK1450"/>
      <c r="NUL1450"/>
      <c r="NUM1450"/>
      <c r="NUN1450"/>
      <c r="NUO1450"/>
      <c r="NUP1450"/>
      <c r="NUQ1450"/>
      <c r="NUR1450"/>
      <c r="NUS1450"/>
      <c r="NUT1450"/>
      <c r="NUU1450"/>
      <c r="NUV1450"/>
      <c r="NUW1450"/>
      <c r="NUX1450"/>
      <c r="NUY1450"/>
      <c r="NUZ1450"/>
      <c r="NVA1450"/>
      <c r="NVB1450"/>
      <c r="NVC1450"/>
      <c r="NVD1450"/>
      <c r="NVE1450"/>
      <c r="NVF1450"/>
      <c r="NVG1450"/>
      <c r="NVH1450"/>
      <c r="NVI1450"/>
      <c r="NVJ1450"/>
      <c r="NVK1450"/>
      <c r="NVL1450"/>
      <c r="NVM1450"/>
      <c r="NVN1450"/>
      <c r="NVO1450"/>
      <c r="NVP1450"/>
      <c r="NVQ1450"/>
      <c r="NVR1450"/>
      <c r="NVS1450"/>
      <c r="NVT1450"/>
      <c r="NVU1450"/>
      <c r="NVV1450"/>
      <c r="NVW1450"/>
      <c r="NVX1450"/>
      <c r="NVY1450"/>
      <c r="NVZ1450"/>
      <c r="NWA1450"/>
      <c r="NWB1450"/>
      <c r="NWC1450"/>
      <c r="NWD1450"/>
      <c r="NWE1450"/>
      <c r="NWF1450"/>
      <c r="NWG1450"/>
      <c r="NWH1450"/>
      <c r="NWI1450"/>
      <c r="NWJ1450"/>
      <c r="NWK1450"/>
      <c r="NWL1450"/>
      <c r="NWM1450"/>
      <c r="NWN1450"/>
      <c r="NWO1450"/>
      <c r="NWP1450"/>
      <c r="NWQ1450"/>
      <c r="NWR1450"/>
      <c r="NWS1450"/>
      <c r="NWT1450"/>
      <c r="NWU1450"/>
      <c r="NWV1450"/>
      <c r="NWW1450"/>
      <c r="NWX1450"/>
      <c r="NWY1450"/>
      <c r="NWZ1450"/>
      <c r="NXA1450"/>
      <c r="NXB1450"/>
      <c r="NXC1450"/>
      <c r="NXD1450"/>
      <c r="NXE1450"/>
      <c r="NXF1450"/>
      <c r="NXG1450"/>
      <c r="NXH1450"/>
      <c r="NXI1450"/>
      <c r="NXJ1450"/>
      <c r="NXK1450"/>
      <c r="NXL1450"/>
      <c r="NXM1450"/>
      <c r="NXN1450"/>
      <c r="NXO1450"/>
      <c r="NXP1450"/>
      <c r="NXQ1450"/>
      <c r="NXR1450"/>
      <c r="NXS1450"/>
      <c r="NXT1450"/>
      <c r="NXU1450"/>
      <c r="NXV1450"/>
      <c r="NXW1450"/>
      <c r="NXX1450"/>
      <c r="NXY1450"/>
      <c r="NXZ1450"/>
      <c r="NYA1450"/>
      <c r="NYB1450"/>
      <c r="NYC1450"/>
      <c r="NYD1450"/>
      <c r="NYE1450"/>
      <c r="NYF1450"/>
      <c r="NYG1450"/>
      <c r="NYH1450"/>
      <c r="NYI1450"/>
      <c r="NYJ1450"/>
      <c r="NYK1450"/>
      <c r="NYL1450"/>
      <c r="NYM1450"/>
      <c r="NYN1450"/>
      <c r="NYO1450"/>
      <c r="NYP1450"/>
      <c r="NYQ1450"/>
      <c r="NYR1450"/>
      <c r="NYS1450"/>
      <c r="NYT1450"/>
      <c r="NYU1450"/>
      <c r="NYV1450"/>
      <c r="NYW1450"/>
      <c r="NYX1450"/>
      <c r="NYY1450"/>
      <c r="NYZ1450"/>
      <c r="NZA1450"/>
      <c r="NZB1450"/>
      <c r="NZC1450"/>
      <c r="NZD1450"/>
      <c r="NZE1450"/>
      <c r="NZF1450"/>
      <c r="NZG1450"/>
      <c r="NZH1450"/>
      <c r="NZI1450"/>
      <c r="NZJ1450"/>
      <c r="NZK1450"/>
      <c r="NZL1450"/>
      <c r="NZM1450"/>
      <c r="NZN1450"/>
      <c r="NZO1450"/>
      <c r="NZP1450"/>
      <c r="NZQ1450"/>
      <c r="NZR1450"/>
      <c r="NZS1450"/>
      <c r="NZT1450"/>
      <c r="NZU1450"/>
      <c r="NZV1450"/>
      <c r="NZW1450"/>
      <c r="NZX1450"/>
      <c r="NZY1450"/>
      <c r="NZZ1450"/>
      <c r="OAA1450"/>
      <c r="OAB1450"/>
      <c r="OAC1450"/>
      <c r="OAD1450"/>
      <c r="OAE1450"/>
      <c r="OAF1450"/>
      <c r="OAG1450"/>
      <c r="OAH1450"/>
      <c r="OAI1450"/>
      <c r="OAJ1450"/>
      <c r="OAK1450"/>
      <c r="OAL1450"/>
      <c r="OAM1450"/>
      <c r="OAN1450"/>
      <c r="OAO1450"/>
      <c r="OAP1450"/>
      <c r="OAQ1450"/>
      <c r="OAR1450"/>
      <c r="OAS1450"/>
      <c r="OAT1450"/>
      <c r="OAU1450"/>
      <c r="OAV1450"/>
      <c r="OAW1450"/>
      <c r="OAX1450"/>
      <c r="OAY1450"/>
      <c r="OAZ1450"/>
      <c r="OBA1450"/>
      <c r="OBB1450"/>
      <c r="OBC1450"/>
      <c r="OBD1450"/>
      <c r="OBE1450"/>
      <c r="OBF1450"/>
      <c r="OBG1450"/>
      <c r="OBH1450"/>
      <c r="OBI1450"/>
      <c r="OBJ1450"/>
      <c r="OBK1450"/>
      <c r="OBL1450"/>
      <c r="OBM1450"/>
      <c r="OBN1450"/>
      <c r="OBO1450"/>
      <c r="OBP1450"/>
      <c r="OBQ1450"/>
      <c r="OBR1450"/>
      <c r="OBS1450"/>
      <c r="OBT1450"/>
      <c r="OBU1450"/>
      <c r="OBV1450"/>
      <c r="OBW1450"/>
      <c r="OBX1450"/>
      <c r="OBY1450"/>
      <c r="OBZ1450"/>
      <c r="OCA1450"/>
      <c r="OCB1450"/>
      <c r="OCC1450"/>
      <c r="OCD1450"/>
      <c r="OCE1450"/>
      <c r="OCF1450"/>
      <c r="OCG1450"/>
      <c r="OCH1450"/>
      <c r="OCI1450"/>
      <c r="OCJ1450"/>
      <c r="OCK1450"/>
      <c r="OCL1450"/>
      <c r="OCM1450"/>
      <c r="OCN1450"/>
      <c r="OCO1450"/>
      <c r="OCP1450"/>
      <c r="OCQ1450"/>
      <c r="OCR1450"/>
      <c r="OCS1450"/>
      <c r="OCT1450"/>
      <c r="OCU1450"/>
      <c r="OCV1450"/>
      <c r="OCW1450"/>
      <c r="OCX1450"/>
      <c r="OCY1450"/>
      <c r="OCZ1450"/>
      <c r="ODA1450"/>
      <c r="ODB1450"/>
      <c r="ODC1450"/>
      <c r="ODD1450"/>
      <c r="ODE1450"/>
      <c r="ODF1450"/>
      <c r="ODG1450"/>
      <c r="ODH1450"/>
      <c r="ODI1450"/>
      <c r="ODJ1450"/>
      <c r="ODK1450"/>
      <c r="ODL1450"/>
      <c r="ODM1450"/>
      <c r="ODN1450"/>
      <c r="ODO1450"/>
      <c r="ODP1450"/>
      <c r="ODQ1450"/>
      <c r="ODR1450"/>
      <c r="ODS1450"/>
      <c r="ODT1450"/>
      <c r="ODU1450"/>
      <c r="ODV1450"/>
      <c r="ODW1450"/>
      <c r="ODX1450"/>
      <c r="ODY1450"/>
      <c r="ODZ1450"/>
      <c r="OEA1450"/>
      <c r="OEB1450"/>
      <c r="OEC1450"/>
      <c r="OED1450"/>
      <c r="OEE1450"/>
      <c r="OEF1450"/>
      <c r="OEG1450"/>
      <c r="OEH1450"/>
      <c r="OEI1450"/>
      <c r="OEJ1450"/>
      <c r="OEK1450"/>
      <c r="OEL1450"/>
      <c r="OEM1450"/>
      <c r="OEN1450"/>
      <c r="OEO1450"/>
      <c r="OEP1450"/>
      <c r="OEQ1450"/>
      <c r="OER1450"/>
      <c r="OES1450"/>
      <c r="OET1450"/>
      <c r="OEU1450"/>
      <c r="OEV1450"/>
      <c r="OEW1450"/>
      <c r="OEX1450"/>
      <c r="OEY1450"/>
      <c r="OEZ1450"/>
      <c r="OFA1450"/>
      <c r="OFB1450"/>
      <c r="OFC1450"/>
      <c r="OFD1450"/>
      <c r="OFE1450"/>
      <c r="OFF1450"/>
      <c r="OFG1450"/>
      <c r="OFH1450"/>
      <c r="OFI1450"/>
      <c r="OFJ1450"/>
      <c r="OFK1450"/>
      <c r="OFL1450"/>
      <c r="OFM1450"/>
      <c r="OFN1450"/>
      <c r="OFO1450"/>
      <c r="OFP1450"/>
      <c r="OFQ1450"/>
      <c r="OFR1450"/>
      <c r="OFS1450"/>
      <c r="OFT1450"/>
      <c r="OFU1450"/>
      <c r="OFV1450"/>
      <c r="OFW1450"/>
      <c r="OFX1450"/>
      <c r="OFY1450"/>
      <c r="OFZ1450"/>
      <c r="OGA1450"/>
      <c r="OGB1450"/>
      <c r="OGC1450"/>
      <c r="OGD1450"/>
      <c r="OGE1450"/>
      <c r="OGF1450"/>
      <c r="OGG1450"/>
      <c r="OGH1450"/>
      <c r="OGI1450"/>
      <c r="OGJ1450"/>
      <c r="OGK1450"/>
      <c r="OGL1450"/>
      <c r="OGM1450"/>
      <c r="OGN1450"/>
      <c r="OGO1450"/>
      <c r="OGP1450"/>
      <c r="OGQ1450"/>
      <c r="OGR1450"/>
      <c r="OGS1450"/>
      <c r="OGT1450"/>
      <c r="OGU1450"/>
      <c r="OGV1450"/>
      <c r="OGW1450"/>
      <c r="OGX1450"/>
      <c r="OGY1450"/>
      <c r="OGZ1450"/>
      <c r="OHA1450"/>
      <c r="OHB1450"/>
      <c r="OHC1450"/>
      <c r="OHD1450"/>
      <c r="OHE1450"/>
      <c r="OHF1450"/>
      <c r="OHG1450"/>
      <c r="OHH1450"/>
      <c r="OHI1450"/>
      <c r="OHJ1450"/>
      <c r="OHK1450"/>
      <c r="OHL1450"/>
      <c r="OHM1450"/>
      <c r="OHN1450"/>
      <c r="OHO1450"/>
      <c r="OHP1450"/>
      <c r="OHQ1450"/>
      <c r="OHR1450"/>
      <c r="OHS1450"/>
      <c r="OHT1450"/>
      <c r="OHU1450"/>
      <c r="OHV1450"/>
      <c r="OHW1450"/>
      <c r="OHX1450"/>
      <c r="OHY1450"/>
      <c r="OHZ1450"/>
      <c r="OIA1450"/>
      <c r="OIB1450"/>
      <c r="OIC1450"/>
      <c r="OID1450"/>
      <c r="OIE1450"/>
      <c r="OIF1450"/>
      <c r="OIG1450"/>
      <c r="OIH1450"/>
      <c r="OII1450"/>
      <c r="OIJ1450"/>
      <c r="OIK1450"/>
      <c r="OIL1450"/>
      <c r="OIM1450"/>
      <c r="OIN1450"/>
      <c r="OIO1450"/>
      <c r="OIP1450"/>
      <c r="OIQ1450"/>
      <c r="OIR1450"/>
      <c r="OIS1450"/>
      <c r="OIT1450"/>
      <c r="OIU1450"/>
      <c r="OIV1450"/>
      <c r="OIW1450"/>
      <c r="OIX1450"/>
      <c r="OIY1450"/>
      <c r="OIZ1450"/>
      <c r="OJA1450"/>
      <c r="OJB1450"/>
      <c r="OJC1450"/>
      <c r="OJD1450"/>
      <c r="OJE1450"/>
      <c r="OJF1450"/>
      <c r="OJG1450"/>
      <c r="OJH1450"/>
      <c r="OJI1450"/>
      <c r="OJJ1450"/>
      <c r="OJK1450"/>
      <c r="OJL1450"/>
      <c r="OJM1450"/>
      <c r="OJN1450"/>
      <c r="OJO1450"/>
      <c r="OJP1450"/>
      <c r="OJQ1450"/>
      <c r="OJR1450"/>
      <c r="OJS1450"/>
      <c r="OJT1450"/>
      <c r="OJU1450"/>
      <c r="OJV1450"/>
      <c r="OJW1450"/>
      <c r="OJX1450"/>
      <c r="OJY1450"/>
      <c r="OJZ1450"/>
      <c r="OKA1450"/>
      <c r="OKB1450"/>
      <c r="OKC1450"/>
      <c r="OKD1450"/>
      <c r="OKE1450"/>
      <c r="OKF1450"/>
      <c r="OKG1450"/>
      <c r="OKH1450"/>
      <c r="OKI1450"/>
      <c r="OKJ1450"/>
      <c r="OKK1450"/>
      <c r="OKL1450"/>
      <c r="OKM1450"/>
      <c r="OKN1450"/>
      <c r="OKO1450"/>
      <c r="OKP1450"/>
      <c r="OKQ1450"/>
      <c r="OKR1450"/>
      <c r="OKS1450"/>
      <c r="OKT1450"/>
      <c r="OKU1450"/>
      <c r="OKV1450"/>
      <c r="OKW1450"/>
      <c r="OKX1450"/>
      <c r="OKY1450"/>
      <c r="OKZ1450"/>
      <c r="OLA1450"/>
      <c r="OLB1450"/>
      <c r="OLC1450"/>
      <c r="OLD1450"/>
      <c r="OLE1450"/>
      <c r="OLF1450"/>
      <c r="OLG1450"/>
      <c r="OLH1450"/>
      <c r="OLI1450"/>
      <c r="OLJ1450"/>
      <c r="OLK1450"/>
      <c r="OLL1450"/>
      <c r="OLM1450"/>
      <c r="OLN1450"/>
      <c r="OLO1450"/>
      <c r="OLP1450"/>
      <c r="OLQ1450"/>
      <c r="OLR1450"/>
      <c r="OLS1450"/>
      <c r="OLT1450"/>
      <c r="OLU1450"/>
      <c r="OLV1450"/>
      <c r="OLW1450"/>
      <c r="OLX1450"/>
      <c r="OLY1450"/>
      <c r="OLZ1450"/>
      <c r="OMA1450"/>
      <c r="OMB1450"/>
      <c r="OMC1450"/>
      <c r="OMD1450"/>
      <c r="OME1450"/>
      <c r="OMF1450"/>
      <c r="OMG1450"/>
      <c r="OMH1450"/>
      <c r="OMI1450"/>
      <c r="OMJ1450"/>
      <c r="OMK1450"/>
      <c r="OML1450"/>
      <c r="OMM1450"/>
      <c r="OMN1450"/>
      <c r="OMO1450"/>
      <c r="OMP1450"/>
      <c r="OMQ1450"/>
      <c r="OMR1450"/>
      <c r="OMS1450"/>
      <c r="OMT1450"/>
      <c r="OMU1450"/>
      <c r="OMV1450"/>
      <c r="OMW1450"/>
      <c r="OMX1450"/>
      <c r="OMY1450"/>
      <c r="OMZ1450"/>
      <c r="ONA1450"/>
      <c r="ONB1450"/>
      <c r="ONC1450"/>
      <c r="OND1450"/>
      <c r="ONE1450"/>
      <c r="ONF1450"/>
      <c r="ONG1450"/>
      <c r="ONH1450"/>
      <c r="ONI1450"/>
      <c r="ONJ1450"/>
      <c r="ONK1450"/>
      <c r="ONL1450"/>
      <c r="ONM1450"/>
      <c r="ONN1450"/>
      <c r="ONO1450"/>
      <c r="ONP1450"/>
      <c r="ONQ1450"/>
      <c r="ONR1450"/>
      <c r="ONS1450"/>
      <c r="ONT1450"/>
      <c r="ONU1450"/>
      <c r="ONV1450"/>
      <c r="ONW1450"/>
      <c r="ONX1450"/>
      <c r="ONY1450"/>
      <c r="ONZ1450"/>
      <c r="OOA1450"/>
      <c r="OOB1450"/>
      <c r="OOC1450"/>
      <c r="OOD1450"/>
      <c r="OOE1450"/>
      <c r="OOF1450"/>
      <c r="OOG1450"/>
      <c r="OOH1450"/>
      <c r="OOI1450"/>
      <c r="OOJ1450"/>
      <c r="OOK1450"/>
      <c r="OOL1450"/>
      <c r="OOM1450"/>
      <c r="OON1450"/>
      <c r="OOO1450"/>
      <c r="OOP1450"/>
      <c r="OOQ1450"/>
      <c r="OOR1450"/>
      <c r="OOS1450"/>
      <c r="OOT1450"/>
      <c r="OOU1450"/>
      <c r="OOV1450"/>
      <c r="OOW1450"/>
      <c r="OOX1450"/>
      <c r="OOY1450"/>
      <c r="OOZ1450"/>
      <c r="OPA1450"/>
      <c r="OPB1450"/>
      <c r="OPC1450"/>
      <c r="OPD1450"/>
      <c r="OPE1450"/>
      <c r="OPF1450"/>
      <c r="OPG1450"/>
      <c r="OPH1450"/>
      <c r="OPI1450"/>
      <c r="OPJ1450"/>
      <c r="OPK1450"/>
      <c r="OPL1450"/>
      <c r="OPM1450"/>
      <c r="OPN1450"/>
      <c r="OPO1450"/>
      <c r="OPP1450"/>
      <c r="OPQ1450"/>
      <c r="OPR1450"/>
      <c r="OPS1450"/>
      <c r="OPT1450"/>
      <c r="OPU1450"/>
      <c r="OPV1450"/>
      <c r="OPW1450"/>
      <c r="OPX1450"/>
      <c r="OPY1450"/>
      <c r="OPZ1450"/>
      <c r="OQA1450"/>
      <c r="OQB1450"/>
      <c r="OQC1450"/>
      <c r="OQD1450"/>
      <c r="OQE1450"/>
      <c r="OQF1450"/>
      <c r="OQG1450"/>
      <c r="OQH1450"/>
      <c r="OQI1450"/>
      <c r="OQJ1450"/>
      <c r="OQK1450"/>
      <c r="OQL1450"/>
      <c r="OQM1450"/>
      <c r="OQN1450"/>
      <c r="OQO1450"/>
      <c r="OQP1450"/>
      <c r="OQQ1450"/>
      <c r="OQR1450"/>
      <c r="OQS1450"/>
      <c r="OQT1450"/>
      <c r="OQU1450"/>
      <c r="OQV1450"/>
      <c r="OQW1450"/>
      <c r="OQX1450"/>
      <c r="OQY1450"/>
      <c r="OQZ1450"/>
      <c r="ORA1450"/>
      <c r="ORB1450"/>
      <c r="ORC1450"/>
      <c r="ORD1450"/>
      <c r="ORE1450"/>
      <c r="ORF1450"/>
      <c r="ORG1450"/>
      <c r="ORH1450"/>
      <c r="ORI1450"/>
      <c r="ORJ1450"/>
      <c r="ORK1450"/>
      <c r="ORL1450"/>
      <c r="ORM1450"/>
      <c r="ORN1450"/>
      <c r="ORO1450"/>
      <c r="ORP1450"/>
      <c r="ORQ1450"/>
      <c r="ORR1450"/>
      <c r="ORS1450"/>
      <c r="ORT1450"/>
      <c r="ORU1450"/>
      <c r="ORV1450"/>
      <c r="ORW1450"/>
      <c r="ORX1450"/>
      <c r="ORY1450"/>
      <c r="ORZ1450"/>
      <c r="OSA1450"/>
      <c r="OSB1450"/>
      <c r="OSC1450"/>
      <c r="OSD1450"/>
      <c r="OSE1450"/>
      <c r="OSF1450"/>
      <c r="OSG1450"/>
      <c r="OSH1450"/>
      <c r="OSI1450"/>
      <c r="OSJ1450"/>
      <c r="OSK1450"/>
      <c r="OSL1450"/>
      <c r="OSM1450"/>
      <c r="OSN1450"/>
      <c r="OSO1450"/>
      <c r="OSP1450"/>
      <c r="OSQ1450"/>
      <c r="OSR1450"/>
      <c r="OSS1450"/>
      <c r="OST1450"/>
      <c r="OSU1450"/>
      <c r="OSV1450"/>
      <c r="OSW1450"/>
      <c r="OSX1450"/>
      <c r="OSY1450"/>
      <c r="OSZ1450"/>
      <c r="OTA1450"/>
      <c r="OTB1450"/>
      <c r="OTC1450"/>
      <c r="OTD1450"/>
      <c r="OTE1450"/>
      <c r="OTF1450"/>
      <c r="OTG1450"/>
      <c r="OTH1450"/>
      <c r="OTI1450"/>
      <c r="OTJ1450"/>
      <c r="OTK1450"/>
      <c r="OTL1450"/>
      <c r="OTM1450"/>
      <c r="OTN1450"/>
      <c r="OTO1450"/>
      <c r="OTP1450"/>
      <c r="OTQ1450"/>
      <c r="OTR1450"/>
      <c r="OTS1450"/>
      <c r="OTT1450"/>
      <c r="OTU1450"/>
      <c r="OTV1450"/>
      <c r="OTW1450"/>
      <c r="OTX1450"/>
      <c r="OTY1450"/>
      <c r="OTZ1450"/>
      <c r="OUA1450"/>
      <c r="OUB1450"/>
      <c r="OUC1450"/>
      <c r="OUD1450"/>
      <c r="OUE1450"/>
      <c r="OUF1450"/>
      <c r="OUG1450"/>
      <c r="OUH1450"/>
      <c r="OUI1450"/>
      <c r="OUJ1450"/>
      <c r="OUK1450"/>
      <c r="OUL1450"/>
      <c r="OUM1450"/>
      <c r="OUN1450"/>
      <c r="OUO1450"/>
      <c r="OUP1450"/>
      <c r="OUQ1450"/>
      <c r="OUR1450"/>
      <c r="OUS1450"/>
      <c r="OUT1450"/>
      <c r="OUU1450"/>
      <c r="OUV1450"/>
      <c r="OUW1450"/>
      <c r="OUX1450"/>
      <c r="OUY1450"/>
      <c r="OUZ1450"/>
      <c r="OVA1450"/>
      <c r="OVB1450"/>
      <c r="OVC1450"/>
      <c r="OVD1450"/>
      <c r="OVE1450"/>
      <c r="OVF1450"/>
      <c r="OVG1450"/>
      <c r="OVH1450"/>
      <c r="OVI1450"/>
      <c r="OVJ1450"/>
      <c r="OVK1450"/>
      <c r="OVL1450"/>
      <c r="OVM1450"/>
      <c r="OVN1450"/>
      <c r="OVO1450"/>
      <c r="OVP1450"/>
      <c r="OVQ1450"/>
      <c r="OVR1450"/>
      <c r="OVS1450"/>
      <c r="OVT1450"/>
      <c r="OVU1450"/>
      <c r="OVV1450"/>
      <c r="OVW1450"/>
      <c r="OVX1450"/>
      <c r="OVY1450"/>
      <c r="OVZ1450"/>
      <c r="OWA1450"/>
      <c r="OWB1450"/>
      <c r="OWC1450"/>
      <c r="OWD1450"/>
      <c r="OWE1450"/>
      <c r="OWF1450"/>
      <c r="OWG1450"/>
      <c r="OWH1450"/>
      <c r="OWI1450"/>
      <c r="OWJ1450"/>
      <c r="OWK1450"/>
      <c r="OWL1450"/>
      <c r="OWM1450"/>
      <c r="OWN1450"/>
      <c r="OWO1450"/>
      <c r="OWP1450"/>
      <c r="OWQ1450"/>
      <c r="OWR1450"/>
      <c r="OWS1450"/>
      <c r="OWT1450"/>
      <c r="OWU1450"/>
      <c r="OWV1450"/>
      <c r="OWW1450"/>
      <c r="OWX1450"/>
      <c r="OWY1450"/>
      <c r="OWZ1450"/>
      <c r="OXA1450"/>
      <c r="OXB1450"/>
      <c r="OXC1450"/>
      <c r="OXD1450"/>
      <c r="OXE1450"/>
      <c r="OXF1450"/>
      <c r="OXG1450"/>
      <c r="OXH1450"/>
      <c r="OXI1450"/>
      <c r="OXJ1450"/>
      <c r="OXK1450"/>
      <c r="OXL1450"/>
      <c r="OXM1450"/>
      <c r="OXN1450"/>
      <c r="OXO1450"/>
      <c r="OXP1450"/>
      <c r="OXQ1450"/>
      <c r="OXR1450"/>
      <c r="OXS1450"/>
      <c r="OXT1450"/>
      <c r="OXU1450"/>
      <c r="OXV1450"/>
      <c r="OXW1450"/>
      <c r="OXX1450"/>
      <c r="OXY1450"/>
      <c r="OXZ1450"/>
      <c r="OYA1450"/>
      <c r="OYB1450"/>
      <c r="OYC1450"/>
      <c r="OYD1450"/>
      <c r="OYE1450"/>
      <c r="OYF1450"/>
      <c r="OYG1450"/>
      <c r="OYH1450"/>
      <c r="OYI1450"/>
      <c r="OYJ1450"/>
      <c r="OYK1450"/>
      <c r="OYL1450"/>
      <c r="OYM1450"/>
      <c r="OYN1450"/>
      <c r="OYO1450"/>
      <c r="OYP1450"/>
      <c r="OYQ1450"/>
      <c r="OYR1450"/>
      <c r="OYS1450"/>
      <c r="OYT1450"/>
      <c r="OYU1450"/>
      <c r="OYV1450"/>
      <c r="OYW1450"/>
      <c r="OYX1450"/>
      <c r="OYY1450"/>
      <c r="OYZ1450"/>
      <c r="OZA1450"/>
      <c r="OZB1450"/>
      <c r="OZC1450"/>
      <c r="OZD1450"/>
      <c r="OZE1450"/>
      <c r="OZF1450"/>
      <c r="OZG1450"/>
      <c r="OZH1450"/>
      <c r="OZI1450"/>
      <c r="OZJ1450"/>
      <c r="OZK1450"/>
      <c r="OZL1450"/>
      <c r="OZM1450"/>
      <c r="OZN1450"/>
      <c r="OZO1450"/>
      <c r="OZP1450"/>
      <c r="OZQ1450"/>
      <c r="OZR1450"/>
      <c r="OZS1450"/>
      <c r="OZT1450"/>
      <c r="OZU1450"/>
      <c r="OZV1450"/>
      <c r="OZW1450"/>
      <c r="OZX1450"/>
      <c r="OZY1450"/>
      <c r="OZZ1450"/>
      <c r="PAA1450"/>
      <c r="PAB1450"/>
      <c r="PAC1450"/>
      <c r="PAD1450"/>
      <c r="PAE1450"/>
      <c r="PAF1450"/>
      <c r="PAG1450"/>
      <c r="PAH1450"/>
      <c r="PAI1450"/>
      <c r="PAJ1450"/>
      <c r="PAK1450"/>
      <c r="PAL1450"/>
      <c r="PAM1450"/>
      <c r="PAN1450"/>
      <c r="PAO1450"/>
      <c r="PAP1450"/>
      <c r="PAQ1450"/>
      <c r="PAR1450"/>
      <c r="PAS1450"/>
      <c r="PAT1450"/>
      <c r="PAU1450"/>
      <c r="PAV1450"/>
      <c r="PAW1450"/>
      <c r="PAX1450"/>
      <c r="PAY1450"/>
      <c r="PAZ1450"/>
      <c r="PBA1450"/>
      <c r="PBB1450"/>
      <c r="PBC1450"/>
      <c r="PBD1450"/>
      <c r="PBE1450"/>
      <c r="PBF1450"/>
      <c r="PBG1450"/>
      <c r="PBH1450"/>
      <c r="PBI1450"/>
      <c r="PBJ1450"/>
      <c r="PBK1450"/>
      <c r="PBL1450"/>
      <c r="PBM1450"/>
      <c r="PBN1450"/>
      <c r="PBO1450"/>
      <c r="PBP1450"/>
      <c r="PBQ1450"/>
      <c r="PBR1450"/>
      <c r="PBS1450"/>
      <c r="PBT1450"/>
      <c r="PBU1450"/>
      <c r="PBV1450"/>
      <c r="PBW1450"/>
      <c r="PBX1450"/>
      <c r="PBY1450"/>
      <c r="PBZ1450"/>
      <c r="PCA1450"/>
      <c r="PCB1450"/>
      <c r="PCC1450"/>
      <c r="PCD1450"/>
      <c r="PCE1450"/>
      <c r="PCF1450"/>
      <c r="PCG1450"/>
      <c r="PCH1450"/>
      <c r="PCI1450"/>
      <c r="PCJ1450"/>
      <c r="PCK1450"/>
      <c r="PCL1450"/>
      <c r="PCM1450"/>
      <c r="PCN1450"/>
      <c r="PCO1450"/>
      <c r="PCP1450"/>
      <c r="PCQ1450"/>
      <c r="PCR1450"/>
      <c r="PCS1450"/>
      <c r="PCT1450"/>
      <c r="PCU1450"/>
      <c r="PCV1450"/>
      <c r="PCW1450"/>
      <c r="PCX1450"/>
      <c r="PCY1450"/>
      <c r="PCZ1450"/>
      <c r="PDA1450"/>
      <c r="PDB1450"/>
      <c r="PDC1450"/>
      <c r="PDD1450"/>
      <c r="PDE1450"/>
      <c r="PDF1450"/>
      <c r="PDG1450"/>
      <c r="PDH1450"/>
      <c r="PDI1450"/>
      <c r="PDJ1450"/>
      <c r="PDK1450"/>
      <c r="PDL1450"/>
      <c r="PDM1450"/>
      <c r="PDN1450"/>
      <c r="PDO1450"/>
      <c r="PDP1450"/>
      <c r="PDQ1450"/>
      <c r="PDR1450"/>
      <c r="PDS1450"/>
      <c r="PDT1450"/>
      <c r="PDU1450"/>
      <c r="PDV1450"/>
      <c r="PDW1450"/>
      <c r="PDX1450"/>
      <c r="PDY1450"/>
      <c r="PDZ1450"/>
      <c r="PEA1450"/>
      <c r="PEB1450"/>
      <c r="PEC1450"/>
      <c r="PED1450"/>
      <c r="PEE1450"/>
      <c r="PEF1450"/>
      <c r="PEG1450"/>
      <c r="PEH1450"/>
      <c r="PEI1450"/>
      <c r="PEJ1450"/>
      <c r="PEK1450"/>
      <c r="PEL1450"/>
      <c r="PEM1450"/>
      <c r="PEN1450"/>
      <c r="PEO1450"/>
      <c r="PEP1450"/>
      <c r="PEQ1450"/>
      <c r="PER1450"/>
      <c r="PES1450"/>
      <c r="PET1450"/>
      <c r="PEU1450"/>
      <c r="PEV1450"/>
      <c r="PEW1450"/>
      <c r="PEX1450"/>
      <c r="PEY1450"/>
      <c r="PEZ1450"/>
      <c r="PFA1450"/>
      <c r="PFB1450"/>
      <c r="PFC1450"/>
      <c r="PFD1450"/>
      <c r="PFE1450"/>
      <c r="PFF1450"/>
      <c r="PFG1450"/>
      <c r="PFH1450"/>
      <c r="PFI1450"/>
      <c r="PFJ1450"/>
      <c r="PFK1450"/>
      <c r="PFL1450"/>
      <c r="PFM1450"/>
      <c r="PFN1450"/>
      <c r="PFO1450"/>
      <c r="PFP1450"/>
      <c r="PFQ1450"/>
      <c r="PFR1450"/>
      <c r="PFS1450"/>
      <c r="PFT1450"/>
      <c r="PFU1450"/>
      <c r="PFV1450"/>
      <c r="PFW1450"/>
      <c r="PFX1450"/>
      <c r="PFY1450"/>
      <c r="PFZ1450"/>
      <c r="PGA1450"/>
      <c r="PGB1450"/>
      <c r="PGC1450"/>
      <c r="PGD1450"/>
      <c r="PGE1450"/>
      <c r="PGF1450"/>
      <c r="PGG1450"/>
      <c r="PGH1450"/>
      <c r="PGI1450"/>
      <c r="PGJ1450"/>
      <c r="PGK1450"/>
      <c r="PGL1450"/>
      <c r="PGM1450"/>
      <c r="PGN1450"/>
      <c r="PGO1450"/>
      <c r="PGP1450"/>
      <c r="PGQ1450"/>
      <c r="PGR1450"/>
      <c r="PGS1450"/>
      <c r="PGT1450"/>
      <c r="PGU1450"/>
      <c r="PGV1450"/>
      <c r="PGW1450"/>
      <c r="PGX1450"/>
      <c r="PGY1450"/>
      <c r="PGZ1450"/>
      <c r="PHA1450"/>
      <c r="PHB1450"/>
      <c r="PHC1450"/>
      <c r="PHD1450"/>
      <c r="PHE1450"/>
      <c r="PHF1450"/>
      <c r="PHG1450"/>
      <c r="PHH1450"/>
      <c r="PHI1450"/>
      <c r="PHJ1450"/>
      <c r="PHK1450"/>
      <c r="PHL1450"/>
      <c r="PHM1450"/>
      <c r="PHN1450"/>
      <c r="PHO1450"/>
      <c r="PHP1450"/>
      <c r="PHQ1450"/>
      <c r="PHR1450"/>
      <c r="PHS1450"/>
      <c r="PHT1450"/>
      <c r="PHU1450"/>
      <c r="PHV1450"/>
      <c r="PHW1450"/>
      <c r="PHX1450"/>
      <c r="PHY1450"/>
      <c r="PHZ1450"/>
      <c r="PIA1450"/>
      <c r="PIB1450"/>
      <c r="PIC1450"/>
      <c r="PID1450"/>
      <c r="PIE1450"/>
      <c r="PIF1450"/>
      <c r="PIG1450"/>
      <c r="PIH1450"/>
      <c r="PII1450"/>
      <c r="PIJ1450"/>
      <c r="PIK1450"/>
      <c r="PIL1450"/>
      <c r="PIM1450"/>
      <c r="PIN1450"/>
      <c r="PIO1450"/>
      <c r="PIP1450"/>
      <c r="PIQ1450"/>
      <c r="PIR1450"/>
      <c r="PIS1450"/>
      <c r="PIT1450"/>
      <c r="PIU1450"/>
      <c r="PIV1450"/>
      <c r="PIW1450"/>
      <c r="PIX1450"/>
      <c r="PIY1450"/>
      <c r="PIZ1450"/>
      <c r="PJA1450"/>
      <c r="PJB1450"/>
      <c r="PJC1450"/>
      <c r="PJD1450"/>
      <c r="PJE1450"/>
      <c r="PJF1450"/>
      <c r="PJG1450"/>
      <c r="PJH1450"/>
      <c r="PJI1450"/>
      <c r="PJJ1450"/>
      <c r="PJK1450"/>
      <c r="PJL1450"/>
      <c r="PJM1450"/>
      <c r="PJN1450"/>
      <c r="PJO1450"/>
      <c r="PJP1450"/>
      <c r="PJQ1450"/>
      <c r="PJR1450"/>
      <c r="PJS1450"/>
      <c r="PJT1450"/>
      <c r="PJU1450"/>
      <c r="PJV1450"/>
      <c r="PJW1450"/>
      <c r="PJX1450"/>
      <c r="PJY1450"/>
      <c r="PJZ1450"/>
      <c r="PKA1450"/>
      <c r="PKB1450"/>
      <c r="PKC1450"/>
      <c r="PKD1450"/>
      <c r="PKE1450"/>
      <c r="PKF1450"/>
      <c r="PKG1450"/>
      <c r="PKH1450"/>
      <c r="PKI1450"/>
      <c r="PKJ1450"/>
      <c r="PKK1450"/>
      <c r="PKL1450"/>
      <c r="PKM1450"/>
      <c r="PKN1450"/>
      <c r="PKO1450"/>
      <c r="PKP1450"/>
      <c r="PKQ1450"/>
      <c r="PKR1450"/>
      <c r="PKS1450"/>
      <c r="PKT1450"/>
      <c r="PKU1450"/>
      <c r="PKV1450"/>
      <c r="PKW1450"/>
      <c r="PKX1450"/>
      <c r="PKY1450"/>
      <c r="PKZ1450"/>
      <c r="PLA1450"/>
      <c r="PLB1450"/>
      <c r="PLC1450"/>
      <c r="PLD1450"/>
      <c r="PLE1450"/>
      <c r="PLF1450"/>
      <c r="PLG1450"/>
      <c r="PLH1450"/>
      <c r="PLI1450"/>
      <c r="PLJ1450"/>
      <c r="PLK1450"/>
      <c r="PLL1450"/>
      <c r="PLM1450"/>
      <c r="PLN1450"/>
      <c r="PLO1450"/>
      <c r="PLP1450"/>
      <c r="PLQ1450"/>
      <c r="PLR1450"/>
      <c r="PLS1450"/>
      <c r="PLT1450"/>
      <c r="PLU1450"/>
      <c r="PLV1450"/>
      <c r="PLW1450"/>
      <c r="PLX1450"/>
      <c r="PLY1450"/>
      <c r="PLZ1450"/>
      <c r="PMA1450"/>
      <c r="PMB1450"/>
      <c r="PMC1450"/>
      <c r="PMD1450"/>
      <c r="PME1450"/>
      <c r="PMF1450"/>
      <c r="PMG1450"/>
      <c r="PMH1450"/>
      <c r="PMI1450"/>
      <c r="PMJ1450"/>
      <c r="PMK1450"/>
      <c r="PML1450"/>
      <c r="PMM1450"/>
      <c r="PMN1450"/>
      <c r="PMO1450"/>
      <c r="PMP1450"/>
      <c r="PMQ1450"/>
      <c r="PMR1450"/>
      <c r="PMS1450"/>
      <c r="PMT1450"/>
      <c r="PMU1450"/>
      <c r="PMV1450"/>
      <c r="PMW1450"/>
      <c r="PMX1450"/>
      <c r="PMY1450"/>
      <c r="PMZ1450"/>
      <c r="PNA1450"/>
      <c r="PNB1450"/>
      <c r="PNC1450"/>
      <c r="PND1450"/>
      <c r="PNE1450"/>
      <c r="PNF1450"/>
      <c r="PNG1450"/>
      <c r="PNH1450"/>
      <c r="PNI1450"/>
      <c r="PNJ1450"/>
      <c r="PNK1450"/>
      <c r="PNL1450"/>
      <c r="PNM1450"/>
      <c r="PNN1450"/>
      <c r="PNO1450"/>
      <c r="PNP1450"/>
      <c r="PNQ1450"/>
      <c r="PNR1450"/>
      <c r="PNS1450"/>
      <c r="PNT1450"/>
      <c r="PNU1450"/>
      <c r="PNV1450"/>
      <c r="PNW1450"/>
      <c r="PNX1450"/>
      <c r="PNY1450"/>
      <c r="PNZ1450"/>
      <c r="POA1450"/>
      <c r="POB1450"/>
      <c r="POC1450"/>
      <c r="POD1450"/>
      <c r="POE1450"/>
      <c r="POF1450"/>
      <c r="POG1450"/>
      <c r="POH1450"/>
      <c r="POI1450"/>
      <c r="POJ1450"/>
      <c r="POK1450"/>
      <c r="POL1450"/>
      <c r="POM1450"/>
      <c r="PON1450"/>
      <c r="POO1450"/>
      <c r="POP1450"/>
      <c r="POQ1450"/>
      <c r="POR1450"/>
      <c r="POS1450"/>
      <c r="POT1450"/>
      <c r="POU1450"/>
      <c r="POV1450"/>
      <c r="POW1450"/>
      <c r="POX1450"/>
      <c r="POY1450"/>
      <c r="POZ1450"/>
      <c r="PPA1450"/>
      <c r="PPB1450"/>
      <c r="PPC1450"/>
      <c r="PPD1450"/>
      <c r="PPE1450"/>
      <c r="PPF1450"/>
      <c r="PPG1450"/>
      <c r="PPH1450"/>
      <c r="PPI1450"/>
      <c r="PPJ1450"/>
      <c r="PPK1450"/>
      <c r="PPL1450"/>
      <c r="PPM1450"/>
      <c r="PPN1450"/>
      <c r="PPO1450"/>
      <c r="PPP1450"/>
      <c r="PPQ1450"/>
      <c r="PPR1450"/>
      <c r="PPS1450"/>
      <c r="PPT1450"/>
      <c r="PPU1450"/>
      <c r="PPV1450"/>
      <c r="PPW1450"/>
      <c r="PPX1450"/>
      <c r="PPY1450"/>
      <c r="PPZ1450"/>
      <c r="PQA1450"/>
      <c r="PQB1450"/>
      <c r="PQC1450"/>
      <c r="PQD1450"/>
      <c r="PQE1450"/>
      <c r="PQF1450"/>
      <c r="PQG1450"/>
      <c r="PQH1450"/>
      <c r="PQI1450"/>
      <c r="PQJ1450"/>
      <c r="PQK1450"/>
      <c r="PQL1450"/>
      <c r="PQM1450"/>
      <c r="PQN1450"/>
      <c r="PQO1450"/>
      <c r="PQP1450"/>
      <c r="PQQ1450"/>
      <c r="PQR1450"/>
      <c r="PQS1450"/>
      <c r="PQT1450"/>
      <c r="PQU1450"/>
      <c r="PQV1450"/>
      <c r="PQW1450"/>
      <c r="PQX1450"/>
      <c r="PQY1450"/>
      <c r="PQZ1450"/>
      <c r="PRA1450"/>
      <c r="PRB1450"/>
      <c r="PRC1450"/>
      <c r="PRD1450"/>
      <c r="PRE1450"/>
      <c r="PRF1450"/>
      <c r="PRG1450"/>
      <c r="PRH1450"/>
      <c r="PRI1450"/>
      <c r="PRJ1450"/>
      <c r="PRK1450"/>
      <c r="PRL1450"/>
      <c r="PRM1450"/>
      <c r="PRN1450"/>
      <c r="PRO1450"/>
      <c r="PRP1450"/>
      <c r="PRQ1450"/>
      <c r="PRR1450"/>
      <c r="PRS1450"/>
      <c r="PRT1450"/>
      <c r="PRU1450"/>
      <c r="PRV1450"/>
      <c r="PRW1450"/>
      <c r="PRX1450"/>
      <c r="PRY1450"/>
      <c r="PRZ1450"/>
      <c r="PSA1450"/>
      <c r="PSB1450"/>
      <c r="PSC1450"/>
      <c r="PSD1450"/>
      <c r="PSE1450"/>
      <c r="PSF1450"/>
      <c r="PSG1450"/>
      <c r="PSH1450"/>
      <c r="PSI1450"/>
      <c r="PSJ1450"/>
      <c r="PSK1450"/>
      <c r="PSL1450"/>
      <c r="PSM1450"/>
      <c r="PSN1450"/>
      <c r="PSO1450"/>
      <c r="PSP1450"/>
      <c r="PSQ1450"/>
      <c r="PSR1450"/>
      <c r="PSS1450"/>
      <c r="PST1450"/>
      <c r="PSU1450"/>
      <c r="PSV1450"/>
      <c r="PSW1450"/>
      <c r="PSX1450"/>
      <c r="PSY1450"/>
      <c r="PSZ1450"/>
      <c r="PTA1450"/>
      <c r="PTB1450"/>
      <c r="PTC1450"/>
      <c r="PTD1450"/>
      <c r="PTE1450"/>
      <c r="PTF1450"/>
      <c r="PTG1450"/>
      <c r="PTH1450"/>
      <c r="PTI1450"/>
      <c r="PTJ1450"/>
      <c r="PTK1450"/>
      <c r="PTL1450"/>
      <c r="PTM1450"/>
      <c r="PTN1450"/>
      <c r="PTO1450"/>
      <c r="PTP1450"/>
      <c r="PTQ1450"/>
      <c r="PTR1450"/>
      <c r="PTS1450"/>
      <c r="PTT1450"/>
      <c r="PTU1450"/>
      <c r="PTV1450"/>
      <c r="PTW1450"/>
      <c r="PTX1450"/>
      <c r="PTY1450"/>
      <c r="PTZ1450"/>
      <c r="PUA1450"/>
      <c r="PUB1450"/>
      <c r="PUC1450"/>
      <c r="PUD1450"/>
      <c r="PUE1450"/>
      <c r="PUF1450"/>
      <c r="PUG1450"/>
      <c r="PUH1450"/>
      <c r="PUI1450"/>
      <c r="PUJ1450"/>
      <c r="PUK1450"/>
      <c r="PUL1450"/>
      <c r="PUM1450"/>
      <c r="PUN1450"/>
      <c r="PUO1450"/>
      <c r="PUP1450"/>
      <c r="PUQ1450"/>
      <c r="PUR1450"/>
      <c r="PUS1450"/>
      <c r="PUT1450"/>
      <c r="PUU1450"/>
      <c r="PUV1450"/>
      <c r="PUW1450"/>
      <c r="PUX1450"/>
      <c r="PUY1450"/>
      <c r="PUZ1450"/>
      <c r="PVA1450"/>
      <c r="PVB1450"/>
      <c r="PVC1450"/>
      <c r="PVD1450"/>
      <c r="PVE1450"/>
      <c r="PVF1450"/>
      <c r="PVG1450"/>
      <c r="PVH1450"/>
      <c r="PVI1450"/>
      <c r="PVJ1450"/>
      <c r="PVK1450"/>
      <c r="PVL1450"/>
      <c r="PVM1450"/>
      <c r="PVN1450"/>
      <c r="PVO1450"/>
      <c r="PVP1450"/>
      <c r="PVQ1450"/>
      <c r="PVR1450"/>
      <c r="PVS1450"/>
      <c r="PVT1450"/>
      <c r="PVU1450"/>
      <c r="PVV1450"/>
      <c r="PVW1450"/>
      <c r="PVX1450"/>
      <c r="PVY1450"/>
      <c r="PVZ1450"/>
      <c r="PWA1450"/>
      <c r="PWB1450"/>
      <c r="PWC1450"/>
      <c r="PWD1450"/>
      <c r="PWE1450"/>
      <c r="PWF1450"/>
      <c r="PWG1450"/>
      <c r="PWH1450"/>
      <c r="PWI1450"/>
      <c r="PWJ1450"/>
      <c r="PWK1450"/>
      <c r="PWL1450"/>
      <c r="PWM1450"/>
      <c r="PWN1450"/>
      <c r="PWO1450"/>
      <c r="PWP1450"/>
      <c r="PWQ1450"/>
      <c r="PWR1450"/>
      <c r="PWS1450"/>
      <c r="PWT1450"/>
      <c r="PWU1450"/>
      <c r="PWV1450"/>
      <c r="PWW1450"/>
      <c r="PWX1450"/>
      <c r="PWY1450"/>
      <c r="PWZ1450"/>
      <c r="PXA1450"/>
      <c r="PXB1450"/>
      <c r="PXC1450"/>
      <c r="PXD1450"/>
      <c r="PXE1450"/>
      <c r="PXF1450"/>
      <c r="PXG1450"/>
      <c r="PXH1450"/>
      <c r="PXI1450"/>
      <c r="PXJ1450"/>
      <c r="PXK1450"/>
      <c r="PXL1450"/>
      <c r="PXM1450"/>
      <c r="PXN1450"/>
      <c r="PXO1450"/>
      <c r="PXP1450"/>
      <c r="PXQ1450"/>
      <c r="PXR1450"/>
      <c r="PXS1450"/>
      <c r="PXT1450"/>
      <c r="PXU1450"/>
      <c r="PXV1450"/>
      <c r="PXW1450"/>
      <c r="PXX1450"/>
      <c r="PXY1450"/>
      <c r="PXZ1450"/>
      <c r="PYA1450"/>
      <c r="PYB1450"/>
      <c r="PYC1450"/>
      <c r="PYD1450"/>
      <c r="PYE1450"/>
      <c r="PYF1450"/>
      <c r="PYG1450"/>
      <c r="PYH1450"/>
      <c r="PYI1450"/>
      <c r="PYJ1450"/>
      <c r="PYK1450"/>
      <c r="PYL1450"/>
      <c r="PYM1450"/>
      <c r="PYN1450"/>
      <c r="PYO1450"/>
      <c r="PYP1450"/>
      <c r="PYQ1450"/>
      <c r="PYR1450"/>
      <c r="PYS1450"/>
      <c r="PYT1450"/>
      <c r="PYU1450"/>
      <c r="PYV1450"/>
      <c r="PYW1450"/>
      <c r="PYX1450"/>
      <c r="PYY1450"/>
      <c r="PYZ1450"/>
      <c r="PZA1450"/>
      <c r="PZB1450"/>
      <c r="PZC1450"/>
      <c r="PZD1450"/>
      <c r="PZE1450"/>
      <c r="PZF1450"/>
      <c r="PZG1450"/>
      <c r="PZH1450"/>
      <c r="PZI1450"/>
      <c r="PZJ1450"/>
      <c r="PZK1450"/>
      <c r="PZL1450"/>
      <c r="PZM1450"/>
      <c r="PZN1450"/>
      <c r="PZO1450"/>
      <c r="PZP1450"/>
      <c r="PZQ1450"/>
      <c r="PZR1450"/>
      <c r="PZS1450"/>
      <c r="PZT1450"/>
      <c r="PZU1450"/>
      <c r="PZV1450"/>
      <c r="PZW1450"/>
      <c r="PZX1450"/>
      <c r="PZY1450"/>
      <c r="PZZ1450"/>
      <c r="QAA1450"/>
      <c r="QAB1450"/>
      <c r="QAC1450"/>
      <c r="QAD1450"/>
      <c r="QAE1450"/>
      <c r="QAF1450"/>
      <c r="QAG1450"/>
      <c r="QAH1450"/>
      <c r="QAI1450"/>
      <c r="QAJ1450"/>
      <c r="QAK1450"/>
      <c r="QAL1450"/>
      <c r="QAM1450"/>
      <c r="QAN1450"/>
      <c r="QAO1450"/>
      <c r="QAP1450"/>
      <c r="QAQ1450"/>
      <c r="QAR1450"/>
      <c r="QAS1450"/>
      <c r="QAT1450"/>
      <c r="QAU1450"/>
      <c r="QAV1450"/>
      <c r="QAW1450"/>
      <c r="QAX1450"/>
      <c r="QAY1450"/>
      <c r="QAZ1450"/>
      <c r="QBA1450"/>
      <c r="QBB1450"/>
      <c r="QBC1450"/>
      <c r="QBD1450"/>
      <c r="QBE1450"/>
      <c r="QBF1450"/>
      <c r="QBG1450"/>
      <c r="QBH1450"/>
      <c r="QBI1450"/>
      <c r="QBJ1450"/>
      <c r="QBK1450"/>
      <c r="QBL1450"/>
      <c r="QBM1450"/>
      <c r="QBN1450"/>
      <c r="QBO1450"/>
      <c r="QBP1450"/>
      <c r="QBQ1450"/>
      <c r="QBR1450"/>
      <c r="QBS1450"/>
      <c r="QBT1450"/>
      <c r="QBU1450"/>
      <c r="QBV1450"/>
      <c r="QBW1450"/>
      <c r="QBX1450"/>
      <c r="QBY1450"/>
      <c r="QBZ1450"/>
      <c r="QCA1450"/>
      <c r="QCB1450"/>
      <c r="QCC1450"/>
      <c r="QCD1450"/>
      <c r="QCE1450"/>
      <c r="QCF1450"/>
      <c r="QCG1450"/>
      <c r="QCH1450"/>
      <c r="QCI1450"/>
      <c r="QCJ1450"/>
      <c r="QCK1450"/>
      <c r="QCL1450"/>
      <c r="QCM1450"/>
      <c r="QCN1450"/>
      <c r="QCO1450"/>
      <c r="QCP1450"/>
      <c r="QCQ1450"/>
      <c r="QCR1450"/>
      <c r="QCS1450"/>
      <c r="QCT1450"/>
      <c r="QCU1450"/>
      <c r="QCV1450"/>
      <c r="QCW1450"/>
      <c r="QCX1450"/>
      <c r="QCY1450"/>
      <c r="QCZ1450"/>
      <c r="QDA1450"/>
      <c r="QDB1450"/>
      <c r="QDC1450"/>
      <c r="QDD1450"/>
      <c r="QDE1450"/>
      <c r="QDF1450"/>
      <c r="QDG1450"/>
      <c r="QDH1450"/>
      <c r="QDI1450"/>
      <c r="QDJ1450"/>
      <c r="QDK1450"/>
      <c r="QDL1450"/>
      <c r="QDM1450"/>
      <c r="QDN1450"/>
      <c r="QDO1450"/>
      <c r="QDP1450"/>
      <c r="QDQ1450"/>
      <c r="QDR1450"/>
      <c r="QDS1450"/>
      <c r="QDT1450"/>
      <c r="QDU1450"/>
      <c r="QDV1450"/>
      <c r="QDW1450"/>
      <c r="QDX1450"/>
      <c r="QDY1450"/>
      <c r="QDZ1450"/>
      <c r="QEA1450"/>
      <c r="QEB1450"/>
      <c r="QEC1450"/>
      <c r="QED1450"/>
      <c r="QEE1450"/>
      <c r="QEF1450"/>
      <c r="QEG1450"/>
      <c r="QEH1450"/>
      <c r="QEI1450"/>
      <c r="QEJ1450"/>
      <c r="QEK1450"/>
      <c r="QEL1450"/>
      <c r="QEM1450"/>
      <c r="QEN1450"/>
      <c r="QEO1450"/>
      <c r="QEP1450"/>
      <c r="QEQ1450"/>
      <c r="QER1450"/>
      <c r="QES1450"/>
      <c r="QET1450"/>
      <c r="QEU1450"/>
      <c r="QEV1450"/>
      <c r="QEW1450"/>
      <c r="QEX1450"/>
      <c r="QEY1450"/>
      <c r="QEZ1450"/>
      <c r="QFA1450"/>
      <c r="QFB1450"/>
      <c r="QFC1450"/>
      <c r="QFD1450"/>
      <c r="QFE1450"/>
      <c r="QFF1450"/>
      <c r="QFG1450"/>
      <c r="QFH1450"/>
      <c r="QFI1450"/>
      <c r="QFJ1450"/>
      <c r="QFK1450"/>
      <c r="QFL1450"/>
      <c r="QFM1450"/>
      <c r="QFN1450"/>
      <c r="QFO1450"/>
      <c r="QFP1450"/>
      <c r="QFQ1450"/>
      <c r="QFR1450"/>
      <c r="QFS1450"/>
      <c r="QFT1450"/>
      <c r="QFU1450"/>
      <c r="QFV1450"/>
      <c r="QFW1450"/>
      <c r="QFX1450"/>
      <c r="QFY1450"/>
      <c r="QFZ1450"/>
      <c r="QGA1450"/>
      <c r="QGB1450"/>
      <c r="QGC1450"/>
      <c r="QGD1450"/>
      <c r="QGE1450"/>
      <c r="QGF1450"/>
      <c r="QGG1450"/>
      <c r="QGH1450"/>
      <c r="QGI1450"/>
      <c r="QGJ1450"/>
      <c r="QGK1450"/>
      <c r="QGL1450"/>
      <c r="QGM1450"/>
      <c r="QGN1450"/>
      <c r="QGO1450"/>
      <c r="QGP1450"/>
      <c r="QGQ1450"/>
      <c r="QGR1450"/>
      <c r="QGS1450"/>
      <c r="QGT1450"/>
      <c r="QGU1450"/>
      <c r="QGV1450"/>
      <c r="QGW1450"/>
      <c r="QGX1450"/>
      <c r="QGY1450"/>
      <c r="QGZ1450"/>
      <c r="QHA1450"/>
      <c r="QHB1450"/>
      <c r="QHC1450"/>
      <c r="QHD1450"/>
      <c r="QHE1450"/>
      <c r="QHF1450"/>
      <c r="QHG1450"/>
      <c r="QHH1450"/>
      <c r="QHI1450"/>
      <c r="QHJ1450"/>
      <c r="QHK1450"/>
      <c r="QHL1450"/>
      <c r="QHM1450"/>
      <c r="QHN1450"/>
      <c r="QHO1450"/>
      <c r="QHP1450"/>
      <c r="QHQ1450"/>
      <c r="QHR1450"/>
      <c r="QHS1450"/>
      <c r="QHT1450"/>
      <c r="QHU1450"/>
      <c r="QHV1450"/>
      <c r="QHW1450"/>
      <c r="QHX1450"/>
      <c r="QHY1450"/>
      <c r="QHZ1450"/>
      <c r="QIA1450"/>
      <c r="QIB1450"/>
      <c r="QIC1450"/>
      <c r="QID1450"/>
      <c r="QIE1450"/>
      <c r="QIF1450"/>
      <c r="QIG1450"/>
      <c r="QIH1450"/>
      <c r="QII1450"/>
      <c r="QIJ1450"/>
      <c r="QIK1450"/>
      <c r="QIL1450"/>
      <c r="QIM1450"/>
      <c r="QIN1450"/>
      <c r="QIO1450"/>
      <c r="QIP1450"/>
      <c r="QIQ1450"/>
      <c r="QIR1450"/>
      <c r="QIS1450"/>
      <c r="QIT1450"/>
      <c r="QIU1450"/>
      <c r="QIV1450"/>
      <c r="QIW1450"/>
      <c r="QIX1450"/>
      <c r="QIY1450"/>
      <c r="QIZ1450"/>
      <c r="QJA1450"/>
      <c r="QJB1450"/>
      <c r="QJC1450"/>
      <c r="QJD1450"/>
      <c r="QJE1450"/>
      <c r="QJF1450"/>
      <c r="QJG1450"/>
      <c r="QJH1450"/>
      <c r="QJI1450"/>
      <c r="QJJ1450"/>
      <c r="QJK1450"/>
      <c r="QJL1450"/>
      <c r="QJM1450"/>
      <c r="QJN1450"/>
      <c r="QJO1450"/>
      <c r="QJP1450"/>
      <c r="QJQ1450"/>
      <c r="QJR1450"/>
      <c r="QJS1450"/>
      <c r="QJT1450"/>
      <c r="QJU1450"/>
      <c r="QJV1450"/>
      <c r="QJW1450"/>
      <c r="QJX1450"/>
      <c r="QJY1450"/>
      <c r="QJZ1450"/>
      <c r="QKA1450"/>
      <c r="QKB1450"/>
      <c r="QKC1450"/>
      <c r="QKD1450"/>
      <c r="QKE1450"/>
      <c r="QKF1450"/>
      <c r="QKG1450"/>
      <c r="QKH1450"/>
      <c r="QKI1450"/>
      <c r="QKJ1450"/>
      <c r="QKK1450"/>
      <c r="QKL1450"/>
      <c r="QKM1450"/>
      <c r="QKN1450"/>
      <c r="QKO1450"/>
      <c r="QKP1450"/>
      <c r="QKQ1450"/>
      <c r="QKR1450"/>
      <c r="QKS1450"/>
      <c r="QKT1450"/>
      <c r="QKU1450"/>
      <c r="QKV1450"/>
      <c r="QKW1450"/>
      <c r="QKX1450"/>
      <c r="QKY1450"/>
      <c r="QKZ1450"/>
      <c r="QLA1450"/>
      <c r="QLB1450"/>
      <c r="QLC1450"/>
      <c r="QLD1450"/>
      <c r="QLE1450"/>
      <c r="QLF1450"/>
      <c r="QLG1450"/>
      <c r="QLH1450"/>
      <c r="QLI1450"/>
      <c r="QLJ1450"/>
      <c r="QLK1450"/>
      <c r="QLL1450"/>
      <c r="QLM1450"/>
      <c r="QLN1450"/>
      <c r="QLO1450"/>
      <c r="QLP1450"/>
      <c r="QLQ1450"/>
      <c r="QLR1450"/>
      <c r="QLS1450"/>
      <c r="QLT1450"/>
      <c r="QLU1450"/>
      <c r="QLV1450"/>
      <c r="QLW1450"/>
      <c r="QLX1450"/>
      <c r="QLY1450"/>
      <c r="QLZ1450"/>
      <c r="QMA1450"/>
      <c r="QMB1450"/>
      <c r="QMC1450"/>
      <c r="QMD1450"/>
      <c r="QME1450"/>
      <c r="QMF1450"/>
      <c r="QMG1450"/>
      <c r="QMH1450"/>
      <c r="QMI1450"/>
      <c r="QMJ1450"/>
      <c r="QMK1450"/>
      <c r="QML1450"/>
      <c r="QMM1450"/>
      <c r="QMN1450"/>
      <c r="QMO1450"/>
      <c r="QMP1450"/>
      <c r="QMQ1450"/>
      <c r="QMR1450"/>
      <c r="QMS1450"/>
      <c r="QMT1450"/>
      <c r="QMU1450"/>
      <c r="QMV1450"/>
      <c r="QMW1450"/>
      <c r="QMX1450"/>
      <c r="QMY1450"/>
      <c r="QMZ1450"/>
      <c r="QNA1450"/>
      <c r="QNB1450"/>
      <c r="QNC1450"/>
      <c r="QND1450"/>
      <c r="QNE1450"/>
      <c r="QNF1450"/>
      <c r="QNG1450"/>
      <c r="QNH1450"/>
      <c r="QNI1450"/>
      <c r="QNJ1450"/>
      <c r="QNK1450"/>
      <c r="QNL1450"/>
      <c r="QNM1450"/>
      <c r="QNN1450"/>
      <c r="QNO1450"/>
      <c r="QNP1450"/>
      <c r="QNQ1450"/>
      <c r="QNR1450"/>
      <c r="QNS1450"/>
      <c r="QNT1450"/>
      <c r="QNU1450"/>
      <c r="QNV1450"/>
      <c r="QNW1450"/>
      <c r="QNX1450"/>
      <c r="QNY1450"/>
      <c r="QNZ1450"/>
      <c r="QOA1450"/>
      <c r="QOB1450"/>
      <c r="QOC1450"/>
      <c r="QOD1450"/>
      <c r="QOE1450"/>
      <c r="QOF1450"/>
      <c r="QOG1450"/>
      <c r="QOH1450"/>
      <c r="QOI1450"/>
      <c r="QOJ1450"/>
      <c r="QOK1450"/>
      <c r="QOL1450"/>
      <c r="QOM1450"/>
      <c r="QON1450"/>
      <c r="QOO1450"/>
      <c r="QOP1450"/>
      <c r="QOQ1450"/>
      <c r="QOR1450"/>
      <c r="QOS1450"/>
      <c r="QOT1450"/>
      <c r="QOU1450"/>
      <c r="QOV1450"/>
      <c r="QOW1450"/>
      <c r="QOX1450"/>
      <c r="QOY1450"/>
      <c r="QOZ1450"/>
      <c r="QPA1450"/>
      <c r="QPB1450"/>
      <c r="QPC1450"/>
      <c r="QPD1450"/>
      <c r="QPE1450"/>
      <c r="QPF1450"/>
      <c r="QPG1450"/>
      <c r="QPH1450"/>
      <c r="QPI1450"/>
      <c r="QPJ1450"/>
      <c r="QPK1450"/>
      <c r="QPL1450"/>
      <c r="QPM1450"/>
      <c r="QPN1450"/>
      <c r="QPO1450"/>
      <c r="QPP1450"/>
      <c r="QPQ1450"/>
      <c r="QPR1450"/>
      <c r="QPS1450"/>
      <c r="QPT1450"/>
      <c r="QPU1450"/>
      <c r="QPV1450"/>
      <c r="QPW1450"/>
      <c r="QPX1450"/>
      <c r="QPY1450"/>
      <c r="QPZ1450"/>
      <c r="QQA1450"/>
      <c r="QQB1450"/>
      <c r="QQC1450"/>
      <c r="QQD1450"/>
      <c r="QQE1450"/>
      <c r="QQF1450"/>
      <c r="QQG1450"/>
      <c r="QQH1450"/>
      <c r="QQI1450"/>
      <c r="QQJ1450"/>
      <c r="QQK1450"/>
      <c r="QQL1450"/>
      <c r="QQM1450"/>
      <c r="QQN1450"/>
      <c r="QQO1450"/>
      <c r="QQP1450"/>
      <c r="QQQ1450"/>
      <c r="QQR1450"/>
      <c r="QQS1450"/>
      <c r="QQT1450"/>
      <c r="QQU1450"/>
      <c r="QQV1450"/>
      <c r="QQW1450"/>
      <c r="QQX1450"/>
      <c r="QQY1450"/>
      <c r="QQZ1450"/>
      <c r="QRA1450"/>
      <c r="QRB1450"/>
      <c r="QRC1450"/>
      <c r="QRD1450"/>
      <c r="QRE1450"/>
      <c r="QRF1450"/>
      <c r="QRG1450"/>
      <c r="QRH1450"/>
      <c r="QRI1450"/>
      <c r="QRJ1450"/>
      <c r="QRK1450"/>
      <c r="QRL1450"/>
      <c r="QRM1450"/>
      <c r="QRN1450"/>
      <c r="QRO1450"/>
      <c r="QRP1450"/>
      <c r="QRQ1450"/>
      <c r="QRR1450"/>
      <c r="QRS1450"/>
      <c r="QRT1450"/>
      <c r="QRU1450"/>
      <c r="QRV1450"/>
      <c r="QRW1450"/>
      <c r="QRX1450"/>
      <c r="QRY1450"/>
      <c r="QRZ1450"/>
      <c r="QSA1450"/>
      <c r="QSB1450"/>
      <c r="QSC1450"/>
      <c r="QSD1450"/>
      <c r="QSE1450"/>
      <c r="QSF1450"/>
      <c r="QSG1450"/>
      <c r="QSH1450"/>
      <c r="QSI1450"/>
      <c r="QSJ1450"/>
      <c r="QSK1450"/>
      <c r="QSL1450"/>
      <c r="QSM1450"/>
      <c r="QSN1450"/>
      <c r="QSO1450"/>
      <c r="QSP1450"/>
      <c r="QSQ1450"/>
      <c r="QSR1450"/>
      <c r="QSS1450"/>
      <c r="QST1450"/>
      <c r="QSU1450"/>
      <c r="QSV1450"/>
      <c r="QSW1450"/>
      <c r="QSX1450"/>
      <c r="QSY1450"/>
      <c r="QSZ1450"/>
      <c r="QTA1450"/>
      <c r="QTB1450"/>
      <c r="QTC1450"/>
      <c r="QTD1450"/>
      <c r="QTE1450"/>
      <c r="QTF1450"/>
      <c r="QTG1450"/>
      <c r="QTH1450"/>
      <c r="QTI1450"/>
      <c r="QTJ1450"/>
      <c r="QTK1450"/>
      <c r="QTL1450"/>
      <c r="QTM1450"/>
      <c r="QTN1450"/>
      <c r="QTO1450"/>
      <c r="QTP1450"/>
      <c r="QTQ1450"/>
      <c r="QTR1450"/>
      <c r="QTS1450"/>
      <c r="QTT1450"/>
      <c r="QTU1450"/>
      <c r="QTV1450"/>
      <c r="QTW1450"/>
      <c r="QTX1450"/>
      <c r="QTY1450"/>
      <c r="QTZ1450"/>
      <c r="QUA1450"/>
      <c r="QUB1450"/>
      <c r="QUC1450"/>
      <c r="QUD1450"/>
      <c r="QUE1450"/>
      <c r="QUF1450"/>
      <c r="QUG1450"/>
      <c r="QUH1450"/>
      <c r="QUI1450"/>
      <c r="QUJ1450"/>
      <c r="QUK1450"/>
      <c r="QUL1450"/>
      <c r="QUM1450"/>
      <c r="QUN1450"/>
      <c r="QUO1450"/>
      <c r="QUP1450"/>
      <c r="QUQ1450"/>
      <c r="QUR1450"/>
      <c r="QUS1450"/>
      <c r="QUT1450"/>
      <c r="QUU1450"/>
      <c r="QUV1450"/>
      <c r="QUW1450"/>
      <c r="QUX1450"/>
      <c r="QUY1450"/>
      <c r="QUZ1450"/>
      <c r="QVA1450"/>
      <c r="QVB1450"/>
      <c r="QVC1450"/>
      <c r="QVD1450"/>
      <c r="QVE1450"/>
      <c r="QVF1450"/>
      <c r="QVG1450"/>
      <c r="QVH1450"/>
      <c r="QVI1450"/>
      <c r="QVJ1450"/>
      <c r="QVK1450"/>
      <c r="QVL1450"/>
      <c r="QVM1450"/>
      <c r="QVN1450"/>
      <c r="QVO1450"/>
      <c r="QVP1450"/>
      <c r="QVQ1450"/>
      <c r="QVR1450"/>
      <c r="QVS1450"/>
      <c r="QVT1450"/>
      <c r="QVU1450"/>
      <c r="QVV1450"/>
      <c r="QVW1450"/>
      <c r="QVX1450"/>
      <c r="QVY1450"/>
      <c r="QVZ1450"/>
      <c r="QWA1450"/>
      <c r="QWB1450"/>
      <c r="QWC1450"/>
      <c r="QWD1450"/>
      <c r="QWE1450"/>
      <c r="QWF1450"/>
      <c r="QWG1450"/>
      <c r="QWH1450"/>
      <c r="QWI1450"/>
      <c r="QWJ1450"/>
      <c r="QWK1450"/>
      <c r="QWL1450"/>
      <c r="QWM1450"/>
      <c r="QWN1450"/>
      <c r="QWO1450"/>
      <c r="QWP1450"/>
      <c r="QWQ1450"/>
      <c r="QWR1450"/>
      <c r="QWS1450"/>
      <c r="QWT1450"/>
      <c r="QWU1450"/>
      <c r="QWV1450"/>
      <c r="QWW1450"/>
      <c r="QWX1450"/>
      <c r="QWY1450"/>
      <c r="QWZ1450"/>
      <c r="QXA1450"/>
      <c r="QXB1450"/>
      <c r="QXC1450"/>
      <c r="QXD1450"/>
      <c r="QXE1450"/>
      <c r="QXF1450"/>
      <c r="QXG1450"/>
      <c r="QXH1450"/>
      <c r="QXI1450"/>
      <c r="QXJ1450"/>
      <c r="QXK1450"/>
      <c r="QXL1450"/>
      <c r="QXM1450"/>
      <c r="QXN1450"/>
      <c r="QXO1450"/>
      <c r="QXP1450"/>
      <c r="QXQ1450"/>
      <c r="QXR1450"/>
      <c r="QXS1450"/>
      <c r="QXT1450"/>
      <c r="QXU1450"/>
      <c r="QXV1450"/>
      <c r="QXW1450"/>
      <c r="QXX1450"/>
      <c r="QXY1450"/>
      <c r="QXZ1450"/>
      <c r="QYA1450"/>
      <c r="QYB1450"/>
      <c r="QYC1450"/>
      <c r="QYD1450"/>
      <c r="QYE1450"/>
      <c r="QYF1450"/>
      <c r="QYG1450"/>
      <c r="QYH1450"/>
      <c r="QYI1450"/>
      <c r="QYJ1450"/>
      <c r="QYK1450"/>
      <c r="QYL1450"/>
      <c r="QYM1450"/>
      <c r="QYN1450"/>
      <c r="QYO1450"/>
      <c r="QYP1450"/>
      <c r="QYQ1450"/>
      <c r="QYR1450"/>
      <c r="QYS1450"/>
      <c r="QYT1450"/>
      <c r="QYU1450"/>
      <c r="QYV1450"/>
      <c r="QYW1450"/>
      <c r="QYX1450"/>
      <c r="QYY1450"/>
      <c r="QYZ1450"/>
      <c r="QZA1450"/>
      <c r="QZB1450"/>
      <c r="QZC1450"/>
      <c r="QZD1450"/>
      <c r="QZE1450"/>
      <c r="QZF1450"/>
      <c r="QZG1450"/>
      <c r="QZH1450"/>
      <c r="QZI1450"/>
      <c r="QZJ1450"/>
      <c r="QZK1450"/>
      <c r="QZL1450"/>
      <c r="QZM1450"/>
      <c r="QZN1450"/>
      <c r="QZO1450"/>
      <c r="QZP1450"/>
      <c r="QZQ1450"/>
      <c r="QZR1450"/>
      <c r="QZS1450"/>
      <c r="QZT1450"/>
      <c r="QZU1450"/>
      <c r="QZV1450"/>
      <c r="QZW1450"/>
      <c r="QZX1450"/>
      <c r="QZY1450"/>
      <c r="QZZ1450"/>
      <c r="RAA1450"/>
      <c r="RAB1450"/>
      <c r="RAC1450"/>
      <c r="RAD1450"/>
      <c r="RAE1450"/>
      <c r="RAF1450"/>
      <c r="RAG1450"/>
      <c r="RAH1450"/>
      <c r="RAI1450"/>
      <c r="RAJ1450"/>
      <c r="RAK1450"/>
      <c r="RAL1450"/>
      <c r="RAM1450"/>
      <c r="RAN1450"/>
      <c r="RAO1450"/>
      <c r="RAP1450"/>
      <c r="RAQ1450"/>
      <c r="RAR1450"/>
      <c r="RAS1450"/>
      <c r="RAT1450"/>
      <c r="RAU1450"/>
      <c r="RAV1450"/>
      <c r="RAW1450"/>
      <c r="RAX1450"/>
      <c r="RAY1450"/>
      <c r="RAZ1450"/>
      <c r="RBA1450"/>
      <c r="RBB1450"/>
      <c r="RBC1450"/>
      <c r="RBD1450"/>
      <c r="RBE1450"/>
      <c r="RBF1450"/>
      <c r="RBG1450"/>
      <c r="RBH1450"/>
      <c r="RBI1450"/>
      <c r="RBJ1450"/>
      <c r="RBK1450"/>
      <c r="RBL1450"/>
      <c r="RBM1450"/>
      <c r="RBN1450"/>
      <c r="RBO1450"/>
      <c r="RBP1450"/>
      <c r="RBQ1450"/>
      <c r="RBR1450"/>
      <c r="RBS1450"/>
      <c r="RBT1450"/>
      <c r="RBU1450"/>
      <c r="RBV1450"/>
      <c r="RBW1450"/>
      <c r="RBX1450"/>
      <c r="RBY1450"/>
      <c r="RBZ1450"/>
      <c r="RCA1450"/>
      <c r="RCB1450"/>
      <c r="RCC1450"/>
      <c r="RCD1450"/>
      <c r="RCE1450"/>
      <c r="RCF1450"/>
      <c r="RCG1450"/>
      <c r="RCH1450"/>
      <c r="RCI1450"/>
      <c r="RCJ1450"/>
      <c r="RCK1450"/>
      <c r="RCL1450"/>
      <c r="RCM1450"/>
      <c r="RCN1450"/>
      <c r="RCO1450"/>
      <c r="RCP1450"/>
      <c r="RCQ1450"/>
      <c r="RCR1450"/>
      <c r="RCS1450"/>
      <c r="RCT1450"/>
      <c r="RCU1450"/>
      <c r="RCV1450"/>
      <c r="RCW1450"/>
      <c r="RCX1450"/>
      <c r="RCY1450"/>
      <c r="RCZ1450"/>
      <c r="RDA1450"/>
      <c r="RDB1450"/>
      <c r="RDC1450"/>
      <c r="RDD1450"/>
      <c r="RDE1450"/>
      <c r="RDF1450"/>
      <c r="RDG1450"/>
      <c r="RDH1450"/>
      <c r="RDI1450"/>
      <c r="RDJ1450"/>
      <c r="RDK1450"/>
      <c r="RDL1450"/>
      <c r="RDM1450"/>
      <c r="RDN1450"/>
      <c r="RDO1450"/>
      <c r="RDP1450"/>
      <c r="RDQ1450"/>
      <c r="RDR1450"/>
      <c r="RDS1450"/>
      <c r="RDT1450"/>
      <c r="RDU1450"/>
      <c r="RDV1450"/>
      <c r="RDW1450"/>
      <c r="RDX1450"/>
      <c r="RDY1450"/>
      <c r="RDZ1450"/>
      <c r="REA1450"/>
      <c r="REB1450"/>
      <c r="REC1450"/>
      <c r="RED1450"/>
      <c r="REE1450"/>
      <c r="REF1450"/>
      <c r="REG1450"/>
      <c r="REH1450"/>
      <c r="REI1450"/>
      <c r="REJ1450"/>
      <c r="REK1450"/>
      <c r="REL1450"/>
      <c r="REM1450"/>
      <c r="REN1450"/>
      <c r="REO1450"/>
      <c r="REP1450"/>
      <c r="REQ1450"/>
      <c r="RER1450"/>
      <c r="RES1450"/>
      <c r="RET1450"/>
      <c r="REU1450"/>
      <c r="REV1450"/>
      <c r="REW1450"/>
      <c r="REX1450"/>
      <c r="REY1450"/>
      <c r="REZ1450"/>
      <c r="RFA1450"/>
      <c r="RFB1450"/>
      <c r="RFC1450"/>
      <c r="RFD1450"/>
      <c r="RFE1450"/>
      <c r="RFF1450"/>
      <c r="RFG1450"/>
      <c r="RFH1450"/>
      <c r="RFI1450"/>
      <c r="RFJ1450"/>
      <c r="RFK1450"/>
      <c r="RFL1450"/>
      <c r="RFM1450"/>
      <c r="RFN1450"/>
      <c r="RFO1450"/>
      <c r="RFP1450"/>
      <c r="RFQ1450"/>
      <c r="RFR1450"/>
      <c r="RFS1450"/>
      <c r="RFT1450"/>
      <c r="RFU1450"/>
      <c r="RFV1450"/>
      <c r="RFW1450"/>
      <c r="RFX1450"/>
      <c r="RFY1450"/>
      <c r="RFZ1450"/>
      <c r="RGA1450"/>
      <c r="RGB1450"/>
      <c r="RGC1450"/>
      <c r="RGD1450"/>
      <c r="RGE1450"/>
      <c r="RGF1450"/>
      <c r="RGG1450"/>
      <c r="RGH1450"/>
      <c r="RGI1450"/>
      <c r="RGJ1450"/>
      <c r="RGK1450"/>
      <c r="RGL1450"/>
      <c r="RGM1450"/>
      <c r="RGN1450"/>
      <c r="RGO1450"/>
      <c r="RGP1450"/>
      <c r="RGQ1450"/>
      <c r="RGR1450"/>
      <c r="RGS1450"/>
      <c r="RGT1450"/>
      <c r="RGU1450"/>
      <c r="RGV1450"/>
      <c r="RGW1450"/>
      <c r="RGX1450"/>
      <c r="RGY1450"/>
      <c r="RGZ1450"/>
      <c r="RHA1450"/>
      <c r="RHB1450"/>
      <c r="RHC1450"/>
      <c r="RHD1450"/>
      <c r="RHE1450"/>
      <c r="RHF1450"/>
      <c r="RHG1450"/>
      <c r="RHH1450"/>
      <c r="RHI1450"/>
      <c r="RHJ1450"/>
      <c r="RHK1450"/>
      <c r="RHL1450"/>
      <c r="RHM1450"/>
      <c r="RHN1450"/>
      <c r="RHO1450"/>
      <c r="RHP1450"/>
      <c r="RHQ1450"/>
      <c r="RHR1450"/>
      <c r="RHS1450"/>
      <c r="RHT1450"/>
      <c r="RHU1450"/>
      <c r="RHV1450"/>
      <c r="RHW1450"/>
      <c r="RHX1450"/>
      <c r="RHY1450"/>
      <c r="RHZ1450"/>
      <c r="RIA1450"/>
      <c r="RIB1450"/>
      <c r="RIC1450"/>
      <c r="RID1450"/>
      <c r="RIE1450"/>
      <c r="RIF1450"/>
      <c r="RIG1450"/>
      <c r="RIH1450"/>
      <c r="RII1450"/>
      <c r="RIJ1450"/>
      <c r="RIK1450"/>
      <c r="RIL1450"/>
      <c r="RIM1450"/>
      <c r="RIN1450"/>
      <c r="RIO1450"/>
      <c r="RIP1450"/>
      <c r="RIQ1450"/>
      <c r="RIR1450"/>
      <c r="RIS1450"/>
      <c r="RIT1450"/>
      <c r="RIU1450"/>
      <c r="RIV1450"/>
      <c r="RIW1450"/>
      <c r="RIX1450"/>
      <c r="RIY1450"/>
      <c r="RIZ1450"/>
      <c r="RJA1450"/>
      <c r="RJB1450"/>
      <c r="RJC1450"/>
      <c r="RJD1450"/>
      <c r="RJE1450"/>
      <c r="RJF1450"/>
      <c r="RJG1450"/>
      <c r="RJH1450"/>
      <c r="RJI1450"/>
      <c r="RJJ1450"/>
      <c r="RJK1450"/>
      <c r="RJL1450"/>
      <c r="RJM1450"/>
      <c r="RJN1450"/>
      <c r="RJO1450"/>
      <c r="RJP1450"/>
      <c r="RJQ1450"/>
      <c r="RJR1450"/>
      <c r="RJS1450"/>
      <c r="RJT1450"/>
      <c r="RJU1450"/>
      <c r="RJV1450"/>
      <c r="RJW1450"/>
      <c r="RJX1450"/>
      <c r="RJY1450"/>
      <c r="RJZ1450"/>
      <c r="RKA1450"/>
      <c r="RKB1450"/>
      <c r="RKC1450"/>
      <c r="RKD1450"/>
      <c r="RKE1450"/>
      <c r="RKF1450"/>
      <c r="RKG1450"/>
      <c r="RKH1450"/>
      <c r="RKI1450"/>
      <c r="RKJ1450"/>
      <c r="RKK1450"/>
      <c r="RKL1450"/>
      <c r="RKM1450"/>
      <c r="RKN1450"/>
      <c r="RKO1450"/>
      <c r="RKP1450"/>
      <c r="RKQ1450"/>
      <c r="RKR1450"/>
      <c r="RKS1450"/>
      <c r="RKT1450"/>
      <c r="RKU1450"/>
      <c r="RKV1450"/>
      <c r="RKW1450"/>
      <c r="RKX1450"/>
      <c r="RKY1450"/>
      <c r="RKZ1450"/>
      <c r="RLA1450"/>
      <c r="RLB1450"/>
      <c r="RLC1450"/>
      <c r="RLD1450"/>
      <c r="RLE1450"/>
      <c r="RLF1450"/>
      <c r="RLG1450"/>
      <c r="RLH1450"/>
      <c r="RLI1450"/>
      <c r="RLJ1450"/>
      <c r="RLK1450"/>
      <c r="RLL1450"/>
      <c r="RLM1450"/>
      <c r="RLN1450"/>
      <c r="RLO1450"/>
      <c r="RLP1450"/>
      <c r="RLQ1450"/>
      <c r="RLR1450"/>
      <c r="RLS1450"/>
      <c r="RLT1450"/>
      <c r="RLU1450"/>
      <c r="RLV1450"/>
      <c r="RLW1450"/>
      <c r="RLX1450"/>
      <c r="RLY1450"/>
      <c r="RLZ1450"/>
      <c r="RMA1450"/>
      <c r="RMB1450"/>
      <c r="RMC1450"/>
      <c r="RMD1450"/>
      <c r="RME1450"/>
      <c r="RMF1450"/>
      <c r="RMG1450"/>
      <c r="RMH1450"/>
      <c r="RMI1450"/>
      <c r="RMJ1450"/>
      <c r="RMK1450"/>
      <c r="RML1450"/>
      <c r="RMM1450"/>
      <c r="RMN1450"/>
      <c r="RMO1450"/>
      <c r="RMP1450"/>
      <c r="RMQ1450"/>
      <c r="RMR1450"/>
      <c r="RMS1450"/>
      <c r="RMT1450"/>
      <c r="RMU1450"/>
      <c r="RMV1450"/>
      <c r="RMW1450"/>
      <c r="RMX1450"/>
      <c r="RMY1450"/>
      <c r="RMZ1450"/>
      <c r="RNA1450"/>
      <c r="RNB1450"/>
      <c r="RNC1450"/>
      <c r="RND1450"/>
      <c r="RNE1450"/>
      <c r="RNF1450"/>
      <c r="RNG1450"/>
      <c r="RNH1450"/>
      <c r="RNI1450"/>
      <c r="RNJ1450"/>
      <c r="RNK1450"/>
      <c r="RNL1450"/>
      <c r="RNM1450"/>
      <c r="RNN1450"/>
      <c r="RNO1450"/>
      <c r="RNP1450"/>
      <c r="RNQ1450"/>
      <c r="RNR1450"/>
      <c r="RNS1450"/>
      <c r="RNT1450"/>
      <c r="RNU1450"/>
      <c r="RNV1450"/>
      <c r="RNW1450"/>
      <c r="RNX1450"/>
      <c r="RNY1450"/>
      <c r="RNZ1450"/>
      <c r="ROA1450"/>
      <c r="ROB1450"/>
      <c r="ROC1450"/>
      <c r="ROD1450"/>
      <c r="ROE1450"/>
      <c r="ROF1450"/>
      <c r="ROG1450"/>
      <c r="ROH1450"/>
      <c r="ROI1450"/>
      <c r="ROJ1450"/>
      <c r="ROK1450"/>
      <c r="ROL1450"/>
      <c r="ROM1450"/>
      <c r="RON1450"/>
      <c r="ROO1450"/>
      <c r="ROP1450"/>
      <c r="ROQ1450"/>
      <c r="ROR1450"/>
      <c r="ROS1450"/>
      <c r="ROT1450"/>
      <c r="ROU1450"/>
      <c r="ROV1450"/>
      <c r="ROW1450"/>
      <c r="ROX1450"/>
      <c r="ROY1450"/>
      <c r="ROZ1450"/>
      <c r="RPA1450"/>
      <c r="RPB1450"/>
      <c r="RPC1450"/>
      <c r="RPD1450"/>
      <c r="RPE1450"/>
      <c r="RPF1450"/>
      <c r="RPG1450"/>
      <c r="RPH1450"/>
      <c r="RPI1450"/>
      <c r="RPJ1450"/>
      <c r="RPK1450"/>
      <c r="RPL1450"/>
      <c r="RPM1450"/>
      <c r="RPN1450"/>
      <c r="RPO1450"/>
      <c r="RPP1450"/>
      <c r="RPQ1450"/>
      <c r="RPR1450"/>
      <c r="RPS1450"/>
      <c r="RPT1450"/>
      <c r="RPU1450"/>
      <c r="RPV1450"/>
      <c r="RPW1450"/>
      <c r="RPX1450"/>
      <c r="RPY1450"/>
      <c r="RPZ1450"/>
      <c r="RQA1450"/>
      <c r="RQB1450"/>
      <c r="RQC1450"/>
      <c r="RQD1450"/>
      <c r="RQE1450"/>
      <c r="RQF1450"/>
      <c r="RQG1450"/>
      <c r="RQH1450"/>
      <c r="RQI1450"/>
      <c r="RQJ1450"/>
      <c r="RQK1450"/>
      <c r="RQL1450"/>
      <c r="RQM1450"/>
      <c r="RQN1450"/>
      <c r="RQO1450"/>
      <c r="RQP1450"/>
      <c r="RQQ1450"/>
      <c r="RQR1450"/>
      <c r="RQS1450"/>
      <c r="RQT1450"/>
      <c r="RQU1450"/>
      <c r="RQV1450"/>
      <c r="RQW1450"/>
      <c r="RQX1450"/>
      <c r="RQY1450"/>
      <c r="RQZ1450"/>
      <c r="RRA1450"/>
      <c r="RRB1450"/>
      <c r="RRC1450"/>
      <c r="RRD1450"/>
      <c r="RRE1450"/>
      <c r="RRF1450"/>
      <c r="RRG1450"/>
      <c r="RRH1450"/>
      <c r="RRI1450"/>
      <c r="RRJ1450"/>
      <c r="RRK1450"/>
      <c r="RRL1450"/>
      <c r="RRM1450"/>
      <c r="RRN1450"/>
      <c r="RRO1450"/>
      <c r="RRP1450"/>
      <c r="RRQ1450"/>
      <c r="RRR1450"/>
      <c r="RRS1450"/>
      <c r="RRT1450"/>
      <c r="RRU1450"/>
      <c r="RRV1450"/>
      <c r="RRW1450"/>
      <c r="RRX1450"/>
      <c r="RRY1450"/>
      <c r="RRZ1450"/>
      <c r="RSA1450"/>
      <c r="RSB1450"/>
      <c r="RSC1450"/>
      <c r="RSD1450"/>
      <c r="RSE1450"/>
      <c r="RSF1450"/>
      <c r="RSG1450"/>
      <c r="RSH1450"/>
      <c r="RSI1450"/>
      <c r="RSJ1450"/>
      <c r="RSK1450"/>
      <c r="RSL1450"/>
      <c r="RSM1450"/>
      <c r="RSN1450"/>
      <c r="RSO1450"/>
      <c r="RSP1450"/>
      <c r="RSQ1450"/>
      <c r="RSR1450"/>
      <c r="RSS1450"/>
      <c r="RST1450"/>
      <c r="RSU1450"/>
      <c r="RSV1450"/>
      <c r="RSW1450"/>
      <c r="RSX1450"/>
      <c r="RSY1450"/>
      <c r="RSZ1450"/>
      <c r="RTA1450"/>
      <c r="RTB1450"/>
      <c r="RTC1450"/>
      <c r="RTD1450"/>
      <c r="RTE1450"/>
      <c r="RTF1450"/>
      <c r="RTG1450"/>
      <c r="RTH1450"/>
      <c r="RTI1450"/>
      <c r="RTJ1450"/>
      <c r="RTK1450"/>
      <c r="RTL1450"/>
      <c r="RTM1450"/>
      <c r="RTN1450"/>
      <c r="RTO1450"/>
      <c r="RTP1450"/>
      <c r="RTQ1450"/>
      <c r="RTR1450"/>
      <c r="RTS1450"/>
      <c r="RTT1450"/>
      <c r="RTU1450"/>
      <c r="RTV1450"/>
      <c r="RTW1450"/>
      <c r="RTX1450"/>
      <c r="RTY1450"/>
      <c r="RTZ1450"/>
      <c r="RUA1450"/>
      <c r="RUB1450"/>
      <c r="RUC1450"/>
      <c r="RUD1450"/>
      <c r="RUE1450"/>
      <c r="RUF1450"/>
      <c r="RUG1450"/>
      <c r="RUH1450"/>
      <c r="RUI1450"/>
      <c r="RUJ1450"/>
      <c r="RUK1450"/>
      <c r="RUL1450"/>
      <c r="RUM1450"/>
      <c r="RUN1450"/>
      <c r="RUO1450"/>
      <c r="RUP1450"/>
      <c r="RUQ1450"/>
      <c r="RUR1450"/>
      <c r="RUS1450"/>
      <c r="RUT1450"/>
      <c r="RUU1450"/>
      <c r="RUV1450"/>
      <c r="RUW1450"/>
      <c r="RUX1450"/>
      <c r="RUY1450"/>
      <c r="RUZ1450"/>
      <c r="RVA1450"/>
      <c r="RVB1450"/>
      <c r="RVC1450"/>
      <c r="RVD1450"/>
      <c r="RVE1450"/>
      <c r="RVF1450"/>
      <c r="RVG1450"/>
      <c r="RVH1450"/>
      <c r="RVI1450"/>
      <c r="RVJ1450"/>
      <c r="RVK1450"/>
      <c r="RVL1450"/>
      <c r="RVM1450"/>
      <c r="RVN1450"/>
      <c r="RVO1450"/>
      <c r="RVP1450"/>
      <c r="RVQ1450"/>
      <c r="RVR1450"/>
      <c r="RVS1450"/>
      <c r="RVT1450"/>
      <c r="RVU1450"/>
      <c r="RVV1450"/>
      <c r="RVW1450"/>
      <c r="RVX1450"/>
      <c r="RVY1450"/>
      <c r="RVZ1450"/>
      <c r="RWA1450"/>
      <c r="RWB1450"/>
      <c r="RWC1450"/>
      <c r="RWD1450"/>
      <c r="RWE1450"/>
      <c r="RWF1450"/>
      <c r="RWG1450"/>
      <c r="RWH1450"/>
      <c r="RWI1450"/>
      <c r="RWJ1450"/>
      <c r="RWK1450"/>
      <c r="RWL1450"/>
      <c r="RWM1450"/>
      <c r="RWN1450"/>
      <c r="RWO1450"/>
      <c r="RWP1450"/>
      <c r="RWQ1450"/>
      <c r="RWR1450"/>
      <c r="RWS1450"/>
      <c r="RWT1450"/>
      <c r="RWU1450"/>
      <c r="RWV1450"/>
      <c r="RWW1450"/>
      <c r="RWX1450"/>
      <c r="RWY1450"/>
      <c r="RWZ1450"/>
      <c r="RXA1450"/>
      <c r="RXB1450"/>
      <c r="RXC1450"/>
      <c r="RXD1450"/>
      <c r="RXE1450"/>
      <c r="RXF1450"/>
      <c r="RXG1450"/>
      <c r="RXH1450"/>
      <c r="RXI1450"/>
      <c r="RXJ1450"/>
      <c r="RXK1450"/>
      <c r="RXL1450"/>
      <c r="RXM1450"/>
      <c r="RXN1450"/>
      <c r="RXO1450"/>
      <c r="RXP1450"/>
      <c r="RXQ1450"/>
      <c r="RXR1450"/>
      <c r="RXS1450"/>
      <c r="RXT1450"/>
      <c r="RXU1450"/>
      <c r="RXV1450"/>
      <c r="RXW1450"/>
      <c r="RXX1450"/>
      <c r="RXY1450"/>
      <c r="RXZ1450"/>
      <c r="RYA1450"/>
      <c r="RYB1450"/>
      <c r="RYC1450"/>
      <c r="RYD1450"/>
      <c r="RYE1450"/>
      <c r="RYF1450"/>
      <c r="RYG1450"/>
      <c r="RYH1450"/>
      <c r="RYI1450"/>
      <c r="RYJ1450"/>
      <c r="RYK1450"/>
      <c r="RYL1450"/>
      <c r="RYM1450"/>
      <c r="RYN1450"/>
      <c r="RYO1450"/>
      <c r="RYP1450"/>
      <c r="RYQ1450"/>
      <c r="RYR1450"/>
      <c r="RYS1450"/>
      <c r="RYT1450"/>
      <c r="RYU1450"/>
      <c r="RYV1450"/>
      <c r="RYW1450"/>
      <c r="RYX1450"/>
      <c r="RYY1450"/>
      <c r="RYZ1450"/>
      <c r="RZA1450"/>
      <c r="RZB1450"/>
      <c r="RZC1450"/>
      <c r="RZD1450"/>
      <c r="RZE1450"/>
      <c r="RZF1450"/>
      <c r="RZG1450"/>
      <c r="RZH1450"/>
      <c r="RZI1450"/>
      <c r="RZJ1450"/>
      <c r="RZK1450"/>
      <c r="RZL1450"/>
      <c r="RZM1450"/>
      <c r="RZN1450"/>
      <c r="RZO1450"/>
      <c r="RZP1450"/>
      <c r="RZQ1450"/>
      <c r="RZR1450"/>
      <c r="RZS1450"/>
      <c r="RZT1450"/>
      <c r="RZU1450"/>
      <c r="RZV1450"/>
      <c r="RZW1450"/>
      <c r="RZX1450"/>
      <c r="RZY1450"/>
      <c r="RZZ1450"/>
      <c r="SAA1450"/>
      <c r="SAB1450"/>
      <c r="SAC1450"/>
      <c r="SAD1450"/>
      <c r="SAE1450"/>
      <c r="SAF1450"/>
      <c r="SAG1450"/>
      <c r="SAH1450"/>
      <c r="SAI1450"/>
      <c r="SAJ1450"/>
      <c r="SAK1450"/>
      <c r="SAL1450"/>
      <c r="SAM1450"/>
      <c r="SAN1450"/>
      <c r="SAO1450"/>
      <c r="SAP1450"/>
      <c r="SAQ1450"/>
      <c r="SAR1450"/>
      <c r="SAS1450"/>
      <c r="SAT1450"/>
      <c r="SAU1450"/>
      <c r="SAV1450"/>
      <c r="SAW1450"/>
      <c r="SAX1450"/>
      <c r="SAY1450"/>
      <c r="SAZ1450"/>
      <c r="SBA1450"/>
      <c r="SBB1450"/>
      <c r="SBC1450"/>
      <c r="SBD1450"/>
      <c r="SBE1450"/>
      <c r="SBF1450"/>
      <c r="SBG1450"/>
      <c r="SBH1450"/>
      <c r="SBI1450"/>
      <c r="SBJ1450"/>
      <c r="SBK1450"/>
      <c r="SBL1450"/>
      <c r="SBM1450"/>
      <c r="SBN1450"/>
      <c r="SBO1450"/>
      <c r="SBP1450"/>
      <c r="SBQ1450"/>
      <c r="SBR1450"/>
      <c r="SBS1450"/>
      <c r="SBT1450"/>
      <c r="SBU1450"/>
      <c r="SBV1450"/>
      <c r="SBW1450"/>
      <c r="SBX1450"/>
      <c r="SBY1450"/>
      <c r="SBZ1450"/>
      <c r="SCA1450"/>
      <c r="SCB1450"/>
      <c r="SCC1450"/>
      <c r="SCD1450"/>
      <c r="SCE1450"/>
      <c r="SCF1450"/>
      <c r="SCG1450"/>
      <c r="SCH1450"/>
      <c r="SCI1450"/>
      <c r="SCJ1450"/>
      <c r="SCK1450"/>
      <c r="SCL1450"/>
      <c r="SCM1450"/>
      <c r="SCN1450"/>
      <c r="SCO1450"/>
      <c r="SCP1450"/>
      <c r="SCQ1450"/>
      <c r="SCR1450"/>
      <c r="SCS1450"/>
      <c r="SCT1450"/>
      <c r="SCU1450"/>
      <c r="SCV1450"/>
      <c r="SCW1450"/>
      <c r="SCX1450"/>
      <c r="SCY1450"/>
      <c r="SCZ1450"/>
      <c r="SDA1450"/>
      <c r="SDB1450"/>
      <c r="SDC1450"/>
      <c r="SDD1450"/>
      <c r="SDE1450"/>
      <c r="SDF1450"/>
      <c r="SDG1450"/>
      <c r="SDH1450"/>
      <c r="SDI1450"/>
      <c r="SDJ1450"/>
      <c r="SDK1450"/>
      <c r="SDL1450"/>
      <c r="SDM1450"/>
      <c r="SDN1450"/>
      <c r="SDO1450"/>
      <c r="SDP1450"/>
      <c r="SDQ1450"/>
      <c r="SDR1450"/>
      <c r="SDS1450"/>
      <c r="SDT1450"/>
      <c r="SDU1450"/>
      <c r="SDV1450"/>
      <c r="SDW1450"/>
      <c r="SDX1450"/>
      <c r="SDY1450"/>
      <c r="SDZ1450"/>
      <c r="SEA1450"/>
      <c r="SEB1450"/>
      <c r="SEC1450"/>
      <c r="SED1450"/>
      <c r="SEE1450"/>
      <c r="SEF1450"/>
      <c r="SEG1450"/>
      <c r="SEH1450"/>
      <c r="SEI1450"/>
      <c r="SEJ1450"/>
      <c r="SEK1450"/>
      <c r="SEL1450"/>
      <c r="SEM1450"/>
      <c r="SEN1450"/>
      <c r="SEO1450"/>
      <c r="SEP1450"/>
      <c r="SEQ1450"/>
      <c r="SER1450"/>
      <c r="SES1450"/>
      <c r="SET1450"/>
      <c r="SEU1450"/>
      <c r="SEV1450"/>
      <c r="SEW1450"/>
      <c r="SEX1450"/>
      <c r="SEY1450"/>
      <c r="SEZ1450"/>
      <c r="SFA1450"/>
      <c r="SFB1450"/>
      <c r="SFC1450"/>
      <c r="SFD1450"/>
      <c r="SFE1450"/>
      <c r="SFF1450"/>
      <c r="SFG1450"/>
      <c r="SFH1450"/>
      <c r="SFI1450"/>
      <c r="SFJ1450"/>
      <c r="SFK1450"/>
      <c r="SFL1450"/>
      <c r="SFM1450"/>
      <c r="SFN1450"/>
      <c r="SFO1450"/>
      <c r="SFP1450"/>
      <c r="SFQ1450"/>
      <c r="SFR1450"/>
      <c r="SFS1450"/>
      <c r="SFT1450"/>
      <c r="SFU1450"/>
      <c r="SFV1450"/>
      <c r="SFW1450"/>
      <c r="SFX1450"/>
      <c r="SFY1450"/>
      <c r="SFZ1450"/>
      <c r="SGA1450"/>
      <c r="SGB1450"/>
      <c r="SGC1450"/>
      <c r="SGD1450"/>
      <c r="SGE1450"/>
      <c r="SGF1450"/>
      <c r="SGG1450"/>
      <c r="SGH1450"/>
      <c r="SGI1450"/>
      <c r="SGJ1450"/>
      <c r="SGK1450"/>
      <c r="SGL1450"/>
      <c r="SGM1450"/>
      <c r="SGN1450"/>
      <c r="SGO1450"/>
      <c r="SGP1450"/>
      <c r="SGQ1450"/>
      <c r="SGR1450"/>
      <c r="SGS1450"/>
      <c r="SGT1450"/>
      <c r="SGU1450"/>
      <c r="SGV1450"/>
      <c r="SGW1450"/>
      <c r="SGX1450"/>
      <c r="SGY1450"/>
      <c r="SGZ1450"/>
      <c r="SHA1450"/>
      <c r="SHB1450"/>
      <c r="SHC1450"/>
      <c r="SHD1450"/>
      <c r="SHE1450"/>
      <c r="SHF1450"/>
      <c r="SHG1450"/>
      <c r="SHH1450"/>
      <c r="SHI1450"/>
      <c r="SHJ1450"/>
      <c r="SHK1450"/>
      <c r="SHL1450"/>
      <c r="SHM1450"/>
      <c r="SHN1450"/>
      <c r="SHO1450"/>
      <c r="SHP1450"/>
      <c r="SHQ1450"/>
      <c r="SHR1450"/>
      <c r="SHS1450"/>
      <c r="SHT1450"/>
      <c r="SHU1450"/>
      <c r="SHV1450"/>
      <c r="SHW1450"/>
      <c r="SHX1450"/>
      <c r="SHY1450"/>
      <c r="SHZ1450"/>
      <c r="SIA1450"/>
      <c r="SIB1450"/>
      <c r="SIC1450"/>
      <c r="SID1450"/>
      <c r="SIE1450"/>
      <c r="SIF1450"/>
      <c r="SIG1450"/>
      <c r="SIH1450"/>
      <c r="SII1450"/>
      <c r="SIJ1450"/>
      <c r="SIK1450"/>
      <c r="SIL1450"/>
      <c r="SIM1450"/>
      <c r="SIN1450"/>
      <c r="SIO1450"/>
      <c r="SIP1450"/>
      <c r="SIQ1450"/>
      <c r="SIR1450"/>
      <c r="SIS1450"/>
      <c r="SIT1450"/>
      <c r="SIU1450"/>
      <c r="SIV1450"/>
      <c r="SIW1450"/>
      <c r="SIX1450"/>
      <c r="SIY1450"/>
      <c r="SIZ1450"/>
      <c r="SJA1450"/>
      <c r="SJB1450"/>
      <c r="SJC1450"/>
      <c r="SJD1450"/>
      <c r="SJE1450"/>
      <c r="SJF1450"/>
      <c r="SJG1450"/>
      <c r="SJH1450"/>
      <c r="SJI1450"/>
      <c r="SJJ1450"/>
      <c r="SJK1450"/>
      <c r="SJL1450"/>
      <c r="SJM1450"/>
      <c r="SJN1450"/>
      <c r="SJO1450"/>
      <c r="SJP1450"/>
      <c r="SJQ1450"/>
      <c r="SJR1450"/>
      <c r="SJS1450"/>
      <c r="SJT1450"/>
      <c r="SJU1450"/>
      <c r="SJV1450"/>
      <c r="SJW1450"/>
      <c r="SJX1450"/>
      <c r="SJY1450"/>
      <c r="SJZ1450"/>
      <c r="SKA1450"/>
      <c r="SKB1450"/>
      <c r="SKC1450"/>
      <c r="SKD1450"/>
      <c r="SKE1450"/>
      <c r="SKF1450"/>
      <c r="SKG1450"/>
      <c r="SKH1450"/>
      <c r="SKI1450"/>
      <c r="SKJ1450"/>
      <c r="SKK1450"/>
      <c r="SKL1450"/>
      <c r="SKM1450"/>
      <c r="SKN1450"/>
      <c r="SKO1450"/>
      <c r="SKP1450"/>
      <c r="SKQ1450"/>
      <c r="SKR1450"/>
      <c r="SKS1450"/>
      <c r="SKT1450"/>
      <c r="SKU1450"/>
      <c r="SKV1450"/>
      <c r="SKW1450"/>
      <c r="SKX1450"/>
      <c r="SKY1450"/>
      <c r="SKZ1450"/>
      <c r="SLA1450"/>
      <c r="SLB1450"/>
      <c r="SLC1450"/>
      <c r="SLD1450"/>
      <c r="SLE1450"/>
      <c r="SLF1450"/>
      <c r="SLG1450"/>
      <c r="SLH1450"/>
      <c r="SLI1450"/>
      <c r="SLJ1450"/>
      <c r="SLK1450"/>
      <c r="SLL1450"/>
      <c r="SLM1450"/>
      <c r="SLN1450"/>
      <c r="SLO1450"/>
      <c r="SLP1450"/>
      <c r="SLQ1450"/>
      <c r="SLR1450"/>
      <c r="SLS1450"/>
      <c r="SLT1450"/>
      <c r="SLU1450"/>
      <c r="SLV1450"/>
      <c r="SLW1450"/>
      <c r="SLX1450"/>
      <c r="SLY1450"/>
      <c r="SLZ1450"/>
      <c r="SMA1450"/>
      <c r="SMB1450"/>
      <c r="SMC1450"/>
      <c r="SMD1450"/>
      <c r="SME1450"/>
      <c r="SMF1450"/>
      <c r="SMG1450"/>
      <c r="SMH1450"/>
      <c r="SMI1450"/>
      <c r="SMJ1450"/>
      <c r="SMK1450"/>
      <c r="SML1450"/>
      <c r="SMM1450"/>
      <c r="SMN1450"/>
      <c r="SMO1450"/>
      <c r="SMP1450"/>
      <c r="SMQ1450"/>
      <c r="SMR1450"/>
      <c r="SMS1450"/>
      <c r="SMT1450"/>
      <c r="SMU1450"/>
      <c r="SMV1450"/>
      <c r="SMW1450"/>
      <c r="SMX1450"/>
      <c r="SMY1450"/>
      <c r="SMZ1450"/>
      <c r="SNA1450"/>
      <c r="SNB1450"/>
      <c r="SNC1450"/>
      <c r="SND1450"/>
      <c r="SNE1450"/>
      <c r="SNF1450"/>
      <c r="SNG1450"/>
      <c r="SNH1450"/>
      <c r="SNI1450"/>
      <c r="SNJ1450"/>
      <c r="SNK1450"/>
      <c r="SNL1450"/>
      <c r="SNM1450"/>
      <c r="SNN1450"/>
      <c r="SNO1450"/>
      <c r="SNP1450"/>
      <c r="SNQ1450"/>
      <c r="SNR1450"/>
      <c r="SNS1450"/>
      <c r="SNT1450"/>
      <c r="SNU1450"/>
      <c r="SNV1450"/>
      <c r="SNW1450"/>
      <c r="SNX1450"/>
      <c r="SNY1450"/>
      <c r="SNZ1450"/>
      <c r="SOA1450"/>
      <c r="SOB1450"/>
      <c r="SOC1450"/>
      <c r="SOD1450"/>
      <c r="SOE1450"/>
      <c r="SOF1450"/>
      <c r="SOG1450"/>
      <c r="SOH1450"/>
      <c r="SOI1450"/>
      <c r="SOJ1450"/>
      <c r="SOK1450"/>
      <c r="SOL1450"/>
      <c r="SOM1450"/>
      <c r="SON1450"/>
      <c r="SOO1450"/>
      <c r="SOP1450"/>
      <c r="SOQ1450"/>
      <c r="SOR1450"/>
      <c r="SOS1450"/>
      <c r="SOT1450"/>
      <c r="SOU1450"/>
      <c r="SOV1450"/>
      <c r="SOW1450"/>
      <c r="SOX1450"/>
      <c r="SOY1450"/>
      <c r="SOZ1450"/>
      <c r="SPA1450"/>
      <c r="SPB1450"/>
      <c r="SPC1450"/>
      <c r="SPD1450"/>
      <c r="SPE1450"/>
      <c r="SPF1450"/>
      <c r="SPG1450"/>
      <c r="SPH1450"/>
      <c r="SPI1450"/>
      <c r="SPJ1450"/>
      <c r="SPK1450"/>
      <c r="SPL1450"/>
      <c r="SPM1450"/>
      <c r="SPN1450"/>
      <c r="SPO1450"/>
      <c r="SPP1450"/>
      <c r="SPQ1450"/>
      <c r="SPR1450"/>
      <c r="SPS1450"/>
      <c r="SPT1450"/>
      <c r="SPU1450"/>
      <c r="SPV1450"/>
      <c r="SPW1450"/>
      <c r="SPX1450"/>
      <c r="SPY1450"/>
      <c r="SPZ1450"/>
      <c r="SQA1450"/>
      <c r="SQB1450"/>
      <c r="SQC1450"/>
      <c r="SQD1450"/>
      <c r="SQE1450"/>
      <c r="SQF1450"/>
      <c r="SQG1450"/>
      <c r="SQH1450"/>
      <c r="SQI1450"/>
      <c r="SQJ1450"/>
      <c r="SQK1450"/>
      <c r="SQL1450"/>
      <c r="SQM1450"/>
      <c r="SQN1450"/>
      <c r="SQO1450"/>
      <c r="SQP1450"/>
      <c r="SQQ1450"/>
      <c r="SQR1450"/>
      <c r="SQS1450"/>
      <c r="SQT1450"/>
      <c r="SQU1450"/>
      <c r="SQV1450"/>
      <c r="SQW1450"/>
      <c r="SQX1450"/>
      <c r="SQY1450"/>
      <c r="SQZ1450"/>
      <c r="SRA1450"/>
      <c r="SRB1450"/>
      <c r="SRC1450"/>
      <c r="SRD1450"/>
      <c r="SRE1450"/>
      <c r="SRF1450"/>
      <c r="SRG1450"/>
      <c r="SRH1450"/>
      <c r="SRI1450"/>
      <c r="SRJ1450"/>
      <c r="SRK1450"/>
      <c r="SRL1450"/>
      <c r="SRM1450"/>
      <c r="SRN1450"/>
      <c r="SRO1450"/>
      <c r="SRP1450"/>
      <c r="SRQ1450"/>
      <c r="SRR1450"/>
      <c r="SRS1450"/>
      <c r="SRT1450"/>
      <c r="SRU1450"/>
      <c r="SRV1450"/>
      <c r="SRW1450"/>
      <c r="SRX1450"/>
      <c r="SRY1450"/>
      <c r="SRZ1450"/>
      <c r="SSA1450"/>
      <c r="SSB1450"/>
      <c r="SSC1450"/>
      <c r="SSD1450"/>
      <c r="SSE1450"/>
      <c r="SSF1450"/>
      <c r="SSG1450"/>
      <c r="SSH1450"/>
      <c r="SSI1450"/>
      <c r="SSJ1450"/>
      <c r="SSK1450"/>
      <c r="SSL1450"/>
      <c r="SSM1450"/>
      <c r="SSN1450"/>
      <c r="SSO1450"/>
      <c r="SSP1450"/>
      <c r="SSQ1450"/>
      <c r="SSR1450"/>
      <c r="SSS1450"/>
      <c r="SST1450"/>
      <c r="SSU1450"/>
      <c r="SSV1450"/>
      <c r="SSW1450"/>
      <c r="SSX1450"/>
      <c r="SSY1450"/>
      <c r="SSZ1450"/>
      <c r="STA1450"/>
      <c r="STB1450"/>
      <c r="STC1450"/>
      <c r="STD1450"/>
      <c r="STE1450"/>
      <c r="STF1450"/>
      <c r="STG1450"/>
      <c r="STH1450"/>
      <c r="STI1450"/>
      <c r="STJ1450"/>
      <c r="STK1450"/>
      <c r="STL1450"/>
      <c r="STM1450"/>
      <c r="STN1450"/>
      <c r="STO1450"/>
      <c r="STP1450"/>
      <c r="STQ1450"/>
      <c r="STR1450"/>
      <c r="STS1450"/>
      <c r="STT1450"/>
      <c r="STU1450"/>
      <c r="STV1450"/>
      <c r="STW1450"/>
      <c r="STX1450"/>
      <c r="STY1450"/>
      <c r="STZ1450"/>
      <c r="SUA1450"/>
      <c r="SUB1450"/>
      <c r="SUC1450"/>
      <c r="SUD1450"/>
      <c r="SUE1450"/>
      <c r="SUF1450"/>
      <c r="SUG1450"/>
      <c r="SUH1450"/>
      <c r="SUI1450"/>
      <c r="SUJ1450"/>
      <c r="SUK1450"/>
      <c r="SUL1450"/>
      <c r="SUM1450"/>
      <c r="SUN1450"/>
      <c r="SUO1450"/>
      <c r="SUP1450"/>
      <c r="SUQ1450"/>
      <c r="SUR1450"/>
      <c r="SUS1450"/>
      <c r="SUT1450"/>
      <c r="SUU1450"/>
      <c r="SUV1450"/>
      <c r="SUW1450"/>
      <c r="SUX1450"/>
      <c r="SUY1450"/>
      <c r="SUZ1450"/>
      <c r="SVA1450"/>
      <c r="SVB1450"/>
      <c r="SVC1450"/>
      <c r="SVD1450"/>
      <c r="SVE1450"/>
      <c r="SVF1450"/>
      <c r="SVG1450"/>
      <c r="SVH1450"/>
      <c r="SVI1450"/>
      <c r="SVJ1450"/>
      <c r="SVK1450"/>
      <c r="SVL1450"/>
      <c r="SVM1450"/>
      <c r="SVN1450"/>
      <c r="SVO1450"/>
      <c r="SVP1450"/>
      <c r="SVQ1450"/>
      <c r="SVR1450"/>
      <c r="SVS1450"/>
      <c r="SVT1450"/>
      <c r="SVU1450"/>
      <c r="SVV1450"/>
      <c r="SVW1450"/>
      <c r="SVX1450"/>
      <c r="SVY1450"/>
      <c r="SVZ1450"/>
      <c r="SWA1450"/>
      <c r="SWB1450"/>
      <c r="SWC1450"/>
      <c r="SWD1450"/>
      <c r="SWE1450"/>
      <c r="SWF1450"/>
      <c r="SWG1450"/>
      <c r="SWH1450"/>
      <c r="SWI1450"/>
      <c r="SWJ1450"/>
      <c r="SWK1450"/>
      <c r="SWL1450"/>
      <c r="SWM1450"/>
      <c r="SWN1450"/>
      <c r="SWO1450"/>
      <c r="SWP1450"/>
      <c r="SWQ1450"/>
      <c r="SWR1450"/>
      <c r="SWS1450"/>
      <c r="SWT1450"/>
      <c r="SWU1450"/>
      <c r="SWV1450"/>
      <c r="SWW1450"/>
      <c r="SWX1450"/>
      <c r="SWY1450"/>
      <c r="SWZ1450"/>
      <c r="SXA1450"/>
      <c r="SXB1450"/>
      <c r="SXC1450"/>
      <c r="SXD1450"/>
      <c r="SXE1450"/>
      <c r="SXF1450"/>
      <c r="SXG1450"/>
      <c r="SXH1450"/>
      <c r="SXI1450"/>
      <c r="SXJ1450"/>
      <c r="SXK1450"/>
      <c r="SXL1450"/>
      <c r="SXM1450"/>
      <c r="SXN1450"/>
      <c r="SXO1450"/>
      <c r="SXP1450"/>
      <c r="SXQ1450"/>
      <c r="SXR1450"/>
      <c r="SXS1450"/>
      <c r="SXT1450"/>
      <c r="SXU1450"/>
      <c r="SXV1450"/>
      <c r="SXW1450"/>
      <c r="SXX1450"/>
      <c r="SXY1450"/>
      <c r="SXZ1450"/>
      <c r="SYA1450"/>
      <c r="SYB1450"/>
      <c r="SYC1450"/>
      <c r="SYD1450"/>
      <c r="SYE1450"/>
      <c r="SYF1450"/>
      <c r="SYG1450"/>
      <c r="SYH1450"/>
      <c r="SYI1450"/>
      <c r="SYJ1450"/>
      <c r="SYK1450"/>
      <c r="SYL1450"/>
      <c r="SYM1450"/>
      <c r="SYN1450"/>
      <c r="SYO1450"/>
      <c r="SYP1450"/>
      <c r="SYQ1450"/>
      <c r="SYR1450"/>
      <c r="SYS1450"/>
      <c r="SYT1450"/>
      <c r="SYU1450"/>
      <c r="SYV1450"/>
      <c r="SYW1450"/>
      <c r="SYX1450"/>
      <c r="SYY1450"/>
      <c r="SYZ1450"/>
      <c r="SZA1450"/>
      <c r="SZB1450"/>
      <c r="SZC1450"/>
      <c r="SZD1450"/>
      <c r="SZE1450"/>
      <c r="SZF1450"/>
      <c r="SZG1450"/>
      <c r="SZH1450"/>
      <c r="SZI1450"/>
      <c r="SZJ1450"/>
      <c r="SZK1450"/>
      <c r="SZL1450"/>
      <c r="SZM1450"/>
      <c r="SZN1450"/>
      <c r="SZO1450"/>
      <c r="SZP1450"/>
      <c r="SZQ1450"/>
      <c r="SZR1450"/>
      <c r="SZS1450"/>
      <c r="SZT1450"/>
      <c r="SZU1450"/>
      <c r="SZV1450"/>
      <c r="SZW1450"/>
      <c r="SZX1450"/>
      <c r="SZY1450"/>
      <c r="SZZ1450"/>
      <c r="TAA1450"/>
      <c r="TAB1450"/>
      <c r="TAC1450"/>
      <c r="TAD1450"/>
      <c r="TAE1450"/>
      <c r="TAF1450"/>
      <c r="TAG1450"/>
      <c r="TAH1450"/>
      <c r="TAI1450"/>
      <c r="TAJ1450"/>
      <c r="TAK1450"/>
      <c r="TAL1450"/>
      <c r="TAM1450"/>
      <c r="TAN1450"/>
      <c r="TAO1450"/>
      <c r="TAP1450"/>
      <c r="TAQ1450"/>
      <c r="TAR1450"/>
      <c r="TAS1450"/>
      <c r="TAT1450"/>
      <c r="TAU1450"/>
      <c r="TAV1450"/>
      <c r="TAW1450"/>
      <c r="TAX1450"/>
      <c r="TAY1450"/>
      <c r="TAZ1450"/>
      <c r="TBA1450"/>
      <c r="TBB1450"/>
      <c r="TBC1450"/>
      <c r="TBD1450"/>
      <c r="TBE1450"/>
      <c r="TBF1450"/>
      <c r="TBG1450"/>
      <c r="TBH1450"/>
      <c r="TBI1450"/>
      <c r="TBJ1450"/>
      <c r="TBK1450"/>
      <c r="TBL1450"/>
      <c r="TBM1450"/>
      <c r="TBN1450"/>
      <c r="TBO1450"/>
      <c r="TBP1450"/>
      <c r="TBQ1450"/>
      <c r="TBR1450"/>
      <c r="TBS1450"/>
      <c r="TBT1450"/>
      <c r="TBU1450"/>
      <c r="TBV1450"/>
      <c r="TBW1450"/>
      <c r="TBX1450"/>
      <c r="TBY1450"/>
      <c r="TBZ1450"/>
      <c r="TCA1450"/>
      <c r="TCB1450"/>
      <c r="TCC1450"/>
      <c r="TCD1450"/>
      <c r="TCE1450"/>
      <c r="TCF1450"/>
      <c r="TCG1450"/>
      <c r="TCH1450"/>
      <c r="TCI1450"/>
      <c r="TCJ1450"/>
      <c r="TCK1450"/>
      <c r="TCL1450"/>
      <c r="TCM1450"/>
      <c r="TCN1450"/>
      <c r="TCO1450"/>
      <c r="TCP1450"/>
      <c r="TCQ1450"/>
      <c r="TCR1450"/>
      <c r="TCS1450"/>
      <c r="TCT1450"/>
      <c r="TCU1450"/>
      <c r="TCV1450"/>
      <c r="TCW1450"/>
      <c r="TCX1450"/>
      <c r="TCY1450"/>
      <c r="TCZ1450"/>
      <c r="TDA1450"/>
      <c r="TDB1450"/>
      <c r="TDC1450"/>
      <c r="TDD1450"/>
      <c r="TDE1450"/>
      <c r="TDF1450"/>
      <c r="TDG1450"/>
      <c r="TDH1450"/>
      <c r="TDI1450"/>
      <c r="TDJ1450"/>
      <c r="TDK1450"/>
      <c r="TDL1450"/>
      <c r="TDM1450"/>
      <c r="TDN1450"/>
      <c r="TDO1450"/>
      <c r="TDP1450"/>
      <c r="TDQ1450"/>
      <c r="TDR1450"/>
      <c r="TDS1450"/>
      <c r="TDT1450"/>
      <c r="TDU1450"/>
      <c r="TDV1450"/>
      <c r="TDW1450"/>
      <c r="TDX1450"/>
      <c r="TDY1450"/>
      <c r="TDZ1450"/>
      <c r="TEA1450"/>
      <c r="TEB1450"/>
      <c r="TEC1450"/>
      <c r="TED1450"/>
      <c r="TEE1450"/>
      <c r="TEF1450"/>
      <c r="TEG1450"/>
      <c r="TEH1450"/>
      <c r="TEI1450"/>
      <c r="TEJ1450"/>
      <c r="TEK1450"/>
      <c r="TEL1450"/>
      <c r="TEM1450"/>
      <c r="TEN1450"/>
      <c r="TEO1450"/>
      <c r="TEP1450"/>
      <c r="TEQ1450"/>
      <c r="TER1450"/>
      <c r="TES1450"/>
      <c r="TET1450"/>
      <c r="TEU1450"/>
      <c r="TEV1450"/>
      <c r="TEW1450"/>
      <c r="TEX1450"/>
      <c r="TEY1450"/>
      <c r="TEZ1450"/>
      <c r="TFA1450"/>
      <c r="TFB1450"/>
      <c r="TFC1450"/>
      <c r="TFD1450"/>
      <c r="TFE1450"/>
      <c r="TFF1450"/>
      <c r="TFG1450"/>
      <c r="TFH1450"/>
      <c r="TFI1450"/>
      <c r="TFJ1450"/>
      <c r="TFK1450"/>
      <c r="TFL1450"/>
      <c r="TFM1450"/>
      <c r="TFN1450"/>
      <c r="TFO1450"/>
      <c r="TFP1450"/>
      <c r="TFQ1450"/>
      <c r="TFR1450"/>
      <c r="TFS1450"/>
      <c r="TFT1450"/>
      <c r="TFU1450"/>
      <c r="TFV1450"/>
      <c r="TFW1450"/>
      <c r="TFX1450"/>
      <c r="TFY1450"/>
      <c r="TFZ1450"/>
      <c r="TGA1450"/>
      <c r="TGB1450"/>
      <c r="TGC1450"/>
      <c r="TGD1450"/>
      <c r="TGE1450"/>
      <c r="TGF1450"/>
      <c r="TGG1450"/>
      <c r="TGH1450"/>
      <c r="TGI1450"/>
      <c r="TGJ1450"/>
      <c r="TGK1450"/>
      <c r="TGL1450"/>
      <c r="TGM1450"/>
      <c r="TGN1450"/>
      <c r="TGO1450"/>
      <c r="TGP1450"/>
      <c r="TGQ1450"/>
      <c r="TGR1450"/>
      <c r="TGS1450"/>
      <c r="TGT1450"/>
      <c r="TGU1450"/>
      <c r="TGV1450"/>
      <c r="TGW1450"/>
      <c r="TGX1450"/>
      <c r="TGY1450"/>
      <c r="TGZ1450"/>
      <c r="THA1450"/>
      <c r="THB1450"/>
      <c r="THC1450"/>
      <c r="THD1450"/>
      <c r="THE1450"/>
      <c r="THF1450"/>
      <c r="THG1450"/>
      <c r="THH1450"/>
      <c r="THI1450"/>
      <c r="THJ1450"/>
      <c r="THK1450"/>
      <c r="THL1450"/>
      <c r="THM1450"/>
      <c r="THN1450"/>
      <c r="THO1450"/>
      <c r="THP1450"/>
      <c r="THQ1450"/>
      <c r="THR1450"/>
      <c r="THS1450"/>
      <c r="THT1450"/>
      <c r="THU1450"/>
      <c r="THV1450"/>
      <c r="THW1450"/>
      <c r="THX1450"/>
      <c r="THY1450"/>
      <c r="THZ1450"/>
      <c r="TIA1450"/>
      <c r="TIB1450"/>
      <c r="TIC1450"/>
      <c r="TID1450"/>
      <c r="TIE1450"/>
      <c r="TIF1450"/>
      <c r="TIG1450"/>
      <c r="TIH1450"/>
      <c r="TII1450"/>
      <c r="TIJ1450"/>
      <c r="TIK1450"/>
      <c r="TIL1450"/>
      <c r="TIM1450"/>
      <c r="TIN1450"/>
      <c r="TIO1450"/>
      <c r="TIP1450"/>
      <c r="TIQ1450"/>
      <c r="TIR1450"/>
      <c r="TIS1450"/>
      <c r="TIT1450"/>
      <c r="TIU1450"/>
      <c r="TIV1450"/>
      <c r="TIW1450"/>
      <c r="TIX1450"/>
      <c r="TIY1450"/>
      <c r="TIZ1450"/>
      <c r="TJA1450"/>
      <c r="TJB1450"/>
      <c r="TJC1450"/>
      <c r="TJD1450"/>
      <c r="TJE1450"/>
      <c r="TJF1450"/>
      <c r="TJG1450"/>
      <c r="TJH1450"/>
      <c r="TJI1450"/>
      <c r="TJJ1450"/>
      <c r="TJK1450"/>
      <c r="TJL1450"/>
      <c r="TJM1450"/>
      <c r="TJN1450"/>
      <c r="TJO1450"/>
      <c r="TJP1450"/>
      <c r="TJQ1450"/>
      <c r="TJR1450"/>
      <c r="TJS1450"/>
      <c r="TJT1450"/>
      <c r="TJU1450"/>
      <c r="TJV1450"/>
      <c r="TJW1450"/>
      <c r="TJX1450"/>
      <c r="TJY1450"/>
      <c r="TJZ1450"/>
      <c r="TKA1450"/>
      <c r="TKB1450"/>
      <c r="TKC1450"/>
      <c r="TKD1450"/>
      <c r="TKE1450"/>
      <c r="TKF1450"/>
      <c r="TKG1450"/>
      <c r="TKH1450"/>
      <c r="TKI1450"/>
      <c r="TKJ1450"/>
      <c r="TKK1450"/>
      <c r="TKL1450"/>
      <c r="TKM1450"/>
      <c r="TKN1450"/>
      <c r="TKO1450"/>
      <c r="TKP1450"/>
      <c r="TKQ1450"/>
      <c r="TKR1450"/>
      <c r="TKS1450"/>
      <c r="TKT1450"/>
      <c r="TKU1450"/>
      <c r="TKV1450"/>
      <c r="TKW1450"/>
      <c r="TKX1450"/>
      <c r="TKY1450"/>
      <c r="TKZ1450"/>
      <c r="TLA1450"/>
      <c r="TLB1450"/>
      <c r="TLC1450"/>
      <c r="TLD1450"/>
      <c r="TLE1450"/>
      <c r="TLF1450"/>
      <c r="TLG1450"/>
      <c r="TLH1450"/>
      <c r="TLI1450"/>
      <c r="TLJ1450"/>
      <c r="TLK1450"/>
      <c r="TLL1450"/>
      <c r="TLM1450"/>
      <c r="TLN1450"/>
      <c r="TLO1450"/>
      <c r="TLP1450"/>
      <c r="TLQ1450"/>
      <c r="TLR1450"/>
      <c r="TLS1450"/>
      <c r="TLT1450"/>
      <c r="TLU1450"/>
      <c r="TLV1450"/>
      <c r="TLW1450"/>
      <c r="TLX1450"/>
      <c r="TLY1450"/>
      <c r="TLZ1450"/>
      <c r="TMA1450"/>
      <c r="TMB1450"/>
      <c r="TMC1450"/>
      <c r="TMD1450"/>
      <c r="TME1450"/>
      <c r="TMF1450"/>
      <c r="TMG1450"/>
      <c r="TMH1450"/>
      <c r="TMI1450"/>
      <c r="TMJ1450"/>
      <c r="TMK1450"/>
      <c r="TML1450"/>
      <c r="TMM1450"/>
      <c r="TMN1450"/>
      <c r="TMO1450"/>
      <c r="TMP1450"/>
      <c r="TMQ1450"/>
      <c r="TMR1450"/>
      <c r="TMS1450"/>
      <c r="TMT1450"/>
      <c r="TMU1450"/>
      <c r="TMV1450"/>
      <c r="TMW1450"/>
      <c r="TMX1450"/>
      <c r="TMY1450"/>
      <c r="TMZ1450"/>
      <c r="TNA1450"/>
      <c r="TNB1450"/>
      <c r="TNC1450"/>
      <c r="TND1450"/>
      <c r="TNE1450"/>
      <c r="TNF1450"/>
      <c r="TNG1450"/>
      <c r="TNH1450"/>
      <c r="TNI1450"/>
      <c r="TNJ1450"/>
      <c r="TNK1450"/>
      <c r="TNL1450"/>
      <c r="TNM1450"/>
      <c r="TNN1450"/>
      <c r="TNO1450"/>
      <c r="TNP1450"/>
      <c r="TNQ1450"/>
      <c r="TNR1450"/>
      <c r="TNS1450"/>
      <c r="TNT1450"/>
      <c r="TNU1450"/>
      <c r="TNV1450"/>
      <c r="TNW1450"/>
      <c r="TNX1450"/>
      <c r="TNY1450"/>
      <c r="TNZ1450"/>
      <c r="TOA1450"/>
      <c r="TOB1450"/>
      <c r="TOC1450"/>
      <c r="TOD1450"/>
      <c r="TOE1450"/>
      <c r="TOF1450"/>
      <c r="TOG1450"/>
      <c r="TOH1450"/>
      <c r="TOI1450"/>
      <c r="TOJ1450"/>
      <c r="TOK1450"/>
      <c r="TOL1450"/>
      <c r="TOM1450"/>
      <c r="TON1450"/>
      <c r="TOO1450"/>
      <c r="TOP1450"/>
      <c r="TOQ1450"/>
      <c r="TOR1450"/>
      <c r="TOS1450"/>
      <c r="TOT1450"/>
      <c r="TOU1450"/>
      <c r="TOV1450"/>
      <c r="TOW1450"/>
      <c r="TOX1450"/>
      <c r="TOY1450"/>
      <c r="TOZ1450"/>
      <c r="TPA1450"/>
      <c r="TPB1450"/>
      <c r="TPC1450"/>
      <c r="TPD1450"/>
      <c r="TPE1450"/>
      <c r="TPF1450"/>
      <c r="TPG1450"/>
      <c r="TPH1450"/>
      <c r="TPI1450"/>
      <c r="TPJ1450"/>
      <c r="TPK1450"/>
      <c r="TPL1450"/>
      <c r="TPM1450"/>
      <c r="TPN1450"/>
      <c r="TPO1450"/>
      <c r="TPP1450"/>
      <c r="TPQ1450"/>
      <c r="TPR1450"/>
      <c r="TPS1450"/>
      <c r="TPT1450"/>
      <c r="TPU1450"/>
      <c r="TPV1450"/>
      <c r="TPW1450"/>
      <c r="TPX1450"/>
      <c r="TPY1450"/>
      <c r="TPZ1450"/>
      <c r="TQA1450"/>
      <c r="TQB1450"/>
      <c r="TQC1450"/>
      <c r="TQD1450"/>
      <c r="TQE1450"/>
      <c r="TQF1450"/>
      <c r="TQG1450"/>
      <c r="TQH1450"/>
      <c r="TQI1450"/>
      <c r="TQJ1450"/>
      <c r="TQK1450"/>
      <c r="TQL1450"/>
      <c r="TQM1450"/>
      <c r="TQN1450"/>
      <c r="TQO1450"/>
      <c r="TQP1450"/>
      <c r="TQQ1450"/>
      <c r="TQR1450"/>
      <c r="TQS1450"/>
      <c r="TQT1450"/>
      <c r="TQU1450"/>
      <c r="TQV1450"/>
      <c r="TQW1450"/>
      <c r="TQX1450"/>
      <c r="TQY1450"/>
      <c r="TQZ1450"/>
      <c r="TRA1450"/>
      <c r="TRB1450"/>
      <c r="TRC1450"/>
      <c r="TRD1450"/>
      <c r="TRE1450"/>
      <c r="TRF1450"/>
      <c r="TRG1450"/>
      <c r="TRH1450"/>
      <c r="TRI1450"/>
      <c r="TRJ1450"/>
      <c r="TRK1450"/>
      <c r="TRL1450"/>
      <c r="TRM1450"/>
      <c r="TRN1450"/>
      <c r="TRO1450"/>
      <c r="TRP1450"/>
      <c r="TRQ1450"/>
      <c r="TRR1450"/>
      <c r="TRS1450"/>
      <c r="TRT1450"/>
      <c r="TRU1450"/>
      <c r="TRV1450"/>
      <c r="TRW1450"/>
      <c r="TRX1450"/>
      <c r="TRY1450"/>
      <c r="TRZ1450"/>
      <c r="TSA1450"/>
      <c r="TSB1450"/>
      <c r="TSC1450"/>
      <c r="TSD1450"/>
      <c r="TSE1450"/>
      <c r="TSF1450"/>
      <c r="TSG1450"/>
      <c r="TSH1450"/>
      <c r="TSI1450"/>
      <c r="TSJ1450"/>
      <c r="TSK1450"/>
      <c r="TSL1450"/>
      <c r="TSM1450"/>
      <c r="TSN1450"/>
      <c r="TSO1450"/>
      <c r="TSP1450"/>
      <c r="TSQ1450"/>
      <c r="TSR1450"/>
      <c r="TSS1450"/>
      <c r="TST1450"/>
      <c r="TSU1450"/>
      <c r="TSV1450"/>
      <c r="TSW1450"/>
      <c r="TSX1450"/>
      <c r="TSY1450"/>
      <c r="TSZ1450"/>
      <c r="TTA1450"/>
      <c r="TTB1450"/>
      <c r="TTC1450"/>
      <c r="TTD1450"/>
      <c r="TTE1450"/>
      <c r="TTF1450"/>
      <c r="TTG1450"/>
      <c r="TTH1450"/>
      <c r="TTI1450"/>
      <c r="TTJ1450"/>
      <c r="TTK1450"/>
      <c r="TTL1450"/>
      <c r="TTM1450"/>
      <c r="TTN1450"/>
      <c r="TTO1450"/>
      <c r="TTP1450"/>
      <c r="TTQ1450"/>
      <c r="TTR1450"/>
      <c r="TTS1450"/>
      <c r="TTT1450"/>
      <c r="TTU1450"/>
      <c r="TTV1450"/>
      <c r="TTW1450"/>
      <c r="TTX1450"/>
      <c r="TTY1450"/>
      <c r="TTZ1450"/>
      <c r="TUA1450"/>
      <c r="TUB1450"/>
      <c r="TUC1450"/>
      <c r="TUD1450"/>
      <c r="TUE1450"/>
      <c r="TUF1450"/>
      <c r="TUG1450"/>
      <c r="TUH1450"/>
      <c r="TUI1450"/>
      <c r="TUJ1450"/>
      <c r="TUK1450"/>
      <c r="TUL1450"/>
      <c r="TUM1450"/>
      <c r="TUN1450"/>
      <c r="TUO1450"/>
      <c r="TUP1450"/>
      <c r="TUQ1450"/>
      <c r="TUR1450"/>
      <c r="TUS1450"/>
      <c r="TUT1450"/>
      <c r="TUU1450"/>
      <c r="TUV1450"/>
      <c r="TUW1450"/>
      <c r="TUX1450"/>
      <c r="TUY1450"/>
      <c r="TUZ1450"/>
      <c r="TVA1450"/>
      <c r="TVB1450"/>
      <c r="TVC1450"/>
      <c r="TVD1450"/>
      <c r="TVE1450"/>
      <c r="TVF1450"/>
      <c r="TVG1450"/>
      <c r="TVH1450"/>
      <c r="TVI1450"/>
      <c r="TVJ1450"/>
      <c r="TVK1450"/>
      <c r="TVL1450"/>
      <c r="TVM1450"/>
      <c r="TVN1450"/>
      <c r="TVO1450"/>
      <c r="TVP1450"/>
      <c r="TVQ1450"/>
      <c r="TVR1450"/>
      <c r="TVS1450"/>
      <c r="TVT1450"/>
      <c r="TVU1450"/>
      <c r="TVV1450"/>
      <c r="TVW1450"/>
      <c r="TVX1450"/>
      <c r="TVY1450"/>
      <c r="TVZ1450"/>
      <c r="TWA1450"/>
      <c r="TWB1450"/>
      <c r="TWC1450"/>
      <c r="TWD1450"/>
      <c r="TWE1450"/>
      <c r="TWF1450"/>
      <c r="TWG1450"/>
      <c r="TWH1450"/>
      <c r="TWI1450"/>
      <c r="TWJ1450"/>
      <c r="TWK1450"/>
      <c r="TWL1450"/>
      <c r="TWM1450"/>
      <c r="TWN1450"/>
      <c r="TWO1450"/>
      <c r="TWP1450"/>
      <c r="TWQ1450"/>
      <c r="TWR1450"/>
      <c r="TWS1450"/>
      <c r="TWT1450"/>
      <c r="TWU1450"/>
      <c r="TWV1450"/>
      <c r="TWW1450"/>
      <c r="TWX1450"/>
      <c r="TWY1450"/>
      <c r="TWZ1450"/>
      <c r="TXA1450"/>
      <c r="TXB1450"/>
      <c r="TXC1450"/>
      <c r="TXD1450"/>
      <c r="TXE1450"/>
      <c r="TXF1450"/>
      <c r="TXG1450"/>
      <c r="TXH1450"/>
      <c r="TXI1450"/>
      <c r="TXJ1450"/>
      <c r="TXK1450"/>
      <c r="TXL1450"/>
      <c r="TXM1450"/>
      <c r="TXN1450"/>
      <c r="TXO1450"/>
      <c r="TXP1450"/>
      <c r="TXQ1450"/>
      <c r="TXR1450"/>
      <c r="TXS1450"/>
      <c r="TXT1450"/>
      <c r="TXU1450"/>
      <c r="TXV1450"/>
      <c r="TXW1450"/>
      <c r="TXX1450"/>
      <c r="TXY1450"/>
      <c r="TXZ1450"/>
      <c r="TYA1450"/>
      <c r="TYB1450"/>
      <c r="TYC1450"/>
      <c r="TYD1450"/>
      <c r="TYE1450"/>
      <c r="TYF1450"/>
      <c r="TYG1450"/>
      <c r="TYH1450"/>
      <c r="TYI1450"/>
      <c r="TYJ1450"/>
      <c r="TYK1450"/>
      <c r="TYL1450"/>
      <c r="TYM1450"/>
      <c r="TYN1450"/>
      <c r="TYO1450"/>
      <c r="TYP1450"/>
      <c r="TYQ1450"/>
      <c r="TYR1450"/>
      <c r="TYS1450"/>
      <c r="TYT1450"/>
      <c r="TYU1450"/>
      <c r="TYV1450"/>
      <c r="TYW1450"/>
      <c r="TYX1450"/>
      <c r="TYY1450"/>
      <c r="TYZ1450"/>
      <c r="TZA1450"/>
      <c r="TZB1450"/>
      <c r="TZC1450"/>
      <c r="TZD1450"/>
      <c r="TZE1450"/>
      <c r="TZF1450"/>
      <c r="TZG1450"/>
      <c r="TZH1450"/>
      <c r="TZI1450"/>
      <c r="TZJ1450"/>
      <c r="TZK1450"/>
      <c r="TZL1450"/>
      <c r="TZM1450"/>
      <c r="TZN1450"/>
      <c r="TZO1450"/>
      <c r="TZP1450"/>
      <c r="TZQ1450"/>
      <c r="TZR1450"/>
      <c r="TZS1450"/>
      <c r="TZT1450"/>
      <c r="TZU1450"/>
      <c r="TZV1450"/>
      <c r="TZW1450"/>
      <c r="TZX1450"/>
      <c r="TZY1450"/>
      <c r="TZZ1450"/>
      <c r="UAA1450"/>
      <c r="UAB1450"/>
      <c r="UAC1450"/>
      <c r="UAD1450"/>
      <c r="UAE1450"/>
      <c r="UAF1450"/>
      <c r="UAG1450"/>
      <c r="UAH1450"/>
      <c r="UAI1450"/>
      <c r="UAJ1450"/>
      <c r="UAK1450"/>
      <c r="UAL1450"/>
      <c r="UAM1450"/>
      <c r="UAN1450"/>
      <c r="UAO1450"/>
      <c r="UAP1450"/>
      <c r="UAQ1450"/>
      <c r="UAR1450"/>
      <c r="UAS1450"/>
      <c r="UAT1450"/>
      <c r="UAU1450"/>
      <c r="UAV1450"/>
      <c r="UAW1450"/>
      <c r="UAX1450"/>
      <c r="UAY1450"/>
      <c r="UAZ1450"/>
      <c r="UBA1450"/>
      <c r="UBB1450"/>
      <c r="UBC1450"/>
      <c r="UBD1450"/>
      <c r="UBE1450"/>
      <c r="UBF1450"/>
      <c r="UBG1450"/>
      <c r="UBH1450"/>
      <c r="UBI1450"/>
      <c r="UBJ1450"/>
      <c r="UBK1450"/>
      <c r="UBL1450"/>
      <c r="UBM1450"/>
      <c r="UBN1450"/>
      <c r="UBO1450"/>
      <c r="UBP1450"/>
      <c r="UBQ1450"/>
      <c r="UBR1450"/>
      <c r="UBS1450"/>
      <c r="UBT1450"/>
      <c r="UBU1450"/>
      <c r="UBV1450"/>
      <c r="UBW1450"/>
      <c r="UBX1450"/>
      <c r="UBY1450"/>
      <c r="UBZ1450"/>
      <c r="UCA1450"/>
      <c r="UCB1450"/>
      <c r="UCC1450"/>
      <c r="UCD1450"/>
      <c r="UCE1450"/>
      <c r="UCF1450"/>
      <c r="UCG1450"/>
      <c r="UCH1450"/>
      <c r="UCI1450"/>
      <c r="UCJ1450"/>
      <c r="UCK1450"/>
      <c r="UCL1450"/>
      <c r="UCM1450"/>
      <c r="UCN1450"/>
      <c r="UCO1450"/>
      <c r="UCP1450"/>
      <c r="UCQ1450"/>
      <c r="UCR1450"/>
      <c r="UCS1450"/>
      <c r="UCT1450"/>
      <c r="UCU1450"/>
      <c r="UCV1450"/>
      <c r="UCW1450"/>
      <c r="UCX1450"/>
      <c r="UCY1450"/>
      <c r="UCZ1450"/>
      <c r="UDA1450"/>
      <c r="UDB1450"/>
      <c r="UDC1450"/>
      <c r="UDD1450"/>
      <c r="UDE1450"/>
      <c r="UDF1450"/>
      <c r="UDG1450"/>
      <c r="UDH1450"/>
      <c r="UDI1450"/>
      <c r="UDJ1450"/>
      <c r="UDK1450"/>
      <c r="UDL1450"/>
      <c r="UDM1450"/>
      <c r="UDN1450"/>
      <c r="UDO1450"/>
      <c r="UDP1450"/>
      <c r="UDQ1450"/>
      <c r="UDR1450"/>
      <c r="UDS1450"/>
      <c r="UDT1450"/>
      <c r="UDU1450"/>
      <c r="UDV1450"/>
      <c r="UDW1450"/>
      <c r="UDX1450"/>
      <c r="UDY1450"/>
      <c r="UDZ1450"/>
      <c r="UEA1450"/>
      <c r="UEB1450"/>
      <c r="UEC1450"/>
      <c r="UED1450"/>
      <c r="UEE1450"/>
      <c r="UEF1450"/>
      <c r="UEG1450"/>
      <c r="UEH1450"/>
      <c r="UEI1450"/>
      <c r="UEJ1450"/>
      <c r="UEK1450"/>
      <c r="UEL1450"/>
      <c r="UEM1450"/>
      <c r="UEN1450"/>
      <c r="UEO1450"/>
      <c r="UEP1450"/>
      <c r="UEQ1450"/>
      <c r="UER1450"/>
      <c r="UES1450"/>
      <c r="UET1450"/>
      <c r="UEU1450"/>
      <c r="UEV1450"/>
      <c r="UEW1450"/>
      <c r="UEX1450"/>
      <c r="UEY1450"/>
      <c r="UEZ1450"/>
      <c r="UFA1450"/>
      <c r="UFB1450"/>
      <c r="UFC1450"/>
      <c r="UFD1450"/>
      <c r="UFE1450"/>
      <c r="UFF1450"/>
      <c r="UFG1450"/>
      <c r="UFH1450"/>
      <c r="UFI1450"/>
      <c r="UFJ1450"/>
      <c r="UFK1450"/>
      <c r="UFL1450"/>
      <c r="UFM1450"/>
      <c r="UFN1450"/>
      <c r="UFO1450"/>
      <c r="UFP1450"/>
      <c r="UFQ1450"/>
      <c r="UFR1450"/>
      <c r="UFS1450"/>
      <c r="UFT1450"/>
      <c r="UFU1450"/>
      <c r="UFV1450"/>
      <c r="UFW1450"/>
      <c r="UFX1450"/>
      <c r="UFY1450"/>
      <c r="UFZ1450"/>
      <c r="UGA1450"/>
      <c r="UGB1450"/>
      <c r="UGC1450"/>
      <c r="UGD1450"/>
      <c r="UGE1450"/>
      <c r="UGF1450"/>
      <c r="UGG1450"/>
      <c r="UGH1450"/>
      <c r="UGI1450"/>
      <c r="UGJ1450"/>
      <c r="UGK1450"/>
      <c r="UGL1450"/>
      <c r="UGM1450"/>
      <c r="UGN1450"/>
      <c r="UGO1450"/>
      <c r="UGP1450"/>
      <c r="UGQ1450"/>
      <c r="UGR1450"/>
      <c r="UGS1450"/>
      <c r="UGT1450"/>
      <c r="UGU1450"/>
      <c r="UGV1450"/>
      <c r="UGW1450"/>
      <c r="UGX1450"/>
      <c r="UGY1450"/>
      <c r="UGZ1450"/>
      <c r="UHA1450"/>
      <c r="UHB1450"/>
      <c r="UHC1450"/>
      <c r="UHD1450"/>
      <c r="UHE1450"/>
      <c r="UHF1450"/>
      <c r="UHG1450"/>
      <c r="UHH1450"/>
      <c r="UHI1450"/>
      <c r="UHJ1450"/>
      <c r="UHK1450"/>
      <c r="UHL1450"/>
      <c r="UHM1450"/>
      <c r="UHN1450"/>
      <c r="UHO1450"/>
      <c r="UHP1450"/>
      <c r="UHQ1450"/>
      <c r="UHR1450"/>
      <c r="UHS1450"/>
      <c r="UHT1450"/>
      <c r="UHU1450"/>
      <c r="UHV1450"/>
      <c r="UHW1450"/>
      <c r="UHX1450"/>
      <c r="UHY1450"/>
      <c r="UHZ1450"/>
      <c r="UIA1450"/>
      <c r="UIB1450"/>
      <c r="UIC1450"/>
      <c r="UID1450"/>
      <c r="UIE1450"/>
      <c r="UIF1450"/>
      <c r="UIG1450"/>
      <c r="UIH1450"/>
      <c r="UII1450"/>
      <c r="UIJ1450"/>
      <c r="UIK1450"/>
      <c r="UIL1450"/>
      <c r="UIM1450"/>
      <c r="UIN1450"/>
      <c r="UIO1450"/>
      <c r="UIP1450"/>
      <c r="UIQ1450"/>
      <c r="UIR1450"/>
      <c r="UIS1450"/>
      <c r="UIT1450"/>
      <c r="UIU1450"/>
      <c r="UIV1450"/>
      <c r="UIW1450"/>
      <c r="UIX1450"/>
      <c r="UIY1450"/>
      <c r="UIZ1450"/>
      <c r="UJA1450"/>
      <c r="UJB1450"/>
      <c r="UJC1450"/>
      <c r="UJD1450"/>
      <c r="UJE1450"/>
      <c r="UJF1450"/>
      <c r="UJG1450"/>
      <c r="UJH1450"/>
      <c r="UJI1450"/>
      <c r="UJJ1450"/>
      <c r="UJK1450"/>
      <c r="UJL1450"/>
      <c r="UJM1450"/>
      <c r="UJN1450"/>
      <c r="UJO1450"/>
      <c r="UJP1450"/>
      <c r="UJQ1450"/>
      <c r="UJR1450"/>
      <c r="UJS1450"/>
      <c r="UJT1450"/>
      <c r="UJU1450"/>
      <c r="UJV1450"/>
      <c r="UJW1450"/>
      <c r="UJX1450"/>
      <c r="UJY1450"/>
      <c r="UJZ1450"/>
      <c r="UKA1450"/>
      <c r="UKB1450"/>
      <c r="UKC1450"/>
      <c r="UKD1450"/>
      <c r="UKE1450"/>
      <c r="UKF1450"/>
      <c r="UKG1450"/>
      <c r="UKH1450"/>
      <c r="UKI1450"/>
      <c r="UKJ1450"/>
      <c r="UKK1450"/>
      <c r="UKL1450"/>
      <c r="UKM1450"/>
      <c r="UKN1450"/>
      <c r="UKO1450"/>
      <c r="UKP1450"/>
      <c r="UKQ1450"/>
      <c r="UKR1450"/>
      <c r="UKS1450"/>
      <c r="UKT1450"/>
      <c r="UKU1450"/>
      <c r="UKV1450"/>
      <c r="UKW1450"/>
      <c r="UKX1450"/>
      <c r="UKY1450"/>
      <c r="UKZ1450"/>
      <c r="ULA1450"/>
      <c r="ULB1450"/>
      <c r="ULC1450"/>
      <c r="ULD1450"/>
      <c r="ULE1450"/>
      <c r="ULF1450"/>
      <c r="ULG1450"/>
      <c r="ULH1450"/>
      <c r="ULI1450"/>
      <c r="ULJ1450"/>
      <c r="ULK1450"/>
      <c r="ULL1450"/>
      <c r="ULM1450"/>
      <c r="ULN1450"/>
      <c r="ULO1450"/>
      <c r="ULP1450"/>
      <c r="ULQ1450"/>
      <c r="ULR1450"/>
      <c r="ULS1450"/>
      <c r="ULT1450"/>
      <c r="ULU1450"/>
      <c r="ULV1450"/>
      <c r="ULW1450"/>
      <c r="ULX1450"/>
      <c r="ULY1450"/>
      <c r="ULZ1450"/>
      <c r="UMA1450"/>
      <c r="UMB1450"/>
      <c r="UMC1450"/>
      <c r="UMD1450"/>
      <c r="UME1450"/>
      <c r="UMF1450"/>
      <c r="UMG1450"/>
      <c r="UMH1450"/>
      <c r="UMI1450"/>
      <c r="UMJ1450"/>
      <c r="UMK1450"/>
      <c r="UML1450"/>
      <c r="UMM1450"/>
      <c r="UMN1450"/>
      <c r="UMO1450"/>
      <c r="UMP1450"/>
      <c r="UMQ1450"/>
      <c r="UMR1450"/>
      <c r="UMS1450"/>
      <c r="UMT1450"/>
      <c r="UMU1450"/>
      <c r="UMV1450"/>
      <c r="UMW1450"/>
      <c r="UMX1450"/>
      <c r="UMY1450"/>
      <c r="UMZ1450"/>
      <c r="UNA1450"/>
      <c r="UNB1450"/>
      <c r="UNC1450"/>
      <c r="UND1450"/>
      <c r="UNE1450"/>
      <c r="UNF1450"/>
      <c r="UNG1450"/>
      <c r="UNH1450"/>
      <c r="UNI1450"/>
      <c r="UNJ1450"/>
      <c r="UNK1450"/>
      <c r="UNL1450"/>
      <c r="UNM1450"/>
      <c r="UNN1450"/>
      <c r="UNO1450"/>
      <c r="UNP1450"/>
      <c r="UNQ1450"/>
      <c r="UNR1450"/>
      <c r="UNS1450"/>
      <c r="UNT1450"/>
      <c r="UNU1450"/>
      <c r="UNV1450"/>
      <c r="UNW1450"/>
      <c r="UNX1450"/>
      <c r="UNY1450"/>
      <c r="UNZ1450"/>
      <c r="UOA1450"/>
      <c r="UOB1450"/>
      <c r="UOC1450"/>
      <c r="UOD1450"/>
      <c r="UOE1450"/>
      <c r="UOF1450"/>
      <c r="UOG1450"/>
      <c r="UOH1450"/>
      <c r="UOI1450"/>
      <c r="UOJ1450"/>
      <c r="UOK1450"/>
      <c r="UOL1450"/>
      <c r="UOM1450"/>
      <c r="UON1450"/>
      <c r="UOO1450"/>
      <c r="UOP1450"/>
      <c r="UOQ1450"/>
      <c r="UOR1450"/>
      <c r="UOS1450"/>
      <c r="UOT1450"/>
      <c r="UOU1450"/>
      <c r="UOV1450"/>
      <c r="UOW1450"/>
      <c r="UOX1450"/>
      <c r="UOY1450"/>
      <c r="UOZ1450"/>
      <c r="UPA1450"/>
      <c r="UPB1450"/>
      <c r="UPC1450"/>
      <c r="UPD1450"/>
      <c r="UPE1450"/>
      <c r="UPF1450"/>
      <c r="UPG1450"/>
      <c r="UPH1450"/>
      <c r="UPI1450"/>
      <c r="UPJ1450"/>
      <c r="UPK1450"/>
      <c r="UPL1450"/>
      <c r="UPM1450"/>
      <c r="UPN1450"/>
      <c r="UPO1450"/>
      <c r="UPP1450"/>
      <c r="UPQ1450"/>
      <c r="UPR1450"/>
      <c r="UPS1450"/>
      <c r="UPT1450"/>
      <c r="UPU1450"/>
      <c r="UPV1450"/>
      <c r="UPW1450"/>
      <c r="UPX1450"/>
      <c r="UPY1450"/>
      <c r="UPZ1450"/>
      <c r="UQA1450"/>
      <c r="UQB1450"/>
      <c r="UQC1450"/>
      <c r="UQD1450"/>
      <c r="UQE1450"/>
      <c r="UQF1450"/>
      <c r="UQG1450"/>
      <c r="UQH1450"/>
      <c r="UQI1450"/>
      <c r="UQJ1450"/>
      <c r="UQK1450"/>
      <c r="UQL1450"/>
      <c r="UQM1450"/>
      <c r="UQN1450"/>
      <c r="UQO1450"/>
      <c r="UQP1450"/>
      <c r="UQQ1450"/>
      <c r="UQR1450"/>
      <c r="UQS1450"/>
      <c r="UQT1450"/>
      <c r="UQU1450"/>
      <c r="UQV1450"/>
      <c r="UQW1450"/>
      <c r="UQX1450"/>
      <c r="UQY1450"/>
      <c r="UQZ1450"/>
      <c r="URA1450"/>
      <c r="URB1450"/>
      <c r="URC1450"/>
      <c r="URD1450"/>
      <c r="URE1450"/>
      <c r="URF1450"/>
      <c r="URG1450"/>
      <c r="URH1450"/>
      <c r="URI1450"/>
      <c r="URJ1450"/>
      <c r="URK1450"/>
      <c r="URL1450"/>
      <c r="URM1450"/>
      <c r="URN1450"/>
      <c r="URO1450"/>
      <c r="URP1450"/>
      <c r="URQ1450"/>
      <c r="URR1450"/>
      <c r="URS1450"/>
      <c r="URT1450"/>
      <c r="URU1450"/>
      <c r="URV1450"/>
      <c r="URW1450"/>
      <c r="URX1450"/>
      <c r="URY1450"/>
      <c r="URZ1450"/>
      <c r="USA1450"/>
      <c r="USB1450"/>
      <c r="USC1450"/>
      <c r="USD1450"/>
      <c r="USE1450"/>
      <c r="USF1450"/>
      <c r="USG1450"/>
      <c r="USH1450"/>
      <c r="USI1450"/>
      <c r="USJ1450"/>
      <c r="USK1450"/>
      <c r="USL1450"/>
      <c r="USM1450"/>
      <c r="USN1450"/>
      <c r="USO1450"/>
      <c r="USP1450"/>
      <c r="USQ1450"/>
      <c r="USR1450"/>
      <c r="USS1450"/>
      <c r="UST1450"/>
      <c r="USU1450"/>
      <c r="USV1450"/>
      <c r="USW1450"/>
      <c r="USX1450"/>
      <c r="USY1450"/>
      <c r="USZ1450"/>
      <c r="UTA1450"/>
      <c r="UTB1450"/>
      <c r="UTC1450"/>
      <c r="UTD1450"/>
      <c r="UTE1450"/>
      <c r="UTF1450"/>
      <c r="UTG1450"/>
      <c r="UTH1450"/>
      <c r="UTI1450"/>
      <c r="UTJ1450"/>
      <c r="UTK1450"/>
      <c r="UTL1450"/>
      <c r="UTM1450"/>
      <c r="UTN1450"/>
      <c r="UTO1450"/>
      <c r="UTP1450"/>
      <c r="UTQ1450"/>
      <c r="UTR1450"/>
      <c r="UTS1450"/>
      <c r="UTT1450"/>
      <c r="UTU1450"/>
      <c r="UTV1450"/>
      <c r="UTW1450"/>
      <c r="UTX1450"/>
      <c r="UTY1450"/>
      <c r="UTZ1450"/>
      <c r="UUA1450"/>
      <c r="UUB1450"/>
      <c r="UUC1450"/>
      <c r="UUD1450"/>
      <c r="UUE1450"/>
      <c r="UUF1450"/>
      <c r="UUG1450"/>
      <c r="UUH1450"/>
      <c r="UUI1450"/>
      <c r="UUJ1450"/>
      <c r="UUK1450"/>
      <c r="UUL1450"/>
      <c r="UUM1450"/>
      <c r="UUN1450"/>
      <c r="UUO1450"/>
      <c r="UUP1450"/>
      <c r="UUQ1450"/>
      <c r="UUR1450"/>
      <c r="UUS1450"/>
      <c r="UUT1450"/>
      <c r="UUU1450"/>
      <c r="UUV1450"/>
      <c r="UUW1450"/>
      <c r="UUX1450"/>
      <c r="UUY1450"/>
      <c r="UUZ1450"/>
      <c r="UVA1450"/>
      <c r="UVB1450"/>
      <c r="UVC1450"/>
      <c r="UVD1450"/>
      <c r="UVE1450"/>
      <c r="UVF1450"/>
      <c r="UVG1450"/>
      <c r="UVH1450"/>
      <c r="UVI1450"/>
      <c r="UVJ1450"/>
      <c r="UVK1450"/>
      <c r="UVL1450"/>
      <c r="UVM1450"/>
      <c r="UVN1450"/>
      <c r="UVO1450"/>
      <c r="UVP1450"/>
      <c r="UVQ1450"/>
      <c r="UVR1450"/>
      <c r="UVS1450"/>
      <c r="UVT1450"/>
      <c r="UVU1450"/>
      <c r="UVV1450"/>
      <c r="UVW1450"/>
      <c r="UVX1450"/>
      <c r="UVY1450"/>
      <c r="UVZ1450"/>
      <c r="UWA1450"/>
      <c r="UWB1450"/>
      <c r="UWC1450"/>
      <c r="UWD1450"/>
      <c r="UWE1450"/>
      <c r="UWF1450"/>
      <c r="UWG1450"/>
      <c r="UWH1450"/>
      <c r="UWI1450"/>
      <c r="UWJ1450"/>
      <c r="UWK1450"/>
      <c r="UWL1450"/>
      <c r="UWM1450"/>
      <c r="UWN1450"/>
      <c r="UWO1450"/>
      <c r="UWP1450"/>
      <c r="UWQ1450"/>
      <c r="UWR1450"/>
      <c r="UWS1450"/>
      <c r="UWT1450"/>
      <c r="UWU1450"/>
      <c r="UWV1450"/>
      <c r="UWW1450"/>
      <c r="UWX1450"/>
      <c r="UWY1450"/>
      <c r="UWZ1450"/>
      <c r="UXA1450"/>
      <c r="UXB1450"/>
      <c r="UXC1450"/>
      <c r="UXD1450"/>
      <c r="UXE1450"/>
      <c r="UXF1450"/>
      <c r="UXG1450"/>
      <c r="UXH1450"/>
      <c r="UXI1450"/>
      <c r="UXJ1450"/>
      <c r="UXK1450"/>
      <c r="UXL1450"/>
      <c r="UXM1450"/>
      <c r="UXN1450"/>
      <c r="UXO1450"/>
      <c r="UXP1450"/>
      <c r="UXQ1450"/>
      <c r="UXR1450"/>
      <c r="UXS1450"/>
      <c r="UXT1450"/>
      <c r="UXU1450"/>
      <c r="UXV1450"/>
      <c r="UXW1450"/>
      <c r="UXX1450"/>
      <c r="UXY1450"/>
      <c r="UXZ1450"/>
      <c r="UYA1450"/>
      <c r="UYB1450"/>
      <c r="UYC1450"/>
      <c r="UYD1450"/>
      <c r="UYE1450"/>
      <c r="UYF1450"/>
      <c r="UYG1450"/>
      <c r="UYH1450"/>
      <c r="UYI1450"/>
      <c r="UYJ1450"/>
      <c r="UYK1450"/>
      <c r="UYL1450"/>
      <c r="UYM1450"/>
      <c r="UYN1450"/>
      <c r="UYO1450"/>
      <c r="UYP1450"/>
      <c r="UYQ1450"/>
      <c r="UYR1450"/>
      <c r="UYS1450"/>
      <c r="UYT1450"/>
      <c r="UYU1450"/>
      <c r="UYV1450"/>
      <c r="UYW1450"/>
      <c r="UYX1450"/>
      <c r="UYY1450"/>
      <c r="UYZ1450"/>
      <c r="UZA1450"/>
      <c r="UZB1450"/>
      <c r="UZC1450"/>
      <c r="UZD1450"/>
      <c r="UZE1450"/>
      <c r="UZF1450"/>
      <c r="UZG1450"/>
      <c r="UZH1450"/>
      <c r="UZI1450"/>
      <c r="UZJ1450"/>
      <c r="UZK1450"/>
      <c r="UZL1450"/>
      <c r="UZM1450"/>
      <c r="UZN1450"/>
      <c r="UZO1450"/>
      <c r="UZP1450"/>
      <c r="UZQ1450"/>
      <c r="UZR1450"/>
      <c r="UZS1450"/>
      <c r="UZT1450"/>
      <c r="UZU1450"/>
      <c r="UZV1450"/>
      <c r="UZW1450"/>
      <c r="UZX1450"/>
      <c r="UZY1450"/>
      <c r="UZZ1450"/>
      <c r="VAA1450"/>
      <c r="VAB1450"/>
      <c r="VAC1450"/>
      <c r="VAD1450"/>
      <c r="VAE1450"/>
      <c r="VAF1450"/>
      <c r="VAG1450"/>
      <c r="VAH1450"/>
      <c r="VAI1450"/>
      <c r="VAJ1450"/>
      <c r="VAK1450"/>
      <c r="VAL1450"/>
      <c r="VAM1450"/>
      <c r="VAN1450"/>
      <c r="VAO1450"/>
      <c r="VAP1450"/>
      <c r="VAQ1450"/>
      <c r="VAR1450"/>
      <c r="VAS1450"/>
      <c r="VAT1450"/>
      <c r="VAU1450"/>
      <c r="VAV1450"/>
      <c r="VAW1450"/>
      <c r="VAX1450"/>
      <c r="VAY1450"/>
      <c r="VAZ1450"/>
      <c r="VBA1450"/>
      <c r="VBB1450"/>
      <c r="VBC1450"/>
      <c r="VBD1450"/>
      <c r="VBE1450"/>
      <c r="VBF1450"/>
      <c r="VBG1450"/>
      <c r="VBH1450"/>
      <c r="VBI1450"/>
      <c r="VBJ1450"/>
      <c r="VBK1450"/>
      <c r="VBL1450"/>
      <c r="VBM1450"/>
      <c r="VBN1450"/>
      <c r="VBO1450"/>
      <c r="VBP1450"/>
      <c r="VBQ1450"/>
      <c r="VBR1450"/>
      <c r="VBS1450"/>
      <c r="VBT1450"/>
      <c r="VBU1450"/>
      <c r="VBV1450"/>
      <c r="VBW1450"/>
      <c r="VBX1450"/>
      <c r="VBY1450"/>
      <c r="VBZ1450"/>
      <c r="VCA1450"/>
      <c r="VCB1450"/>
      <c r="VCC1450"/>
      <c r="VCD1450"/>
      <c r="VCE1450"/>
      <c r="VCF1450"/>
      <c r="VCG1450"/>
      <c r="VCH1450"/>
      <c r="VCI1450"/>
      <c r="VCJ1450"/>
      <c r="VCK1450"/>
      <c r="VCL1450"/>
      <c r="VCM1450"/>
      <c r="VCN1450"/>
      <c r="VCO1450"/>
      <c r="VCP1450"/>
      <c r="VCQ1450"/>
      <c r="VCR1450"/>
      <c r="VCS1450"/>
      <c r="VCT1450"/>
      <c r="VCU1450"/>
      <c r="VCV1450"/>
      <c r="VCW1450"/>
      <c r="VCX1450"/>
      <c r="VCY1450"/>
      <c r="VCZ1450"/>
      <c r="VDA1450"/>
      <c r="VDB1450"/>
      <c r="VDC1450"/>
      <c r="VDD1450"/>
      <c r="VDE1450"/>
      <c r="VDF1450"/>
      <c r="VDG1450"/>
      <c r="VDH1450"/>
      <c r="VDI1450"/>
      <c r="VDJ1450"/>
      <c r="VDK1450"/>
      <c r="VDL1450"/>
      <c r="VDM1450"/>
      <c r="VDN1450"/>
      <c r="VDO1450"/>
      <c r="VDP1450"/>
      <c r="VDQ1450"/>
      <c r="VDR1450"/>
      <c r="VDS1450"/>
      <c r="VDT1450"/>
      <c r="VDU1450"/>
      <c r="VDV1450"/>
      <c r="VDW1450"/>
      <c r="VDX1450"/>
      <c r="VDY1450"/>
      <c r="VDZ1450"/>
      <c r="VEA1450"/>
      <c r="VEB1450"/>
      <c r="VEC1450"/>
      <c r="VED1450"/>
      <c r="VEE1450"/>
      <c r="VEF1450"/>
      <c r="VEG1450"/>
      <c r="VEH1450"/>
      <c r="VEI1450"/>
      <c r="VEJ1450"/>
      <c r="VEK1450"/>
      <c r="VEL1450"/>
      <c r="VEM1450"/>
      <c r="VEN1450"/>
      <c r="VEO1450"/>
      <c r="VEP1450"/>
      <c r="VEQ1450"/>
      <c r="VER1450"/>
      <c r="VES1450"/>
      <c r="VET1450"/>
      <c r="VEU1450"/>
      <c r="VEV1450"/>
      <c r="VEW1450"/>
      <c r="VEX1450"/>
      <c r="VEY1450"/>
      <c r="VEZ1450"/>
      <c r="VFA1450"/>
      <c r="VFB1450"/>
      <c r="VFC1450"/>
      <c r="VFD1450"/>
      <c r="VFE1450"/>
      <c r="VFF1450"/>
      <c r="VFG1450"/>
      <c r="VFH1450"/>
      <c r="VFI1450"/>
      <c r="VFJ1450"/>
      <c r="VFK1450"/>
      <c r="VFL1450"/>
      <c r="VFM1450"/>
      <c r="VFN1450"/>
      <c r="VFO1450"/>
      <c r="VFP1450"/>
      <c r="VFQ1450"/>
      <c r="VFR1450"/>
      <c r="VFS1450"/>
      <c r="VFT1450"/>
      <c r="VFU1450"/>
      <c r="VFV1450"/>
      <c r="VFW1450"/>
      <c r="VFX1450"/>
      <c r="VFY1450"/>
      <c r="VFZ1450"/>
      <c r="VGA1450"/>
      <c r="VGB1450"/>
      <c r="VGC1450"/>
      <c r="VGD1450"/>
      <c r="VGE1450"/>
      <c r="VGF1450"/>
      <c r="VGG1450"/>
      <c r="VGH1450"/>
      <c r="VGI1450"/>
      <c r="VGJ1450"/>
      <c r="VGK1450"/>
      <c r="VGL1450"/>
      <c r="VGM1450"/>
      <c r="VGN1450"/>
      <c r="VGO1450"/>
      <c r="VGP1450"/>
      <c r="VGQ1450"/>
      <c r="VGR1450"/>
      <c r="VGS1450"/>
      <c r="VGT1450"/>
      <c r="VGU1450"/>
      <c r="VGV1450"/>
      <c r="VGW1450"/>
      <c r="VGX1450"/>
      <c r="VGY1450"/>
      <c r="VGZ1450"/>
      <c r="VHA1450"/>
      <c r="VHB1450"/>
      <c r="VHC1450"/>
      <c r="VHD1450"/>
      <c r="VHE1450"/>
      <c r="VHF1450"/>
      <c r="VHG1450"/>
      <c r="VHH1450"/>
      <c r="VHI1450"/>
      <c r="VHJ1450"/>
      <c r="VHK1450"/>
      <c r="VHL1450"/>
      <c r="VHM1450"/>
      <c r="VHN1450"/>
      <c r="VHO1450"/>
      <c r="VHP1450"/>
      <c r="VHQ1450"/>
      <c r="VHR1450"/>
      <c r="VHS1450"/>
      <c r="VHT1450"/>
      <c r="VHU1450"/>
      <c r="VHV1450"/>
      <c r="VHW1450"/>
      <c r="VHX1450"/>
      <c r="VHY1450"/>
      <c r="VHZ1450"/>
      <c r="VIA1450"/>
      <c r="VIB1450"/>
      <c r="VIC1450"/>
      <c r="VID1450"/>
      <c r="VIE1450"/>
      <c r="VIF1450"/>
      <c r="VIG1450"/>
      <c r="VIH1450"/>
      <c r="VII1450"/>
      <c r="VIJ1450"/>
      <c r="VIK1450"/>
      <c r="VIL1450"/>
      <c r="VIM1450"/>
      <c r="VIN1450"/>
      <c r="VIO1450"/>
      <c r="VIP1450"/>
      <c r="VIQ1450"/>
      <c r="VIR1450"/>
      <c r="VIS1450"/>
      <c r="VIT1450"/>
      <c r="VIU1450"/>
      <c r="VIV1450"/>
      <c r="VIW1450"/>
      <c r="VIX1450"/>
      <c r="VIY1450"/>
      <c r="VIZ1450"/>
      <c r="VJA1450"/>
      <c r="VJB1450"/>
      <c r="VJC1450"/>
      <c r="VJD1450"/>
      <c r="VJE1450"/>
      <c r="VJF1450"/>
      <c r="VJG1450"/>
      <c r="VJH1450"/>
      <c r="VJI1450"/>
      <c r="VJJ1450"/>
      <c r="VJK1450"/>
      <c r="VJL1450"/>
      <c r="VJM1450"/>
      <c r="VJN1450"/>
      <c r="VJO1450"/>
      <c r="VJP1450"/>
      <c r="VJQ1450"/>
      <c r="VJR1450"/>
      <c r="VJS1450"/>
      <c r="VJT1450"/>
      <c r="VJU1450"/>
      <c r="VJV1450"/>
      <c r="VJW1450"/>
      <c r="VJX1450"/>
      <c r="VJY1450"/>
      <c r="VJZ1450"/>
      <c r="VKA1450"/>
      <c r="VKB1450"/>
      <c r="VKC1450"/>
      <c r="VKD1450"/>
      <c r="VKE1450"/>
      <c r="VKF1450"/>
      <c r="VKG1450"/>
      <c r="VKH1450"/>
      <c r="VKI1450"/>
      <c r="VKJ1450"/>
      <c r="VKK1450"/>
      <c r="VKL1450"/>
      <c r="VKM1450"/>
      <c r="VKN1450"/>
      <c r="VKO1450"/>
      <c r="VKP1450"/>
      <c r="VKQ1450"/>
      <c r="VKR1450"/>
      <c r="VKS1450"/>
      <c r="VKT1450"/>
      <c r="VKU1450"/>
      <c r="VKV1450"/>
      <c r="VKW1450"/>
      <c r="VKX1450"/>
      <c r="VKY1450"/>
      <c r="VKZ1450"/>
      <c r="VLA1450"/>
      <c r="VLB1450"/>
      <c r="VLC1450"/>
      <c r="VLD1450"/>
      <c r="VLE1450"/>
      <c r="VLF1450"/>
      <c r="VLG1450"/>
      <c r="VLH1450"/>
      <c r="VLI1450"/>
      <c r="VLJ1450"/>
      <c r="VLK1450"/>
      <c r="VLL1450"/>
      <c r="VLM1450"/>
      <c r="VLN1450"/>
      <c r="VLO1450"/>
      <c r="VLP1450"/>
      <c r="VLQ1450"/>
      <c r="VLR1450"/>
      <c r="VLS1450"/>
      <c r="VLT1450"/>
      <c r="VLU1450"/>
      <c r="VLV1450"/>
      <c r="VLW1450"/>
      <c r="VLX1450"/>
      <c r="VLY1450"/>
      <c r="VLZ1450"/>
      <c r="VMA1450"/>
      <c r="VMB1450"/>
      <c r="VMC1450"/>
      <c r="VMD1450"/>
      <c r="VME1450"/>
      <c r="VMF1450"/>
      <c r="VMG1450"/>
      <c r="VMH1450"/>
      <c r="VMI1450"/>
      <c r="VMJ1450"/>
      <c r="VMK1450"/>
      <c r="VML1450"/>
      <c r="VMM1450"/>
      <c r="VMN1450"/>
      <c r="VMO1450"/>
      <c r="VMP1450"/>
      <c r="VMQ1450"/>
      <c r="VMR1450"/>
      <c r="VMS1450"/>
      <c r="VMT1450"/>
      <c r="VMU1450"/>
      <c r="VMV1450"/>
      <c r="VMW1450"/>
      <c r="VMX1450"/>
      <c r="VMY1450"/>
      <c r="VMZ1450"/>
      <c r="VNA1450"/>
      <c r="VNB1450"/>
      <c r="VNC1450"/>
      <c r="VND1450"/>
      <c r="VNE1450"/>
      <c r="VNF1450"/>
      <c r="VNG1450"/>
      <c r="VNH1450"/>
      <c r="VNI1450"/>
      <c r="VNJ1450"/>
      <c r="VNK1450"/>
      <c r="VNL1450"/>
      <c r="VNM1450"/>
      <c r="VNN1450"/>
      <c r="VNO1450"/>
      <c r="VNP1450"/>
      <c r="VNQ1450"/>
      <c r="VNR1450"/>
      <c r="VNS1450"/>
      <c r="VNT1450"/>
      <c r="VNU1450"/>
      <c r="VNV1450"/>
      <c r="VNW1450"/>
      <c r="VNX1450"/>
      <c r="VNY1450"/>
      <c r="VNZ1450"/>
      <c r="VOA1450"/>
      <c r="VOB1450"/>
      <c r="VOC1450"/>
      <c r="VOD1450"/>
      <c r="VOE1450"/>
      <c r="VOF1450"/>
      <c r="VOG1450"/>
      <c r="VOH1450"/>
      <c r="VOI1450"/>
      <c r="VOJ1450"/>
      <c r="VOK1450"/>
      <c r="VOL1450"/>
      <c r="VOM1450"/>
      <c r="VON1450"/>
      <c r="VOO1450"/>
      <c r="VOP1450"/>
      <c r="VOQ1450"/>
      <c r="VOR1450"/>
      <c r="VOS1450"/>
      <c r="VOT1450"/>
      <c r="VOU1450"/>
      <c r="VOV1450"/>
      <c r="VOW1450"/>
      <c r="VOX1450"/>
      <c r="VOY1450"/>
      <c r="VOZ1450"/>
      <c r="VPA1450"/>
      <c r="VPB1450"/>
      <c r="VPC1450"/>
      <c r="VPD1450"/>
      <c r="VPE1450"/>
      <c r="VPF1450"/>
      <c r="VPG1450"/>
      <c r="VPH1450"/>
      <c r="VPI1450"/>
      <c r="VPJ1450"/>
      <c r="VPK1450"/>
      <c r="VPL1450"/>
      <c r="VPM1450"/>
      <c r="VPN1450"/>
      <c r="VPO1450"/>
      <c r="VPP1450"/>
      <c r="VPQ1450"/>
      <c r="VPR1450"/>
      <c r="VPS1450"/>
      <c r="VPT1450"/>
      <c r="VPU1450"/>
      <c r="VPV1450"/>
      <c r="VPW1450"/>
      <c r="VPX1450"/>
      <c r="VPY1450"/>
      <c r="VPZ1450"/>
      <c r="VQA1450"/>
      <c r="VQB1450"/>
      <c r="VQC1450"/>
      <c r="VQD1450"/>
      <c r="VQE1450"/>
      <c r="VQF1450"/>
      <c r="VQG1450"/>
      <c r="VQH1450"/>
      <c r="VQI1450"/>
      <c r="VQJ1450"/>
      <c r="VQK1450"/>
      <c r="VQL1450"/>
      <c r="VQM1450"/>
      <c r="VQN1450"/>
      <c r="VQO1450"/>
      <c r="VQP1450"/>
      <c r="VQQ1450"/>
      <c r="VQR1450"/>
      <c r="VQS1450"/>
      <c r="VQT1450"/>
      <c r="VQU1450"/>
      <c r="VQV1450"/>
      <c r="VQW1450"/>
      <c r="VQX1450"/>
      <c r="VQY1450"/>
      <c r="VQZ1450"/>
      <c r="VRA1450"/>
      <c r="VRB1450"/>
      <c r="VRC1450"/>
      <c r="VRD1450"/>
      <c r="VRE1450"/>
      <c r="VRF1450"/>
      <c r="VRG1450"/>
      <c r="VRH1450"/>
      <c r="VRI1450"/>
      <c r="VRJ1450"/>
      <c r="VRK1450"/>
      <c r="VRL1450"/>
      <c r="VRM1450"/>
      <c r="VRN1450"/>
      <c r="VRO1450"/>
      <c r="VRP1450"/>
      <c r="VRQ1450"/>
      <c r="VRR1450"/>
      <c r="VRS1450"/>
      <c r="VRT1450"/>
      <c r="VRU1450"/>
      <c r="VRV1450"/>
      <c r="VRW1450"/>
      <c r="VRX1450"/>
      <c r="VRY1450"/>
      <c r="VRZ1450"/>
      <c r="VSA1450"/>
      <c r="VSB1450"/>
      <c r="VSC1450"/>
      <c r="VSD1450"/>
      <c r="VSE1450"/>
      <c r="VSF1450"/>
      <c r="VSG1450"/>
      <c r="VSH1450"/>
      <c r="VSI1450"/>
      <c r="VSJ1450"/>
      <c r="VSK1450"/>
      <c r="VSL1450"/>
      <c r="VSM1450"/>
      <c r="VSN1450"/>
      <c r="VSO1450"/>
      <c r="VSP1450"/>
      <c r="VSQ1450"/>
      <c r="VSR1450"/>
      <c r="VSS1450"/>
      <c r="VST1450"/>
      <c r="VSU1450"/>
      <c r="VSV1450"/>
      <c r="VSW1450"/>
      <c r="VSX1450"/>
      <c r="VSY1450"/>
      <c r="VSZ1450"/>
      <c r="VTA1450"/>
      <c r="VTB1450"/>
      <c r="VTC1450"/>
      <c r="VTD1450"/>
      <c r="VTE1450"/>
      <c r="VTF1450"/>
      <c r="VTG1450"/>
      <c r="VTH1450"/>
      <c r="VTI1450"/>
      <c r="VTJ1450"/>
      <c r="VTK1450"/>
      <c r="VTL1450"/>
      <c r="VTM1450"/>
      <c r="VTN1450"/>
      <c r="VTO1450"/>
      <c r="VTP1450"/>
      <c r="VTQ1450"/>
      <c r="VTR1450"/>
      <c r="VTS1450"/>
      <c r="VTT1450"/>
      <c r="VTU1450"/>
      <c r="VTV1450"/>
      <c r="VTW1450"/>
      <c r="VTX1450"/>
      <c r="VTY1450"/>
      <c r="VTZ1450"/>
      <c r="VUA1450"/>
      <c r="VUB1450"/>
      <c r="VUC1450"/>
      <c r="VUD1450"/>
      <c r="VUE1450"/>
      <c r="VUF1450"/>
      <c r="VUG1450"/>
      <c r="VUH1450"/>
      <c r="VUI1450"/>
      <c r="VUJ1450"/>
      <c r="VUK1450"/>
      <c r="VUL1450"/>
      <c r="VUM1450"/>
      <c r="VUN1450"/>
      <c r="VUO1450"/>
      <c r="VUP1450"/>
      <c r="VUQ1450"/>
      <c r="VUR1450"/>
      <c r="VUS1450"/>
      <c r="VUT1450"/>
      <c r="VUU1450"/>
      <c r="VUV1450"/>
      <c r="VUW1450"/>
      <c r="VUX1450"/>
      <c r="VUY1450"/>
      <c r="VUZ1450"/>
      <c r="VVA1450"/>
      <c r="VVB1450"/>
      <c r="VVC1450"/>
      <c r="VVD1450"/>
      <c r="VVE1450"/>
      <c r="VVF1450"/>
      <c r="VVG1450"/>
      <c r="VVH1450"/>
      <c r="VVI1450"/>
      <c r="VVJ1450"/>
      <c r="VVK1450"/>
      <c r="VVL1450"/>
      <c r="VVM1450"/>
      <c r="VVN1450"/>
      <c r="VVO1450"/>
      <c r="VVP1450"/>
      <c r="VVQ1450"/>
      <c r="VVR1450"/>
      <c r="VVS1450"/>
      <c r="VVT1450"/>
      <c r="VVU1450"/>
      <c r="VVV1450"/>
      <c r="VVW1450"/>
      <c r="VVX1450"/>
      <c r="VVY1450"/>
      <c r="VVZ1450"/>
      <c r="VWA1450"/>
      <c r="VWB1450"/>
      <c r="VWC1450"/>
      <c r="VWD1450"/>
      <c r="VWE1450"/>
      <c r="VWF1450"/>
      <c r="VWG1450"/>
      <c r="VWH1450"/>
      <c r="VWI1450"/>
      <c r="VWJ1450"/>
      <c r="VWK1450"/>
      <c r="VWL1450"/>
      <c r="VWM1450"/>
      <c r="VWN1450"/>
      <c r="VWO1450"/>
      <c r="VWP1450"/>
      <c r="VWQ1450"/>
      <c r="VWR1450"/>
      <c r="VWS1450"/>
      <c r="VWT1450"/>
      <c r="VWU1450"/>
      <c r="VWV1450"/>
      <c r="VWW1450"/>
      <c r="VWX1450"/>
      <c r="VWY1450"/>
      <c r="VWZ1450"/>
      <c r="VXA1450"/>
      <c r="VXB1450"/>
      <c r="VXC1450"/>
      <c r="VXD1450"/>
      <c r="VXE1450"/>
      <c r="VXF1450"/>
      <c r="VXG1450"/>
      <c r="VXH1450"/>
      <c r="VXI1450"/>
      <c r="VXJ1450"/>
      <c r="VXK1450"/>
      <c r="VXL1450"/>
      <c r="VXM1450"/>
      <c r="VXN1450"/>
      <c r="VXO1450"/>
      <c r="VXP1450"/>
      <c r="VXQ1450"/>
      <c r="VXR1450"/>
      <c r="VXS1450"/>
      <c r="VXT1450"/>
      <c r="VXU1450"/>
      <c r="VXV1450"/>
      <c r="VXW1450"/>
      <c r="VXX1450"/>
      <c r="VXY1450"/>
      <c r="VXZ1450"/>
      <c r="VYA1450"/>
      <c r="VYB1450"/>
      <c r="VYC1450"/>
      <c r="VYD1450"/>
      <c r="VYE1450"/>
      <c r="VYF1450"/>
      <c r="VYG1450"/>
      <c r="VYH1450"/>
      <c r="VYI1450"/>
      <c r="VYJ1450"/>
      <c r="VYK1450"/>
      <c r="VYL1450"/>
      <c r="VYM1450"/>
      <c r="VYN1450"/>
      <c r="VYO1450"/>
      <c r="VYP1450"/>
      <c r="VYQ1450"/>
      <c r="VYR1450"/>
      <c r="VYS1450"/>
      <c r="VYT1450"/>
      <c r="VYU1450"/>
      <c r="VYV1450"/>
      <c r="VYW1450"/>
      <c r="VYX1450"/>
      <c r="VYY1450"/>
      <c r="VYZ1450"/>
      <c r="VZA1450"/>
      <c r="VZB1450"/>
      <c r="VZC1450"/>
      <c r="VZD1450"/>
      <c r="VZE1450"/>
      <c r="VZF1450"/>
      <c r="VZG1450"/>
      <c r="VZH1450"/>
      <c r="VZI1450"/>
      <c r="VZJ1450"/>
      <c r="VZK1450"/>
      <c r="VZL1450"/>
      <c r="VZM1450"/>
      <c r="VZN1450"/>
      <c r="VZO1450"/>
      <c r="VZP1450"/>
      <c r="VZQ1450"/>
      <c r="VZR1450"/>
      <c r="VZS1450"/>
      <c r="VZT1450"/>
      <c r="VZU1450"/>
      <c r="VZV1450"/>
      <c r="VZW1450"/>
      <c r="VZX1450"/>
      <c r="VZY1450"/>
      <c r="VZZ1450"/>
      <c r="WAA1450"/>
      <c r="WAB1450"/>
      <c r="WAC1450"/>
      <c r="WAD1450"/>
      <c r="WAE1450"/>
      <c r="WAF1450"/>
      <c r="WAG1450"/>
      <c r="WAH1450"/>
      <c r="WAI1450"/>
      <c r="WAJ1450"/>
      <c r="WAK1450"/>
      <c r="WAL1450"/>
      <c r="WAM1450"/>
      <c r="WAN1450"/>
      <c r="WAO1450"/>
      <c r="WAP1450"/>
      <c r="WAQ1450"/>
      <c r="WAR1450"/>
      <c r="WAS1450"/>
      <c r="WAT1450"/>
      <c r="WAU1450"/>
      <c r="WAV1450"/>
      <c r="WAW1450"/>
      <c r="WAX1450"/>
      <c r="WAY1450"/>
      <c r="WAZ1450"/>
      <c r="WBA1450"/>
      <c r="WBB1450"/>
      <c r="WBC1450"/>
      <c r="WBD1450"/>
      <c r="WBE1450"/>
      <c r="WBF1450"/>
      <c r="WBG1450"/>
      <c r="WBH1450"/>
      <c r="WBI1450"/>
      <c r="WBJ1450"/>
      <c r="WBK1450"/>
      <c r="WBL1450"/>
      <c r="WBM1450"/>
      <c r="WBN1450"/>
      <c r="WBO1450"/>
      <c r="WBP1450"/>
      <c r="WBQ1450"/>
      <c r="WBR1450"/>
      <c r="WBS1450"/>
      <c r="WBT1450"/>
      <c r="WBU1450"/>
      <c r="WBV1450"/>
      <c r="WBW1450"/>
      <c r="WBX1450"/>
      <c r="WBY1450"/>
      <c r="WBZ1450"/>
      <c r="WCA1450"/>
      <c r="WCB1450"/>
      <c r="WCC1450"/>
      <c r="WCD1450"/>
      <c r="WCE1450"/>
      <c r="WCF1450"/>
      <c r="WCG1450"/>
      <c r="WCH1450"/>
      <c r="WCI1450"/>
      <c r="WCJ1450"/>
      <c r="WCK1450"/>
      <c r="WCL1450"/>
      <c r="WCM1450"/>
      <c r="WCN1450"/>
      <c r="WCO1450"/>
      <c r="WCP1450"/>
      <c r="WCQ1450"/>
      <c r="WCR1450"/>
      <c r="WCS1450"/>
      <c r="WCT1450"/>
      <c r="WCU1450"/>
      <c r="WCV1450"/>
      <c r="WCW1450"/>
      <c r="WCX1450"/>
      <c r="WCY1450"/>
      <c r="WCZ1450"/>
      <c r="WDA1450"/>
      <c r="WDB1450"/>
      <c r="WDC1450"/>
      <c r="WDD1450"/>
      <c r="WDE1450"/>
      <c r="WDF1450"/>
      <c r="WDG1450"/>
      <c r="WDH1450"/>
      <c r="WDI1450"/>
      <c r="WDJ1450"/>
      <c r="WDK1450"/>
      <c r="WDL1450"/>
      <c r="WDM1450"/>
      <c r="WDN1450"/>
      <c r="WDO1450"/>
      <c r="WDP1450"/>
      <c r="WDQ1450"/>
      <c r="WDR1450"/>
      <c r="WDS1450"/>
      <c r="WDT1450"/>
      <c r="WDU1450"/>
      <c r="WDV1450"/>
      <c r="WDW1450"/>
      <c r="WDX1450"/>
      <c r="WDY1450"/>
      <c r="WDZ1450"/>
      <c r="WEA1450"/>
      <c r="WEB1450"/>
      <c r="WEC1450"/>
      <c r="WED1450"/>
      <c r="WEE1450"/>
      <c r="WEF1450"/>
      <c r="WEG1450"/>
      <c r="WEH1450"/>
      <c r="WEI1450"/>
      <c r="WEJ1450"/>
      <c r="WEK1450"/>
      <c r="WEL1450"/>
      <c r="WEM1450"/>
      <c r="WEN1450"/>
      <c r="WEO1450"/>
      <c r="WEP1450"/>
      <c r="WEQ1450"/>
      <c r="WER1450"/>
      <c r="WES1450"/>
      <c r="WET1450"/>
      <c r="WEU1450"/>
      <c r="WEV1450"/>
      <c r="WEW1450"/>
      <c r="WEX1450"/>
      <c r="WEY1450"/>
      <c r="WEZ1450"/>
      <c r="WFA1450"/>
      <c r="WFB1450"/>
      <c r="WFC1450"/>
      <c r="WFD1450"/>
      <c r="WFE1450"/>
      <c r="WFF1450"/>
      <c r="WFG1450"/>
      <c r="WFH1450"/>
      <c r="WFI1450"/>
      <c r="WFJ1450"/>
      <c r="WFK1450"/>
      <c r="WFL1450"/>
      <c r="WFM1450"/>
      <c r="WFN1450"/>
      <c r="WFO1450"/>
      <c r="WFP1450"/>
      <c r="WFQ1450"/>
      <c r="WFR1450"/>
      <c r="WFS1450"/>
      <c r="WFT1450"/>
      <c r="WFU1450"/>
      <c r="WFV1450"/>
      <c r="WFW1450"/>
      <c r="WFX1450"/>
      <c r="WFY1450"/>
      <c r="WFZ1450"/>
      <c r="WGA1450"/>
      <c r="WGB1450"/>
      <c r="WGC1450"/>
      <c r="WGD1450"/>
      <c r="WGE1450"/>
      <c r="WGF1450"/>
      <c r="WGG1450"/>
      <c r="WGH1450"/>
      <c r="WGI1450"/>
      <c r="WGJ1450"/>
      <c r="WGK1450"/>
      <c r="WGL1450"/>
      <c r="WGM1450"/>
      <c r="WGN1450"/>
      <c r="WGO1450"/>
      <c r="WGP1450"/>
      <c r="WGQ1450"/>
      <c r="WGR1450"/>
      <c r="WGS1450"/>
      <c r="WGT1450"/>
      <c r="WGU1450"/>
      <c r="WGV1450"/>
      <c r="WGW1450"/>
      <c r="WGX1450"/>
      <c r="WGY1450"/>
      <c r="WGZ1450"/>
      <c r="WHA1450"/>
      <c r="WHB1450"/>
      <c r="WHC1450"/>
      <c r="WHD1450"/>
      <c r="WHE1450"/>
      <c r="WHF1450"/>
      <c r="WHG1450"/>
      <c r="WHH1450"/>
      <c r="WHI1450"/>
      <c r="WHJ1450"/>
      <c r="WHK1450"/>
      <c r="WHL1450"/>
      <c r="WHM1450"/>
      <c r="WHN1450"/>
      <c r="WHO1450"/>
      <c r="WHP1450"/>
      <c r="WHQ1450"/>
      <c r="WHR1450"/>
      <c r="WHS1450"/>
      <c r="WHT1450"/>
      <c r="WHU1450"/>
      <c r="WHV1450"/>
      <c r="WHW1450"/>
      <c r="WHX1450"/>
      <c r="WHY1450"/>
      <c r="WHZ1450"/>
      <c r="WIA1450"/>
      <c r="WIB1450"/>
      <c r="WIC1450"/>
      <c r="WID1450"/>
      <c r="WIE1450"/>
      <c r="WIF1450"/>
      <c r="WIG1450"/>
      <c r="WIH1450"/>
      <c r="WII1450"/>
      <c r="WIJ1450"/>
      <c r="WIK1450"/>
      <c r="WIL1450"/>
      <c r="WIM1450"/>
      <c r="WIN1450"/>
      <c r="WIO1450"/>
      <c r="WIP1450"/>
      <c r="WIQ1450"/>
      <c r="WIR1450"/>
      <c r="WIS1450"/>
      <c r="WIT1450"/>
      <c r="WIU1450"/>
      <c r="WIV1450"/>
      <c r="WIW1450"/>
      <c r="WIX1450"/>
      <c r="WIY1450"/>
      <c r="WIZ1450"/>
      <c r="WJA1450"/>
      <c r="WJB1450"/>
      <c r="WJC1450"/>
      <c r="WJD1450"/>
      <c r="WJE1450"/>
      <c r="WJF1450"/>
      <c r="WJG1450"/>
      <c r="WJH1450"/>
      <c r="WJI1450"/>
      <c r="WJJ1450"/>
      <c r="WJK1450"/>
      <c r="WJL1450"/>
      <c r="WJM1450"/>
      <c r="WJN1450"/>
      <c r="WJO1450"/>
      <c r="WJP1450"/>
      <c r="WJQ1450"/>
      <c r="WJR1450"/>
      <c r="WJS1450"/>
      <c r="WJT1450"/>
      <c r="WJU1450"/>
      <c r="WJV1450"/>
      <c r="WJW1450"/>
      <c r="WJX1450"/>
      <c r="WJY1450"/>
      <c r="WJZ1450"/>
      <c r="WKA1450"/>
      <c r="WKB1450"/>
      <c r="WKC1450"/>
      <c r="WKD1450"/>
      <c r="WKE1450"/>
      <c r="WKF1450"/>
      <c r="WKG1450"/>
      <c r="WKH1450"/>
      <c r="WKI1450"/>
      <c r="WKJ1450"/>
      <c r="WKK1450"/>
      <c r="WKL1450"/>
      <c r="WKM1450"/>
      <c r="WKN1450"/>
      <c r="WKO1450"/>
      <c r="WKP1450"/>
      <c r="WKQ1450"/>
      <c r="WKR1450"/>
      <c r="WKS1450"/>
      <c r="WKT1450"/>
      <c r="WKU1450"/>
      <c r="WKV1450"/>
      <c r="WKW1450"/>
      <c r="WKX1450"/>
      <c r="WKY1450"/>
      <c r="WKZ1450"/>
      <c r="WLA1450"/>
      <c r="WLB1450"/>
      <c r="WLC1450"/>
      <c r="WLD1450"/>
      <c r="WLE1450"/>
      <c r="WLF1450"/>
      <c r="WLG1450"/>
      <c r="WLH1450"/>
      <c r="WLI1450"/>
      <c r="WLJ1450"/>
      <c r="WLK1450"/>
      <c r="WLL1450"/>
      <c r="WLM1450"/>
      <c r="WLN1450"/>
      <c r="WLO1450"/>
      <c r="WLP1450"/>
      <c r="WLQ1450"/>
      <c r="WLR1450"/>
      <c r="WLS1450"/>
      <c r="WLT1450"/>
      <c r="WLU1450"/>
      <c r="WLV1450"/>
      <c r="WLW1450"/>
      <c r="WLX1450"/>
      <c r="WLY1450"/>
      <c r="WLZ1450"/>
      <c r="WMA1450"/>
      <c r="WMB1450"/>
      <c r="WMC1450"/>
      <c r="WMD1450"/>
      <c r="WME1450"/>
      <c r="WMF1450"/>
      <c r="WMG1450"/>
      <c r="WMH1450"/>
      <c r="WMI1450"/>
      <c r="WMJ1450"/>
      <c r="WMK1450"/>
      <c r="WML1450"/>
      <c r="WMM1450"/>
      <c r="WMN1450"/>
      <c r="WMO1450"/>
      <c r="WMP1450"/>
      <c r="WMQ1450"/>
      <c r="WMR1450"/>
      <c r="WMS1450"/>
      <c r="WMT1450"/>
      <c r="WMU1450"/>
      <c r="WMV1450"/>
      <c r="WMW1450"/>
      <c r="WMX1450"/>
      <c r="WMY1450"/>
      <c r="WMZ1450"/>
      <c r="WNA1450"/>
      <c r="WNB1450"/>
      <c r="WNC1450"/>
      <c r="WND1450"/>
      <c r="WNE1450"/>
      <c r="WNF1450"/>
      <c r="WNG1450"/>
      <c r="WNH1450"/>
      <c r="WNI1450"/>
      <c r="WNJ1450"/>
      <c r="WNK1450"/>
      <c r="WNL1450"/>
      <c r="WNM1450"/>
      <c r="WNN1450"/>
      <c r="WNO1450"/>
      <c r="WNP1450"/>
      <c r="WNQ1450"/>
      <c r="WNR1450"/>
      <c r="WNS1450"/>
      <c r="WNT1450"/>
      <c r="WNU1450"/>
      <c r="WNV1450"/>
      <c r="WNW1450"/>
      <c r="WNX1450"/>
      <c r="WNY1450"/>
      <c r="WNZ1450"/>
      <c r="WOA1450"/>
      <c r="WOB1450"/>
      <c r="WOC1450"/>
      <c r="WOD1450"/>
      <c r="WOE1450"/>
      <c r="WOF1450"/>
      <c r="WOG1450"/>
      <c r="WOH1450"/>
      <c r="WOI1450"/>
      <c r="WOJ1450"/>
      <c r="WOK1450"/>
      <c r="WOL1450"/>
      <c r="WOM1450"/>
      <c r="WON1450"/>
      <c r="WOO1450"/>
      <c r="WOP1450"/>
      <c r="WOQ1450"/>
      <c r="WOR1450"/>
      <c r="WOS1450"/>
      <c r="WOT1450"/>
      <c r="WOU1450"/>
      <c r="WOV1450"/>
      <c r="WOW1450"/>
      <c r="WOX1450"/>
      <c r="WOY1450"/>
      <c r="WOZ1450"/>
      <c r="WPA1450"/>
      <c r="WPB1450"/>
      <c r="WPC1450"/>
      <c r="WPD1450"/>
      <c r="WPE1450"/>
      <c r="WPF1450"/>
      <c r="WPG1450"/>
      <c r="WPH1450"/>
      <c r="WPI1450"/>
      <c r="WPJ1450"/>
      <c r="WPK1450"/>
      <c r="WPL1450"/>
      <c r="WPM1450"/>
      <c r="WPN1450"/>
      <c r="WPO1450"/>
      <c r="WPP1450"/>
      <c r="WPQ1450"/>
      <c r="WPR1450"/>
      <c r="WPS1450"/>
      <c r="WPT1450"/>
      <c r="WPU1450"/>
      <c r="WPV1450"/>
      <c r="WPW1450"/>
      <c r="WPX1450"/>
      <c r="WPY1450"/>
      <c r="WPZ1450"/>
      <c r="WQA1450"/>
      <c r="WQB1450"/>
      <c r="WQC1450"/>
      <c r="WQD1450"/>
      <c r="WQE1450"/>
      <c r="WQF1450"/>
      <c r="WQG1450"/>
      <c r="WQH1450"/>
      <c r="WQI1450"/>
      <c r="WQJ1450"/>
      <c r="WQK1450"/>
      <c r="WQL1450"/>
      <c r="WQM1450"/>
      <c r="WQN1450"/>
      <c r="WQO1450"/>
      <c r="WQP1450"/>
      <c r="WQQ1450"/>
      <c r="WQR1450"/>
      <c r="WQS1450"/>
      <c r="WQT1450"/>
      <c r="WQU1450"/>
      <c r="WQV1450"/>
      <c r="WQW1450"/>
      <c r="WQX1450"/>
      <c r="WQY1450"/>
      <c r="WQZ1450"/>
      <c r="WRA1450"/>
      <c r="WRB1450"/>
      <c r="WRC1450"/>
      <c r="WRD1450"/>
      <c r="WRE1450"/>
      <c r="WRF1450"/>
      <c r="WRG1450"/>
      <c r="WRH1450"/>
      <c r="WRI1450"/>
      <c r="WRJ1450"/>
      <c r="WRK1450"/>
      <c r="WRL1450"/>
      <c r="WRM1450"/>
      <c r="WRN1450"/>
      <c r="WRO1450"/>
      <c r="WRP1450"/>
      <c r="WRQ1450"/>
      <c r="WRR1450"/>
      <c r="WRS1450"/>
      <c r="WRT1450"/>
      <c r="WRU1450"/>
      <c r="WRV1450"/>
      <c r="WRW1450"/>
      <c r="WRX1450"/>
      <c r="WRY1450"/>
      <c r="WRZ1450"/>
      <c r="WSA1450"/>
      <c r="WSB1450"/>
      <c r="WSC1450"/>
      <c r="WSD1450"/>
      <c r="WSE1450"/>
      <c r="WSF1450"/>
      <c r="WSG1450"/>
      <c r="WSH1450"/>
      <c r="WSI1450"/>
      <c r="WSJ1450"/>
      <c r="WSK1450"/>
      <c r="WSL1450"/>
      <c r="WSM1450"/>
      <c r="WSN1450"/>
      <c r="WSO1450"/>
      <c r="WSP1450"/>
      <c r="WSQ1450"/>
      <c r="WSR1450"/>
      <c r="WSS1450"/>
      <c r="WST1450"/>
      <c r="WSU1450"/>
      <c r="WSV1450"/>
      <c r="WSW1450"/>
      <c r="WSX1450"/>
      <c r="WSY1450"/>
      <c r="WSZ1450"/>
      <c r="WTA1450"/>
      <c r="WTB1450"/>
      <c r="WTC1450"/>
      <c r="WTD1450"/>
      <c r="WTE1450"/>
      <c r="WTF1450"/>
      <c r="WTG1450"/>
      <c r="WTH1450"/>
      <c r="WTI1450"/>
      <c r="WTJ1450"/>
      <c r="WTK1450"/>
      <c r="WTL1450"/>
      <c r="WTM1450"/>
      <c r="WTN1450"/>
      <c r="WTO1450"/>
      <c r="WTP1450"/>
      <c r="WTQ1450"/>
      <c r="WTR1450"/>
      <c r="WTS1450"/>
      <c r="WTT1450"/>
      <c r="WTU1450"/>
      <c r="WTV1450"/>
      <c r="WTW1450"/>
      <c r="WTX1450"/>
      <c r="WTY1450"/>
      <c r="WTZ1450"/>
      <c r="WUA1450"/>
      <c r="WUB1450"/>
      <c r="WUC1450"/>
      <c r="WUD1450"/>
      <c r="WUE1450"/>
      <c r="WUF1450"/>
      <c r="WUG1450"/>
      <c r="WUH1450"/>
      <c r="WUI1450"/>
      <c r="WUJ1450"/>
      <c r="WUK1450"/>
      <c r="WUL1450"/>
      <c r="WUM1450"/>
      <c r="WUN1450"/>
      <c r="WUO1450"/>
      <c r="WUP1450"/>
      <c r="WUQ1450"/>
      <c r="WUR1450"/>
      <c r="WUS1450"/>
      <c r="WUT1450"/>
      <c r="WUU1450"/>
      <c r="WUV1450"/>
      <c r="WUW1450"/>
      <c r="WUX1450"/>
      <c r="WUY1450"/>
      <c r="WUZ1450"/>
      <c r="WVA1450"/>
      <c r="WVB1450"/>
      <c r="WVC1450"/>
      <c r="WVD1450"/>
      <c r="WVE1450"/>
      <c r="WVF1450"/>
      <c r="WVG1450"/>
      <c r="WVH1450"/>
      <c r="WVI1450"/>
      <c r="WVJ1450"/>
      <c r="WVK1450"/>
      <c r="WVL1450"/>
      <c r="WVM1450"/>
      <c r="WVN1450"/>
      <c r="WVO1450"/>
      <c r="WVP1450"/>
      <c r="WVQ1450"/>
      <c r="WVR1450"/>
      <c r="WVS1450"/>
      <c r="WVT1450"/>
      <c r="WVU1450"/>
      <c r="WVV1450"/>
      <c r="WVW1450"/>
      <c r="WVX1450"/>
      <c r="WVY1450"/>
      <c r="WVZ1450"/>
      <c r="WWA1450"/>
      <c r="WWB1450"/>
      <c r="WWC1450"/>
      <c r="WWD1450"/>
      <c r="WWE1450"/>
      <c r="WWF1450"/>
      <c r="WWG1450"/>
      <c r="WWH1450"/>
      <c r="WWI1450"/>
      <c r="WWJ1450"/>
      <c r="WWK1450"/>
      <c r="WWL1450"/>
      <c r="WWM1450"/>
      <c r="WWN1450"/>
      <c r="WWO1450"/>
      <c r="WWP1450"/>
      <c r="WWQ1450"/>
      <c r="WWR1450"/>
      <c r="WWS1450"/>
      <c r="WWT1450"/>
      <c r="WWU1450"/>
      <c r="WWV1450"/>
      <c r="WWW1450"/>
      <c r="WWX1450"/>
      <c r="WWY1450"/>
      <c r="WWZ1450"/>
      <c r="WXA1450"/>
      <c r="WXB1450"/>
      <c r="WXC1450"/>
      <c r="WXD1450"/>
      <c r="WXE1450"/>
      <c r="WXF1450"/>
      <c r="WXG1450"/>
      <c r="WXH1450"/>
      <c r="WXI1450"/>
      <c r="WXJ1450"/>
      <c r="WXK1450"/>
      <c r="WXL1450"/>
      <c r="WXM1450"/>
      <c r="WXN1450"/>
      <c r="WXO1450"/>
      <c r="WXP1450"/>
      <c r="WXQ1450"/>
      <c r="WXR1450"/>
      <c r="WXS1450"/>
      <c r="WXT1450"/>
      <c r="WXU1450"/>
      <c r="WXV1450"/>
      <c r="WXW1450"/>
      <c r="WXX1450"/>
      <c r="WXY1450"/>
      <c r="WXZ1450"/>
      <c r="WYA1450"/>
      <c r="WYB1450"/>
      <c r="WYC1450"/>
      <c r="WYD1450"/>
      <c r="WYE1450"/>
      <c r="WYF1450"/>
      <c r="WYG1450"/>
      <c r="WYH1450"/>
      <c r="WYI1450"/>
      <c r="WYJ1450"/>
      <c r="WYK1450"/>
      <c r="WYL1450"/>
      <c r="WYM1450"/>
      <c r="WYN1450"/>
      <c r="WYO1450"/>
      <c r="WYP1450"/>
      <c r="WYQ1450"/>
      <c r="WYR1450"/>
      <c r="WYS1450"/>
      <c r="WYT1450"/>
      <c r="WYU1450"/>
      <c r="WYV1450"/>
      <c r="WYW1450"/>
      <c r="WYX1450"/>
      <c r="WYY1450"/>
      <c r="WYZ1450"/>
      <c r="WZA1450"/>
      <c r="WZB1450"/>
      <c r="WZC1450"/>
      <c r="WZD1450"/>
      <c r="WZE1450"/>
      <c r="WZF1450"/>
      <c r="WZG1450"/>
      <c r="WZH1450"/>
      <c r="WZI1450"/>
      <c r="WZJ1450"/>
      <c r="WZK1450"/>
      <c r="WZL1450"/>
      <c r="WZM1450"/>
      <c r="WZN1450"/>
      <c r="WZO1450"/>
      <c r="WZP1450"/>
      <c r="WZQ1450"/>
      <c r="WZR1450"/>
      <c r="WZS1450"/>
      <c r="WZT1450"/>
      <c r="WZU1450"/>
      <c r="WZV1450"/>
      <c r="WZW1450"/>
      <c r="WZX1450"/>
      <c r="WZY1450"/>
      <c r="WZZ1450"/>
      <c r="XAA1450"/>
      <c r="XAB1450"/>
      <c r="XAC1450"/>
      <c r="XAD1450"/>
      <c r="XAE1450"/>
      <c r="XAF1450"/>
      <c r="XAG1450"/>
      <c r="XAH1450"/>
      <c r="XAI1450"/>
      <c r="XAJ1450"/>
      <c r="XAK1450"/>
      <c r="XAL1450"/>
      <c r="XAM1450"/>
      <c r="XAN1450"/>
      <c r="XAO1450"/>
      <c r="XAP1450"/>
      <c r="XAQ1450"/>
      <c r="XAR1450"/>
      <c r="XAS1450"/>
      <c r="XAT1450"/>
      <c r="XAU1450"/>
      <c r="XAV1450"/>
      <c r="XAW1450"/>
      <c r="XAX1450"/>
      <c r="XAY1450"/>
      <c r="XAZ1450"/>
      <c r="XBA1450"/>
      <c r="XBB1450"/>
      <c r="XBC1450"/>
      <c r="XBD1450"/>
      <c r="XBE1450"/>
      <c r="XBF1450"/>
      <c r="XBG1450"/>
      <c r="XBH1450"/>
      <c r="XBI1450"/>
      <c r="XBJ1450"/>
      <c r="XBK1450"/>
      <c r="XBL1450"/>
      <c r="XBM1450"/>
      <c r="XBN1450"/>
      <c r="XBO1450"/>
      <c r="XBP1450"/>
      <c r="XBQ1450"/>
      <c r="XBR1450"/>
      <c r="XBS1450"/>
      <c r="XBT1450"/>
      <c r="XBU1450"/>
      <c r="XBV1450"/>
      <c r="XBW1450"/>
      <c r="XBX1450"/>
      <c r="XBY1450"/>
      <c r="XBZ1450"/>
      <c r="XCA1450"/>
      <c r="XCB1450"/>
      <c r="XCC1450"/>
      <c r="XCD1450"/>
      <c r="XCE1450"/>
      <c r="XCF1450"/>
      <c r="XCG1450"/>
      <c r="XCH1450"/>
      <c r="XCI1450"/>
      <c r="XCJ1450"/>
      <c r="XCK1450"/>
      <c r="XCL1450"/>
      <c r="XCM1450"/>
      <c r="XCN1450"/>
      <c r="XCO1450"/>
      <c r="XCP1450"/>
      <c r="XCQ1450"/>
      <c r="XCR1450"/>
      <c r="XCS1450"/>
      <c r="XCT1450"/>
      <c r="XCU1450"/>
      <c r="XCV1450"/>
      <c r="XCW1450"/>
      <c r="XCX1450"/>
      <c r="XCY1450"/>
      <c r="XCZ1450"/>
      <c r="XDA1450"/>
      <c r="XDB1450"/>
      <c r="XDC1450"/>
      <c r="XDD1450"/>
      <c r="XDE1450"/>
      <c r="XDF1450"/>
      <c r="XDG1450"/>
      <c r="XDH1450"/>
      <c r="XDI1450"/>
      <c r="XDJ1450"/>
      <c r="XDK1450"/>
      <c r="XDL1450"/>
      <c r="XDM1450"/>
      <c r="XDN1450"/>
      <c r="XDO1450"/>
      <c r="XDP1450"/>
      <c r="XDQ1450"/>
      <c r="XDR1450"/>
      <c r="XDS1450"/>
      <c r="XDT1450"/>
      <c r="XDU1450"/>
      <c r="XDV1450"/>
      <c r="XDW1450"/>
      <c r="XDX1450"/>
      <c r="XDY1450"/>
      <c r="XDZ1450"/>
      <c r="XEA1450"/>
      <c r="XEB1450"/>
      <c r="XEC1450"/>
      <c r="XED1450"/>
      <c r="XEE1450"/>
      <c r="XEF1450"/>
      <c r="XEG1450"/>
      <c r="XEH1450"/>
      <c r="XEI1450"/>
      <c r="XEJ1450"/>
      <c r="XEK1450"/>
      <c r="XEL1450"/>
      <c r="XEM1450"/>
      <c r="XEN1450"/>
      <c r="XEO1450"/>
      <c r="XEP1450"/>
      <c r="XEQ1450"/>
      <c r="XER1450"/>
      <c r="XES1450"/>
      <c r="XET1450"/>
      <c r="XEU1450"/>
      <c r="XEV1450"/>
      <c r="XEW1450"/>
      <c r="XEX1450"/>
      <c r="XEY1450"/>
      <c r="XEZ1450"/>
    </row>
    <row r="1451" spans="1:16380" s="103" customFormat="1" ht="15.95" customHeight="1" thickBot="1" x14ac:dyDescent="0.3">
      <c r="A1451" s="166" t="s">
        <v>1719</v>
      </c>
      <c r="B1451" s="166"/>
      <c r="C1451" s="166"/>
      <c r="D1451" s="166" t="s">
        <v>1720</v>
      </c>
      <c r="E1451" s="166" t="s">
        <v>1739</v>
      </c>
      <c r="F1451" s="166">
        <v>2020</v>
      </c>
      <c r="G1451" s="166" t="s">
        <v>1721</v>
      </c>
      <c r="H1451" s="166" t="s">
        <v>1390</v>
      </c>
      <c r="I1451" s="166" t="s">
        <v>1740</v>
      </c>
      <c r="J1451" s="166" t="s">
        <v>1722</v>
      </c>
      <c r="K1451" s="166" t="s">
        <v>184</v>
      </c>
      <c r="L1451" s="166" t="s">
        <v>151</v>
      </c>
      <c r="M1451" s="166" t="s">
        <v>183</v>
      </c>
      <c r="N1451" s="19" t="s">
        <v>66</v>
      </c>
      <c r="O1451" s="166" t="s">
        <v>187</v>
      </c>
      <c r="P1451" s="166" t="s">
        <v>1390</v>
      </c>
      <c r="Q1451" s="166"/>
      <c r="R1451" s="166" t="s">
        <v>163</v>
      </c>
      <c r="S1451" s="166"/>
      <c r="T1451" s="166" t="s">
        <v>49</v>
      </c>
      <c r="U1451" s="19" t="s">
        <v>49</v>
      </c>
      <c r="V1451" s="166">
        <v>4</v>
      </c>
      <c r="W1451" s="166" t="s">
        <v>45</v>
      </c>
      <c r="X1451" s="166" t="s">
        <v>46</v>
      </c>
      <c r="Y1451" s="166"/>
      <c r="Z1451" s="166"/>
      <c r="AA1451" s="166"/>
      <c r="AB1451" s="166">
        <v>27</v>
      </c>
      <c r="AC1451" s="166" t="s">
        <v>214</v>
      </c>
      <c r="AD1451" s="166"/>
      <c r="AE1451" s="169">
        <v>3.8</v>
      </c>
      <c r="AF1451" s="166"/>
      <c r="AG1451" s="166"/>
      <c r="AH1451" s="166"/>
      <c r="AI1451" s="166"/>
      <c r="AJ1451" s="167">
        <v>6.8</v>
      </c>
      <c r="AK1451" s="169" t="s">
        <v>1748</v>
      </c>
      <c r="AL1451" s="169" t="s">
        <v>1743</v>
      </c>
      <c r="AM1451" s="166"/>
      <c r="AN1451" s="169">
        <v>3</v>
      </c>
      <c r="AO1451" s="166"/>
      <c r="AP1451" s="168">
        <v>1.4</v>
      </c>
      <c r="AQ1451" s="169" t="s">
        <v>1757</v>
      </c>
      <c r="AR1451" s="169" t="s">
        <v>1764</v>
      </c>
      <c r="AS1451" s="166"/>
      <c r="AT1451" s="65" t="str">
        <f t="shared" ref="AT1451:AT1452" si="518">IF(F1451&lt;1980,"N",IF(AC1451="M","Y",IF(AC1451="SM","Y","N")))</f>
        <v>Y</v>
      </c>
      <c r="AU1451" s="65" t="str">
        <f t="shared" ref="AU1451:AU1452" si="519">IF(AT1451="N","N",IF(AJ1451&lt;6,"N",IF(AJ1451&gt;8.5,"N","Y")))</f>
        <v>Y</v>
      </c>
      <c r="AV1451" s="65" t="str">
        <f t="shared" ref="AV1451:AV1452" si="520">AU1451</f>
        <v>Y</v>
      </c>
      <c r="AW1451" s="99"/>
      <c r="AX1451" s="99"/>
      <c r="AY1451" s="20"/>
      <c r="AZ1451" s="96" t="str">
        <f t="shared" ref="AZ1451:AZ1452" si="521">IF(AV1451="N","n",T1451)</f>
        <v>EC10</v>
      </c>
      <c r="BA1451" s="96">
        <f>IF(AZ1451="n","n",VLOOKUP(AZ1451,'Conversion factors'!$C$4:$D$24,2,FALSE))</f>
        <v>1</v>
      </c>
      <c r="BB1451" s="96">
        <f t="shared" ref="BB1451:BB1452" si="522">IF(BA1451="n","n",AB1451/BA1451)</f>
        <v>27</v>
      </c>
      <c r="BC1451" s="97"/>
      <c r="BD1451" s="96" t="str">
        <f t="shared" ref="BD1451:BD1452" si="523">IF(AV1451="N","n",X1451)</f>
        <v>Chronic</v>
      </c>
      <c r="BE1451" s="96" t="str">
        <f t="shared" ref="BE1451:BE1452" si="524">IF(BD1451="chronic","y","n")</f>
        <v>y</v>
      </c>
      <c r="BF1451" s="98" t="str">
        <f t="shared" ref="BF1451:BF1452" si="525">IF(BE1451="n","",AZ1451)</f>
        <v>EC10</v>
      </c>
      <c r="BG1451" s="96" t="str">
        <f>IF(BF1451="","",IF(ISNUMBER(VLOOKUP(BF1451,'Conversion factors'!$B$35:$C$52,2,FALSE)),"y","n"))</f>
        <v>y</v>
      </c>
      <c r="BH1451" s="131"/>
      <c r="BI1451" s="126"/>
      <c r="BJ1451" s="126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  <c r="DB1451"/>
      <c r="DC1451"/>
      <c r="DD1451"/>
      <c r="DE1451"/>
      <c r="DF1451"/>
      <c r="DG1451"/>
      <c r="DH1451"/>
      <c r="DI1451"/>
      <c r="DJ1451"/>
      <c r="DK1451"/>
      <c r="DL1451"/>
      <c r="DM1451"/>
      <c r="DN1451"/>
      <c r="DO1451"/>
      <c r="DP1451"/>
      <c r="DQ1451"/>
      <c r="DR1451"/>
      <c r="DS1451"/>
      <c r="DT1451"/>
      <c r="DU1451"/>
      <c r="DV1451"/>
      <c r="DW1451"/>
      <c r="DX1451"/>
      <c r="DY1451"/>
      <c r="DZ1451"/>
      <c r="EA1451"/>
      <c r="EB1451"/>
      <c r="EC1451"/>
      <c r="ED1451"/>
      <c r="EE1451"/>
      <c r="EF1451"/>
      <c r="EG1451"/>
      <c r="EH1451"/>
      <c r="EI1451"/>
      <c r="EJ1451"/>
      <c r="EK1451"/>
      <c r="EL1451"/>
      <c r="EM1451"/>
      <c r="EN1451"/>
      <c r="EO1451"/>
      <c r="EP1451"/>
      <c r="EQ1451"/>
      <c r="ER1451"/>
      <c r="ES1451"/>
      <c r="ET1451"/>
      <c r="EU1451"/>
      <c r="EV1451"/>
      <c r="EW1451"/>
      <c r="EX1451"/>
      <c r="EY1451"/>
      <c r="EZ1451"/>
      <c r="FA1451"/>
      <c r="FB1451"/>
      <c r="FC1451"/>
      <c r="FD1451"/>
      <c r="FE1451"/>
      <c r="FF1451"/>
      <c r="FG1451"/>
      <c r="FH1451"/>
      <c r="FI1451"/>
      <c r="FJ1451"/>
      <c r="FK1451"/>
      <c r="FL1451"/>
      <c r="FM1451"/>
      <c r="FN1451"/>
      <c r="FO1451"/>
      <c r="FP1451"/>
      <c r="FQ1451"/>
      <c r="FR1451"/>
      <c r="FS1451"/>
      <c r="FT1451"/>
      <c r="FU1451"/>
      <c r="FV1451"/>
      <c r="FW1451"/>
      <c r="FX1451"/>
      <c r="FY1451"/>
      <c r="FZ1451"/>
      <c r="GA1451"/>
      <c r="GB1451"/>
      <c r="GC1451"/>
      <c r="GD1451"/>
      <c r="GE1451"/>
      <c r="GF1451"/>
      <c r="GG1451"/>
      <c r="GH1451"/>
      <c r="GI1451"/>
      <c r="GJ1451"/>
      <c r="GK1451"/>
      <c r="GL1451"/>
      <c r="GM1451"/>
      <c r="GN1451"/>
      <c r="GO1451"/>
      <c r="GP1451"/>
      <c r="GQ1451"/>
      <c r="GR1451"/>
      <c r="GS1451"/>
      <c r="GT1451"/>
      <c r="GU1451"/>
      <c r="GV1451"/>
      <c r="GW1451"/>
      <c r="GX1451"/>
      <c r="GY1451"/>
      <c r="GZ1451"/>
      <c r="HA1451"/>
      <c r="HB1451"/>
      <c r="HC1451"/>
      <c r="HD1451"/>
      <c r="HE1451"/>
      <c r="HF1451"/>
      <c r="HG1451"/>
      <c r="HH1451"/>
      <c r="HI1451"/>
      <c r="HJ1451"/>
      <c r="HK1451"/>
      <c r="HL1451"/>
      <c r="HM1451"/>
      <c r="HN1451"/>
      <c r="HO1451"/>
      <c r="HP1451"/>
      <c r="HQ1451"/>
      <c r="HR1451"/>
      <c r="HS1451"/>
      <c r="HT1451"/>
      <c r="HU1451"/>
      <c r="HV1451"/>
      <c r="HW1451"/>
      <c r="HX1451"/>
      <c r="HY1451"/>
      <c r="HZ1451"/>
      <c r="IA1451"/>
      <c r="IB1451"/>
      <c r="IC1451"/>
      <c r="ID1451"/>
      <c r="IE1451"/>
      <c r="IF1451"/>
      <c r="IG1451"/>
      <c r="IH1451"/>
      <c r="II1451"/>
      <c r="IJ1451"/>
      <c r="IK1451"/>
      <c r="IL1451"/>
      <c r="IM1451"/>
      <c r="IN1451"/>
      <c r="IO1451"/>
      <c r="IP1451"/>
      <c r="IQ1451"/>
      <c r="IR1451"/>
      <c r="IS1451"/>
      <c r="IT1451"/>
      <c r="IU1451"/>
      <c r="IV1451"/>
      <c r="IW1451"/>
      <c r="IX1451"/>
      <c r="IY1451"/>
      <c r="IZ1451"/>
      <c r="JA1451"/>
      <c r="JB1451"/>
      <c r="JC1451"/>
      <c r="JD1451"/>
      <c r="JE1451"/>
      <c r="JF1451"/>
      <c r="JG1451"/>
      <c r="JH1451"/>
      <c r="JI1451"/>
      <c r="JJ1451"/>
      <c r="JK1451"/>
      <c r="JL1451"/>
      <c r="JM1451"/>
      <c r="JN1451"/>
      <c r="JO1451"/>
      <c r="JP1451"/>
      <c r="JQ1451"/>
      <c r="JR1451"/>
      <c r="JS1451"/>
      <c r="JT1451"/>
      <c r="JU1451"/>
      <c r="JV1451"/>
      <c r="JW1451"/>
      <c r="JX1451"/>
      <c r="JY1451"/>
      <c r="JZ1451"/>
      <c r="KA1451"/>
      <c r="KB1451"/>
      <c r="KC1451"/>
      <c r="KD1451"/>
      <c r="KE1451"/>
      <c r="KF1451"/>
      <c r="KG1451"/>
      <c r="KH1451"/>
      <c r="KI1451"/>
      <c r="KJ1451"/>
      <c r="KK1451"/>
      <c r="KL1451"/>
      <c r="KM1451"/>
      <c r="KN1451"/>
      <c r="KO1451"/>
      <c r="KP1451"/>
      <c r="KQ1451"/>
      <c r="KR1451"/>
      <c r="KS1451"/>
      <c r="KT1451"/>
      <c r="KU1451"/>
      <c r="KV1451"/>
      <c r="KW1451"/>
      <c r="KX1451"/>
      <c r="KY1451"/>
      <c r="KZ1451"/>
      <c r="LA1451"/>
      <c r="LB1451"/>
      <c r="LC1451"/>
      <c r="LD1451"/>
      <c r="LE1451"/>
      <c r="LF1451"/>
      <c r="LG1451"/>
      <c r="LH1451"/>
      <c r="LI1451"/>
      <c r="LJ1451"/>
      <c r="LK1451"/>
      <c r="LL1451"/>
      <c r="LM1451"/>
      <c r="LN1451"/>
      <c r="LO1451"/>
      <c r="LP1451"/>
      <c r="LQ1451"/>
      <c r="LR1451"/>
      <c r="LS1451"/>
      <c r="LT1451"/>
      <c r="LU1451"/>
      <c r="LV1451"/>
      <c r="LW1451"/>
      <c r="LX1451"/>
      <c r="LY1451"/>
      <c r="LZ1451"/>
      <c r="MA1451"/>
      <c r="MB1451"/>
      <c r="MC1451"/>
      <c r="MD1451"/>
      <c r="ME1451"/>
      <c r="MF1451"/>
      <c r="MG1451"/>
      <c r="MH1451"/>
      <c r="MI1451"/>
      <c r="MJ1451"/>
      <c r="MK1451"/>
      <c r="ML1451"/>
      <c r="MM1451"/>
      <c r="MN1451"/>
      <c r="MO1451"/>
      <c r="MP1451"/>
      <c r="MQ1451"/>
      <c r="MR1451"/>
      <c r="MS1451"/>
      <c r="MT1451"/>
      <c r="MU1451"/>
      <c r="MV1451"/>
      <c r="MW1451"/>
      <c r="MX1451"/>
      <c r="MY1451"/>
      <c r="MZ1451"/>
      <c r="NA1451"/>
      <c r="NB1451"/>
      <c r="NC1451"/>
      <c r="ND1451"/>
      <c r="NE1451"/>
      <c r="NF1451"/>
      <c r="NG1451"/>
      <c r="NH1451"/>
      <c r="NI1451"/>
      <c r="NJ1451"/>
      <c r="NK1451"/>
      <c r="NL1451"/>
      <c r="NM1451"/>
      <c r="NN1451"/>
      <c r="NO1451"/>
      <c r="NP1451"/>
      <c r="NQ1451"/>
      <c r="NR1451"/>
      <c r="NS1451"/>
      <c r="NT1451"/>
      <c r="NU1451"/>
      <c r="NV1451"/>
      <c r="NW1451"/>
      <c r="NX1451"/>
      <c r="NY1451"/>
      <c r="NZ1451"/>
      <c r="OA1451"/>
      <c r="OB1451"/>
      <c r="OC1451"/>
      <c r="OD1451"/>
      <c r="OE1451"/>
      <c r="OF1451"/>
      <c r="OG1451"/>
      <c r="OH1451"/>
      <c r="OI1451"/>
      <c r="OJ1451"/>
      <c r="OK1451"/>
      <c r="OL1451"/>
      <c r="OM1451"/>
      <c r="ON1451"/>
      <c r="OO1451"/>
      <c r="OP1451"/>
      <c r="OQ1451"/>
      <c r="OR1451"/>
      <c r="OS1451"/>
      <c r="OT1451"/>
      <c r="OU1451"/>
      <c r="OV1451"/>
      <c r="OW1451"/>
      <c r="OX1451"/>
      <c r="OY1451"/>
      <c r="OZ1451"/>
      <c r="PA1451"/>
      <c r="PB1451"/>
      <c r="PC1451"/>
      <c r="PD1451"/>
      <c r="PE1451"/>
      <c r="PF1451"/>
      <c r="PG1451"/>
      <c r="PH1451"/>
      <c r="PI1451"/>
      <c r="PJ1451"/>
      <c r="PK1451"/>
      <c r="PL1451"/>
      <c r="PM1451"/>
      <c r="PN1451"/>
      <c r="PO1451"/>
      <c r="PP1451"/>
      <c r="PQ1451"/>
      <c r="PR1451"/>
      <c r="PS1451"/>
      <c r="PT1451"/>
      <c r="PU1451"/>
      <c r="PV1451"/>
      <c r="PW1451"/>
      <c r="PX1451"/>
      <c r="PY1451"/>
      <c r="PZ1451"/>
      <c r="QA1451"/>
      <c r="QB1451"/>
      <c r="QC1451"/>
      <c r="QD1451"/>
      <c r="QE1451"/>
      <c r="QF1451"/>
      <c r="QG1451"/>
      <c r="QH1451"/>
      <c r="QI1451"/>
      <c r="QJ1451"/>
      <c r="QK1451"/>
      <c r="QL1451"/>
      <c r="QM1451"/>
      <c r="QN1451"/>
      <c r="QO1451"/>
      <c r="QP1451"/>
      <c r="QQ1451"/>
      <c r="QR1451"/>
      <c r="QS1451"/>
      <c r="QT1451"/>
      <c r="QU1451"/>
      <c r="QV1451"/>
      <c r="QW1451"/>
      <c r="QX1451"/>
      <c r="QY1451"/>
      <c r="QZ1451"/>
      <c r="RA1451"/>
      <c r="RB1451"/>
      <c r="RC1451"/>
      <c r="RD1451"/>
      <c r="RE1451"/>
      <c r="RF1451"/>
      <c r="RG1451"/>
      <c r="RH1451"/>
      <c r="RI1451"/>
      <c r="RJ1451"/>
      <c r="RK1451"/>
      <c r="RL1451"/>
      <c r="RM1451"/>
      <c r="RN1451"/>
      <c r="RO1451"/>
      <c r="RP1451"/>
      <c r="RQ1451"/>
      <c r="RR1451"/>
      <c r="RS1451"/>
      <c r="RT1451"/>
      <c r="RU1451"/>
      <c r="RV1451"/>
      <c r="RW1451"/>
      <c r="RX1451"/>
      <c r="RY1451"/>
      <c r="RZ1451"/>
      <c r="SA1451"/>
      <c r="SB1451"/>
      <c r="SC1451"/>
      <c r="SD1451"/>
      <c r="SE1451"/>
      <c r="SF1451"/>
      <c r="SG1451"/>
      <c r="SH1451"/>
      <c r="SI1451"/>
      <c r="SJ1451"/>
      <c r="SK1451"/>
      <c r="SL1451"/>
      <c r="SM1451"/>
      <c r="SN1451"/>
      <c r="SO1451"/>
      <c r="SP1451"/>
      <c r="SQ1451"/>
      <c r="SR1451"/>
      <c r="SS1451"/>
      <c r="ST1451"/>
      <c r="SU1451"/>
      <c r="SV1451"/>
      <c r="SW1451"/>
      <c r="SX1451"/>
      <c r="SY1451"/>
      <c r="SZ1451"/>
      <c r="TA1451"/>
      <c r="TB1451"/>
      <c r="TC1451"/>
      <c r="TD1451"/>
      <c r="TE1451"/>
      <c r="TF1451"/>
      <c r="TG1451"/>
      <c r="TH1451"/>
      <c r="TI1451"/>
      <c r="TJ1451"/>
      <c r="TK1451"/>
      <c r="TL1451"/>
      <c r="TM1451"/>
      <c r="TN1451"/>
      <c r="TO1451"/>
      <c r="TP1451"/>
      <c r="TQ1451"/>
      <c r="TR1451"/>
      <c r="TS1451"/>
      <c r="TT1451"/>
      <c r="TU1451"/>
      <c r="TV1451"/>
      <c r="TW1451"/>
      <c r="TX1451"/>
      <c r="TY1451"/>
      <c r="TZ1451"/>
      <c r="UA1451"/>
      <c r="UB1451"/>
      <c r="UC1451"/>
      <c r="UD1451"/>
      <c r="UE1451"/>
      <c r="UF1451"/>
      <c r="UG1451"/>
      <c r="UH1451"/>
      <c r="UI1451"/>
      <c r="UJ1451"/>
      <c r="UK1451"/>
      <c r="UL1451"/>
      <c r="UM1451"/>
      <c r="UN1451"/>
      <c r="UO1451"/>
      <c r="UP1451"/>
      <c r="UQ1451"/>
      <c r="UR1451"/>
      <c r="US1451"/>
      <c r="UT1451"/>
      <c r="UU1451"/>
      <c r="UV1451"/>
      <c r="UW1451"/>
      <c r="UX1451"/>
      <c r="UY1451"/>
      <c r="UZ1451"/>
      <c r="VA1451"/>
      <c r="VB1451"/>
      <c r="VC1451"/>
      <c r="VD1451"/>
      <c r="VE1451"/>
      <c r="VF1451"/>
      <c r="VG1451"/>
      <c r="VH1451"/>
      <c r="VI1451"/>
      <c r="VJ1451"/>
      <c r="VK1451"/>
      <c r="VL1451"/>
      <c r="VM1451"/>
      <c r="VN1451"/>
      <c r="VO1451"/>
      <c r="VP1451"/>
      <c r="VQ1451"/>
      <c r="VR1451"/>
      <c r="VS1451"/>
      <c r="VT1451"/>
      <c r="VU1451"/>
      <c r="VV1451"/>
      <c r="VW1451"/>
      <c r="VX1451"/>
      <c r="VY1451"/>
      <c r="VZ1451"/>
      <c r="WA1451"/>
      <c r="WB1451"/>
      <c r="WC1451"/>
      <c r="WD1451"/>
      <c r="WE1451"/>
      <c r="WF1451"/>
      <c r="WG1451"/>
      <c r="WH1451"/>
      <c r="WI1451"/>
      <c r="WJ1451"/>
      <c r="WK1451"/>
      <c r="WL1451"/>
      <c r="WM1451"/>
      <c r="WN1451"/>
      <c r="WO1451"/>
      <c r="WP1451"/>
      <c r="WQ1451"/>
      <c r="WR1451"/>
      <c r="WS1451"/>
      <c r="WT1451"/>
      <c r="WU1451"/>
      <c r="WV1451"/>
      <c r="WW1451"/>
      <c r="WX1451"/>
      <c r="WY1451"/>
      <c r="WZ1451"/>
      <c r="XA1451"/>
      <c r="XB1451"/>
      <c r="XC1451"/>
      <c r="XD1451"/>
      <c r="XE1451"/>
      <c r="XF1451"/>
      <c r="XG1451"/>
      <c r="XH1451"/>
      <c r="XI1451"/>
      <c r="XJ1451"/>
      <c r="XK1451"/>
      <c r="XL1451"/>
      <c r="XM1451"/>
      <c r="XN1451"/>
      <c r="XO1451"/>
      <c r="XP1451"/>
      <c r="XQ1451"/>
      <c r="XR1451"/>
      <c r="XS1451"/>
      <c r="XT1451"/>
      <c r="XU1451"/>
      <c r="XV1451"/>
      <c r="XW1451"/>
      <c r="XX1451"/>
      <c r="XY1451"/>
      <c r="XZ1451"/>
      <c r="YA1451"/>
      <c r="YB1451"/>
      <c r="YC1451"/>
      <c r="YD1451"/>
      <c r="YE1451"/>
      <c r="YF1451"/>
      <c r="YG1451"/>
      <c r="YH1451"/>
      <c r="YI1451"/>
      <c r="YJ1451"/>
      <c r="YK1451"/>
      <c r="YL1451"/>
      <c r="YM1451"/>
      <c r="YN1451"/>
      <c r="YO1451"/>
      <c r="YP1451"/>
      <c r="YQ1451"/>
      <c r="YR1451"/>
      <c r="YS1451"/>
      <c r="YT1451"/>
      <c r="YU1451"/>
      <c r="YV1451"/>
      <c r="YW1451"/>
      <c r="YX1451"/>
      <c r="YY1451"/>
      <c r="YZ1451"/>
      <c r="ZA1451"/>
      <c r="ZB1451"/>
      <c r="ZC1451"/>
      <c r="ZD1451"/>
      <c r="ZE1451"/>
      <c r="ZF1451"/>
      <c r="ZG1451"/>
      <c r="ZH1451"/>
      <c r="ZI1451"/>
      <c r="ZJ1451"/>
      <c r="ZK1451"/>
      <c r="ZL1451"/>
      <c r="ZM1451"/>
      <c r="ZN1451"/>
      <c r="ZO1451"/>
      <c r="ZP1451"/>
      <c r="ZQ1451"/>
      <c r="ZR1451"/>
      <c r="ZS1451"/>
      <c r="ZT1451"/>
      <c r="ZU1451"/>
      <c r="ZV1451"/>
      <c r="ZW1451"/>
      <c r="ZX1451"/>
      <c r="ZY1451"/>
      <c r="ZZ1451"/>
      <c r="AAA1451"/>
      <c r="AAB1451"/>
      <c r="AAC1451"/>
      <c r="AAD1451"/>
      <c r="AAE1451"/>
      <c r="AAF1451"/>
      <c r="AAG1451"/>
      <c r="AAH1451"/>
      <c r="AAI1451"/>
      <c r="AAJ1451"/>
      <c r="AAK1451"/>
      <c r="AAL1451"/>
      <c r="AAM1451"/>
      <c r="AAN1451"/>
      <c r="AAO1451"/>
      <c r="AAP1451"/>
      <c r="AAQ1451"/>
      <c r="AAR1451"/>
      <c r="AAS1451"/>
      <c r="AAT1451"/>
      <c r="AAU1451"/>
      <c r="AAV1451"/>
      <c r="AAW1451"/>
      <c r="AAX1451"/>
      <c r="AAY1451"/>
      <c r="AAZ1451"/>
      <c r="ABA1451"/>
      <c r="ABB1451"/>
      <c r="ABC1451"/>
      <c r="ABD1451"/>
      <c r="ABE1451"/>
      <c r="ABF1451"/>
      <c r="ABG1451"/>
      <c r="ABH1451"/>
      <c r="ABI1451"/>
      <c r="ABJ1451"/>
      <c r="ABK1451"/>
      <c r="ABL1451"/>
      <c r="ABM1451"/>
      <c r="ABN1451"/>
      <c r="ABO1451"/>
      <c r="ABP1451"/>
      <c r="ABQ1451"/>
      <c r="ABR1451"/>
      <c r="ABS1451"/>
      <c r="ABT1451"/>
      <c r="ABU1451"/>
      <c r="ABV1451"/>
      <c r="ABW1451"/>
      <c r="ABX1451"/>
      <c r="ABY1451"/>
      <c r="ABZ1451"/>
      <c r="ACA1451"/>
      <c r="ACB1451"/>
      <c r="ACC1451"/>
      <c r="ACD1451"/>
      <c r="ACE1451"/>
      <c r="ACF1451"/>
      <c r="ACG1451"/>
      <c r="ACH1451"/>
      <c r="ACI1451"/>
      <c r="ACJ1451"/>
      <c r="ACK1451"/>
      <c r="ACL1451"/>
      <c r="ACM1451"/>
      <c r="ACN1451"/>
      <c r="ACO1451"/>
      <c r="ACP1451"/>
      <c r="ACQ1451"/>
      <c r="ACR1451"/>
      <c r="ACS1451"/>
      <c r="ACT1451"/>
      <c r="ACU1451"/>
      <c r="ACV1451"/>
      <c r="ACW1451"/>
      <c r="ACX1451"/>
      <c r="ACY1451"/>
      <c r="ACZ1451"/>
      <c r="ADA1451"/>
      <c r="ADB1451"/>
      <c r="ADC1451"/>
      <c r="ADD1451"/>
      <c r="ADE1451"/>
      <c r="ADF1451"/>
      <c r="ADG1451"/>
      <c r="ADH1451"/>
      <c r="ADI1451"/>
      <c r="ADJ1451"/>
      <c r="ADK1451"/>
      <c r="ADL1451"/>
      <c r="ADM1451"/>
      <c r="ADN1451"/>
      <c r="ADO1451"/>
      <c r="ADP1451"/>
      <c r="ADQ1451"/>
      <c r="ADR1451"/>
      <c r="ADS1451"/>
      <c r="ADT1451"/>
      <c r="ADU1451"/>
      <c r="ADV1451"/>
      <c r="ADW1451"/>
      <c r="ADX1451"/>
      <c r="ADY1451"/>
      <c r="ADZ1451"/>
      <c r="AEA1451"/>
      <c r="AEB1451"/>
      <c r="AEC1451"/>
      <c r="AED1451"/>
      <c r="AEE1451"/>
      <c r="AEF1451"/>
      <c r="AEG1451"/>
      <c r="AEH1451"/>
      <c r="AEI1451"/>
      <c r="AEJ1451"/>
      <c r="AEK1451"/>
      <c r="AEL1451"/>
      <c r="AEM1451"/>
      <c r="AEN1451"/>
      <c r="AEO1451"/>
      <c r="AEP1451"/>
      <c r="AEQ1451"/>
      <c r="AER1451"/>
      <c r="AES1451"/>
      <c r="AET1451"/>
      <c r="AEU1451"/>
      <c r="AEV1451"/>
      <c r="AEW1451"/>
      <c r="AEX1451"/>
      <c r="AEY1451"/>
      <c r="AEZ1451"/>
      <c r="AFA1451"/>
      <c r="AFB1451"/>
      <c r="AFC1451"/>
      <c r="AFD1451"/>
      <c r="AFE1451"/>
      <c r="AFF1451"/>
      <c r="AFG1451"/>
      <c r="AFH1451"/>
      <c r="AFI1451"/>
      <c r="AFJ1451"/>
      <c r="AFK1451"/>
      <c r="AFL1451"/>
      <c r="AFM1451"/>
      <c r="AFN1451"/>
      <c r="AFO1451"/>
      <c r="AFP1451"/>
      <c r="AFQ1451"/>
      <c r="AFR1451"/>
      <c r="AFS1451"/>
      <c r="AFT1451"/>
      <c r="AFU1451"/>
      <c r="AFV1451"/>
      <c r="AFW1451"/>
      <c r="AFX1451"/>
      <c r="AFY1451"/>
      <c r="AFZ1451"/>
      <c r="AGA1451"/>
      <c r="AGB1451"/>
      <c r="AGC1451"/>
      <c r="AGD1451"/>
      <c r="AGE1451"/>
      <c r="AGF1451"/>
      <c r="AGG1451"/>
      <c r="AGH1451"/>
      <c r="AGI1451"/>
      <c r="AGJ1451"/>
      <c r="AGK1451"/>
      <c r="AGL1451"/>
      <c r="AGM1451"/>
      <c r="AGN1451"/>
      <c r="AGO1451"/>
      <c r="AGP1451"/>
      <c r="AGQ1451"/>
      <c r="AGR1451"/>
      <c r="AGS1451"/>
      <c r="AGT1451"/>
      <c r="AGU1451"/>
      <c r="AGV1451"/>
      <c r="AGW1451"/>
      <c r="AGX1451"/>
      <c r="AGY1451"/>
      <c r="AGZ1451"/>
      <c r="AHA1451"/>
      <c r="AHB1451"/>
      <c r="AHC1451"/>
      <c r="AHD1451"/>
      <c r="AHE1451"/>
      <c r="AHF1451"/>
      <c r="AHG1451"/>
      <c r="AHH1451"/>
      <c r="AHI1451"/>
      <c r="AHJ1451"/>
      <c r="AHK1451"/>
      <c r="AHL1451"/>
      <c r="AHM1451"/>
      <c r="AHN1451"/>
      <c r="AHO1451"/>
      <c r="AHP1451"/>
      <c r="AHQ1451"/>
      <c r="AHR1451"/>
      <c r="AHS1451"/>
      <c r="AHT1451"/>
      <c r="AHU1451"/>
      <c r="AHV1451"/>
      <c r="AHW1451"/>
      <c r="AHX1451"/>
      <c r="AHY1451"/>
      <c r="AHZ1451"/>
      <c r="AIA1451"/>
      <c r="AIB1451"/>
      <c r="AIC1451"/>
      <c r="AID1451"/>
      <c r="AIE1451"/>
      <c r="AIF1451"/>
      <c r="AIG1451"/>
      <c r="AIH1451"/>
      <c r="AII1451"/>
      <c r="AIJ1451"/>
      <c r="AIK1451"/>
      <c r="AIL1451"/>
      <c r="AIM1451"/>
      <c r="AIN1451"/>
      <c r="AIO1451"/>
      <c r="AIP1451"/>
      <c r="AIQ1451"/>
      <c r="AIR1451"/>
      <c r="AIS1451"/>
      <c r="AIT1451"/>
      <c r="AIU1451"/>
      <c r="AIV1451"/>
      <c r="AIW1451"/>
      <c r="AIX1451"/>
      <c r="AIY1451"/>
      <c r="AIZ1451"/>
      <c r="AJA1451"/>
      <c r="AJB1451"/>
      <c r="AJC1451"/>
      <c r="AJD1451"/>
      <c r="AJE1451"/>
      <c r="AJF1451"/>
      <c r="AJG1451"/>
      <c r="AJH1451"/>
      <c r="AJI1451"/>
      <c r="AJJ1451"/>
      <c r="AJK1451"/>
      <c r="AJL1451"/>
      <c r="AJM1451"/>
      <c r="AJN1451"/>
      <c r="AJO1451"/>
      <c r="AJP1451"/>
      <c r="AJQ1451"/>
      <c r="AJR1451"/>
      <c r="AJS1451"/>
      <c r="AJT1451"/>
      <c r="AJU1451"/>
      <c r="AJV1451"/>
      <c r="AJW1451"/>
      <c r="AJX1451"/>
      <c r="AJY1451"/>
      <c r="AJZ1451"/>
      <c r="AKA1451"/>
      <c r="AKB1451"/>
      <c r="AKC1451"/>
      <c r="AKD1451"/>
      <c r="AKE1451"/>
      <c r="AKF1451"/>
      <c r="AKG1451"/>
      <c r="AKH1451"/>
      <c r="AKI1451"/>
      <c r="AKJ1451"/>
      <c r="AKK1451"/>
      <c r="AKL1451"/>
      <c r="AKM1451"/>
      <c r="AKN1451"/>
      <c r="AKO1451"/>
      <c r="AKP1451"/>
      <c r="AKQ1451"/>
      <c r="AKR1451"/>
      <c r="AKS1451"/>
      <c r="AKT1451"/>
      <c r="AKU1451"/>
      <c r="AKV1451"/>
      <c r="AKW1451"/>
      <c r="AKX1451"/>
      <c r="AKY1451"/>
      <c r="AKZ1451"/>
      <c r="ALA1451"/>
      <c r="ALB1451"/>
      <c r="ALC1451"/>
      <c r="ALD1451"/>
      <c r="ALE1451"/>
      <c r="ALF1451"/>
      <c r="ALG1451"/>
      <c r="ALH1451"/>
      <c r="ALI1451"/>
      <c r="ALJ1451"/>
      <c r="ALK1451"/>
      <c r="ALL1451"/>
      <c r="ALM1451"/>
      <c r="ALN1451"/>
      <c r="ALO1451"/>
      <c r="ALP1451"/>
      <c r="ALQ1451"/>
      <c r="ALR1451"/>
      <c r="ALS1451"/>
      <c r="ALT1451"/>
      <c r="ALU1451"/>
      <c r="ALV1451"/>
      <c r="ALW1451"/>
      <c r="ALX1451"/>
      <c r="ALY1451"/>
      <c r="ALZ1451"/>
      <c r="AMA1451"/>
      <c r="AMB1451"/>
      <c r="AMC1451"/>
      <c r="AMD1451"/>
      <c r="AME1451"/>
      <c r="AMF1451"/>
      <c r="AMG1451"/>
      <c r="AMH1451"/>
      <c r="AMI1451"/>
      <c r="AMJ1451"/>
      <c r="AMK1451"/>
      <c r="AML1451"/>
      <c r="AMM1451"/>
      <c r="AMN1451"/>
      <c r="AMO1451"/>
      <c r="AMP1451"/>
      <c r="AMQ1451"/>
      <c r="AMR1451"/>
      <c r="AMS1451"/>
      <c r="AMT1451"/>
      <c r="AMU1451"/>
      <c r="AMV1451"/>
      <c r="AMW1451"/>
      <c r="AMX1451"/>
      <c r="AMY1451"/>
      <c r="AMZ1451"/>
      <c r="ANA1451"/>
      <c r="ANB1451"/>
      <c r="ANC1451"/>
      <c r="AND1451"/>
      <c r="ANE1451"/>
      <c r="ANF1451"/>
      <c r="ANG1451"/>
      <c r="ANH1451"/>
      <c r="ANI1451"/>
      <c r="ANJ1451"/>
      <c r="ANK1451"/>
      <c r="ANL1451"/>
      <c r="ANM1451"/>
      <c r="ANN1451"/>
      <c r="ANO1451"/>
      <c r="ANP1451"/>
      <c r="ANQ1451"/>
      <c r="ANR1451"/>
      <c r="ANS1451"/>
      <c r="ANT1451"/>
      <c r="ANU1451"/>
      <c r="ANV1451"/>
      <c r="ANW1451"/>
      <c r="ANX1451"/>
      <c r="ANY1451"/>
      <c r="ANZ1451"/>
      <c r="AOA1451"/>
      <c r="AOB1451"/>
      <c r="AOC1451"/>
      <c r="AOD1451"/>
      <c r="AOE1451"/>
      <c r="AOF1451"/>
      <c r="AOG1451"/>
      <c r="AOH1451"/>
      <c r="AOI1451"/>
      <c r="AOJ1451"/>
      <c r="AOK1451"/>
      <c r="AOL1451"/>
      <c r="AOM1451"/>
      <c r="AON1451"/>
      <c r="AOO1451"/>
      <c r="AOP1451"/>
      <c r="AOQ1451"/>
      <c r="AOR1451"/>
      <c r="AOS1451"/>
      <c r="AOT1451"/>
      <c r="AOU1451"/>
      <c r="AOV1451"/>
      <c r="AOW1451"/>
      <c r="AOX1451"/>
      <c r="AOY1451"/>
      <c r="AOZ1451"/>
      <c r="APA1451"/>
      <c r="APB1451"/>
      <c r="APC1451"/>
      <c r="APD1451"/>
      <c r="APE1451"/>
      <c r="APF1451"/>
      <c r="APG1451"/>
      <c r="APH1451"/>
      <c r="API1451"/>
      <c r="APJ1451"/>
      <c r="APK1451"/>
      <c r="APL1451"/>
      <c r="APM1451"/>
      <c r="APN1451"/>
      <c r="APO1451"/>
      <c r="APP1451"/>
      <c r="APQ1451"/>
      <c r="APR1451"/>
      <c r="APS1451"/>
      <c r="APT1451"/>
      <c r="APU1451"/>
      <c r="APV1451"/>
      <c r="APW1451"/>
      <c r="APX1451"/>
      <c r="APY1451"/>
      <c r="APZ1451"/>
      <c r="AQA1451"/>
      <c r="AQB1451"/>
      <c r="AQC1451"/>
      <c r="AQD1451"/>
      <c r="AQE1451"/>
      <c r="AQF1451"/>
      <c r="AQG1451"/>
      <c r="AQH1451"/>
      <c r="AQI1451"/>
      <c r="AQJ1451"/>
      <c r="AQK1451"/>
      <c r="AQL1451"/>
      <c r="AQM1451"/>
      <c r="AQN1451"/>
      <c r="AQO1451"/>
      <c r="AQP1451"/>
      <c r="AQQ1451"/>
      <c r="AQR1451"/>
      <c r="AQS1451"/>
      <c r="AQT1451"/>
      <c r="AQU1451"/>
      <c r="AQV1451"/>
      <c r="AQW1451"/>
      <c r="AQX1451"/>
      <c r="AQY1451"/>
      <c r="AQZ1451"/>
      <c r="ARA1451"/>
      <c r="ARB1451"/>
      <c r="ARC1451"/>
      <c r="ARD1451"/>
      <c r="ARE1451"/>
      <c r="ARF1451"/>
      <c r="ARG1451"/>
      <c r="ARH1451"/>
      <c r="ARI1451"/>
      <c r="ARJ1451"/>
      <c r="ARK1451"/>
      <c r="ARL1451"/>
      <c r="ARM1451"/>
      <c r="ARN1451"/>
      <c r="ARO1451"/>
      <c r="ARP1451"/>
      <c r="ARQ1451"/>
      <c r="ARR1451"/>
      <c r="ARS1451"/>
      <c r="ART1451"/>
      <c r="ARU1451"/>
      <c r="ARV1451"/>
      <c r="ARW1451"/>
      <c r="ARX1451"/>
      <c r="ARY1451"/>
      <c r="ARZ1451"/>
      <c r="ASA1451"/>
      <c r="ASB1451"/>
      <c r="ASC1451"/>
      <c r="ASD1451"/>
      <c r="ASE1451"/>
      <c r="ASF1451"/>
      <c r="ASG1451"/>
      <c r="ASH1451"/>
      <c r="ASI1451"/>
      <c r="ASJ1451"/>
      <c r="ASK1451"/>
      <c r="ASL1451"/>
      <c r="ASM1451"/>
      <c r="ASN1451"/>
      <c r="ASO1451"/>
      <c r="ASP1451"/>
      <c r="ASQ1451"/>
      <c r="ASR1451"/>
      <c r="ASS1451"/>
      <c r="AST1451"/>
      <c r="ASU1451"/>
      <c r="ASV1451"/>
      <c r="ASW1451"/>
      <c r="ASX1451"/>
      <c r="ASY1451"/>
      <c r="ASZ1451"/>
      <c r="ATA1451"/>
      <c r="ATB1451"/>
      <c r="ATC1451"/>
      <c r="ATD1451"/>
      <c r="ATE1451"/>
      <c r="ATF1451"/>
      <c r="ATG1451"/>
      <c r="ATH1451"/>
      <c r="ATI1451"/>
      <c r="ATJ1451"/>
      <c r="ATK1451"/>
      <c r="ATL1451"/>
      <c r="ATM1451"/>
      <c r="ATN1451"/>
      <c r="ATO1451"/>
      <c r="ATP1451"/>
      <c r="ATQ1451"/>
      <c r="ATR1451"/>
      <c r="ATS1451"/>
      <c r="ATT1451"/>
      <c r="ATU1451"/>
      <c r="ATV1451"/>
      <c r="ATW1451"/>
      <c r="ATX1451"/>
      <c r="ATY1451"/>
      <c r="ATZ1451"/>
      <c r="AUA1451"/>
      <c r="AUB1451"/>
      <c r="AUC1451"/>
      <c r="AUD1451"/>
      <c r="AUE1451"/>
      <c r="AUF1451"/>
      <c r="AUG1451"/>
      <c r="AUH1451"/>
      <c r="AUI1451"/>
      <c r="AUJ1451"/>
      <c r="AUK1451"/>
      <c r="AUL1451"/>
      <c r="AUM1451"/>
      <c r="AUN1451"/>
      <c r="AUO1451"/>
      <c r="AUP1451"/>
      <c r="AUQ1451"/>
      <c r="AUR1451"/>
      <c r="AUS1451"/>
      <c r="AUT1451"/>
      <c r="AUU1451"/>
      <c r="AUV1451"/>
      <c r="AUW1451"/>
      <c r="AUX1451"/>
      <c r="AUY1451"/>
      <c r="AUZ1451"/>
      <c r="AVA1451"/>
      <c r="AVB1451"/>
      <c r="AVC1451"/>
      <c r="AVD1451"/>
      <c r="AVE1451"/>
      <c r="AVF1451"/>
      <c r="AVG1451"/>
      <c r="AVH1451"/>
      <c r="AVI1451"/>
      <c r="AVJ1451"/>
      <c r="AVK1451"/>
      <c r="AVL1451"/>
      <c r="AVM1451"/>
      <c r="AVN1451"/>
      <c r="AVO1451"/>
      <c r="AVP1451"/>
      <c r="AVQ1451"/>
      <c r="AVR1451"/>
      <c r="AVS1451"/>
      <c r="AVT1451"/>
      <c r="AVU1451"/>
      <c r="AVV1451"/>
      <c r="AVW1451"/>
      <c r="AVX1451"/>
      <c r="AVY1451"/>
      <c r="AVZ1451"/>
      <c r="AWA1451"/>
      <c r="AWB1451"/>
      <c r="AWC1451"/>
      <c r="AWD1451"/>
      <c r="AWE1451"/>
      <c r="AWF1451"/>
      <c r="AWG1451"/>
      <c r="AWH1451"/>
      <c r="AWI1451"/>
      <c r="AWJ1451"/>
      <c r="AWK1451"/>
      <c r="AWL1451"/>
      <c r="AWM1451"/>
      <c r="AWN1451"/>
      <c r="AWO1451"/>
      <c r="AWP1451"/>
      <c r="AWQ1451"/>
      <c r="AWR1451"/>
      <c r="AWS1451"/>
      <c r="AWT1451"/>
      <c r="AWU1451"/>
      <c r="AWV1451"/>
      <c r="AWW1451"/>
      <c r="AWX1451"/>
      <c r="AWY1451"/>
      <c r="AWZ1451"/>
      <c r="AXA1451"/>
      <c r="AXB1451"/>
      <c r="AXC1451"/>
      <c r="AXD1451"/>
      <c r="AXE1451"/>
      <c r="AXF1451"/>
      <c r="AXG1451"/>
      <c r="AXH1451"/>
      <c r="AXI1451"/>
      <c r="AXJ1451"/>
      <c r="AXK1451"/>
      <c r="AXL1451"/>
      <c r="AXM1451"/>
      <c r="AXN1451"/>
      <c r="AXO1451"/>
      <c r="AXP1451"/>
      <c r="AXQ1451"/>
      <c r="AXR1451"/>
      <c r="AXS1451"/>
      <c r="AXT1451"/>
      <c r="AXU1451"/>
      <c r="AXV1451"/>
      <c r="AXW1451"/>
      <c r="AXX1451"/>
      <c r="AXY1451"/>
      <c r="AXZ1451"/>
      <c r="AYA1451"/>
      <c r="AYB1451"/>
      <c r="AYC1451"/>
      <c r="AYD1451"/>
      <c r="AYE1451"/>
      <c r="AYF1451"/>
      <c r="AYG1451"/>
      <c r="AYH1451"/>
      <c r="AYI1451"/>
      <c r="AYJ1451"/>
      <c r="AYK1451"/>
      <c r="AYL1451"/>
      <c r="AYM1451"/>
      <c r="AYN1451"/>
      <c r="AYO1451"/>
      <c r="AYP1451"/>
      <c r="AYQ1451"/>
      <c r="AYR1451"/>
      <c r="AYS1451"/>
      <c r="AYT1451"/>
      <c r="AYU1451"/>
      <c r="AYV1451"/>
      <c r="AYW1451"/>
      <c r="AYX1451"/>
      <c r="AYY1451"/>
      <c r="AYZ1451"/>
      <c r="AZA1451"/>
      <c r="AZB1451"/>
      <c r="AZC1451"/>
      <c r="AZD1451"/>
      <c r="AZE1451"/>
      <c r="AZF1451"/>
      <c r="AZG1451"/>
      <c r="AZH1451"/>
      <c r="AZI1451"/>
      <c r="AZJ1451"/>
      <c r="AZK1451"/>
      <c r="AZL1451"/>
      <c r="AZM1451"/>
      <c r="AZN1451"/>
      <c r="AZO1451"/>
      <c r="AZP1451"/>
      <c r="AZQ1451"/>
      <c r="AZR1451"/>
      <c r="AZS1451"/>
      <c r="AZT1451"/>
      <c r="AZU1451"/>
      <c r="AZV1451"/>
      <c r="AZW1451"/>
      <c r="AZX1451"/>
      <c r="AZY1451"/>
      <c r="AZZ1451"/>
      <c r="BAA1451"/>
      <c r="BAB1451"/>
      <c r="BAC1451"/>
      <c r="BAD1451"/>
      <c r="BAE1451"/>
      <c r="BAF1451"/>
      <c r="BAG1451"/>
      <c r="BAH1451"/>
      <c r="BAI1451"/>
      <c r="BAJ1451"/>
      <c r="BAK1451"/>
      <c r="BAL1451"/>
      <c r="BAM1451"/>
      <c r="BAN1451"/>
      <c r="BAO1451"/>
      <c r="BAP1451"/>
      <c r="BAQ1451"/>
      <c r="BAR1451"/>
      <c r="BAS1451"/>
      <c r="BAT1451"/>
      <c r="BAU1451"/>
      <c r="BAV1451"/>
      <c r="BAW1451"/>
      <c r="BAX1451"/>
      <c r="BAY1451"/>
      <c r="BAZ1451"/>
      <c r="BBA1451"/>
      <c r="BBB1451"/>
      <c r="BBC1451"/>
      <c r="BBD1451"/>
      <c r="BBE1451"/>
      <c r="BBF1451"/>
      <c r="BBG1451"/>
      <c r="BBH1451"/>
      <c r="BBI1451"/>
      <c r="BBJ1451"/>
      <c r="BBK1451"/>
      <c r="BBL1451"/>
      <c r="BBM1451"/>
      <c r="BBN1451"/>
      <c r="BBO1451"/>
      <c r="BBP1451"/>
      <c r="BBQ1451"/>
      <c r="BBR1451"/>
      <c r="BBS1451"/>
      <c r="BBT1451"/>
      <c r="BBU1451"/>
      <c r="BBV1451"/>
      <c r="BBW1451"/>
      <c r="BBX1451"/>
      <c r="BBY1451"/>
      <c r="BBZ1451"/>
      <c r="BCA1451"/>
      <c r="BCB1451"/>
      <c r="BCC1451"/>
      <c r="BCD1451"/>
      <c r="BCE1451"/>
      <c r="BCF1451"/>
      <c r="BCG1451"/>
      <c r="BCH1451"/>
      <c r="BCI1451"/>
      <c r="BCJ1451"/>
      <c r="BCK1451"/>
      <c r="BCL1451"/>
      <c r="BCM1451"/>
      <c r="BCN1451"/>
      <c r="BCO1451"/>
      <c r="BCP1451"/>
      <c r="BCQ1451"/>
      <c r="BCR1451"/>
      <c r="BCS1451"/>
      <c r="BCT1451"/>
      <c r="BCU1451"/>
      <c r="BCV1451"/>
      <c r="BCW1451"/>
      <c r="BCX1451"/>
      <c r="BCY1451"/>
      <c r="BCZ1451"/>
      <c r="BDA1451"/>
      <c r="BDB1451"/>
      <c r="BDC1451"/>
      <c r="BDD1451"/>
      <c r="BDE1451"/>
      <c r="BDF1451"/>
      <c r="BDG1451"/>
      <c r="BDH1451"/>
      <c r="BDI1451"/>
      <c r="BDJ1451"/>
      <c r="BDK1451"/>
      <c r="BDL1451"/>
      <c r="BDM1451"/>
      <c r="BDN1451"/>
      <c r="BDO1451"/>
      <c r="BDP1451"/>
      <c r="BDQ1451"/>
      <c r="BDR1451"/>
      <c r="BDS1451"/>
      <c r="BDT1451"/>
      <c r="BDU1451"/>
      <c r="BDV1451"/>
      <c r="BDW1451"/>
      <c r="BDX1451"/>
      <c r="BDY1451"/>
      <c r="BDZ1451"/>
      <c r="BEA1451"/>
      <c r="BEB1451"/>
      <c r="BEC1451"/>
      <c r="BED1451"/>
      <c r="BEE1451"/>
      <c r="BEF1451"/>
      <c r="BEG1451"/>
      <c r="BEH1451"/>
      <c r="BEI1451"/>
      <c r="BEJ1451"/>
      <c r="BEK1451"/>
      <c r="BEL1451"/>
      <c r="BEM1451"/>
      <c r="BEN1451"/>
      <c r="BEO1451"/>
      <c r="BEP1451"/>
      <c r="BEQ1451"/>
      <c r="BER1451"/>
      <c r="BES1451"/>
      <c r="BET1451"/>
      <c r="BEU1451"/>
      <c r="BEV1451"/>
      <c r="BEW1451"/>
      <c r="BEX1451"/>
      <c r="BEY1451"/>
      <c r="BEZ1451"/>
      <c r="BFA1451"/>
      <c r="BFB1451"/>
      <c r="BFC1451"/>
      <c r="BFD1451"/>
      <c r="BFE1451"/>
      <c r="BFF1451"/>
      <c r="BFG1451"/>
      <c r="BFH1451"/>
      <c r="BFI1451"/>
      <c r="BFJ1451"/>
      <c r="BFK1451"/>
      <c r="BFL1451"/>
      <c r="BFM1451"/>
      <c r="BFN1451"/>
      <c r="BFO1451"/>
      <c r="BFP1451"/>
      <c r="BFQ1451"/>
      <c r="BFR1451"/>
      <c r="BFS1451"/>
      <c r="BFT1451"/>
      <c r="BFU1451"/>
      <c r="BFV1451"/>
      <c r="BFW1451"/>
      <c r="BFX1451"/>
      <c r="BFY1451"/>
      <c r="BFZ1451"/>
      <c r="BGA1451"/>
      <c r="BGB1451"/>
      <c r="BGC1451"/>
      <c r="BGD1451"/>
      <c r="BGE1451"/>
      <c r="BGF1451"/>
      <c r="BGG1451"/>
      <c r="BGH1451"/>
      <c r="BGI1451"/>
      <c r="BGJ1451"/>
      <c r="BGK1451"/>
      <c r="BGL1451"/>
      <c r="BGM1451"/>
      <c r="BGN1451"/>
      <c r="BGO1451"/>
      <c r="BGP1451"/>
      <c r="BGQ1451"/>
      <c r="BGR1451"/>
      <c r="BGS1451"/>
      <c r="BGT1451"/>
      <c r="BGU1451"/>
      <c r="BGV1451"/>
      <c r="BGW1451"/>
      <c r="BGX1451"/>
      <c r="BGY1451"/>
      <c r="BGZ1451"/>
      <c r="BHA1451"/>
      <c r="BHB1451"/>
      <c r="BHC1451"/>
      <c r="BHD1451"/>
      <c r="BHE1451"/>
      <c r="BHF1451"/>
      <c r="BHG1451"/>
      <c r="BHH1451"/>
      <c r="BHI1451"/>
      <c r="BHJ1451"/>
      <c r="BHK1451"/>
      <c r="BHL1451"/>
      <c r="BHM1451"/>
      <c r="BHN1451"/>
      <c r="BHO1451"/>
      <c r="BHP1451"/>
      <c r="BHQ1451"/>
      <c r="BHR1451"/>
      <c r="BHS1451"/>
      <c r="BHT1451"/>
      <c r="BHU1451"/>
      <c r="BHV1451"/>
      <c r="BHW1451"/>
      <c r="BHX1451"/>
      <c r="BHY1451"/>
      <c r="BHZ1451"/>
      <c r="BIA1451"/>
      <c r="BIB1451"/>
      <c r="BIC1451"/>
      <c r="BID1451"/>
      <c r="BIE1451"/>
      <c r="BIF1451"/>
      <c r="BIG1451"/>
      <c r="BIH1451"/>
      <c r="BII1451"/>
      <c r="BIJ1451"/>
      <c r="BIK1451"/>
      <c r="BIL1451"/>
      <c r="BIM1451"/>
      <c r="BIN1451"/>
      <c r="BIO1451"/>
      <c r="BIP1451"/>
      <c r="BIQ1451"/>
      <c r="BIR1451"/>
      <c r="BIS1451"/>
      <c r="BIT1451"/>
      <c r="BIU1451"/>
      <c r="BIV1451"/>
      <c r="BIW1451"/>
      <c r="BIX1451"/>
      <c r="BIY1451"/>
      <c r="BIZ1451"/>
      <c r="BJA1451"/>
      <c r="BJB1451"/>
      <c r="BJC1451"/>
      <c r="BJD1451"/>
      <c r="BJE1451"/>
      <c r="BJF1451"/>
      <c r="BJG1451"/>
      <c r="BJH1451"/>
      <c r="BJI1451"/>
      <c r="BJJ1451"/>
      <c r="BJK1451"/>
      <c r="BJL1451"/>
      <c r="BJM1451"/>
      <c r="BJN1451"/>
      <c r="BJO1451"/>
      <c r="BJP1451"/>
      <c r="BJQ1451"/>
      <c r="BJR1451"/>
      <c r="BJS1451"/>
      <c r="BJT1451"/>
      <c r="BJU1451"/>
      <c r="BJV1451"/>
      <c r="BJW1451"/>
      <c r="BJX1451"/>
      <c r="BJY1451"/>
      <c r="BJZ1451"/>
      <c r="BKA1451"/>
      <c r="BKB1451"/>
      <c r="BKC1451"/>
      <c r="BKD1451"/>
      <c r="BKE1451"/>
      <c r="BKF1451"/>
      <c r="BKG1451"/>
      <c r="BKH1451"/>
      <c r="BKI1451"/>
      <c r="BKJ1451"/>
      <c r="BKK1451"/>
      <c r="BKL1451"/>
      <c r="BKM1451"/>
      <c r="BKN1451"/>
      <c r="BKO1451"/>
      <c r="BKP1451"/>
      <c r="BKQ1451"/>
      <c r="BKR1451"/>
      <c r="BKS1451"/>
      <c r="BKT1451"/>
      <c r="BKU1451"/>
      <c r="BKV1451"/>
      <c r="BKW1451"/>
      <c r="BKX1451"/>
      <c r="BKY1451"/>
      <c r="BKZ1451"/>
      <c r="BLA1451"/>
      <c r="BLB1451"/>
      <c r="BLC1451"/>
      <c r="BLD1451"/>
      <c r="BLE1451"/>
      <c r="BLF1451"/>
      <c r="BLG1451"/>
      <c r="BLH1451"/>
      <c r="BLI1451"/>
      <c r="BLJ1451"/>
      <c r="BLK1451"/>
      <c r="BLL1451"/>
      <c r="BLM1451"/>
      <c r="BLN1451"/>
      <c r="BLO1451"/>
      <c r="BLP1451"/>
      <c r="BLQ1451"/>
      <c r="BLR1451"/>
      <c r="BLS1451"/>
      <c r="BLT1451"/>
      <c r="BLU1451"/>
      <c r="BLV1451"/>
      <c r="BLW1451"/>
      <c r="BLX1451"/>
      <c r="BLY1451"/>
      <c r="BLZ1451"/>
      <c r="BMA1451"/>
      <c r="BMB1451"/>
      <c r="BMC1451"/>
      <c r="BMD1451"/>
      <c r="BME1451"/>
      <c r="BMF1451"/>
      <c r="BMG1451"/>
      <c r="BMH1451"/>
      <c r="BMI1451"/>
      <c r="BMJ1451"/>
      <c r="BMK1451"/>
      <c r="BML1451"/>
      <c r="BMM1451"/>
      <c r="BMN1451"/>
      <c r="BMO1451"/>
      <c r="BMP1451"/>
      <c r="BMQ1451"/>
      <c r="BMR1451"/>
      <c r="BMS1451"/>
      <c r="BMT1451"/>
      <c r="BMU1451"/>
      <c r="BMV1451"/>
      <c r="BMW1451"/>
      <c r="BMX1451"/>
      <c r="BMY1451"/>
      <c r="BMZ1451"/>
      <c r="BNA1451"/>
      <c r="BNB1451"/>
      <c r="BNC1451"/>
      <c r="BND1451"/>
      <c r="BNE1451"/>
      <c r="BNF1451"/>
      <c r="BNG1451"/>
      <c r="BNH1451"/>
      <c r="BNI1451"/>
      <c r="BNJ1451"/>
      <c r="BNK1451"/>
      <c r="BNL1451"/>
      <c r="BNM1451"/>
      <c r="BNN1451"/>
      <c r="BNO1451"/>
      <c r="BNP1451"/>
      <c r="BNQ1451"/>
      <c r="BNR1451"/>
      <c r="BNS1451"/>
      <c r="BNT1451"/>
      <c r="BNU1451"/>
      <c r="BNV1451"/>
      <c r="BNW1451"/>
      <c r="BNX1451"/>
      <c r="BNY1451"/>
      <c r="BNZ1451"/>
      <c r="BOA1451"/>
      <c r="BOB1451"/>
      <c r="BOC1451"/>
      <c r="BOD1451"/>
      <c r="BOE1451"/>
      <c r="BOF1451"/>
      <c r="BOG1451"/>
      <c r="BOH1451"/>
      <c r="BOI1451"/>
      <c r="BOJ1451"/>
      <c r="BOK1451"/>
      <c r="BOL1451"/>
      <c r="BOM1451"/>
      <c r="BON1451"/>
      <c r="BOO1451"/>
      <c r="BOP1451"/>
      <c r="BOQ1451"/>
      <c r="BOR1451"/>
      <c r="BOS1451"/>
      <c r="BOT1451"/>
      <c r="BOU1451"/>
      <c r="BOV1451"/>
      <c r="BOW1451"/>
      <c r="BOX1451"/>
      <c r="BOY1451"/>
      <c r="BOZ1451"/>
      <c r="BPA1451"/>
      <c r="BPB1451"/>
      <c r="BPC1451"/>
      <c r="BPD1451"/>
      <c r="BPE1451"/>
      <c r="BPF1451"/>
      <c r="BPG1451"/>
      <c r="BPH1451"/>
      <c r="BPI1451"/>
      <c r="BPJ1451"/>
      <c r="BPK1451"/>
      <c r="BPL1451"/>
      <c r="BPM1451"/>
      <c r="BPN1451"/>
      <c r="BPO1451"/>
      <c r="BPP1451"/>
      <c r="BPQ1451"/>
      <c r="BPR1451"/>
      <c r="BPS1451"/>
      <c r="BPT1451"/>
      <c r="BPU1451"/>
      <c r="BPV1451"/>
      <c r="BPW1451"/>
      <c r="BPX1451"/>
      <c r="BPY1451"/>
      <c r="BPZ1451"/>
      <c r="BQA1451"/>
      <c r="BQB1451"/>
      <c r="BQC1451"/>
      <c r="BQD1451"/>
      <c r="BQE1451"/>
      <c r="BQF1451"/>
      <c r="BQG1451"/>
      <c r="BQH1451"/>
      <c r="BQI1451"/>
      <c r="BQJ1451"/>
      <c r="BQK1451"/>
      <c r="BQL1451"/>
      <c r="BQM1451"/>
      <c r="BQN1451"/>
      <c r="BQO1451"/>
      <c r="BQP1451"/>
      <c r="BQQ1451"/>
      <c r="BQR1451"/>
      <c r="BQS1451"/>
      <c r="BQT1451"/>
      <c r="BQU1451"/>
      <c r="BQV1451"/>
      <c r="BQW1451"/>
      <c r="BQX1451"/>
      <c r="BQY1451"/>
      <c r="BQZ1451"/>
      <c r="BRA1451"/>
      <c r="BRB1451"/>
      <c r="BRC1451"/>
      <c r="BRD1451"/>
      <c r="BRE1451"/>
      <c r="BRF1451"/>
      <c r="BRG1451"/>
      <c r="BRH1451"/>
      <c r="BRI1451"/>
      <c r="BRJ1451"/>
      <c r="BRK1451"/>
      <c r="BRL1451"/>
      <c r="BRM1451"/>
      <c r="BRN1451"/>
      <c r="BRO1451"/>
      <c r="BRP1451"/>
      <c r="BRQ1451"/>
      <c r="BRR1451"/>
      <c r="BRS1451"/>
      <c r="BRT1451"/>
      <c r="BRU1451"/>
      <c r="BRV1451"/>
      <c r="BRW1451"/>
      <c r="BRX1451"/>
      <c r="BRY1451"/>
      <c r="BRZ1451"/>
      <c r="BSA1451"/>
      <c r="BSB1451"/>
      <c r="BSC1451"/>
      <c r="BSD1451"/>
      <c r="BSE1451"/>
      <c r="BSF1451"/>
      <c r="BSG1451"/>
      <c r="BSH1451"/>
      <c r="BSI1451"/>
      <c r="BSJ1451"/>
      <c r="BSK1451"/>
      <c r="BSL1451"/>
      <c r="BSM1451"/>
      <c r="BSN1451"/>
      <c r="BSO1451"/>
      <c r="BSP1451"/>
      <c r="BSQ1451"/>
      <c r="BSR1451"/>
      <c r="BSS1451"/>
      <c r="BST1451"/>
      <c r="BSU1451"/>
      <c r="BSV1451"/>
      <c r="BSW1451"/>
      <c r="BSX1451"/>
      <c r="BSY1451"/>
      <c r="BSZ1451"/>
      <c r="BTA1451"/>
      <c r="BTB1451"/>
      <c r="BTC1451"/>
      <c r="BTD1451"/>
      <c r="BTE1451"/>
      <c r="BTF1451"/>
      <c r="BTG1451"/>
      <c r="BTH1451"/>
      <c r="BTI1451"/>
      <c r="BTJ1451"/>
      <c r="BTK1451"/>
      <c r="BTL1451"/>
      <c r="BTM1451"/>
      <c r="BTN1451"/>
      <c r="BTO1451"/>
      <c r="BTP1451"/>
      <c r="BTQ1451"/>
      <c r="BTR1451"/>
      <c r="BTS1451"/>
      <c r="BTT1451"/>
      <c r="BTU1451"/>
      <c r="BTV1451"/>
      <c r="BTW1451"/>
      <c r="BTX1451"/>
      <c r="BTY1451"/>
      <c r="BTZ1451"/>
      <c r="BUA1451"/>
      <c r="BUB1451"/>
      <c r="BUC1451"/>
      <c r="BUD1451"/>
      <c r="BUE1451"/>
      <c r="BUF1451"/>
      <c r="BUG1451"/>
      <c r="BUH1451"/>
      <c r="BUI1451"/>
      <c r="BUJ1451"/>
      <c r="BUK1451"/>
      <c r="BUL1451"/>
      <c r="BUM1451"/>
      <c r="BUN1451"/>
      <c r="BUO1451"/>
      <c r="BUP1451"/>
      <c r="BUQ1451"/>
      <c r="BUR1451"/>
      <c r="BUS1451"/>
      <c r="BUT1451"/>
      <c r="BUU1451"/>
      <c r="BUV1451"/>
      <c r="BUW1451"/>
      <c r="BUX1451"/>
      <c r="BUY1451"/>
      <c r="BUZ1451"/>
      <c r="BVA1451"/>
      <c r="BVB1451"/>
      <c r="BVC1451"/>
      <c r="BVD1451"/>
      <c r="BVE1451"/>
      <c r="BVF1451"/>
      <c r="BVG1451"/>
      <c r="BVH1451"/>
      <c r="BVI1451"/>
      <c r="BVJ1451"/>
      <c r="BVK1451"/>
      <c r="BVL1451"/>
      <c r="BVM1451"/>
      <c r="BVN1451"/>
      <c r="BVO1451"/>
      <c r="BVP1451"/>
      <c r="BVQ1451"/>
      <c r="BVR1451"/>
      <c r="BVS1451"/>
      <c r="BVT1451"/>
      <c r="BVU1451"/>
      <c r="BVV1451"/>
      <c r="BVW1451"/>
      <c r="BVX1451"/>
      <c r="BVY1451"/>
      <c r="BVZ1451"/>
      <c r="BWA1451"/>
      <c r="BWB1451"/>
      <c r="BWC1451"/>
      <c r="BWD1451"/>
      <c r="BWE1451"/>
      <c r="BWF1451"/>
      <c r="BWG1451"/>
      <c r="BWH1451"/>
      <c r="BWI1451"/>
      <c r="BWJ1451"/>
      <c r="BWK1451"/>
      <c r="BWL1451"/>
      <c r="BWM1451"/>
      <c r="BWN1451"/>
      <c r="BWO1451"/>
      <c r="BWP1451"/>
      <c r="BWQ1451"/>
      <c r="BWR1451"/>
      <c r="BWS1451"/>
      <c r="BWT1451"/>
      <c r="BWU1451"/>
      <c r="BWV1451"/>
      <c r="BWW1451"/>
      <c r="BWX1451"/>
      <c r="BWY1451"/>
      <c r="BWZ1451"/>
      <c r="BXA1451"/>
      <c r="BXB1451"/>
      <c r="BXC1451"/>
      <c r="BXD1451"/>
      <c r="BXE1451"/>
      <c r="BXF1451"/>
      <c r="BXG1451"/>
      <c r="BXH1451"/>
      <c r="BXI1451"/>
      <c r="BXJ1451"/>
      <c r="BXK1451"/>
      <c r="BXL1451"/>
      <c r="BXM1451"/>
      <c r="BXN1451"/>
      <c r="BXO1451"/>
      <c r="BXP1451"/>
      <c r="BXQ1451"/>
      <c r="BXR1451"/>
      <c r="BXS1451"/>
      <c r="BXT1451"/>
      <c r="BXU1451"/>
      <c r="BXV1451"/>
      <c r="BXW1451"/>
      <c r="BXX1451"/>
      <c r="BXY1451"/>
      <c r="BXZ1451"/>
      <c r="BYA1451"/>
      <c r="BYB1451"/>
      <c r="BYC1451"/>
      <c r="BYD1451"/>
      <c r="BYE1451"/>
      <c r="BYF1451"/>
      <c r="BYG1451"/>
      <c r="BYH1451"/>
      <c r="BYI1451"/>
      <c r="BYJ1451"/>
      <c r="BYK1451"/>
      <c r="BYL1451"/>
      <c r="BYM1451"/>
      <c r="BYN1451"/>
      <c r="BYO1451"/>
      <c r="BYP1451"/>
      <c r="BYQ1451"/>
      <c r="BYR1451"/>
      <c r="BYS1451"/>
      <c r="BYT1451"/>
      <c r="BYU1451"/>
      <c r="BYV1451"/>
      <c r="BYW1451"/>
      <c r="BYX1451"/>
      <c r="BYY1451"/>
      <c r="BYZ1451"/>
      <c r="BZA1451"/>
      <c r="BZB1451"/>
      <c r="BZC1451"/>
      <c r="BZD1451"/>
      <c r="BZE1451"/>
      <c r="BZF1451"/>
      <c r="BZG1451"/>
      <c r="BZH1451"/>
      <c r="BZI1451"/>
      <c r="BZJ1451"/>
      <c r="BZK1451"/>
      <c r="BZL1451"/>
      <c r="BZM1451"/>
      <c r="BZN1451"/>
      <c r="BZO1451"/>
      <c r="BZP1451"/>
      <c r="BZQ1451"/>
      <c r="BZR1451"/>
      <c r="BZS1451"/>
      <c r="BZT1451"/>
      <c r="BZU1451"/>
      <c r="BZV1451"/>
      <c r="BZW1451"/>
      <c r="BZX1451"/>
      <c r="BZY1451"/>
      <c r="BZZ1451"/>
      <c r="CAA1451"/>
      <c r="CAB1451"/>
      <c r="CAC1451"/>
      <c r="CAD1451"/>
      <c r="CAE1451"/>
      <c r="CAF1451"/>
      <c r="CAG1451"/>
      <c r="CAH1451"/>
      <c r="CAI1451"/>
      <c r="CAJ1451"/>
      <c r="CAK1451"/>
      <c r="CAL1451"/>
      <c r="CAM1451"/>
      <c r="CAN1451"/>
      <c r="CAO1451"/>
      <c r="CAP1451"/>
      <c r="CAQ1451"/>
      <c r="CAR1451"/>
      <c r="CAS1451"/>
      <c r="CAT1451"/>
      <c r="CAU1451"/>
      <c r="CAV1451"/>
      <c r="CAW1451"/>
      <c r="CAX1451"/>
      <c r="CAY1451"/>
      <c r="CAZ1451"/>
      <c r="CBA1451"/>
      <c r="CBB1451"/>
      <c r="CBC1451"/>
      <c r="CBD1451"/>
      <c r="CBE1451"/>
      <c r="CBF1451"/>
      <c r="CBG1451"/>
      <c r="CBH1451"/>
      <c r="CBI1451"/>
      <c r="CBJ1451"/>
      <c r="CBK1451"/>
      <c r="CBL1451"/>
      <c r="CBM1451"/>
      <c r="CBN1451"/>
      <c r="CBO1451"/>
      <c r="CBP1451"/>
      <c r="CBQ1451"/>
      <c r="CBR1451"/>
      <c r="CBS1451"/>
      <c r="CBT1451"/>
      <c r="CBU1451"/>
      <c r="CBV1451"/>
      <c r="CBW1451"/>
      <c r="CBX1451"/>
      <c r="CBY1451"/>
      <c r="CBZ1451"/>
      <c r="CCA1451"/>
      <c r="CCB1451"/>
      <c r="CCC1451"/>
      <c r="CCD1451"/>
      <c r="CCE1451"/>
      <c r="CCF1451"/>
      <c r="CCG1451"/>
      <c r="CCH1451"/>
      <c r="CCI1451"/>
      <c r="CCJ1451"/>
      <c r="CCK1451"/>
      <c r="CCL1451"/>
      <c r="CCM1451"/>
      <c r="CCN1451"/>
      <c r="CCO1451"/>
      <c r="CCP1451"/>
      <c r="CCQ1451"/>
      <c r="CCR1451"/>
      <c r="CCS1451"/>
      <c r="CCT1451"/>
      <c r="CCU1451"/>
      <c r="CCV1451"/>
      <c r="CCW1451"/>
      <c r="CCX1451"/>
      <c r="CCY1451"/>
      <c r="CCZ1451"/>
      <c r="CDA1451"/>
      <c r="CDB1451"/>
      <c r="CDC1451"/>
      <c r="CDD1451"/>
      <c r="CDE1451"/>
      <c r="CDF1451"/>
      <c r="CDG1451"/>
      <c r="CDH1451"/>
      <c r="CDI1451"/>
      <c r="CDJ1451"/>
      <c r="CDK1451"/>
      <c r="CDL1451"/>
      <c r="CDM1451"/>
      <c r="CDN1451"/>
      <c r="CDO1451"/>
      <c r="CDP1451"/>
      <c r="CDQ1451"/>
      <c r="CDR1451"/>
      <c r="CDS1451"/>
      <c r="CDT1451"/>
      <c r="CDU1451"/>
      <c r="CDV1451"/>
      <c r="CDW1451"/>
      <c r="CDX1451"/>
      <c r="CDY1451"/>
      <c r="CDZ1451"/>
      <c r="CEA1451"/>
      <c r="CEB1451"/>
      <c r="CEC1451"/>
      <c r="CED1451"/>
      <c r="CEE1451"/>
      <c r="CEF1451"/>
      <c r="CEG1451"/>
      <c r="CEH1451"/>
      <c r="CEI1451"/>
      <c r="CEJ1451"/>
      <c r="CEK1451"/>
      <c r="CEL1451"/>
      <c r="CEM1451"/>
      <c r="CEN1451"/>
      <c r="CEO1451"/>
      <c r="CEP1451"/>
      <c r="CEQ1451"/>
      <c r="CER1451"/>
      <c r="CES1451"/>
      <c r="CET1451"/>
      <c r="CEU1451"/>
      <c r="CEV1451"/>
      <c r="CEW1451"/>
      <c r="CEX1451"/>
      <c r="CEY1451"/>
      <c r="CEZ1451"/>
      <c r="CFA1451"/>
      <c r="CFB1451"/>
      <c r="CFC1451"/>
      <c r="CFD1451"/>
      <c r="CFE1451"/>
      <c r="CFF1451"/>
      <c r="CFG1451"/>
      <c r="CFH1451"/>
      <c r="CFI1451"/>
      <c r="CFJ1451"/>
      <c r="CFK1451"/>
      <c r="CFL1451"/>
      <c r="CFM1451"/>
      <c r="CFN1451"/>
      <c r="CFO1451"/>
      <c r="CFP1451"/>
      <c r="CFQ1451"/>
      <c r="CFR1451"/>
      <c r="CFS1451"/>
      <c r="CFT1451"/>
      <c r="CFU1451"/>
      <c r="CFV1451"/>
      <c r="CFW1451"/>
      <c r="CFX1451"/>
      <c r="CFY1451"/>
      <c r="CFZ1451"/>
      <c r="CGA1451"/>
      <c r="CGB1451"/>
      <c r="CGC1451"/>
      <c r="CGD1451"/>
      <c r="CGE1451"/>
      <c r="CGF1451"/>
      <c r="CGG1451"/>
      <c r="CGH1451"/>
      <c r="CGI1451"/>
      <c r="CGJ1451"/>
      <c r="CGK1451"/>
      <c r="CGL1451"/>
      <c r="CGM1451"/>
      <c r="CGN1451"/>
      <c r="CGO1451"/>
      <c r="CGP1451"/>
      <c r="CGQ1451"/>
      <c r="CGR1451"/>
      <c r="CGS1451"/>
      <c r="CGT1451"/>
      <c r="CGU1451"/>
      <c r="CGV1451"/>
      <c r="CGW1451"/>
      <c r="CGX1451"/>
      <c r="CGY1451"/>
      <c r="CGZ1451"/>
      <c r="CHA1451"/>
      <c r="CHB1451"/>
      <c r="CHC1451"/>
      <c r="CHD1451"/>
      <c r="CHE1451"/>
      <c r="CHF1451"/>
      <c r="CHG1451"/>
      <c r="CHH1451"/>
      <c r="CHI1451"/>
      <c r="CHJ1451"/>
      <c r="CHK1451"/>
      <c r="CHL1451"/>
      <c r="CHM1451"/>
      <c r="CHN1451"/>
      <c r="CHO1451"/>
      <c r="CHP1451"/>
      <c r="CHQ1451"/>
      <c r="CHR1451"/>
      <c r="CHS1451"/>
      <c r="CHT1451"/>
      <c r="CHU1451"/>
      <c r="CHV1451"/>
      <c r="CHW1451"/>
      <c r="CHX1451"/>
      <c r="CHY1451"/>
      <c r="CHZ1451"/>
      <c r="CIA1451"/>
      <c r="CIB1451"/>
      <c r="CIC1451"/>
      <c r="CID1451"/>
      <c r="CIE1451"/>
      <c r="CIF1451"/>
      <c r="CIG1451"/>
      <c r="CIH1451"/>
      <c r="CII1451"/>
      <c r="CIJ1451"/>
      <c r="CIK1451"/>
      <c r="CIL1451"/>
      <c r="CIM1451"/>
      <c r="CIN1451"/>
      <c r="CIO1451"/>
      <c r="CIP1451"/>
      <c r="CIQ1451"/>
      <c r="CIR1451"/>
      <c r="CIS1451"/>
      <c r="CIT1451"/>
      <c r="CIU1451"/>
      <c r="CIV1451"/>
      <c r="CIW1451"/>
      <c r="CIX1451"/>
      <c r="CIY1451"/>
      <c r="CIZ1451"/>
      <c r="CJA1451"/>
      <c r="CJB1451"/>
      <c r="CJC1451"/>
      <c r="CJD1451"/>
      <c r="CJE1451"/>
      <c r="CJF1451"/>
      <c r="CJG1451"/>
      <c r="CJH1451"/>
      <c r="CJI1451"/>
      <c r="CJJ1451"/>
      <c r="CJK1451"/>
      <c r="CJL1451"/>
      <c r="CJM1451"/>
      <c r="CJN1451"/>
      <c r="CJO1451"/>
      <c r="CJP1451"/>
      <c r="CJQ1451"/>
      <c r="CJR1451"/>
      <c r="CJS1451"/>
      <c r="CJT1451"/>
      <c r="CJU1451"/>
      <c r="CJV1451"/>
      <c r="CJW1451"/>
      <c r="CJX1451"/>
      <c r="CJY1451"/>
      <c r="CJZ1451"/>
      <c r="CKA1451"/>
      <c r="CKB1451"/>
      <c r="CKC1451"/>
      <c r="CKD1451"/>
      <c r="CKE1451"/>
      <c r="CKF1451"/>
      <c r="CKG1451"/>
      <c r="CKH1451"/>
      <c r="CKI1451"/>
      <c r="CKJ1451"/>
      <c r="CKK1451"/>
      <c r="CKL1451"/>
      <c r="CKM1451"/>
      <c r="CKN1451"/>
      <c r="CKO1451"/>
      <c r="CKP1451"/>
      <c r="CKQ1451"/>
      <c r="CKR1451"/>
      <c r="CKS1451"/>
      <c r="CKT1451"/>
      <c r="CKU1451"/>
      <c r="CKV1451"/>
      <c r="CKW1451"/>
      <c r="CKX1451"/>
      <c r="CKY1451"/>
      <c r="CKZ1451"/>
      <c r="CLA1451"/>
      <c r="CLB1451"/>
      <c r="CLC1451"/>
      <c r="CLD1451"/>
      <c r="CLE1451"/>
      <c r="CLF1451"/>
      <c r="CLG1451"/>
      <c r="CLH1451"/>
      <c r="CLI1451"/>
      <c r="CLJ1451"/>
      <c r="CLK1451"/>
      <c r="CLL1451"/>
      <c r="CLM1451"/>
      <c r="CLN1451"/>
      <c r="CLO1451"/>
      <c r="CLP1451"/>
      <c r="CLQ1451"/>
      <c r="CLR1451"/>
      <c r="CLS1451"/>
      <c r="CLT1451"/>
      <c r="CLU1451"/>
      <c r="CLV1451"/>
      <c r="CLW1451"/>
      <c r="CLX1451"/>
      <c r="CLY1451"/>
      <c r="CLZ1451"/>
      <c r="CMA1451"/>
      <c r="CMB1451"/>
      <c r="CMC1451"/>
      <c r="CMD1451"/>
      <c r="CME1451"/>
      <c r="CMF1451"/>
      <c r="CMG1451"/>
      <c r="CMH1451"/>
      <c r="CMI1451"/>
      <c r="CMJ1451"/>
      <c r="CMK1451"/>
      <c r="CML1451"/>
      <c r="CMM1451"/>
      <c r="CMN1451"/>
      <c r="CMO1451"/>
      <c r="CMP1451"/>
      <c r="CMQ1451"/>
      <c r="CMR1451"/>
      <c r="CMS1451"/>
      <c r="CMT1451"/>
      <c r="CMU1451"/>
      <c r="CMV1451"/>
      <c r="CMW1451"/>
      <c r="CMX1451"/>
      <c r="CMY1451"/>
      <c r="CMZ1451"/>
      <c r="CNA1451"/>
      <c r="CNB1451"/>
      <c r="CNC1451"/>
      <c r="CND1451"/>
      <c r="CNE1451"/>
      <c r="CNF1451"/>
      <c r="CNG1451"/>
      <c r="CNH1451"/>
      <c r="CNI1451"/>
      <c r="CNJ1451"/>
      <c r="CNK1451"/>
      <c r="CNL1451"/>
      <c r="CNM1451"/>
      <c r="CNN1451"/>
      <c r="CNO1451"/>
      <c r="CNP1451"/>
      <c r="CNQ1451"/>
      <c r="CNR1451"/>
      <c r="CNS1451"/>
      <c r="CNT1451"/>
      <c r="CNU1451"/>
      <c r="CNV1451"/>
      <c r="CNW1451"/>
      <c r="CNX1451"/>
      <c r="CNY1451"/>
      <c r="CNZ1451"/>
      <c r="COA1451"/>
      <c r="COB1451"/>
      <c r="COC1451"/>
      <c r="COD1451"/>
      <c r="COE1451"/>
      <c r="COF1451"/>
      <c r="COG1451"/>
      <c r="COH1451"/>
      <c r="COI1451"/>
      <c r="COJ1451"/>
      <c r="COK1451"/>
      <c r="COL1451"/>
      <c r="COM1451"/>
      <c r="CON1451"/>
      <c r="COO1451"/>
      <c r="COP1451"/>
      <c r="COQ1451"/>
      <c r="COR1451"/>
      <c r="COS1451"/>
      <c r="COT1451"/>
      <c r="COU1451"/>
      <c r="COV1451"/>
      <c r="COW1451"/>
      <c r="COX1451"/>
      <c r="COY1451"/>
      <c r="COZ1451"/>
      <c r="CPA1451"/>
      <c r="CPB1451"/>
      <c r="CPC1451"/>
      <c r="CPD1451"/>
      <c r="CPE1451"/>
      <c r="CPF1451"/>
      <c r="CPG1451"/>
      <c r="CPH1451"/>
      <c r="CPI1451"/>
      <c r="CPJ1451"/>
      <c r="CPK1451"/>
      <c r="CPL1451"/>
      <c r="CPM1451"/>
      <c r="CPN1451"/>
      <c r="CPO1451"/>
      <c r="CPP1451"/>
      <c r="CPQ1451"/>
      <c r="CPR1451"/>
      <c r="CPS1451"/>
      <c r="CPT1451"/>
      <c r="CPU1451"/>
      <c r="CPV1451"/>
      <c r="CPW1451"/>
      <c r="CPX1451"/>
      <c r="CPY1451"/>
      <c r="CPZ1451"/>
      <c r="CQA1451"/>
      <c r="CQB1451"/>
      <c r="CQC1451"/>
      <c r="CQD1451"/>
      <c r="CQE1451"/>
      <c r="CQF1451"/>
      <c r="CQG1451"/>
      <c r="CQH1451"/>
      <c r="CQI1451"/>
      <c r="CQJ1451"/>
      <c r="CQK1451"/>
      <c r="CQL1451"/>
      <c r="CQM1451"/>
      <c r="CQN1451"/>
      <c r="CQO1451"/>
      <c r="CQP1451"/>
      <c r="CQQ1451"/>
      <c r="CQR1451"/>
      <c r="CQS1451"/>
      <c r="CQT1451"/>
      <c r="CQU1451"/>
      <c r="CQV1451"/>
      <c r="CQW1451"/>
      <c r="CQX1451"/>
      <c r="CQY1451"/>
      <c r="CQZ1451"/>
      <c r="CRA1451"/>
      <c r="CRB1451"/>
      <c r="CRC1451"/>
      <c r="CRD1451"/>
      <c r="CRE1451"/>
      <c r="CRF1451"/>
      <c r="CRG1451"/>
      <c r="CRH1451"/>
      <c r="CRI1451"/>
      <c r="CRJ1451"/>
      <c r="CRK1451"/>
      <c r="CRL1451"/>
      <c r="CRM1451"/>
      <c r="CRN1451"/>
      <c r="CRO1451"/>
      <c r="CRP1451"/>
      <c r="CRQ1451"/>
      <c r="CRR1451"/>
      <c r="CRS1451"/>
      <c r="CRT1451"/>
      <c r="CRU1451"/>
      <c r="CRV1451"/>
      <c r="CRW1451"/>
      <c r="CRX1451"/>
      <c r="CRY1451"/>
      <c r="CRZ1451"/>
      <c r="CSA1451"/>
      <c r="CSB1451"/>
      <c r="CSC1451"/>
      <c r="CSD1451"/>
      <c r="CSE1451"/>
      <c r="CSF1451"/>
      <c r="CSG1451"/>
      <c r="CSH1451"/>
      <c r="CSI1451"/>
      <c r="CSJ1451"/>
      <c r="CSK1451"/>
      <c r="CSL1451"/>
      <c r="CSM1451"/>
      <c r="CSN1451"/>
      <c r="CSO1451"/>
      <c r="CSP1451"/>
      <c r="CSQ1451"/>
      <c r="CSR1451"/>
      <c r="CSS1451"/>
      <c r="CST1451"/>
      <c r="CSU1451"/>
      <c r="CSV1451"/>
      <c r="CSW1451"/>
      <c r="CSX1451"/>
      <c r="CSY1451"/>
      <c r="CSZ1451"/>
      <c r="CTA1451"/>
      <c r="CTB1451"/>
      <c r="CTC1451"/>
      <c r="CTD1451"/>
      <c r="CTE1451"/>
      <c r="CTF1451"/>
      <c r="CTG1451"/>
      <c r="CTH1451"/>
      <c r="CTI1451"/>
      <c r="CTJ1451"/>
      <c r="CTK1451"/>
      <c r="CTL1451"/>
      <c r="CTM1451"/>
      <c r="CTN1451"/>
      <c r="CTO1451"/>
      <c r="CTP1451"/>
      <c r="CTQ1451"/>
      <c r="CTR1451"/>
      <c r="CTS1451"/>
      <c r="CTT1451"/>
      <c r="CTU1451"/>
      <c r="CTV1451"/>
      <c r="CTW1451"/>
      <c r="CTX1451"/>
      <c r="CTY1451"/>
      <c r="CTZ1451"/>
      <c r="CUA1451"/>
      <c r="CUB1451"/>
      <c r="CUC1451"/>
      <c r="CUD1451"/>
      <c r="CUE1451"/>
      <c r="CUF1451"/>
      <c r="CUG1451"/>
      <c r="CUH1451"/>
      <c r="CUI1451"/>
      <c r="CUJ1451"/>
      <c r="CUK1451"/>
      <c r="CUL1451"/>
      <c r="CUM1451"/>
      <c r="CUN1451"/>
      <c r="CUO1451"/>
      <c r="CUP1451"/>
      <c r="CUQ1451"/>
      <c r="CUR1451"/>
      <c r="CUS1451"/>
      <c r="CUT1451"/>
      <c r="CUU1451"/>
      <c r="CUV1451"/>
      <c r="CUW1451"/>
      <c r="CUX1451"/>
      <c r="CUY1451"/>
      <c r="CUZ1451"/>
      <c r="CVA1451"/>
      <c r="CVB1451"/>
      <c r="CVC1451"/>
      <c r="CVD1451"/>
      <c r="CVE1451"/>
      <c r="CVF1451"/>
      <c r="CVG1451"/>
      <c r="CVH1451"/>
      <c r="CVI1451"/>
      <c r="CVJ1451"/>
      <c r="CVK1451"/>
      <c r="CVL1451"/>
      <c r="CVM1451"/>
      <c r="CVN1451"/>
      <c r="CVO1451"/>
      <c r="CVP1451"/>
      <c r="CVQ1451"/>
      <c r="CVR1451"/>
      <c r="CVS1451"/>
      <c r="CVT1451"/>
      <c r="CVU1451"/>
      <c r="CVV1451"/>
      <c r="CVW1451"/>
      <c r="CVX1451"/>
      <c r="CVY1451"/>
      <c r="CVZ1451"/>
      <c r="CWA1451"/>
      <c r="CWB1451"/>
      <c r="CWC1451"/>
      <c r="CWD1451"/>
      <c r="CWE1451"/>
      <c r="CWF1451"/>
      <c r="CWG1451"/>
      <c r="CWH1451"/>
      <c r="CWI1451"/>
      <c r="CWJ1451"/>
      <c r="CWK1451"/>
      <c r="CWL1451"/>
      <c r="CWM1451"/>
      <c r="CWN1451"/>
      <c r="CWO1451"/>
      <c r="CWP1451"/>
      <c r="CWQ1451"/>
      <c r="CWR1451"/>
      <c r="CWS1451"/>
      <c r="CWT1451"/>
      <c r="CWU1451"/>
      <c r="CWV1451"/>
      <c r="CWW1451"/>
      <c r="CWX1451"/>
      <c r="CWY1451"/>
      <c r="CWZ1451"/>
      <c r="CXA1451"/>
      <c r="CXB1451"/>
      <c r="CXC1451"/>
      <c r="CXD1451"/>
      <c r="CXE1451"/>
      <c r="CXF1451"/>
      <c r="CXG1451"/>
      <c r="CXH1451"/>
      <c r="CXI1451"/>
      <c r="CXJ1451"/>
      <c r="CXK1451"/>
      <c r="CXL1451"/>
      <c r="CXM1451"/>
      <c r="CXN1451"/>
      <c r="CXO1451"/>
      <c r="CXP1451"/>
      <c r="CXQ1451"/>
      <c r="CXR1451"/>
      <c r="CXS1451"/>
      <c r="CXT1451"/>
      <c r="CXU1451"/>
      <c r="CXV1451"/>
      <c r="CXW1451"/>
      <c r="CXX1451"/>
      <c r="CXY1451"/>
      <c r="CXZ1451"/>
      <c r="CYA1451"/>
      <c r="CYB1451"/>
      <c r="CYC1451"/>
      <c r="CYD1451"/>
      <c r="CYE1451"/>
      <c r="CYF1451"/>
      <c r="CYG1451"/>
      <c r="CYH1451"/>
      <c r="CYI1451"/>
      <c r="CYJ1451"/>
      <c r="CYK1451"/>
      <c r="CYL1451"/>
      <c r="CYM1451"/>
      <c r="CYN1451"/>
      <c r="CYO1451"/>
      <c r="CYP1451"/>
      <c r="CYQ1451"/>
      <c r="CYR1451"/>
      <c r="CYS1451"/>
      <c r="CYT1451"/>
      <c r="CYU1451"/>
      <c r="CYV1451"/>
      <c r="CYW1451"/>
      <c r="CYX1451"/>
      <c r="CYY1451"/>
      <c r="CYZ1451"/>
      <c r="CZA1451"/>
      <c r="CZB1451"/>
      <c r="CZC1451"/>
      <c r="CZD1451"/>
      <c r="CZE1451"/>
      <c r="CZF1451"/>
      <c r="CZG1451"/>
      <c r="CZH1451"/>
      <c r="CZI1451"/>
      <c r="CZJ1451"/>
      <c r="CZK1451"/>
      <c r="CZL1451"/>
      <c r="CZM1451"/>
      <c r="CZN1451"/>
      <c r="CZO1451"/>
      <c r="CZP1451"/>
      <c r="CZQ1451"/>
      <c r="CZR1451"/>
      <c r="CZS1451"/>
      <c r="CZT1451"/>
      <c r="CZU1451"/>
      <c r="CZV1451"/>
      <c r="CZW1451"/>
      <c r="CZX1451"/>
      <c r="CZY1451"/>
      <c r="CZZ1451"/>
      <c r="DAA1451"/>
      <c r="DAB1451"/>
      <c r="DAC1451"/>
      <c r="DAD1451"/>
      <c r="DAE1451"/>
      <c r="DAF1451"/>
      <c r="DAG1451"/>
      <c r="DAH1451"/>
      <c r="DAI1451"/>
      <c r="DAJ1451"/>
      <c r="DAK1451"/>
      <c r="DAL1451"/>
      <c r="DAM1451"/>
      <c r="DAN1451"/>
      <c r="DAO1451"/>
      <c r="DAP1451"/>
      <c r="DAQ1451"/>
      <c r="DAR1451"/>
      <c r="DAS1451"/>
      <c r="DAT1451"/>
      <c r="DAU1451"/>
      <c r="DAV1451"/>
      <c r="DAW1451"/>
      <c r="DAX1451"/>
      <c r="DAY1451"/>
      <c r="DAZ1451"/>
      <c r="DBA1451"/>
      <c r="DBB1451"/>
      <c r="DBC1451"/>
      <c r="DBD1451"/>
      <c r="DBE1451"/>
      <c r="DBF1451"/>
      <c r="DBG1451"/>
      <c r="DBH1451"/>
      <c r="DBI1451"/>
      <c r="DBJ1451"/>
      <c r="DBK1451"/>
      <c r="DBL1451"/>
      <c r="DBM1451"/>
      <c r="DBN1451"/>
      <c r="DBO1451"/>
      <c r="DBP1451"/>
      <c r="DBQ1451"/>
      <c r="DBR1451"/>
      <c r="DBS1451"/>
      <c r="DBT1451"/>
      <c r="DBU1451"/>
      <c r="DBV1451"/>
      <c r="DBW1451"/>
      <c r="DBX1451"/>
      <c r="DBY1451"/>
      <c r="DBZ1451"/>
      <c r="DCA1451"/>
      <c r="DCB1451"/>
      <c r="DCC1451"/>
      <c r="DCD1451"/>
      <c r="DCE1451"/>
      <c r="DCF1451"/>
      <c r="DCG1451"/>
      <c r="DCH1451"/>
      <c r="DCI1451"/>
      <c r="DCJ1451"/>
      <c r="DCK1451"/>
      <c r="DCL1451"/>
      <c r="DCM1451"/>
      <c r="DCN1451"/>
      <c r="DCO1451"/>
      <c r="DCP1451"/>
      <c r="DCQ1451"/>
      <c r="DCR1451"/>
      <c r="DCS1451"/>
      <c r="DCT1451"/>
      <c r="DCU1451"/>
      <c r="DCV1451"/>
      <c r="DCW1451"/>
      <c r="DCX1451"/>
      <c r="DCY1451"/>
      <c r="DCZ1451"/>
      <c r="DDA1451"/>
      <c r="DDB1451"/>
      <c r="DDC1451"/>
      <c r="DDD1451"/>
      <c r="DDE1451"/>
      <c r="DDF1451"/>
      <c r="DDG1451"/>
      <c r="DDH1451"/>
      <c r="DDI1451"/>
      <c r="DDJ1451"/>
      <c r="DDK1451"/>
      <c r="DDL1451"/>
      <c r="DDM1451"/>
      <c r="DDN1451"/>
      <c r="DDO1451"/>
      <c r="DDP1451"/>
      <c r="DDQ1451"/>
      <c r="DDR1451"/>
      <c r="DDS1451"/>
      <c r="DDT1451"/>
      <c r="DDU1451"/>
      <c r="DDV1451"/>
      <c r="DDW1451"/>
      <c r="DDX1451"/>
      <c r="DDY1451"/>
      <c r="DDZ1451"/>
      <c r="DEA1451"/>
      <c r="DEB1451"/>
      <c r="DEC1451"/>
      <c r="DED1451"/>
      <c r="DEE1451"/>
      <c r="DEF1451"/>
      <c r="DEG1451"/>
      <c r="DEH1451"/>
      <c r="DEI1451"/>
      <c r="DEJ1451"/>
      <c r="DEK1451"/>
      <c r="DEL1451"/>
      <c r="DEM1451"/>
      <c r="DEN1451"/>
      <c r="DEO1451"/>
      <c r="DEP1451"/>
      <c r="DEQ1451"/>
      <c r="DER1451"/>
      <c r="DES1451"/>
      <c r="DET1451"/>
      <c r="DEU1451"/>
      <c r="DEV1451"/>
      <c r="DEW1451"/>
      <c r="DEX1451"/>
      <c r="DEY1451"/>
      <c r="DEZ1451"/>
      <c r="DFA1451"/>
      <c r="DFB1451"/>
      <c r="DFC1451"/>
      <c r="DFD1451"/>
      <c r="DFE1451"/>
      <c r="DFF1451"/>
      <c r="DFG1451"/>
      <c r="DFH1451"/>
      <c r="DFI1451"/>
      <c r="DFJ1451"/>
      <c r="DFK1451"/>
      <c r="DFL1451"/>
      <c r="DFM1451"/>
      <c r="DFN1451"/>
      <c r="DFO1451"/>
      <c r="DFP1451"/>
      <c r="DFQ1451"/>
      <c r="DFR1451"/>
      <c r="DFS1451"/>
      <c r="DFT1451"/>
      <c r="DFU1451"/>
      <c r="DFV1451"/>
      <c r="DFW1451"/>
      <c r="DFX1451"/>
      <c r="DFY1451"/>
      <c r="DFZ1451"/>
      <c r="DGA1451"/>
      <c r="DGB1451"/>
      <c r="DGC1451"/>
      <c r="DGD1451"/>
      <c r="DGE1451"/>
      <c r="DGF1451"/>
      <c r="DGG1451"/>
      <c r="DGH1451"/>
      <c r="DGI1451"/>
      <c r="DGJ1451"/>
      <c r="DGK1451"/>
      <c r="DGL1451"/>
      <c r="DGM1451"/>
      <c r="DGN1451"/>
      <c r="DGO1451"/>
      <c r="DGP1451"/>
      <c r="DGQ1451"/>
      <c r="DGR1451"/>
      <c r="DGS1451"/>
      <c r="DGT1451"/>
      <c r="DGU1451"/>
      <c r="DGV1451"/>
      <c r="DGW1451"/>
      <c r="DGX1451"/>
      <c r="DGY1451"/>
      <c r="DGZ1451"/>
      <c r="DHA1451"/>
      <c r="DHB1451"/>
      <c r="DHC1451"/>
      <c r="DHD1451"/>
      <c r="DHE1451"/>
      <c r="DHF1451"/>
      <c r="DHG1451"/>
      <c r="DHH1451"/>
      <c r="DHI1451"/>
      <c r="DHJ1451"/>
      <c r="DHK1451"/>
      <c r="DHL1451"/>
      <c r="DHM1451"/>
      <c r="DHN1451"/>
      <c r="DHO1451"/>
      <c r="DHP1451"/>
      <c r="DHQ1451"/>
      <c r="DHR1451"/>
      <c r="DHS1451"/>
      <c r="DHT1451"/>
      <c r="DHU1451"/>
      <c r="DHV1451"/>
      <c r="DHW1451"/>
      <c r="DHX1451"/>
      <c r="DHY1451"/>
      <c r="DHZ1451"/>
      <c r="DIA1451"/>
      <c r="DIB1451"/>
      <c r="DIC1451"/>
      <c r="DID1451"/>
      <c r="DIE1451"/>
      <c r="DIF1451"/>
      <c r="DIG1451"/>
      <c r="DIH1451"/>
      <c r="DII1451"/>
      <c r="DIJ1451"/>
      <c r="DIK1451"/>
      <c r="DIL1451"/>
      <c r="DIM1451"/>
      <c r="DIN1451"/>
      <c r="DIO1451"/>
      <c r="DIP1451"/>
      <c r="DIQ1451"/>
      <c r="DIR1451"/>
      <c r="DIS1451"/>
      <c r="DIT1451"/>
      <c r="DIU1451"/>
      <c r="DIV1451"/>
      <c r="DIW1451"/>
      <c r="DIX1451"/>
      <c r="DIY1451"/>
      <c r="DIZ1451"/>
      <c r="DJA1451"/>
      <c r="DJB1451"/>
      <c r="DJC1451"/>
      <c r="DJD1451"/>
      <c r="DJE1451"/>
      <c r="DJF1451"/>
      <c r="DJG1451"/>
      <c r="DJH1451"/>
      <c r="DJI1451"/>
      <c r="DJJ1451"/>
      <c r="DJK1451"/>
      <c r="DJL1451"/>
      <c r="DJM1451"/>
      <c r="DJN1451"/>
      <c r="DJO1451"/>
      <c r="DJP1451"/>
      <c r="DJQ1451"/>
      <c r="DJR1451"/>
      <c r="DJS1451"/>
      <c r="DJT1451"/>
      <c r="DJU1451"/>
      <c r="DJV1451"/>
      <c r="DJW1451"/>
      <c r="DJX1451"/>
      <c r="DJY1451"/>
      <c r="DJZ1451"/>
      <c r="DKA1451"/>
      <c r="DKB1451"/>
      <c r="DKC1451"/>
      <c r="DKD1451"/>
      <c r="DKE1451"/>
      <c r="DKF1451"/>
      <c r="DKG1451"/>
      <c r="DKH1451"/>
      <c r="DKI1451"/>
      <c r="DKJ1451"/>
      <c r="DKK1451"/>
      <c r="DKL1451"/>
      <c r="DKM1451"/>
      <c r="DKN1451"/>
      <c r="DKO1451"/>
      <c r="DKP1451"/>
      <c r="DKQ1451"/>
      <c r="DKR1451"/>
      <c r="DKS1451"/>
      <c r="DKT1451"/>
      <c r="DKU1451"/>
      <c r="DKV1451"/>
      <c r="DKW1451"/>
      <c r="DKX1451"/>
      <c r="DKY1451"/>
      <c r="DKZ1451"/>
      <c r="DLA1451"/>
      <c r="DLB1451"/>
      <c r="DLC1451"/>
      <c r="DLD1451"/>
      <c r="DLE1451"/>
      <c r="DLF1451"/>
      <c r="DLG1451"/>
      <c r="DLH1451"/>
      <c r="DLI1451"/>
      <c r="DLJ1451"/>
      <c r="DLK1451"/>
      <c r="DLL1451"/>
      <c r="DLM1451"/>
      <c r="DLN1451"/>
      <c r="DLO1451"/>
      <c r="DLP1451"/>
      <c r="DLQ1451"/>
      <c r="DLR1451"/>
      <c r="DLS1451"/>
      <c r="DLT1451"/>
      <c r="DLU1451"/>
      <c r="DLV1451"/>
      <c r="DLW1451"/>
      <c r="DLX1451"/>
      <c r="DLY1451"/>
      <c r="DLZ1451"/>
      <c r="DMA1451"/>
      <c r="DMB1451"/>
      <c r="DMC1451"/>
      <c r="DMD1451"/>
      <c r="DME1451"/>
      <c r="DMF1451"/>
      <c r="DMG1451"/>
      <c r="DMH1451"/>
      <c r="DMI1451"/>
      <c r="DMJ1451"/>
      <c r="DMK1451"/>
      <c r="DML1451"/>
      <c r="DMM1451"/>
      <c r="DMN1451"/>
      <c r="DMO1451"/>
      <c r="DMP1451"/>
      <c r="DMQ1451"/>
      <c r="DMR1451"/>
      <c r="DMS1451"/>
      <c r="DMT1451"/>
      <c r="DMU1451"/>
      <c r="DMV1451"/>
      <c r="DMW1451"/>
      <c r="DMX1451"/>
      <c r="DMY1451"/>
      <c r="DMZ1451"/>
      <c r="DNA1451"/>
      <c r="DNB1451"/>
      <c r="DNC1451"/>
      <c r="DND1451"/>
      <c r="DNE1451"/>
      <c r="DNF1451"/>
      <c r="DNG1451"/>
      <c r="DNH1451"/>
      <c r="DNI1451"/>
      <c r="DNJ1451"/>
      <c r="DNK1451"/>
      <c r="DNL1451"/>
      <c r="DNM1451"/>
      <c r="DNN1451"/>
      <c r="DNO1451"/>
      <c r="DNP1451"/>
      <c r="DNQ1451"/>
      <c r="DNR1451"/>
      <c r="DNS1451"/>
      <c r="DNT1451"/>
      <c r="DNU1451"/>
      <c r="DNV1451"/>
      <c r="DNW1451"/>
      <c r="DNX1451"/>
      <c r="DNY1451"/>
      <c r="DNZ1451"/>
      <c r="DOA1451"/>
      <c r="DOB1451"/>
      <c r="DOC1451"/>
      <c r="DOD1451"/>
      <c r="DOE1451"/>
      <c r="DOF1451"/>
      <c r="DOG1451"/>
      <c r="DOH1451"/>
      <c r="DOI1451"/>
      <c r="DOJ1451"/>
      <c r="DOK1451"/>
      <c r="DOL1451"/>
      <c r="DOM1451"/>
      <c r="DON1451"/>
      <c r="DOO1451"/>
      <c r="DOP1451"/>
      <c r="DOQ1451"/>
      <c r="DOR1451"/>
      <c r="DOS1451"/>
      <c r="DOT1451"/>
      <c r="DOU1451"/>
      <c r="DOV1451"/>
      <c r="DOW1451"/>
      <c r="DOX1451"/>
      <c r="DOY1451"/>
      <c r="DOZ1451"/>
      <c r="DPA1451"/>
      <c r="DPB1451"/>
      <c r="DPC1451"/>
      <c r="DPD1451"/>
      <c r="DPE1451"/>
      <c r="DPF1451"/>
      <c r="DPG1451"/>
      <c r="DPH1451"/>
      <c r="DPI1451"/>
      <c r="DPJ1451"/>
      <c r="DPK1451"/>
      <c r="DPL1451"/>
      <c r="DPM1451"/>
      <c r="DPN1451"/>
      <c r="DPO1451"/>
      <c r="DPP1451"/>
      <c r="DPQ1451"/>
      <c r="DPR1451"/>
      <c r="DPS1451"/>
      <c r="DPT1451"/>
      <c r="DPU1451"/>
      <c r="DPV1451"/>
      <c r="DPW1451"/>
      <c r="DPX1451"/>
      <c r="DPY1451"/>
      <c r="DPZ1451"/>
      <c r="DQA1451"/>
      <c r="DQB1451"/>
      <c r="DQC1451"/>
      <c r="DQD1451"/>
      <c r="DQE1451"/>
      <c r="DQF1451"/>
      <c r="DQG1451"/>
      <c r="DQH1451"/>
      <c r="DQI1451"/>
      <c r="DQJ1451"/>
      <c r="DQK1451"/>
      <c r="DQL1451"/>
      <c r="DQM1451"/>
      <c r="DQN1451"/>
      <c r="DQO1451"/>
      <c r="DQP1451"/>
      <c r="DQQ1451"/>
      <c r="DQR1451"/>
      <c r="DQS1451"/>
      <c r="DQT1451"/>
      <c r="DQU1451"/>
      <c r="DQV1451"/>
      <c r="DQW1451"/>
      <c r="DQX1451"/>
      <c r="DQY1451"/>
      <c r="DQZ1451"/>
      <c r="DRA1451"/>
      <c r="DRB1451"/>
      <c r="DRC1451"/>
      <c r="DRD1451"/>
      <c r="DRE1451"/>
      <c r="DRF1451"/>
      <c r="DRG1451"/>
      <c r="DRH1451"/>
      <c r="DRI1451"/>
      <c r="DRJ1451"/>
      <c r="DRK1451"/>
      <c r="DRL1451"/>
      <c r="DRM1451"/>
      <c r="DRN1451"/>
      <c r="DRO1451"/>
      <c r="DRP1451"/>
      <c r="DRQ1451"/>
      <c r="DRR1451"/>
      <c r="DRS1451"/>
      <c r="DRT1451"/>
      <c r="DRU1451"/>
      <c r="DRV1451"/>
      <c r="DRW1451"/>
      <c r="DRX1451"/>
      <c r="DRY1451"/>
      <c r="DRZ1451"/>
      <c r="DSA1451"/>
      <c r="DSB1451"/>
      <c r="DSC1451"/>
      <c r="DSD1451"/>
      <c r="DSE1451"/>
      <c r="DSF1451"/>
      <c r="DSG1451"/>
      <c r="DSH1451"/>
      <c r="DSI1451"/>
      <c r="DSJ1451"/>
      <c r="DSK1451"/>
      <c r="DSL1451"/>
      <c r="DSM1451"/>
      <c r="DSN1451"/>
      <c r="DSO1451"/>
      <c r="DSP1451"/>
      <c r="DSQ1451"/>
      <c r="DSR1451"/>
      <c r="DSS1451"/>
      <c r="DST1451"/>
      <c r="DSU1451"/>
      <c r="DSV1451"/>
      <c r="DSW1451"/>
      <c r="DSX1451"/>
      <c r="DSY1451"/>
      <c r="DSZ1451"/>
      <c r="DTA1451"/>
      <c r="DTB1451"/>
      <c r="DTC1451"/>
      <c r="DTD1451"/>
      <c r="DTE1451"/>
      <c r="DTF1451"/>
      <c r="DTG1451"/>
      <c r="DTH1451"/>
      <c r="DTI1451"/>
      <c r="DTJ1451"/>
      <c r="DTK1451"/>
      <c r="DTL1451"/>
      <c r="DTM1451"/>
      <c r="DTN1451"/>
      <c r="DTO1451"/>
      <c r="DTP1451"/>
      <c r="DTQ1451"/>
      <c r="DTR1451"/>
      <c r="DTS1451"/>
      <c r="DTT1451"/>
      <c r="DTU1451"/>
      <c r="DTV1451"/>
      <c r="DTW1451"/>
      <c r="DTX1451"/>
      <c r="DTY1451"/>
      <c r="DTZ1451"/>
      <c r="DUA1451"/>
      <c r="DUB1451"/>
      <c r="DUC1451"/>
      <c r="DUD1451"/>
      <c r="DUE1451"/>
      <c r="DUF1451"/>
      <c r="DUG1451"/>
      <c r="DUH1451"/>
      <c r="DUI1451"/>
      <c r="DUJ1451"/>
      <c r="DUK1451"/>
      <c r="DUL1451"/>
      <c r="DUM1451"/>
      <c r="DUN1451"/>
      <c r="DUO1451"/>
      <c r="DUP1451"/>
      <c r="DUQ1451"/>
      <c r="DUR1451"/>
      <c r="DUS1451"/>
      <c r="DUT1451"/>
      <c r="DUU1451"/>
      <c r="DUV1451"/>
      <c r="DUW1451"/>
      <c r="DUX1451"/>
      <c r="DUY1451"/>
      <c r="DUZ1451"/>
      <c r="DVA1451"/>
      <c r="DVB1451"/>
      <c r="DVC1451"/>
      <c r="DVD1451"/>
      <c r="DVE1451"/>
      <c r="DVF1451"/>
      <c r="DVG1451"/>
      <c r="DVH1451"/>
      <c r="DVI1451"/>
      <c r="DVJ1451"/>
      <c r="DVK1451"/>
      <c r="DVL1451"/>
      <c r="DVM1451"/>
      <c r="DVN1451"/>
      <c r="DVO1451"/>
      <c r="DVP1451"/>
      <c r="DVQ1451"/>
      <c r="DVR1451"/>
      <c r="DVS1451"/>
      <c r="DVT1451"/>
      <c r="DVU1451"/>
      <c r="DVV1451"/>
      <c r="DVW1451"/>
      <c r="DVX1451"/>
      <c r="DVY1451"/>
      <c r="DVZ1451"/>
      <c r="DWA1451"/>
      <c r="DWB1451"/>
      <c r="DWC1451"/>
      <c r="DWD1451"/>
      <c r="DWE1451"/>
      <c r="DWF1451"/>
      <c r="DWG1451"/>
      <c r="DWH1451"/>
      <c r="DWI1451"/>
      <c r="DWJ1451"/>
      <c r="DWK1451"/>
      <c r="DWL1451"/>
      <c r="DWM1451"/>
      <c r="DWN1451"/>
      <c r="DWO1451"/>
      <c r="DWP1451"/>
      <c r="DWQ1451"/>
      <c r="DWR1451"/>
      <c r="DWS1451"/>
      <c r="DWT1451"/>
      <c r="DWU1451"/>
      <c r="DWV1451"/>
      <c r="DWW1451"/>
      <c r="DWX1451"/>
      <c r="DWY1451"/>
      <c r="DWZ1451"/>
      <c r="DXA1451"/>
      <c r="DXB1451"/>
      <c r="DXC1451"/>
      <c r="DXD1451"/>
      <c r="DXE1451"/>
      <c r="DXF1451"/>
      <c r="DXG1451"/>
      <c r="DXH1451"/>
      <c r="DXI1451"/>
      <c r="DXJ1451"/>
      <c r="DXK1451"/>
      <c r="DXL1451"/>
      <c r="DXM1451"/>
      <c r="DXN1451"/>
      <c r="DXO1451"/>
      <c r="DXP1451"/>
      <c r="DXQ1451"/>
      <c r="DXR1451"/>
      <c r="DXS1451"/>
      <c r="DXT1451"/>
      <c r="DXU1451"/>
      <c r="DXV1451"/>
      <c r="DXW1451"/>
      <c r="DXX1451"/>
      <c r="DXY1451"/>
      <c r="DXZ1451"/>
      <c r="DYA1451"/>
      <c r="DYB1451"/>
      <c r="DYC1451"/>
      <c r="DYD1451"/>
      <c r="DYE1451"/>
      <c r="DYF1451"/>
      <c r="DYG1451"/>
      <c r="DYH1451"/>
      <c r="DYI1451"/>
      <c r="DYJ1451"/>
      <c r="DYK1451"/>
      <c r="DYL1451"/>
      <c r="DYM1451"/>
      <c r="DYN1451"/>
      <c r="DYO1451"/>
      <c r="DYP1451"/>
      <c r="DYQ1451"/>
      <c r="DYR1451"/>
      <c r="DYS1451"/>
      <c r="DYT1451"/>
      <c r="DYU1451"/>
      <c r="DYV1451"/>
      <c r="DYW1451"/>
      <c r="DYX1451"/>
      <c r="DYY1451"/>
      <c r="DYZ1451"/>
      <c r="DZA1451"/>
      <c r="DZB1451"/>
      <c r="DZC1451"/>
      <c r="DZD1451"/>
      <c r="DZE1451"/>
      <c r="DZF1451"/>
      <c r="DZG1451"/>
      <c r="DZH1451"/>
      <c r="DZI1451"/>
      <c r="DZJ1451"/>
      <c r="DZK1451"/>
      <c r="DZL1451"/>
      <c r="DZM1451"/>
      <c r="DZN1451"/>
      <c r="DZO1451"/>
      <c r="DZP1451"/>
      <c r="DZQ1451"/>
      <c r="DZR1451"/>
      <c r="DZS1451"/>
      <c r="DZT1451"/>
      <c r="DZU1451"/>
      <c r="DZV1451"/>
      <c r="DZW1451"/>
      <c r="DZX1451"/>
      <c r="DZY1451"/>
      <c r="DZZ1451"/>
      <c r="EAA1451"/>
      <c r="EAB1451"/>
      <c r="EAC1451"/>
      <c r="EAD1451"/>
      <c r="EAE1451"/>
      <c r="EAF1451"/>
      <c r="EAG1451"/>
      <c r="EAH1451"/>
      <c r="EAI1451"/>
      <c r="EAJ1451"/>
      <c r="EAK1451"/>
      <c r="EAL1451"/>
      <c r="EAM1451"/>
      <c r="EAN1451"/>
      <c r="EAO1451"/>
      <c r="EAP1451"/>
      <c r="EAQ1451"/>
      <c r="EAR1451"/>
      <c r="EAS1451"/>
      <c r="EAT1451"/>
      <c r="EAU1451"/>
      <c r="EAV1451"/>
      <c r="EAW1451"/>
      <c r="EAX1451"/>
      <c r="EAY1451"/>
      <c r="EAZ1451"/>
      <c r="EBA1451"/>
      <c r="EBB1451"/>
      <c r="EBC1451"/>
      <c r="EBD1451"/>
      <c r="EBE1451"/>
      <c r="EBF1451"/>
      <c r="EBG1451"/>
      <c r="EBH1451"/>
      <c r="EBI1451"/>
      <c r="EBJ1451"/>
      <c r="EBK1451"/>
      <c r="EBL1451"/>
      <c r="EBM1451"/>
      <c r="EBN1451"/>
      <c r="EBO1451"/>
      <c r="EBP1451"/>
      <c r="EBQ1451"/>
      <c r="EBR1451"/>
      <c r="EBS1451"/>
      <c r="EBT1451"/>
      <c r="EBU1451"/>
      <c r="EBV1451"/>
      <c r="EBW1451"/>
      <c r="EBX1451"/>
      <c r="EBY1451"/>
      <c r="EBZ1451"/>
      <c r="ECA1451"/>
      <c r="ECB1451"/>
      <c r="ECC1451"/>
      <c r="ECD1451"/>
      <c r="ECE1451"/>
      <c r="ECF1451"/>
      <c r="ECG1451"/>
      <c r="ECH1451"/>
      <c r="ECI1451"/>
      <c r="ECJ1451"/>
      <c r="ECK1451"/>
      <c r="ECL1451"/>
      <c r="ECM1451"/>
      <c r="ECN1451"/>
      <c r="ECO1451"/>
      <c r="ECP1451"/>
      <c r="ECQ1451"/>
      <c r="ECR1451"/>
      <c r="ECS1451"/>
      <c r="ECT1451"/>
      <c r="ECU1451"/>
      <c r="ECV1451"/>
      <c r="ECW1451"/>
      <c r="ECX1451"/>
      <c r="ECY1451"/>
      <c r="ECZ1451"/>
      <c r="EDA1451"/>
      <c r="EDB1451"/>
      <c r="EDC1451"/>
      <c r="EDD1451"/>
      <c r="EDE1451"/>
      <c r="EDF1451"/>
      <c r="EDG1451"/>
      <c r="EDH1451"/>
      <c r="EDI1451"/>
      <c r="EDJ1451"/>
      <c r="EDK1451"/>
      <c r="EDL1451"/>
      <c r="EDM1451"/>
      <c r="EDN1451"/>
      <c r="EDO1451"/>
      <c r="EDP1451"/>
      <c r="EDQ1451"/>
      <c r="EDR1451"/>
      <c r="EDS1451"/>
      <c r="EDT1451"/>
      <c r="EDU1451"/>
      <c r="EDV1451"/>
      <c r="EDW1451"/>
      <c r="EDX1451"/>
      <c r="EDY1451"/>
      <c r="EDZ1451"/>
      <c r="EEA1451"/>
      <c r="EEB1451"/>
      <c r="EEC1451"/>
      <c r="EED1451"/>
      <c r="EEE1451"/>
      <c r="EEF1451"/>
      <c r="EEG1451"/>
      <c r="EEH1451"/>
      <c r="EEI1451"/>
      <c r="EEJ1451"/>
      <c r="EEK1451"/>
      <c r="EEL1451"/>
      <c r="EEM1451"/>
      <c r="EEN1451"/>
      <c r="EEO1451"/>
      <c r="EEP1451"/>
      <c r="EEQ1451"/>
      <c r="EER1451"/>
      <c r="EES1451"/>
      <c r="EET1451"/>
      <c r="EEU1451"/>
      <c r="EEV1451"/>
      <c r="EEW1451"/>
      <c r="EEX1451"/>
      <c r="EEY1451"/>
      <c r="EEZ1451"/>
      <c r="EFA1451"/>
      <c r="EFB1451"/>
      <c r="EFC1451"/>
      <c r="EFD1451"/>
      <c r="EFE1451"/>
      <c r="EFF1451"/>
      <c r="EFG1451"/>
      <c r="EFH1451"/>
      <c r="EFI1451"/>
      <c r="EFJ1451"/>
      <c r="EFK1451"/>
      <c r="EFL1451"/>
      <c r="EFM1451"/>
      <c r="EFN1451"/>
      <c r="EFO1451"/>
      <c r="EFP1451"/>
      <c r="EFQ1451"/>
      <c r="EFR1451"/>
      <c r="EFS1451"/>
      <c r="EFT1451"/>
      <c r="EFU1451"/>
      <c r="EFV1451"/>
      <c r="EFW1451"/>
      <c r="EFX1451"/>
      <c r="EFY1451"/>
      <c r="EFZ1451"/>
      <c r="EGA1451"/>
      <c r="EGB1451"/>
      <c r="EGC1451"/>
      <c r="EGD1451"/>
      <c r="EGE1451"/>
      <c r="EGF1451"/>
      <c r="EGG1451"/>
      <c r="EGH1451"/>
      <c r="EGI1451"/>
      <c r="EGJ1451"/>
      <c r="EGK1451"/>
      <c r="EGL1451"/>
      <c r="EGM1451"/>
      <c r="EGN1451"/>
      <c r="EGO1451"/>
      <c r="EGP1451"/>
      <c r="EGQ1451"/>
      <c r="EGR1451"/>
      <c r="EGS1451"/>
      <c r="EGT1451"/>
      <c r="EGU1451"/>
      <c r="EGV1451"/>
      <c r="EGW1451"/>
      <c r="EGX1451"/>
      <c r="EGY1451"/>
      <c r="EGZ1451"/>
      <c r="EHA1451"/>
      <c r="EHB1451"/>
      <c r="EHC1451"/>
      <c r="EHD1451"/>
      <c r="EHE1451"/>
      <c r="EHF1451"/>
      <c r="EHG1451"/>
      <c r="EHH1451"/>
      <c r="EHI1451"/>
      <c r="EHJ1451"/>
      <c r="EHK1451"/>
      <c r="EHL1451"/>
      <c r="EHM1451"/>
      <c r="EHN1451"/>
      <c r="EHO1451"/>
      <c r="EHP1451"/>
      <c r="EHQ1451"/>
      <c r="EHR1451"/>
      <c r="EHS1451"/>
      <c r="EHT1451"/>
      <c r="EHU1451"/>
      <c r="EHV1451"/>
      <c r="EHW1451"/>
      <c r="EHX1451"/>
      <c r="EHY1451"/>
      <c r="EHZ1451"/>
      <c r="EIA1451"/>
      <c r="EIB1451"/>
      <c r="EIC1451"/>
      <c r="EID1451"/>
      <c r="EIE1451"/>
      <c r="EIF1451"/>
      <c r="EIG1451"/>
      <c r="EIH1451"/>
      <c r="EII1451"/>
      <c r="EIJ1451"/>
      <c r="EIK1451"/>
      <c r="EIL1451"/>
      <c r="EIM1451"/>
      <c r="EIN1451"/>
      <c r="EIO1451"/>
      <c r="EIP1451"/>
      <c r="EIQ1451"/>
      <c r="EIR1451"/>
      <c r="EIS1451"/>
      <c r="EIT1451"/>
      <c r="EIU1451"/>
      <c r="EIV1451"/>
      <c r="EIW1451"/>
      <c r="EIX1451"/>
      <c r="EIY1451"/>
      <c r="EIZ1451"/>
      <c r="EJA1451"/>
      <c r="EJB1451"/>
      <c r="EJC1451"/>
      <c r="EJD1451"/>
      <c r="EJE1451"/>
      <c r="EJF1451"/>
      <c r="EJG1451"/>
      <c r="EJH1451"/>
      <c r="EJI1451"/>
      <c r="EJJ1451"/>
      <c r="EJK1451"/>
      <c r="EJL1451"/>
      <c r="EJM1451"/>
      <c r="EJN1451"/>
      <c r="EJO1451"/>
      <c r="EJP1451"/>
      <c r="EJQ1451"/>
      <c r="EJR1451"/>
      <c r="EJS1451"/>
      <c r="EJT1451"/>
      <c r="EJU1451"/>
      <c r="EJV1451"/>
      <c r="EJW1451"/>
      <c r="EJX1451"/>
      <c r="EJY1451"/>
      <c r="EJZ1451"/>
      <c r="EKA1451"/>
      <c r="EKB1451"/>
      <c r="EKC1451"/>
      <c r="EKD1451"/>
      <c r="EKE1451"/>
      <c r="EKF1451"/>
      <c r="EKG1451"/>
      <c r="EKH1451"/>
      <c r="EKI1451"/>
      <c r="EKJ1451"/>
      <c r="EKK1451"/>
      <c r="EKL1451"/>
      <c r="EKM1451"/>
      <c r="EKN1451"/>
      <c r="EKO1451"/>
      <c r="EKP1451"/>
      <c r="EKQ1451"/>
      <c r="EKR1451"/>
      <c r="EKS1451"/>
      <c r="EKT1451"/>
      <c r="EKU1451"/>
      <c r="EKV1451"/>
      <c r="EKW1451"/>
      <c r="EKX1451"/>
      <c r="EKY1451"/>
      <c r="EKZ1451"/>
      <c r="ELA1451"/>
      <c r="ELB1451"/>
      <c r="ELC1451"/>
      <c r="ELD1451"/>
      <c r="ELE1451"/>
      <c r="ELF1451"/>
      <c r="ELG1451"/>
      <c r="ELH1451"/>
      <c r="ELI1451"/>
      <c r="ELJ1451"/>
      <c r="ELK1451"/>
      <c r="ELL1451"/>
      <c r="ELM1451"/>
      <c r="ELN1451"/>
      <c r="ELO1451"/>
      <c r="ELP1451"/>
      <c r="ELQ1451"/>
      <c r="ELR1451"/>
      <c r="ELS1451"/>
      <c r="ELT1451"/>
      <c r="ELU1451"/>
      <c r="ELV1451"/>
      <c r="ELW1451"/>
      <c r="ELX1451"/>
      <c r="ELY1451"/>
      <c r="ELZ1451"/>
      <c r="EMA1451"/>
      <c r="EMB1451"/>
      <c r="EMC1451"/>
      <c r="EMD1451"/>
      <c r="EME1451"/>
      <c r="EMF1451"/>
      <c r="EMG1451"/>
      <c r="EMH1451"/>
      <c r="EMI1451"/>
      <c r="EMJ1451"/>
      <c r="EMK1451"/>
      <c r="EML1451"/>
      <c r="EMM1451"/>
      <c r="EMN1451"/>
      <c r="EMO1451"/>
      <c r="EMP1451"/>
      <c r="EMQ1451"/>
      <c r="EMR1451"/>
      <c r="EMS1451"/>
      <c r="EMT1451"/>
      <c r="EMU1451"/>
      <c r="EMV1451"/>
      <c r="EMW1451"/>
      <c r="EMX1451"/>
      <c r="EMY1451"/>
      <c r="EMZ1451"/>
      <c r="ENA1451"/>
      <c r="ENB1451"/>
      <c r="ENC1451"/>
      <c r="END1451"/>
      <c r="ENE1451"/>
      <c r="ENF1451"/>
      <c r="ENG1451"/>
      <c r="ENH1451"/>
      <c r="ENI1451"/>
      <c r="ENJ1451"/>
      <c r="ENK1451"/>
      <c r="ENL1451"/>
      <c r="ENM1451"/>
      <c r="ENN1451"/>
      <c r="ENO1451"/>
      <c r="ENP1451"/>
      <c r="ENQ1451"/>
      <c r="ENR1451"/>
      <c r="ENS1451"/>
      <c r="ENT1451"/>
      <c r="ENU1451"/>
      <c r="ENV1451"/>
      <c r="ENW1451"/>
      <c r="ENX1451"/>
      <c r="ENY1451"/>
      <c r="ENZ1451"/>
      <c r="EOA1451"/>
      <c r="EOB1451"/>
      <c r="EOC1451"/>
      <c r="EOD1451"/>
      <c r="EOE1451"/>
      <c r="EOF1451"/>
      <c r="EOG1451"/>
      <c r="EOH1451"/>
      <c r="EOI1451"/>
      <c r="EOJ1451"/>
      <c r="EOK1451"/>
      <c r="EOL1451"/>
      <c r="EOM1451"/>
      <c r="EON1451"/>
      <c r="EOO1451"/>
      <c r="EOP1451"/>
      <c r="EOQ1451"/>
      <c r="EOR1451"/>
      <c r="EOS1451"/>
      <c r="EOT1451"/>
      <c r="EOU1451"/>
      <c r="EOV1451"/>
      <c r="EOW1451"/>
      <c r="EOX1451"/>
      <c r="EOY1451"/>
      <c r="EOZ1451"/>
      <c r="EPA1451"/>
      <c r="EPB1451"/>
      <c r="EPC1451"/>
      <c r="EPD1451"/>
      <c r="EPE1451"/>
      <c r="EPF1451"/>
      <c r="EPG1451"/>
      <c r="EPH1451"/>
      <c r="EPI1451"/>
      <c r="EPJ1451"/>
      <c r="EPK1451"/>
      <c r="EPL1451"/>
      <c r="EPM1451"/>
      <c r="EPN1451"/>
      <c r="EPO1451"/>
      <c r="EPP1451"/>
      <c r="EPQ1451"/>
      <c r="EPR1451"/>
      <c r="EPS1451"/>
      <c r="EPT1451"/>
      <c r="EPU1451"/>
      <c r="EPV1451"/>
      <c r="EPW1451"/>
      <c r="EPX1451"/>
      <c r="EPY1451"/>
      <c r="EPZ1451"/>
      <c r="EQA1451"/>
      <c r="EQB1451"/>
      <c r="EQC1451"/>
      <c r="EQD1451"/>
      <c r="EQE1451"/>
      <c r="EQF1451"/>
      <c r="EQG1451"/>
      <c r="EQH1451"/>
      <c r="EQI1451"/>
      <c r="EQJ1451"/>
      <c r="EQK1451"/>
      <c r="EQL1451"/>
      <c r="EQM1451"/>
      <c r="EQN1451"/>
      <c r="EQO1451"/>
      <c r="EQP1451"/>
      <c r="EQQ1451"/>
      <c r="EQR1451"/>
      <c r="EQS1451"/>
      <c r="EQT1451"/>
      <c r="EQU1451"/>
      <c r="EQV1451"/>
      <c r="EQW1451"/>
      <c r="EQX1451"/>
      <c r="EQY1451"/>
      <c r="EQZ1451"/>
      <c r="ERA1451"/>
      <c r="ERB1451"/>
      <c r="ERC1451"/>
      <c r="ERD1451"/>
      <c r="ERE1451"/>
      <c r="ERF1451"/>
      <c r="ERG1451"/>
      <c r="ERH1451"/>
      <c r="ERI1451"/>
      <c r="ERJ1451"/>
      <c r="ERK1451"/>
      <c r="ERL1451"/>
      <c r="ERM1451"/>
      <c r="ERN1451"/>
      <c r="ERO1451"/>
      <c r="ERP1451"/>
      <c r="ERQ1451"/>
      <c r="ERR1451"/>
      <c r="ERS1451"/>
      <c r="ERT1451"/>
      <c r="ERU1451"/>
      <c r="ERV1451"/>
      <c r="ERW1451"/>
      <c r="ERX1451"/>
      <c r="ERY1451"/>
      <c r="ERZ1451"/>
      <c r="ESA1451"/>
      <c r="ESB1451"/>
      <c r="ESC1451"/>
      <c r="ESD1451"/>
      <c r="ESE1451"/>
      <c r="ESF1451"/>
      <c r="ESG1451"/>
      <c r="ESH1451"/>
      <c r="ESI1451"/>
      <c r="ESJ1451"/>
      <c r="ESK1451"/>
      <c r="ESL1451"/>
      <c r="ESM1451"/>
      <c r="ESN1451"/>
      <c r="ESO1451"/>
      <c r="ESP1451"/>
      <c r="ESQ1451"/>
      <c r="ESR1451"/>
      <c r="ESS1451"/>
      <c r="EST1451"/>
      <c r="ESU1451"/>
      <c r="ESV1451"/>
      <c r="ESW1451"/>
      <c r="ESX1451"/>
      <c r="ESY1451"/>
      <c r="ESZ1451"/>
      <c r="ETA1451"/>
      <c r="ETB1451"/>
      <c r="ETC1451"/>
      <c r="ETD1451"/>
      <c r="ETE1451"/>
      <c r="ETF1451"/>
      <c r="ETG1451"/>
      <c r="ETH1451"/>
      <c r="ETI1451"/>
      <c r="ETJ1451"/>
      <c r="ETK1451"/>
      <c r="ETL1451"/>
      <c r="ETM1451"/>
      <c r="ETN1451"/>
      <c r="ETO1451"/>
      <c r="ETP1451"/>
      <c r="ETQ1451"/>
      <c r="ETR1451"/>
      <c r="ETS1451"/>
      <c r="ETT1451"/>
      <c r="ETU1451"/>
      <c r="ETV1451"/>
      <c r="ETW1451"/>
      <c r="ETX1451"/>
      <c r="ETY1451"/>
      <c r="ETZ1451"/>
      <c r="EUA1451"/>
      <c r="EUB1451"/>
      <c r="EUC1451"/>
      <c r="EUD1451"/>
      <c r="EUE1451"/>
      <c r="EUF1451"/>
      <c r="EUG1451"/>
      <c r="EUH1451"/>
      <c r="EUI1451"/>
      <c r="EUJ1451"/>
      <c r="EUK1451"/>
      <c r="EUL1451"/>
      <c r="EUM1451"/>
      <c r="EUN1451"/>
      <c r="EUO1451"/>
      <c r="EUP1451"/>
      <c r="EUQ1451"/>
      <c r="EUR1451"/>
      <c r="EUS1451"/>
      <c r="EUT1451"/>
      <c r="EUU1451"/>
      <c r="EUV1451"/>
      <c r="EUW1451"/>
      <c r="EUX1451"/>
      <c r="EUY1451"/>
      <c r="EUZ1451"/>
      <c r="EVA1451"/>
      <c r="EVB1451"/>
      <c r="EVC1451"/>
      <c r="EVD1451"/>
      <c r="EVE1451"/>
      <c r="EVF1451"/>
      <c r="EVG1451"/>
      <c r="EVH1451"/>
      <c r="EVI1451"/>
      <c r="EVJ1451"/>
      <c r="EVK1451"/>
      <c r="EVL1451"/>
      <c r="EVM1451"/>
      <c r="EVN1451"/>
      <c r="EVO1451"/>
      <c r="EVP1451"/>
      <c r="EVQ1451"/>
      <c r="EVR1451"/>
      <c r="EVS1451"/>
      <c r="EVT1451"/>
      <c r="EVU1451"/>
      <c r="EVV1451"/>
      <c r="EVW1451"/>
      <c r="EVX1451"/>
      <c r="EVY1451"/>
      <c r="EVZ1451"/>
      <c r="EWA1451"/>
      <c r="EWB1451"/>
      <c r="EWC1451"/>
      <c r="EWD1451"/>
      <c r="EWE1451"/>
      <c r="EWF1451"/>
      <c r="EWG1451"/>
      <c r="EWH1451"/>
      <c r="EWI1451"/>
      <c r="EWJ1451"/>
      <c r="EWK1451"/>
      <c r="EWL1451"/>
      <c r="EWM1451"/>
      <c r="EWN1451"/>
      <c r="EWO1451"/>
      <c r="EWP1451"/>
      <c r="EWQ1451"/>
      <c r="EWR1451"/>
      <c r="EWS1451"/>
      <c r="EWT1451"/>
      <c r="EWU1451"/>
      <c r="EWV1451"/>
      <c r="EWW1451"/>
      <c r="EWX1451"/>
      <c r="EWY1451"/>
      <c r="EWZ1451"/>
      <c r="EXA1451"/>
      <c r="EXB1451"/>
      <c r="EXC1451"/>
      <c r="EXD1451"/>
      <c r="EXE1451"/>
      <c r="EXF1451"/>
      <c r="EXG1451"/>
      <c r="EXH1451"/>
      <c r="EXI1451"/>
      <c r="EXJ1451"/>
      <c r="EXK1451"/>
      <c r="EXL1451"/>
      <c r="EXM1451"/>
      <c r="EXN1451"/>
      <c r="EXO1451"/>
      <c r="EXP1451"/>
      <c r="EXQ1451"/>
      <c r="EXR1451"/>
      <c r="EXS1451"/>
      <c r="EXT1451"/>
      <c r="EXU1451"/>
      <c r="EXV1451"/>
      <c r="EXW1451"/>
      <c r="EXX1451"/>
      <c r="EXY1451"/>
      <c r="EXZ1451"/>
      <c r="EYA1451"/>
      <c r="EYB1451"/>
      <c r="EYC1451"/>
      <c r="EYD1451"/>
      <c r="EYE1451"/>
      <c r="EYF1451"/>
      <c r="EYG1451"/>
      <c r="EYH1451"/>
      <c r="EYI1451"/>
      <c r="EYJ1451"/>
      <c r="EYK1451"/>
      <c r="EYL1451"/>
      <c r="EYM1451"/>
      <c r="EYN1451"/>
      <c r="EYO1451"/>
      <c r="EYP1451"/>
      <c r="EYQ1451"/>
      <c r="EYR1451"/>
      <c r="EYS1451"/>
      <c r="EYT1451"/>
      <c r="EYU1451"/>
      <c r="EYV1451"/>
      <c r="EYW1451"/>
      <c r="EYX1451"/>
      <c r="EYY1451"/>
      <c r="EYZ1451"/>
      <c r="EZA1451"/>
      <c r="EZB1451"/>
      <c r="EZC1451"/>
      <c r="EZD1451"/>
      <c r="EZE1451"/>
      <c r="EZF1451"/>
      <c r="EZG1451"/>
      <c r="EZH1451"/>
      <c r="EZI1451"/>
      <c r="EZJ1451"/>
      <c r="EZK1451"/>
      <c r="EZL1451"/>
      <c r="EZM1451"/>
      <c r="EZN1451"/>
      <c r="EZO1451"/>
      <c r="EZP1451"/>
      <c r="EZQ1451"/>
      <c r="EZR1451"/>
      <c r="EZS1451"/>
      <c r="EZT1451"/>
      <c r="EZU1451"/>
      <c r="EZV1451"/>
      <c r="EZW1451"/>
      <c r="EZX1451"/>
      <c r="EZY1451"/>
      <c r="EZZ1451"/>
      <c r="FAA1451"/>
      <c r="FAB1451"/>
      <c r="FAC1451"/>
      <c r="FAD1451"/>
      <c r="FAE1451"/>
      <c r="FAF1451"/>
      <c r="FAG1451"/>
      <c r="FAH1451"/>
      <c r="FAI1451"/>
      <c r="FAJ1451"/>
      <c r="FAK1451"/>
      <c r="FAL1451"/>
      <c r="FAM1451"/>
      <c r="FAN1451"/>
      <c r="FAO1451"/>
      <c r="FAP1451"/>
      <c r="FAQ1451"/>
      <c r="FAR1451"/>
      <c r="FAS1451"/>
      <c r="FAT1451"/>
      <c r="FAU1451"/>
      <c r="FAV1451"/>
      <c r="FAW1451"/>
      <c r="FAX1451"/>
      <c r="FAY1451"/>
      <c r="FAZ1451"/>
      <c r="FBA1451"/>
      <c r="FBB1451"/>
      <c r="FBC1451"/>
      <c r="FBD1451"/>
      <c r="FBE1451"/>
      <c r="FBF1451"/>
      <c r="FBG1451"/>
      <c r="FBH1451"/>
      <c r="FBI1451"/>
      <c r="FBJ1451"/>
      <c r="FBK1451"/>
      <c r="FBL1451"/>
      <c r="FBM1451"/>
      <c r="FBN1451"/>
      <c r="FBO1451"/>
      <c r="FBP1451"/>
      <c r="FBQ1451"/>
      <c r="FBR1451"/>
      <c r="FBS1451"/>
      <c r="FBT1451"/>
      <c r="FBU1451"/>
      <c r="FBV1451"/>
      <c r="FBW1451"/>
      <c r="FBX1451"/>
      <c r="FBY1451"/>
      <c r="FBZ1451"/>
      <c r="FCA1451"/>
      <c r="FCB1451"/>
      <c r="FCC1451"/>
      <c r="FCD1451"/>
      <c r="FCE1451"/>
      <c r="FCF1451"/>
      <c r="FCG1451"/>
      <c r="FCH1451"/>
      <c r="FCI1451"/>
      <c r="FCJ1451"/>
      <c r="FCK1451"/>
      <c r="FCL1451"/>
      <c r="FCM1451"/>
      <c r="FCN1451"/>
      <c r="FCO1451"/>
      <c r="FCP1451"/>
      <c r="FCQ1451"/>
      <c r="FCR1451"/>
      <c r="FCS1451"/>
      <c r="FCT1451"/>
      <c r="FCU1451"/>
      <c r="FCV1451"/>
      <c r="FCW1451"/>
      <c r="FCX1451"/>
      <c r="FCY1451"/>
      <c r="FCZ1451"/>
      <c r="FDA1451"/>
      <c r="FDB1451"/>
      <c r="FDC1451"/>
      <c r="FDD1451"/>
      <c r="FDE1451"/>
      <c r="FDF1451"/>
      <c r="FDG1451"/>
      <c r="FDH1451"/>
      <c r="FDI1451"/>
      <c r="FDJ1451"/>
      <c r="FDK1451"/>
      <c r="FDL1451"/>
      <c r="FDM1451"/>
      <c r="FDN1451"/>
      <c r="FDO1451"/>
      <c r="FDP1451"/>
      <c r="FDQ1451"/>
      <c r="FDR1451"/>
      <c r="FDS1451"/>
      <c r="FDT1451"/>
      <c r="FDU1451"/>
      <c r="FDV1451"/>
      <c r="FDW1451"/>
      <c r="FDX1451"/>
      <c r="FDY1451"/>
      <c r="FDZ1451"/>
      <c r="FEA1451"/>
      <c r="FEB1451"/>
      <c r="FEC1451"/>
      <c r="FED1451"/>
      <c r="FEE1451"/>
      <c r="FEF1451"/>
      <c r="FEG1451"/>
      <c r="FEH1451"/>
      <c r="FEI1451"/>
      <c r="FEJ1451"/>
      <c r="FEK1451"/>
      <c r="FEL1451"/>
      <c r="FEM1451"/>
      <c r="FEN1451"/>
      <c r="FEO1451"/>
      <c r="FEP1451"/>
      <c r="FEQ1451"/>
      <c r="FER1451"/>
      <c r="FES1451"/>
      <c r="FET1451"/>
      <c r="FEU1451"/>
      <c r="FEV1451"/>
      <c r="FEW1451"/>
      <c r="FEX1451"/>
      <c r="FEY1451"/>
      <c r="FEZ1451"/>
      <c r="FFA1451"/>
      <c r="FFB1451"/>
      <c r="FFC1451"/>
      <c r="FFD1451"/>
      <c r="FFE1451"/>
      <c r="FFF1451"/>
      <c r="FFG1451"/>
      <c r="FFH1451"/>
      <c r="FFI1451"/>
      <c r="FFJ1451"/>
      <c r="FFK1451"/>
      <c r="FFL1451"/>
      <c r="FFM1451"/>
      <c r="FFN1451"/>
      <c r="FFO1451"/>
      <c r="FFP1451"/>
      <c r="FFQ1451"/>
      <c r="FFR1451"/>
      <c r="FFS1451"/>
      <c r="FFT1451"/>
      <c r="FFU1451"/>
      <c r="FFV1451"/>
      <c r="FFW1451"/>
      <c r="FFX1451"/>
      <c r="FFY1451"/>
      <c r="FFZ1451"/>
      <c r="FGA1451"/>
      <c r="FGB1451"/>
      <c r="FGC1451"/>
      <c r="FGD1451"/>
      <c r="FGE1451"/>
      <c r="FGF1451"/>
      <c r="FGG1451"/>
      <c r="FGH1451"/>
      <c r="FGI1451"/>
      <c r="FGJ1451"/>
      <c r="FGK1451"/>
      <c r="FGL1451"/>
      <c r="FGM1451"/>
      <c r="FGN1451"/>
      <c r="FGO1451"/>
      <c r="FGP1451"/>
      <c r="FGQ1451"/>
      <c r="FGR1451"/>
      <c r="FGS1451"/>
      <c r="FGT1451"/>
      <c r="FGU1451"/>
      <c r="FGV1451"/>
      <c r="FGW1451"/>
      <c r="FGX1451"/>
      <c r="FGY1451"/>
      <c r="FGZ1451"/>
      <c r="FHA1451"/>
      <c r="FHB1451"/>
      <c r="FHC1451"/>
      <c r="FHD1451"/>
      <c r="FHE1451"/>
      <c r="FHF1451"/>
      <c r="FHG1451"/>
      <c r="FHH1451"/>
      <c r="FHI1451"/>
      <c r="FHJ1451"/>
      <c r="FHK1451"/>
      <c r="FHL1451"/>
      <c r="FHM1451"/>
      <c r="FHN1451"/>
      <c r="FHO1451"/>
      <c r="FHP1451"/>
      <c r="FHQ1451"/>
      <c r="FHR1451"/>
      <c r="FHS1451"/>
      <c r="FHT1451"/>
      <c r="FHU1451"/>
      <c r="FHV1451"/>
      <c r="FHW1451"/>
      <c r="FHX1451"/>
      <c r="FHY1451"/>
      <c r="FHZ1451"/>
      <c r="FIA1451"/>
      <c r="FIB1451"/>
      <c r="FIC1451"/>
      <c r="FID1451"/>
      <c r="FIE1451"/>
      <c r="FIF1451"/>
      <c r="FIG1451"/>
      <c r="FIH1451"/>
      <c r="FII1451"/>
      <c r="FIJ1451"/>
      <c r="FIK1451"/>
      <c r="FIL1451"/>
      <c r="FIM1451"/>
      <c r="FIN1451"/>
      <c r="FIO1451"/>
      <c r="FIP1451"/>
      <c r="FIQ1451"/>
      <c r="FIR1451"/>
      <c r="FIS1451"/>
      <c r="FIT1451"/>
      <c r="FIU1451"/>
      <c r="FIV1451"/>
      <c r="FIW1451"/>
      <c r="FIX1451"/>
      <c r="FIY1451"/>
      <c r="FIZ1451"/>
      <c r="FJA1451"/>
      <c r="FJB1451"/>
      <c r="FJC1451"/>
      <c r="FJD1451"/>
      <c r="FJE1451"/>
      <c r="FJF1451"/>
      <c r="FJG1451"/>
      <c r="FJH1451"/>
      <c r="FJI1451"/>
      <c r="FJJ1451"/>
      <c r="FJK1451"/>
      <c r="FJL1451"/>
      <c r="FJM1451"/>
      <c r="FJN1451"/>
      <c r="FJO1451"/>
      <c r="FJP1451"/>
      <c r="FJQ1451"/>
      <c r="FJR1451"/>
      <c r="FJS1451"/>
      <c r="FJT1451"/>
      <c r="FJU1451"/>
      <c r="FJV1451"/>
      <c r="FJW1451"/>
      <c r="FJX1451"/>
      <c r="FJY1451"/>
      <c r="FJZ1451"/>
      <c r="FKA1451"/>
      <c r="FKB1451"/>
      <c r="FKC1451"/>
      <c r="FKD1451"/>
      <c r="FKE1451"/>
      <c r="FKF1451"/>
      <c r="FKG1451"/>
      <c r="FKH1451"/>
      <c r="FKI1451"/>
      <c r="FKJ1451"/>
      <c r="FKK1451"/>
      <c r="FKL1451"/>
      <c r="FKM1451"/>
      <c r="FKN1451"/>
      <c r="FKO1451"/>
      <c r="FKP1451"/>
      <c r="FKQ1451"/>
      <c r="FKR1451"/>
      <c r="FKS1451"/>
      <c r="FKT1451"/>
      <c r="FKU1451"/>
      <c r="FKV1451"/>
      <c r="FKW1451"/>
      <c r="FKX1451"/>
      <c r="FKY1451"/>
      <c r="FKZ1451"/>
      <c r="FLA1451"/>
      <c r="FLB1451"/>
      <c r="FLC1451"/>
      <c r="FLD1451"/>
      <c r="FLE1451"/>
      <c r="FLF1451"/>
      <c r="FLG1451"/>
      <c r="FLH1451"/>
      <c r="FLI1451"/>
      <c r="FLJ1451"/>
      <c r="FLK1451"/>
      <c r="FLL1451"/>
      <c r="FLM1451"/>
      <c r="FLN1451"/>
      <c r="FLO1451"/>
      <c r="FLP1451"/>
      <c r="FLQ1451"/>
      <c r="FLR1451"/>
      <c r="FLS1451"/>
      <c r="FLT1451"/>
      <c r="FLU1451"/>
      <c r="FLV1451"/>
      <c r="FLW1451"/>
      <c r="FLX1451"/>
      <c r="FLY1451"/>
      <c r="FLZ1451"/>
      <c r="FMA1451"/>
      <c r="FMB1451"/>
      <c r="FMC1451"/>
      <c r="FMD1451"/>
      <c r="FME1451"/>
      <c r="FMF1451"/>
      <c r="FMG1451"/>
      <c r="FMH1451"/>
      <c r="FMI1451"/>
      <c r="FMJ1451"/>
      <c r="FMK1451"/>
      <c r="FML1451"/>
      <c r="FMM1451"/>
      <c r="FMN1451"/>
      <c r="FMO1451"/>
      <c r="FMP1451"/>
      <c r="FMQ1451"/>
      <c r="FMR1451"/>
      <c r="FMS1451"/>
      <c r="FMT1451"/>
      <c r="FMU1451"/>
      <c r="FMV1451"/>
      <c r="FMW1451"/>
      <c r="FMX1451"/>
      <c r="FMY1451"/>
      <c r="FMZ1451"/>
      <c r="FNA1451"/>
      <c r="FNB1451"/>
      <c r="FNC1451"/>
      <c r="FND1451"/>
      <c r="FNE1451"/>
      <c r="FNF1451"/>
      <c r="FNG1451"/>
      <c r="FNH1451"/>
      <c r="FNI1451"/>
      <c r="FNJ1451"/>
      <c r="FNK1451"/>
      <c r="FNL1451"/>
      <c r="FNM1451"/>
      <c r="FNN1451"/>
      <c r="FNO1451"/>
      <c r="FNP1451"/>
      <c r="FNQ1451"/>
      <c r="FNR1451"/>
      <c r="FNS1451"/>
      <c r="FNT1451"/>
      <c r="FNU1451"/>
      <c r="FNV1451"/>
      <c r="FNW1451"/>
      <c r="FNX1451"/>
      <c r="FNY1451"/>
      <c r="FNZ1451"/>
      <c r="FOA1451"/>
      <c r="FOB1451"/>
      <c r="FOC1451"/>
      <c r="FOD1451"/>
      <c r="FOE1451"/>
      <c r="FOF1451"/>
      <c r="FOG1451"/>
      <c r="FOH1451"/>
      <c r="FOI1451"/>
      <c r="FOJ1451"/>
      <c r="FOK1451"/>
      <c r="FOL1451"/>
      <c r="FOM1451"/>
      <c r="FON1451"/>
      <c r="FOO1451"/>
      <c r="FOP1451"/>
      <c r="FOQ1451"/>
      <c r="FOR1451"/>
      <c r="FOS1451"/>
      <c r="FOT1451"/>
      <c r="FOU1451"/>
      <c r="FOV1451"/>
      <c r="FOW1451"/>
      <c r="FOX1451"/>
      <c r="FOY1451"/>
      <c r="FOZ1451"/>
      <c r="FPA1451"/>
      <c r="FPB1451"/>
      <c r="FPC1451"/>
      <c r="FPD1451"/>
      <c r="FPE1451"/>
      <c r="FPF1451"/>
      <c r="FPG1451"/>
      <c r="FPH1451"/>
      <c r="FPI1451"/>
      <c r="FPJ1451"/>
      <c r="FPK1451"/>
      <c r="FPL1451"/>
      <c r="FPM1451"/>
      <c r="FPN1451"/>
      <c r="FPO1451"/>
      <c r="FPP1451"/>
      <c r="FPQ1451"/>
      <c r="FPR1451"/>
      <c r="FPS1451"/>
      <c r="FPT1451"/>
      <c r="FPU1451"/>
      <c r="FPV1451"/>
      <c r="FPW1451"/>
      <c r="FPX1451"/>
      <c r="FPY1451"/>
      <c r="FPZ1451"/>
      <c r="FQA1451"/>
      <c r="FQB1451"/>
      <c r="FQC1451"/>
      <c r="FQD1451"/>
      <c r="FQE1451"/>
      <c r="FQF1451"/>
      <c r="FQG1451"/>
      <c r="FQH1451"/>
      <c r="FQI1451"/>
      <c r="FQJ1451"/>
      <c r="FQK1451"/>
      <c r="FQL1451"/>
      <c r="FQM1451"/>
      <c r="FQN1451"/>
      <c r="FQO1451"/>
      <c r="FQP1451"/>
      <c r="FQQ1451"/>
      <c r="FQR1451"/>
      <c r="FQS1451"/>
      <c r="FQT1451"/>
      <c r="FQU1451"/>
      <c r="FQV1451"/>
      <c r="FQW1451"/>
      <c r="FQX1451"/>
      <c r="FQY1451"/>
      <c r="FQZ1451"/>
      <c r="FRA1451"/>
      <c r="FRB1451"/>
      <c r="FRC1451"/>
      <c r="FRD1451"/>
      <c r="FRE1451"/>
      <c r="FRF1451"/>
      <c r="FRG1451"/>
      <c r="FRH1451"/>
      <c r="FRI1451"/>
      <c r="FRJ1451"/>
      <c r="FRK1451"/>
      <c r="FRL1451"/>
      <c r="FRM1451"/>
      <c r="FRN1451"/>
      <c r="FRO1451"/>
      <c r="FRP1451"/>
      <c r="FRQ1451"/>
      <c r="FRR1451"/>
      <c r="FRS1451"/>
      <c r="FRT1451"/>
      <c r="FRU1451"/>
      <c r="FRV1451"/>
      <c r="FRW1451"/>
      <c r="FRX1451"/>
      <c r="FRY1451"/>
      <c r="FRZ1451"/>
      <c r="FSA1451"/>
      <c r="FSB1451"/>
      <c r="FSC1451"/>
      <c r="FSD1451"/>
      <c r="FSE1451"/>
      <c r="FSF1451"/>
      <c r="FSG1451"/>
      <c r="FSH1451"/>
      <c r="FSI1451"/>
      <c r="FSJ1451"/>
      <c r="FSK1451"/>
      <c r="FSL1451"/>
      <c r="FSM1451"/>
      <c r="FSN1451"/>
      <c r="FSO1451"/>
      <c r="FSP1451"/>
      <c r="FSQ1451"/>
      <c r="FSR1451"/>
      <c r="FSS1451"/>
      <c r="FST1451"/>
      <c r="FSU1451"/>
      <c r="FSV1451"/>
      <c r="FSW1451"/>
      <c r="FSX1451"/>
      <c r="FSY1451"/>
      <c r="FSZ1451"/>
      <c r="FTA1451"/>
      <c r="FTB1451"/>
      <c r="FTC1451"/>
      <c r="FTD1451"/>
      <c r="FTE1451"/>
      <c r="FTF1451"/>
      <c r="FTG1451"/>
      <c r="FTH1451"/>
      <c r="FTI1451"/>
      <c r="FTJ1451"/>
      <c r="FTK1451"/>
      <c r="FTL1451"/>
      <c r="FTM1451"/>
      <c r="FTN1451"/>
      <c r="FTO1451"/>
      <c r="FTP1451"/>
      <c r="FTQ1451"/>
      <c r="FTR1451"/>
      <c r="FTS1451"/>
      <c r="FTT1451"/>
      <c r="FTU1451"/>
      <c r="FTV1451"/>
      <c r="FTW1451"/>
      <c r="FTX1451"/>
      <c r="FTY1451"/>
      <c r="FTZ1451"/>
      <c r="FUA1451"/>
      <c r="FUB1451"/>
      <c r="FUC1451"/>
      <c r="FUD1451"/>
      <c r="FUE1451"/>
      <c r="FUF1451"/>
      <c r="FUG1451"/>
      <c r="FUH1451"/>
      <c r="FUI1451"/>
      <c r="FUJ1451"/>
      <c r="FUK1451"/>
      <c r="FUL1451"/>
      <c r="FUM1451"/>
      <c r="FUN1451"/>
      <c r="FUO1451"/>
      <c r="FUP1451"/>
      <c r="FUQ1451"/>
      <c r="FUR1451"/>
      <c r="FUS1451"/>
      <c r="FUT1451"/>
      <c r="FUU1451"/>
      <c r="FUV1451"/>
      <c r="FUW1451"/>
      <c r="FUX1451"/>
      <c r="FUY1451"/>
      <c r="FUZ1451"/>
      <c r="FVA1451"/>
      <c r="FVB1451"/>
      <c r="FVC1451"/>
      <c r="FVD1451"/>
      <c r="FVE1451"/>
      <c r="FVF1451"/>
      <c r="FVG1451"/>
      <c r="FVH1451"/>
      <c r="FVI1451"/>
      <c r="FVJ1451"/>
      <c r="FVK1451"/>
      <c r="FVL1451"/>
      <c r="FVM1451"/>
      <c r="FVN1451"/>
      <c r="FVO1451"/>
      <c r="FVP1451"/>
      <c r="FVQ1451"/>
      <c r="FVR1451"/>
      <c r="FVS1451"/>
      <c r="FVT1451"/>
      <c r="FVU1451"/>
      <c r="FVV1451"/>
      <c r="FVW1451"/>
      <c r="FVX1451"/>
      <c r="FVY1451"/>
      <c r="FVZ1451"/>
      <c r="FWA1451"/>
      <c r="FWB1451"/>
      <c r="FWC1451"/>
      <c r="FWD1451"/>
      <c r="FWE1451"/>
      <c r="FWF1451"/>
      <c r="FWG1451"/>
      <c r="FWH1451"/>
      <c r="FWI1451"/>
      <c r="FWJ1451"/>
      <c r="FWK1451"/>
      <c r="FWL1451"/>
      <c r="FWM1451"/>
      <c r="FWN1451"/>
      <c r="FWO1451"/>
      <c r="FWP1451"/>
      <c r="FWQ1451"/>
      <c r="FWR1451"/>
      <c r="FWS1451"/>
      <c r="FWT1451"/>
      <c r="FWU1451"/>
      <c r="FWV1451"/>
      <c r="FWW1451"/>
      <c r="FWX1451"/>
      <c r="FWY1451"/>
      <c r="FWZ1451"/>
      <c r="FXA1451"/>
      <c r="FXB1451"/>
      <c r="FXC1451"/>
      <c r="FXD1451"/>
      <c r="FXE1451"/>
      <c r="FXF1451"/>
      <c r="FXG1451"/>
      <c r="FXH1451"/>
      <c r="FXI1451"/>
      <c r="FXJ1451"/>
      <c r="FXK1451"/>
      <c r="FXL1451"/>
      <c r="FXM1451"/>
      <c r="FXN1451"/>
      <c r="FXO1451"/>
      <c r="FXP1451"/>
      <c r="FXQ1451"/>
      <c r="FXR1451"/>
      <c r="FXS1451"/>
      <c r="FXT1451"/>
      <c r="FXU1451"/>
      <c r="FXV1451"/>
      <c r="FXW1451"/>
      <c r="FXX1451"/>
      <c r="FXY1451"/>
      <c r="FXZ1451"/>
      <c r="FYA1451"/>
      <c r="FYB1451"/>
      <c r="FYC1451"/>
      <c r="FYD1451"/>
      <c r="FYE1451"/>
      <c r="FYF1451"/>
      <c r="FYG1451"/>
      <c r="FYH1451"/>
      <c r="FYI1451"/>
      <c r="FYJ1451"/>
      <c r="FYK1451"/>
      <c r="FYL1451"/>
      <c r="FYM1451"/>
      <c r="FYN1451"/>
      <c r="FYO1451"/>
      <c r="FYP1451"/>
      <c r="FYQ1451"/>
      <c r="FYR1451"/>
      <c r="FYS1451"/>
      <c r="FYT1451"/>
      <c r="FYU1451"/>
      <c r="FYV1451"/>
      <c r="FYW1451"/>
      <c r="FYX1451"/>
      <c r="FYY1451"/>
      <c r="FYZ1451"/>
      <c r="FZA1451"/>
      <c r="FZB1451"/>
      <c r="FZC1451"/>
      <c r="FZD1451"/>
      <c r="FZE1451"/>
      <c r="FZF1451"/>
      <c r="FZG1451"/>
      <c r="FZH1451"/>
      <c r="FZI1451"/>
      <c r="FZJ1451"/>
      <c r="FZK1451"/>
      <c r="FZL1451"/>
      <c r="FZM1451"/>
      <c r="FZN1451"/>
      <c r="FZO1451"/>
      <c r="FZP1451"/>
      <c r="FZQ1451"/>
      <c r="FZR1451"/>
      <c r="FZS1451"/>
      <c r="FZT1451"/>
      <c r="FZU1451"/>
      <c r="FZV1451"/>
      <c r="FZW1451"/>
      <c r="FZX1451"/>
      <c r="FZY1451"/>
      <c r="FZZ1451"/>
      <c r="GAA1451"/>
      <c r="GAB1451"/>
      <c r="GAC1451"/>
      <c r="GAD1451"/>
      <c r="GAE1451"/>
      <c r="GAF1451"/>
      <c r="GAG1451"/>
      <c r="GAH1451"/>
      <c r="GAI1451"/>
      <c r="GAJ1451"/>
      <c r="GAK1451"/>
      <c r="GAL1451"/>
      <c r="GAM1451"/>
      <c r="GAN1451"/>
      <c r="GAO1451"/>
      <c r="GAP1451"/>
      <c r="GAQ1451"/>
      <c r="GAR1451"/>
      <c r="GAS1451"/>
      <c r="GAT1451"/>
      <c r="GAU1451"/>
      <c r="GAV1451"/>
      <c r="GAW1451"/>
      <c r="GAX1451"/>
      <c r="GAY1451"/>
      <c r="GAZ1451"/>
      <c r="GBA1451"/>
      <c r="GBB1451"/>
      <c r="GBC1451"/>
      <c r="GBD1451"/>
      <c r="GBE1451"/>
      <c r="GBF1451"/>
      <c r="GBG1451"/>
      <c r="GBH1451"/>
      <c r="GBI1451"/>
      <c r="GBJ1451"/>
      <c r="GBK1451"/>
      <c r="GBL1451"/>
      <c r="GBM1451"/>
      <c r="GBN1451"/>
      <c r="GBO1451"/>
      <c r="GBP1451"/>
      <c r="GBQ1451"/>
      <c r="GBR1451"/>
      <c r="GBS1451"/>
      <c r="GBT1451"/>
      <c r="GBU1451"/>
      <c r="GBV1451"/>
      <c r="GBW1451"/>
      <c r="GBX1451"/>
      <c r="GBY1451"/>
      <c r="GBZ1451"/>
      <c r="GCA1451"/>
      <c r="GCB1451"/>
      <c r="GCC1451"/>
      <c r="GCD1451"/>
      <c r="GCE1451"/>
      <c r="GCF1451"/>
      <c r="GCG1451"/>
      <c r="GCH1451"/>
      <c r="GCI1451"/>
      <c r="GCJ1451"/>
      <c r="GCK1451"/>
      <c r="GCL1451"/>
      <c r="GCM1451"/>
      <c r="GCN1451"/>
      <c r="GCO1451"/>
      <c r="GCP1451"/>
      <c r="GCQ1451"/>
      <c r="GCR1451"/>
      <c r="GCS1451"/>
      <c r="GCT1451"/>
      <c r="GCU1451"/>
      <c r="GCV1451"/>
      <c r="GCW1451"/>
      <c r="GCX1451"/>
      <c r="GCY1451"/>
      <c r="GCZ1451"/>
      <c r="GDA1451"/>
      <c r="GDB1451"/>
      <c r="GDC1451"/>
      <c r="GDD1451"/>
      <c r="GDE1451"/>
      <c r="GDF1451"/>
      <c r="GDG1451"/>
      <c r="GDH1451"/>
      <c r="GDI1451"/>
      <c r="GDJ1451"/>
      <c r="GDK1451"/>
      <c r="GDL1451"/>
      <c r="GDM1451"/>
      <c r="GDN1451"/>
      <c r="GDO1451"/>
      <c r="GDP1451"/>
      <c r="GDQ1451"/>
      <c r="GDR1451"/>
      <c r="GDS1451"/>
      <c r="GDT1451"/>
      <c r="GDU1451"/>
      <c r="GDV1451"/>
      <c r="GDW1451"/>
      <c r="GDX1451"/>
      <c r="GDY1451"/>
      <c r="GDZ1451"/>
      <c r="GEA1451"/>
      <c r="GEB1451"/>
      <c r="GEC1451"/>
      <c r="GED1451"/>
      <c r="GEE1451"/>
      <c r="GEF1451"/>
      <c r="GEG1451"/>
      <c r="GEH1451"/>
      <c r="GEI1451"/>
      <c r="GEJ1451"/>
      <c r="GEK1451"/>
      <c r="GEL1451"/>
      <c r="GEM1451"/>
      <c r="GEN1451"/>
      <c r="GEO1451"/>
      <c r="GEP1451"/>
      <c r="GEQ1451"/>
      <c r="GER1451"/>
      <c r="GES1451"/>
      <c r="GET1451"/>
      <c r="GEU1451"/>
      <c r="GEV1451"/>
      <c r="GEW1451"/>
      <c r="GEX1451"/>
      <c r="GEY1451"/>
      <c r="GEZ1451"/>
      <c r="GFA1451"/>
      <c r="GFB1451"/>
      <c r="GFC1451"/>
      <c r="GFD1451"/>
      <c r="GFE1451"/>
      <c r="GFF1451"/>
      <c r="GFG1451"/>
      <c r="GFH1451"/>
      <c r="GFI1451"/>
      <c r="GFJ1451"/>
      <c r="GFK1451"/>
      <c r="GFL1451"/>
      <c r="GFM1451"/>
      <c r="GFN1451"/>
      <c r="GFO1451"/>
      <c r="GFP1451"/>
      <c r="GFQ1451"/>
      <c r="GFR1451"/>
      <c r="GFS1451"/>
      <c r="GFT1451"/>
      <c r="GFU1451"/>
      <c r="GFV1451"/>
      <c r="GFW1451"/>
      <c r="GFX1451"/>
      <c r="GFY1451"/>
      <c r="GFZ1451"/>
      <c r="GGA1451"/>
      <c r="GGB1451"/>
      <c r="GGC1451"/>
      <c r="GGD1451"/>
      <c r="GGE1451"/>
      <c r="GGF1451"/>
      <c r="GGG1451"/>
      <c r="GGH1451"/>
      <c r="GGI1451"/>
      <c r="GGJ1451"/>
      <c r="GGK1451"/>
      <c r="GGL1451"/>
      <c r="GGM1451"/>
      <c r="GGN1451"/>
      <c r="GGO1451"/>
      <c r="GGP1451"/>
      <c r="GGQ1451"/>
      <c r="GGR1451"/>
      <c r="GGS1451"/>
      <c r="GGT1451"/>
      <c r="GGU1451"/>
      <c r="GGV1451"/>
      <c r="GGW1451"/>
      <c r="GGX1451"/>
      <c r="GGY1451"/>
      <c r="GGZ1451"/>
      <c r="GHA1451"/>
      <c r="GHB1451"/>
      <c r="GHC1451"/>
      <c r="GHD1451"/>
      <c r="GHE1451"/>
      <c r="GHF1451"/>
      <c r="GHG1451"/>
      <c r="GHH1451"/>
      <c r="GHI1451"/>
      <c r="GHJ1451"/>
      <c r="GHK1451"/>
      <c r="GHL1451"/>
      <c r="GHM1451"/>
      <c r="GHN1451"/>
      <c r="GHO1451"/>
      <c r="GHP1451"/>
      <c r="GHQ1451"/>
      <c r="GHR1451"/>
      <c r="GHS1451"/>
      <c r="GHT1451"/>
      <c r="GHU1451"/>
      <c r="GHV1451"/>
      <c r="GHW1451"/>
      <c r="GHX1451"/>
      <c r="GHY1451"/>
      <c r="GHZ1451"/>
      <c r="GIA1451"/>
      <c r="GIB1451"/>
      <c r="GIC1451"/>
      <c r="GID1451"/>
      <c r="GIE1451"/>
      <c r="GIF1451"/>
      <c r="GIG1451"/>
      <c r="GIH1451"/>
      <c r="GII1451"/>
      <c r="GIJ1451"/>
      <c r="GIK1451"/>
      <c r="GIL1451"/>
      <c r="GIM1451"/>
      <c r="GIN1451"/>
      <c r="GIO1451"/>
      <c r="GIP1451"/>
      <c r="GIQ1451"/>
      <c r="GIR1451"/>
      <c r="GIS1451"/>
      <c r="GIT1451"/>
      <c r="GIU1451"/>
      <c r="GIV1451"/>
      <c r="GIW1451"/>
      <c r="GIX1451"/>
      <c r="GIY1451"/>
      <c r="GIZ1451"/>
      <c r="GJA1451"/>
      <c r="GJB1451"/>
      <c r="GJC1451"/>
      <c r="GJD1451"/>
      <c r="GJE1451"/>
      <c r="GJF1451"/>
      <c r="GJG1451"/>
      <c r="GJH1451"/>
      <c r="GJI1451"/>
      <c r="GJJ1451"/>
      <c r="GJK1451"/>
      <c r="GJL1451"/>
      <c r="GJM1451"/>
      <c r="GJN1451"/>
      <c r="GJO1451"/>
      <c r="GJP1451"/>
      <c r="GJQ1451"/>
      <c r="GJR1451"/>
      <c r="GJS1451"/>
      <c r="GJT1451"/>
      <c r="GJU1451"/>
      <c r="GJV1451"/>
      <c r="GJW1451"/>
      <c r="GJX1451"/>
      <c r="GJY1451"/>
      <c r="GJZ1451"/>
      <c r="GKA1451"/>
      <c r="GKB1451"/>
      <c r="GKC1451"/>
      <c r="GKD1451"/>
      <c r="GKE1451"/>
      <c r="GKF1451"/>
      <c r="GKG1451"/>
      <c r="GKH1451"/>
      <c r="GKI1451"/>
      <c r="GKJ1451"/>
      <c r="GKK1451"/>
      <c r="GKL1451"/>
      <c r="GKM1451"/>
      <c r="GKN1451"/>
      <c r="GKO1451"/>
      <c r="GKP1451"/>
      <c r="GKQ1451"/>
      <c r="GKR1451"/>
      <c r="GKS1451"/>
      <c r="GKT1451"/>
      <c r="GKU1451"/>
      <c r="GKV1451"/>
      <c r="GKW1451"/>
      <c r="GKX1451"/>
      <c r="GKY1451"/>
      <c r="GKZ1451"/>
      <c r="GLA1451"/>
      <c r="GLB1451"/>
      <c r="GLC1451"/>
      <c r="GLD1451"/>
      <c r="GLE1451"/>
      <c r="GLF1451"/>
      <c r="GLG1451"/>
      <c r="GLH1451"/>
      <c r="GLI1451"/>
      <c r="GLJ1451"/>
      <c r="GLK1451"/>
      <c r="GLL1451"/>
      <c r="GLM1451"/>
      <c r="GLN1451"/>
      <c r="GLO1451"/>
      <c r="GLP1451"/>
      <c r="GLQ1451"/>
      <c r="GLR1451"/>
      <c r="GLS1451"/>
      <c r="GLT1451"/>
      <c r="GLU1451"/>
      <c r="GLV1451"/>
      <c r="GLW1451"/>
      <c r="GLX1451"/>
      <c r="GLY1451"/>
      <c r="GLZ1451"/>
      <c r="GMA1451"/>
      <c r="GMB1451"/>
      <c r="GMC1451"/>
      <c r="GMD1451"/>
      <c r="GME1451"/>
      <c r="GMF1451"/>
      <c r="GMG1451"/>
      <c r="GMH1451"/>
      <c r="GMI1451"/>
      <c r="GMJ1451"/>
      <c r="GMK1451"/>
      <c r="GML1451"/>
      <c r="GMM1451"/>
      <c r="GMN1451"/>
      <c r="GMO1451"/>
      <c r="GMP1451"/>
      <c r="GMQ1451"/>
      <c r="GMR1451"/>
      <c r="GMS1451"/>
      <c r="GMT1451"/>
      <c r="GMU1451"/>
      <c r="GMV1451"/>
      <c r="GMW1451"/>
      <c r="GMX1451"/>
      <c r="GMY1451"/>
      <c r="GMZ1451"/>
      <c r="GNA1451"/>
      <c r="GNB1451"/>
      <c r="GNC1451"/>
      <c r="GND1451"/>
      <c r="GNE1451"/>
      <c r="GNF1451"/>
      <c r="GNG1451"/>
      <c r="GNH1451"/>
      <c r="GNI1451"/>
      <c r="GNJ1451"/>
      <c r="GNK1451"/>
      <c r="GNL1451"/>
      <c r="GNM1451"/>
      <c r="GNN1451"/>
      <c r="GNO1451"/>
      <c r="GNP1451"/>
      <c r="GNQ1451"/>
      <c r="GNR1451"/>
      <c r="GNS1451"/>
      <c r="GNT1451"/>
      <c r="GNU1451"/>
      <c r="GNV1451"/>
      <c r="GNW1451"/>
      <c r="GNX1451"/>
      <c r="GNY1451"/>
      <c r="GNZ1451"/>
      <c r="GOA1451"/>
      <c r="GOB1451"/>
      <c r="GOC1451"/>
      <c r="GOD1451"/>
      <c r="GOE1451"/>
      <c r="GOF1451"/>
      <c r="GOG1451"/>
      <c r="GOH1451"/>
      <c r="GOI1451"/>
      <c r="GOJ1451"/>
      <c r="GOK1451"/>
      <c r="GOL1451"/>
      <c r="GOM1451"/>
      <c r="GON1451"/>
      <c r="GOO1451"/>
      <c r="GOP1451"/>
      <c r="GOQ1451"/>
      <c r="GOR1451"/>
      <c r="GOS1451"/>
      <c r="GOT1451"/>
      <c r="GOU1451"/>
      <c r="GOV1451"/>
      <c r="GOW1451"/>
      <c r="GOX1451"/>
      <c r="GOY1451"/>
      <c r="GOZ1451"/>
      <c r="GPA1451"/>
      <c r="GPB1451"/>
      <c r="GPC1451"/>
      <c r="GPD1451"/>
      <c r="GPE1451"/>
      <c r="GPF1451"/>
      <c r="GPG1451"/>
      <c r="GPH1451"/>
      <c r="GPI1451"/>
      <c r="GPJ1451"/>
      <c r="GPK1451"/>
      <c r="GPL1451"/>
      <c r="GPM1451"/>
      <c r="GPN1451"/>
      <c r="GPO1451"/>
      <c r="GPP1451"/>
      <c r="GPQ1451"/>
      <c r="GPR1451"/>
      <c r="GPS1451"/>
      <c r="GPT1451"/>
      <c r="GPU1451"/>
      <c r="GPV1451"/>
      <c r="GPW1451"/>
      <c r="GPX1451"/>
      <c r="GPY1451"/>
      <c r="GPZ1451"/>
      <c r="GQA1451"/>
      <c r="GQB1451"/>
      <c r="GQC1451"/>
      <c r="GQD1451"/>
      <c r="GQE1451"/>
      <c r="GQF1451"/>
      <c r="GQG1451"/>
      <c r="GQH1451"/>
      <c r="GQI1451"/>
      <c r="GQJ1451"/>
      <c r="GQK1451"/>
      <c r="GQL1451"/>
      <c r="GQM1451"/>
      <c r="GQN1451"/>
      <c r="GQO1451"/>
      <c r="GQP1451"/>
      <c r="GQQ1451"/>
      <c r="GQR1451"/>
      <c r="GQS1451"/>
      <c r="GQT1451"/>
      <c r="GQU1451"/>
      <c r="GQV1451"/>
      <c r="GQW1451"/>
      <c r="GQX1451"/>
      <c r="GQY1451"/>
      <c r="GQZ1451"/>
      <c r="GRA1451"/>
      <c r="GRB1451"/>
      <c r="GRC1451"/>
      <c r="GRD1451"/>
      <c r="GRE1451"/>
      <c r="GRF1451"/>
      <c r="GRG1451"/>
      <c r="GRH1451"/>
      <c r="GRI1451"/>
      <c r="GRJ1451"/>
      <c r="GRK1451"/>
      <c r="GRL1451"/>
      <c r="GRM1451"/>
      <c r="GRN1451"/>
      <c r="GRO1451"/>
      <c r="GRP1451"/>
      <c r="GRQ1451"/>
      <c r="GRR1451"/>
      <c r="GRS1451"/>
      <c r="GRT1451"/>
      <c r="GRU1451"/>
      <c r="GRV1451"/>
      <c r="GRW1451"/>
      <c r="GRX1451"/>
      <c r="GRY1451"/>
      <c r="GRZ1451"/>
      <c r="GSA1451"/>
      <c r="GSB1451"/>
      <c r="GSC1451"/>
      <c r="GSD1451"/>
      <c r="GSE1451"/>
      <c r="GSF1451"/>
      <c r="GSG1451"/>
      <c r="GSH1451"/>
      <c r="GSI1451"/>
      <c r="GSJ1451"/>
      <c r="GSK1451"/>
      <c r="GSL1451"/>
      <c r="GSM1451"/>
      <c r="GSN1451"/>
      <c r="GSO1451"/>
      <c r="GSP1451"/>
      <c r="GSQ1451"/>
      <c r="GSR1451"/>
      <c r="GSS1451"/>
      <c r="GST1451"/>
      <c r="GSU1451"/>
      <c r="GSV1451"/>
      <c r="GSW1451"/>
      <c r="GSX1451"/>
      <c r="GSY1451"/>
      <c r="GSZ1451"/>
      <c r="GTA1451"/>
      <c r="GTB1451"/>
      <c r="GTC1451"/>
      <c r="GTD1451"/>
      <c r="GTE1451"/>
      <c r="GTF1451"/>
      <c r="GTG1451"/>
      <c r="GTH1451"/>
      <c r="GTI1451"/>
      <c r="GTJ1451"/>
      <c r="GTK1451"/>
      <c r="GTL1451"/>
      <c r="GTM1451"/>
      <c r="GTN1451"/>
      <c r="GTO1451"/>
      <c r="GTP1451"/>
      <c r="GTQ1451"/>
      <c r="GTR1451"/>
      <c r="GTS1451"/>
      <c r="GTT1451"/>
      <c r="GTU1451"/>
      <c r="GTV1451"/>
      <c r="GTW1451"/>
      <c r="GTX1451"/>
      <c r="GTY1451"/>
      <c r="GTZ1451"/>
      <c r="GUA1451"/>
      <c r="GUB1451"/>
      <c r="GUC1451"/>
      <c r="GUD1451"/>
      <c r="GUE1451"/>
      <c r="GUF1451"/>
      <c r="GUG1451"/>
      <c r="GUH1451"/>
      <c r="GUI1451"/>
      <c r="GUJ1451"/>
      <c r="GUK1451"/>
      <c r="GUL1451"/>
      <c r="GUM1451"/>
      <c r="GUN1451"/>
      <c r="GUO1451"/>
      <c r="GUP1451"/>
      <c r="GUQ1451"/>
      <c r="GUR1451"/>
      <c r="GUS1451"/>
      <c r="GUT1451"/>
      <c r="GUU1451"/>
      <c r="GUV1451"/>
      <c r="GUW1451"/>
      <c r="GUX1451"/>
      <c r="GUY1451"/>
      <c r="GUZ1451"/>
      <c r="GVA1451"/>
      <c r="GVB1451"/>
      <c r="GVC1451"/>
      <c r="GVD1451"/>
      <c r="GVE1451"/>
      <c r="GVF1451"/>
      <c r="GVG1451"/>
      <c r="GVH1451"/>
      <c r="GVI1451"/>
      <c r="GVJ1451"/>
      <c r="GVK1451"/>
      <c r="GVL1451"/>
      <c r="GVM1451"/>
      <c r="GVN1451"/>
      <c r="GVO1451"/>
      <c r="GVP1451"/>
      <c r="GVQ1451"/>
      <c r="GVR1451"/>
      <c r="GVS1451"/>
      <c r="GVT1451"/>
      <c r="GVU1451"/>
      <c r="GVV1451"/>
      <c r="GVW1451"/>
      <c r="GVX1451"/>
      <c r="GVY1451"/>
      <c r="GVZ1451"/>
      <c r="GWA1451"/>
      <c r="GWB1451"/>
      <c r="GWC1451"/>
      <c r="GWD1451"/>
      <c r="GWE1451"/>
      <c r="GWF1451"/>
      <c r="GWG1451"/>
      <c r="GWH1451"/>
      <c r="GWI1451"/>
      <c r="GWJ1451"/>
      <c r="GWK1451"/>
      <c r="GWL1451"/>
      <c r="GWM1451"/>
      <c r="GWN1451"/>
      <c r="GWO1451"/>
      <c r="GWP1451"/>
      <c r="GWQ1451"/>
      <c r="GWR1451"/>
      <c r="GWS1451"/>
      <c r="GWT1451"/>
      <c r="GWU1451"/>
      <c r="GWV1451"/>
      <c r="GWW1451"/>
      <c r="GWX1451"/>
      <c r="GWY1451"/>
      <c r="GWZ1451"/>
      <c r="GXA1451"/>
      <c r="GXB1451"/>
      <c r="GXC1451"/>
      <c r="GXD1451"/>
      <c r="GXE1451"/>
      <c r="GXF1451"/>
      <c r="GXG1451"/>
      <c r="GXH1451"/>
      <c r="GXI1451"/>
      <c r="GXJ1451"/>
      <c r="GXK1451"/>
      <c r="GXL1451"/>
      <c r="GXM1451"/>
      <c r="GXN1451"/>
      <c r="GXO1451"/>
      <c r="GXP1451"/>
      <c r="GXQ1451"/>
      <c r="GXR1451"/>
      <c r="GXS1451"/>
      <c r="GXT1451"/>
      <c r="GXU1451"/>
      <c r="GXV1451"/>
      <c r="GXW1451"/>
      <c r="GXX1451"/>
      <c r="GXY1451"/>
      <c r="GXZ1451"/>
      <c r="GYA1451"/>
      <c r="GYB1451"/>
      <c r="GYC1451"/>
      <c r="GYD1451"/>
      <c r="GYE1451"/>
      <c r="GYF1451"/>
      <c r="GYG1451"/>
      <c r="GYH1451"/>
      <c r="GYI1451"/>
      <c r="GYJ1451"/>
      <c r="GYK1451"/>
      <c r="GYL1451"/>
      <c r="GYM1451"/>
      <c r="GYN1451"/>
      <c r="GYO1451"/>
      <c r="GYP1451"/>
      <c r="GYQ1451"/>
      <c r="GYR1451"/>
      <c r="GYS1451"/>
      <c r="GYT1451"/>
      <c r="GYU1451"/>
      <c r="GYV1451"/>
      <c r="GYW1451"/>
      <c r="GYX1451"/>
      <c r="GYY1451"/>
      <c r="GYZ1451"/>
      <c r="GZA1451"/>
      <c r="GZB1451"/>
      <c r="GZC1451"/>
      <c r="GZD1451"/>
      <c r="GZE1451"/>
      <c r="GZF1451"/>
      <c r="GZG1451"/>
      <c r="GZH1451"/>
      <c r="GZI1451"/>
      <c r="GZJ1451"/>
      <c r="GZK1451"/>
      <c r="GZL1451"/>
      <c r="GZM1451"/>
      <c r="GZN1451"/>
      <c r="GZO1451"/>
      <c r="GZP1451"/>
      <c r="GZQ1451"/>
      <c r="GZR1451"/>
      <c r="GZS1451"/>
      <c r="GZT1451"/>
      <c r="GZU1451"/>
      <c r="GZV1451"/>
      <c r="GZW1451"/>
      <c r="GZX1451"/>
      <c r="GZY1451"/>
      <c r="GZZ1451"/>
      <c r="HAA1451"/>
      <c r="HAB1451"/>
      <c r="HAC1451"/>
      <c r="HAD1451"/>
      <c r="HAE1451"/>
      <c r="HAF1451"/>
      <c r="HAG1451"/>
      <c r="HAH1451"/>
      <c r="HAI1451"/>
      <c r="HAJ1451"/>
      <c r="HAK1451"/>
      <c r="HAL1451"/>
      <c r="HAM1451"/>
      <c r="HAN1451"/>
      <c r="HAO1451"/>
      <c r="HAP1451"/>
      <c r="HAQ1451"/>
      <c r="HAR1451"/>
      <c r="HAS1451"/>
      <c r="HAT1451"/>
      <c r="HAU1451"/>
      <c r="HAV1451"/>
      <c r="HAW1451"/>
      <c r="HAX1451"/>
      <c r="HAY1451"/>
      <c r="HAZ1451"/>
      <c r="HBA1451"/>
      <c r="HBB1451"/>
      <c r="HBC1451"/>
      <c r="HBD1451"/>
      <c r="HBE1451"/>
      <c r="HBF1451"/>
      <c r="HBG1451"/>
      <c r="HBH1451"/>
      <c r="HBI1451"/>
      <c r="HBJ1451"/>
      <c r="HBK1451"/>
      <c r="HBL1451"/>
      <c r="HBM1451"/>
      <c r="HBN1451"/>
      <c r="HBO1451"/>
      <c r="HBP1451"/>
      <c r="HBQ1451"/>
      <c r="HBR1451"/>
      <c r="HBS1451"/>
      <c r="HBT1451"/>
      <c r="HBU1451"/>
      <c r="HBV1451"/>
      <c r="HBW1451"/>
      <c r="HBX1451"/>
      <c r="HBY1451"/>
      <c r="HBZ1451"/>
      <c r="HCA1451"/>
      <c r="HCB1451"/>
      <c r="HCC1451"/>
      <c r="HCD1451"/>
      <c r="HCE1451"/>
      <c r="HCF1451"/>
      <c r="HCG1451"/>
      <c r="HCH1451"/>
      <c r="HCI1451"/>
      <c r="HCJ1451"/>
      <c r="HCK1451"/>
      <c r="HCL1451"/>
      <c r="HCM1451"/>
      <c r="HCN1451"/>
      <c r="HCO1451"/>
      <c r="HCP1451"/>
      <c r="HCQ1451"/>
      <c r="HCR1451"/>
      <c r="HCS1451"/>
      <c r="HCT1451"/>
      <c r="HCU1451"/>
      <c r="HCV1451"/>
      <c r="HCW1451"/>
      <c r="HCX1451"/>
      <c r="HCY1451"/>
      <c r="HCZ1451"/>
      <c r="HDA1451"/>
      <c r="HDB1451"/>
      <c r="HDC1451"/>
      <c r="HDD1451"/>
      <c r="HDE1451"/>
      <c r="HDF1451"/>
      <c r="HDG1451"/>
      <c r="HDH1451"/>
      <c r="HDI1451"/>
      <c r="HDJ1451"/>
      <c r="HDK1451"/>
      <c r="HDL1451"/>
      <c r="HDM1451"/>
      <c r="HDN1451"/>
      <c r="HDO1451"/>
      <c r="HDP1451"/>
      <c r="HDQ1451"/>
      <c r="HDR1451"/>
      <c r="HDS1451"/>
      <c r="HDT1451"/>
      <c r="HDU1451"/>
      <c r="HDV1451"/>
      <c r="HDW1451"/>
      <c r="HDX1451"/>
      <c r="HDY1451"/>
      <c r="HDZ1451"/>
      <c r="HEA1451"/>
      <c r="HEB1451"/>
      <c r="HEC1451"/>
      <c r="HED1451"/>
      <c r="HEE1451"/>
      <c r="HEF1451"/>
      <c r="HEG1451"/>
      <c r="HEH1451"/>
      <c r="HEI1451"/>
      <c r="HEJ1451"/>
      <c r="HEK1451"/>
      <c r="HEL1451"/>
      <c r="HEM1451"/>
      <c r="HEN1451"/>
      <c r="HEO1451"/>
      <c r="HEP1451"/>
      <c r="HEQ1451"/>
      <c r="HER1451"/>
      <c r="HES1451"/>
      <c r="HET1451"/>
      <c r="HEU1451"/>
      <c r="HEV1451"/>
      <c r="HEW1451"/>
      <c r="HEX1451"/>
      <c r="HEY1451"/>
      <c r="HEZ1451"/>
      <c r="HFA1451"/>
      <c r="HFB1451"/>
      <c r="HFC1451"/>
      <c r="HFD1451"/>
      <c r="HFE1451"/>
      <c r="HFF1451"/>
      <c r="HFG1451"/>
      <c r="HFH1451"/>
      <c r="HFI1451"/>
      <c r="HFJ1451"/>
      <c r="HFK1451"/>
      <c r="HFL1451"/>
      <c r="HFM1451"/>
      <c r="HFN1451"/>
      <c r="HFO1451"/>
      <c r="HFP1451"/>
      <c r="HFQ1451"/>
      <c r="HFR1451"/>
      <c r="HFS1451"/>
      <c r="HFT1451"/>
      <c r="HFU1451"/>
      <c r="HFV1451"/>
      <c r="HFW1451"/>
      <c r="HFX1451"/>
      <c r="HFY1451"/>
      <c r="HFZ1451"/>
      <c r="HGA1451"/>
      <c r="HGB1451"/>
      <c r="HGC1451"/>
      <c r="HGD1451"/>
      <c r="HGE1451"/>
      <c r="HGF1451"/>
      <c r="HGG1451"/>
      <c r="HGH1451"/>
      <c r="HGI1451"/>
      <c r="HGJ1451"/>
      <c r="HGK1451"/>
      <c r="HGL1451"/>
      <c r="HGM1451"/>
      <c r="HGN1451"/>
      <c r="HGO1451"/>
      <c r="HGP1451"/>
      <c r="HGQ1451"/>
      <c r="HGR1451"/>
      <c r="HGS1451"/>
      <c r="HGT1451"/>
      <c r="HGU1451"/>
      <c r="HGV1451"/>
      <c r="HGW1451"/>
      <c r="HGX1451"/>
      <c r="HGY1451"/>
      <c r="HGZ1451"/>
      <c r="HHA1451"/>
      <c r="HHB1451"/>
      <c r="HHC1451"/>
      <c r="HHD1451"/>
      <c r="HHE1451"/>
      <c r="HHF1451"/>
      <c r="HHG1451"/>
      <c r="HHH1451"/>
      <c r="HHI1451"/>
      <c r="HHJ1451"/>
      <c r="HHK1451"/>
      <c r="HHL1451"/>
      <c r="HHM1451"/>
      <c r="HHN1451"/>
      <c r="HHO1451"/>
      <c r="HHP1451"/>
      <c r="HHQ1451"/>
      <c r="HHR1451"/>
      <c r="HHS1451"/>
      <c r="HHT1451"/>
      <c r="HHU1451"/>
      <c r="HHV1451"/>
      <c r="HHW1451"/>
      <c r="HHX1451"/>
      <c r="HHY1451"/>
      <c r="HHZ1451"/>
      <c r="HIA1451"/>
      <c r="HIB1451"/>
      <c r="HIC1451"/>
      <c r="HID1451"/>
      <c r="HIE1451"/>
      <c r="HIF1451"/>
      <c r="HIG1451"/>
      <c r="HIH1451"/>
      <c r="HII1451"/>
      <c r="HIJ1451"/>
      <c r="HIK1451"/>
      <c r="HIL1451"/>
      <c r="HIM1451"/>
      <c r="HIN1451"/>
      <c r="HIO1451"/>
      <c r="HIP1451"/>
      <c r="HIQ1451"/>
      <c r="HIR1451"/>
      <c r="HIS1451"/>
      <c r="HIT1451"/>
      <c r="HIU1451"/>
      <c r="HIV1451"/>
      <c r="HIW1451"/>
      <c r="HIX1451"/>
      <c r="HIY1451"/>
      <c r="HIZ1451"/>
      <c r="HJA1451"/>
      <c r="HJB1451"/>
      <c r="HJC1451"/>
      <c r="HJD1451"/>
      <c r="HJE1451"/>
      <c r="HJF1451"/>
      <c r="HJG1451"/>
      <c r="HJH1451"/>
      <c r="HJI1451"/>
      <c r="HJJ1451"/>
      <c r="HJK1451"/>
      <c r="HJL1451"/>
      <c r="HJM1451"/>
      <c r="HJN1451"/>
      <c r="HJO1451"/>
      <c r="HJP1451"/>
      <c r="HJQ1451"/>
      <c r="HJR1451"/>
      <c r="HJS1451"/>
      <c r="HJT1451"/>
      <c r="HJU1451"/>
      <c r="HJV1451"/>
      <c r="HJW1451"/>
      <c r="HJX1451"/>
      <c r="HJY1451"/>
      <c r="HJZ1451"/>
      <c r="HKA1451"/>
      <c r="HKB1451"/>
      <c r="HKC1451"/>
      <c r="HKD1451"/>
      <c r="HKE1451"/>
      <c r="HKF1451"/>
      <c r="HKG1451"/>
      <c r="HKH1451"/>
      <c r="HKI1451"/>
      <c r="HKJ1451"/>
      <c r="HKK1451"/>
      <c r="HKL1451"/>
      <c r="HKM1451"/>
      <c r="HKN1451"/>
      <c r="HKO1451"/>
      <c r="HKP1451"/>
      <c r="HKQ1451"/>
      <c r="HKR1451"/>
      <c r="HKS1451"/>
      <c r="HKT1451"/>
      <c r="HKU1451"/>
      <c r="HKV1451"/>
      <c r="HKW1451"/>
      <c r="HKX1451"/>
      <c r="HKY1451"/>
      <c r="HKZ1451"/>
      <c r="HLA1451"/>
      <c r="HLB1451"/>
      <c r="HLC1451"/>
      <c r="HLD1451"/>
      <c r="HLE1451"/>
      <c r="HLF1451"/>
      <c r="HLG1451"/>
      <c r="HLH1451"/>
      <c r="HLI1451"/>
      <c r="HLJ1451"/>
      <c r="HLK1451"/>
      <c r="HLL1451"/>
      <c r="HLM1451"/>
      <c r="HLN1451"/>
      <c r="HLO1451"/>
      <c r="HLP1451"/>
      <c r="HLQ1451"/>
      <c r="HLR1451"/>
      <c r="HLS1451"/>
      <c r="HLT1451"/>
      <c r="HLU1451"/>
      <c r="HLV1451"/>
      <c r="HLW1451"/>
      <c r="HLX1451"/>
      <c r="HLY1451"/>
      <c r="HLZ1451"/>
      <c r="HMA1451"/>
      <c r="HMB1451"/>
      <c r="HMC1451"/>
      <c r="HMD1451"/>
      <c r="HME1451"/>
      <c r="HMF1451"/>
      <c r="HMG1451"/>
      <c r="HMH1451"/>
      <c r="HMI1451"/>
      <c r="HMJ1451"/>
      <c r="HMK1451"/>
      <c r="HML1451"/>
      <c r="HMM1451"/>
      <c r="HMN1451"/>
      <c r="HMO1451"/>
      <c r="HMP1451"/>
      <c r="HMQ1451"/>
      <c r="HMR1451"/>
      <c r="HMS1451"/>
      <c r="HMT1451"/>
      <c r="HMU1451"/>
      <c r="HMV1451"/>
      <c r="HMW1451"/>
      <c r="HMX1451"/>
      <c r="HMY1451"/>
      <c r="HMZ1451"/>
      <c r="HNA1451"/>
      <c r="HNB1451"/>
      <c r="HNC1451"/>
      <c r="HND1451"/>
      <c r="HNE1451"/>
      <c r="HNF1451"/>
      <c r="HNG1451"/>
      <c r="HNH1451"/>
      <c r="HNI1451"/>
      <c r="HNJ1451"/>
      <c r="HNK1451"/>
      <c r="HNL1451"/>
      <c r="HNM1451"/>
      <c r="HNN1451"/>
      <c r="HNO1451"/>
      <c r="HNP1451"/>
      <c r="HNQ1451"/>
      <c r="HNR1451"/>
      <c r="HNS1451"/>
      <c r="HNT1451"/>
      <c r="HNU1451"/>
      <c r="HNV1451"/>
      <c r="HNW1451"/>
      <c r="HNX1451"/>
      <c r="HNY1451"/>
      <c r="HNZ1451"/>
      <c r="HOA1451"/>
      <c r="HOB1451"/>
      <c r="HOC1451"/>
      <c r="HOD1451"/>
      <c r="HOE1451"/>
      <c r="HOF1451"/>
      <c r="HOG1451"/>
      <c r="HOH1451"/>
      <c r="HOI1451"/>
      <c r="HOJ1451"/>
      <c r="HOK1451"/>
      <c r="HOL1451"/>
      <c r="HOM1451"/>
      <c r="HON1451"/>
      <c r="HOO1451"/>
      <c r="HOP1451"/>
      <c r="HOQ1451"/>
      <c r="HOR1451"/>
      <c r="HOS1451"/>
      <c r="HOT1451"/>
      <c r="HOU1451"/>
      <c r="HOV1451"/>
      <c r="HOW1451"/>
      <c r="HOX1451"/>
      <c r="HOY1451"/>
      <c r="HOZ1451"/>
      <c r="HPA1451"/>
      <c r="HPB1451"/>
      <c r="HPC1451"/>
      <c r="HPD1451"/>
      <c r="HPE1451"/>
      <c r="HPF1451"/>
      <c r="HPG1451"/>
      <c r="HPH1451"/>
      <c r="HPI1451"/>
      <c r="HPJ1451"/>
      <c r="HPK1451"/>
      <c r="HPL1451"/>
      <c r="HPM1451"/>
      <c r="HPN1451"/>
      <c r="HPO1451"/>
      <c r="HPP1451"/>
      <c r="HPQ1451"/>
      <c r="HPR1451"/>
      <c r="HPS1451"/>
      <c r="HPT1451"/>
      <c r="HPU1451"/>
      <c r="HPV1451"/>
      <c r="HPW1451"/>
      <c r="HPX1451"/>
      <c r="HPY1451"/>
      <c r="HPZ1451"/>
      <c r="HQA1451"/>
      <c r="HQB1451"/>
      <c r="HQC1451"/>
      <c r="HQD1451"/>
      <c r="HQE1451"/>
      <c r="HQF1451"/>
      <c r="HQG1451"/>
      <c r="HQH1451"/>
      <c r="HQI1451"/>
      <c r="HQJ1451"/>
      <c r="HQK1451"/>
      <c r="HQL1451"/>
      <c r="HQM1451"/>
      <c r="HQN1451"/>
      <c r="HQO1451"/>
      <c r="HQP1451"/>
      <c r="HQQ1451"/>
      <c r="HQR1451"/>
      <c r="HQS1451"/>
      <c r="HQT1451"/>
      <c r="HQU1451"/>
      <c r="HQV1451"/>
      <c r="HQW1451"/>
      <c r="HQX1451"/>
      <c r="HQY1451"/>
      <c r="HQZ1451"/>
      <c r="HRA1451"/>
      <c r="HRB1451"/>
      <c r="HRC1451"/>
      <c r="HRD1451"/>
      <c r="HRE1451"/>
      <c r="HRF1451"/>
      <c r="HRG1451"/>
      <c r="HRH1451"/>
      <c r="HRI1451"/>
      <c r="HRJ1451"/>
      <c r="HRK1451"/>
      <c r="HRL1451"/>
      <c r="HRM1451"/>
      <c r="HRN1451"/>
      <c r="HRO1451"/>
      <c r="HRP1451"/>
      <c r="HRQ1451"/>
      <c r="HRR1451"/>
      <c r="HRS1451"/>
      <c r="HRT1451"/>
      <c r="HRU1451"/>
      <c r="HRV1451"/>
      <c r="HRW1451"/>
      <c r="HRX1451"/>
      <c r="HRY1451"/>
      <c r="HRZ1451"/>
      <c r="HSA1451"/>
      <c r="HSB1451"/>
      <c r="HSC1451"/>
      <c r="HSD1451"/>
      <c r="HSE1451"/>
      <c r="HSF1451"/>
      <c r="HSG1451"/>
      <c r="HSH1451"/>
      <c r="HSI1451"/>
      <c r="HSJ1451"/>
      <c r="HSK1451"/>
      <c r="HSL1451"/>
      <c r="HSM1451"/>
      <c r="HSN1451"/>
      <c r="HSO1451"/>
      <c r="HSP1451"/>
      <c r="HSQ1451"/>
      <c r="HSR1451"/>
      <c r="HSS1451"/>
      <c r="HST1451"/>
      <c r="HSU1451"/>
      <c r="HSV1451"/>
      <c r="HSW1451"/>
      <c r="HSX1451"/>
      <c r="HSY1451"/>
      <c r="HSZ1451"/>
      <c r="HTA1451"/>
      <c r="HTB1451"/>
      <c r="HTC1451"/>
      <c r="HTD1451"/>
      <c r="HTE1451"/>
      <c r="HTF1451"/>
      <c r="HTG1451"/>
      <c r="HTH1451"/>
      <c r="HTI1451"/>
      <c r="HTJ1451"/>
      <c r="HTK1451"/>
      <c r="HTL1451"/>
      <c r="HTM1451"/>
      <c r="HTN1451"/>
      <c r="HTO1451"/>
      <c r="HTP1451"/>
      <c r="HTQ1451"/>
      <c r="HTR1451"/>
      <c r="HTS1451"/>
      <c r="HTT1451"/>
      <c r="HTU1451"/>
      <c r="HTV1451"/>
      <c r="HTW1451"/>
      <c r="HTX1451"/>
      <c r="HTY1451"/>
      <c r="HTZ1451"/>
      <c r="HUA1451"/>
      <c r="HUB1451"/>
      <c r="HUC1451"/>
      <c r="HUD1451"/>
      <c r="HUE1451"/>
      <c r="HUF1451"/>
      <c r="HUG1451"/>
      <c r="HUH1451"/>
      <c r="HUI1451"/>
      <c r="HUJ1451"/>
      <c r="HUK1451"/>
      <c r="HUL1451"/>
      <c r="HUM1451"/>
      <c r="HUN1451"/>
      <c r="HUO1451"/>
      <c r="HUP1451"/>
      <c r="HUQ1451"/>
      <c r="HUR1451"/>
      <c r="HUS1451"/>
      <c r="HUT1451"/>
      <c r="HUU1451"/>
      <c r="HUV1451"/>
      <c r="HUW1451"/>
      <c r="HUX1451"/>
      <c r="HUY1451"/>
      <c r="HUZ1451"/>
      <c r="HVA1451"/>
      <c r="HVB1451"/>
      <c r="HVC1451"/>
      <c r="HVD1451"/>
      <c r="HVE1451"/>
      <c r="HVF1451"/>
      <c r="HVG1451"/>
      <c r="HVH1451"/>
      <c r="HVI1451"/>
      <c r="HVJ1451"/>
      <c r="HVK1451"/>
      <c r="HVL1451"/>
      <c r="HVM1451"/>
      <c r="HVN1451"/>
      <c r="HVO1451"/>
      <c r="HVP1451"/>
      <c r="HVQ1451"/>
      <c r="HVR1451"/>
      <c r="HVS1451"/>
      <c r="HVT1451"/>
      <c r="HVU1451"/>
      <c r="HVV1451"/>
      <c r="HVW1451"/>
      <c r="HVX1451"/>
      <c r="HVY1451"/>
      <c r="HVZ1451"/>
      <c r="HWA1451"/>
      <c r="HWB1451"/>
      <c r="HWC1451"/>
      <c r="HWD1451"/>
      <c r="HWE1451"/>
      <c r="HWF1451"/>
      <c r="HWG1451"/>
      <c r="HWH1451"/>
      <c r="HWI1451"/>
      <c r="HWJ1451"/>
      <c r="HWK1451"/>
      <c r="HWL1451"/>
      <c r="HWM1451"/>
      <c r="HWN1451"/>
      <c r="HWO1451"/>
      <c r="HWP1451"/>
      <c r="HWQ1451"/>
      <c r="HWR1451"/>
      <c r="HWS1451"/>
      <c r="HWT1451"/>
      <c r="HWU1451"/>
      <c r="HWV1451"/>
      <c r="HWW1451"/>
      <c r="HWX1451"/>
      <c r="HWY1451"/>
      <c r="HWZ1451"/>
      <c r="HXA1451"/>
      <c r="HXB1451"/>
      <c r="HXC1451"/>
      <c r="HXD1451"/>
      <c r="HXE1451"/>
      <c r="HXF1451"/>
      <c r="HXG1451"/>
      <c r="HXH1451"/>
      <c r="HXI1451"/>
      <c r="HXJ1451"/>
      <c r="HXK1451"/>
      <c r="HXL1451"/>
      <c r="HXM1451"/>
      <c r="HXN1451"/>
      <c r="HXO1451"/>
      <c r="HXP1451"/>
      <c r="HXQ1451"/>
      <c r="HXR1451"/>
      <c r="HXS1451"/>
      <c r="HXT1451"/>
      <c r="HXU1451"/>
      <c r="HXV1451"/>
      <c r="HXW1451"/>
      <c r="HXX1451"/>
      <c r="HXY1451"/>
      <c r="HXZ1451"/>
      <c r="HYA1451"/>
      <c r="HYB1451"/>
      <c r="HYC1451"/>
      <c r="HYD1451"/>
      <c r="HYE1451"/>
      <c r="HYF1451"/>
      <c r="HYG1451"/>
      <c r="HYH1451"/>
      <c r="HYI1451"/>
      <c r="HYJ1451"/>
      <c r="HYK1451"/>
      <c r="HYL1451"/>
      <c r="HYM1451"/>
      <c r="HYN1451"/>
      <c r="HYO1451"/>
      <c r="HYP1451"/>
      <c r="HYQ1451"/>
      <c r="HYR1451"/>
      <c r="HYS1451"/>
      <c r="HYT1451"/>
      <c r="HYU1451"/>
      <c r="HYV1451"/>
      <c r="HYW1451"/>
      <c r="HYX1451"/>
      <c r="HYY1451"/>
      <c r="HYZ1451"/>
      <c r="HZA1451"/>
      <c r="HZB1451"/>
      <c r="HZC1451"/>
      <c r="HZD1451"/>
      <c r="HZE1451"/>
      <c r="HZF1451"/>
      <c r="HZG1451"/>
      <c r="HZH1451"/>
      <c r="HZI1451"/>
      <c r="HZJ1451"/>
      <c r="HZK1451"/>
      <c r="HZL1451"/>
      <c r="HZM1451"/>
      <c r="HZN1451"/>
      <c r="HZO1451"/>
      <c r="HZP1451"/>
      <c r="HZQ1451"/>
      <c r="HZR1451"/>
      <c r="HZS1451"/>
      <c r="HZT1451"/>
      <c r="HZU1451"/>
      <c r="HZV1451"/>
      <c r="HZW1451"/>
      <c r="HZX1451"/>
      <c r="HZY1451"/>
      <c r="HZZ1451"/>
      <c r="IAA1451"/>
      <c r="IAB1451"/>
      <c r="IAC1451"/>
      <c r="IAD1451"/>
      <c r="IAE1451"/>
      <c r="IAF1451"/>
      <c r="IAG1451"/>
      <c r="IAH1451"/>
      <c r="IAI1451"/>
      <c r="IAJ1451"/>
      <c r="IAK1451"/>
      <c r="IAL1451"/>
      <c r="IAM1451"/>
      <c r="IAN1451"/>
      <c r="IAO1451"/>
      <c r="IAP1451"/>
      <c r="IAQ1451"/>
      <c r="IAR1451"/>
      <c r="IAS1451"/>
      <c r="IAT1451"/>
      <c r="IAU1451"/>
      <c r="IAV1451"/>
      <c r="IAW1451"/>
      <c r="IAX1451"/>
      <c r="IAY1451"/>
      <c r="IAZ1451"/>
      <c r="IBA1451"/>
      <c r="IBB1451"/>
      <c r="IBC1451"/>
      <c r="IBD1451"/>
      <c r="IBE1451"/>
      <c r="IBF1451"/>
      <c r="IBG1451"/>
      <c r="IBH1451"/>
      <c r="IBI1451"/>
      <c r="IBJ1451"/>
      <c r="IBK1451"/>
      <c r="IBL1451"/>
      <c r="IBM1451"/>
      <c r="IBN1451"/>
      <c r="IBO1451"/>
      <c r="IBP1451"/>
      <c r="IBQ1451"/>
      <c r="IBR1451"/>
      <c r="IBS1451"/>
      <c r="IBT1451"/>
      <c r="IBU1451"/>
      <c r="IBV1451"/>
      <c r="IBW1451"/>
      <c r="IBX1451"/>
      <c r="IBY1451"/>
      <c r="IBZ1451"/>
      <c r="ICA1451"/>
      <c r="ICB1451"/>
      <c r="ICC1451"/>
      <c r="ICD1451"/>
      <c r="ICE1451"/>
      <c r="ICF1451"/>
      <c r="ICG1451"/>
      <c r="ICH1451"/>
      <c r="ICI1451"/>
      <c r="ICJ1451"/>
      <c r="ICK1451"/>
      <c r="ICL1451"/>
      <c r="ICM1451"/>
      <c r="ICN1451"/>
      <c r="ICO1451"/>
      <c r="ICP1451"/>
      <c r="ICQ1451"/>
      <c r="ICR1451"/>
      <c r="ICS1451"/>
      <c r="ICT1451"/>
      <c r="ICU1451"/>
      <c r="ICV1451"/>
      <c r="ICW1451"/>
      <c r="ICX1451"/>
      <c r="ICY1451"/>
      <c r="ICZ1451"/>
      <c r="IDA1451"/>
      <c r="IDB1451"/>
      <c r="IDC1451"/>
      <c r="IDD1451"/>
      <c r="IDE1451"/>
      <c r="IDF1451"/>
      <c r="IDG1451"/>
      <c r="IDH1451"/>
      <c r="IDI1451"/>
      <c r="IDJ1451"/>
      <c r="IDK1451"/>
      <c r="IDL1451"/>
      <c r="IDM1451"/>
      <c r="IDN1451"/>
      <c r="IDO1451"/>
      <c r="IDP1451"/>
      <c r="IDQ1451"/>
      <c r="IDR1451"/>
      <c r="IDS1451"/>
      <c r="IDT1451"/>
      <c r="IDU1451"/>
      <c r="IDV1451"/>
      <c r="IDW1451"/>
      <c r="IDX1451"/>
      <c r="IDY1451"/>
      <c r="IDZ1451"/>
      <c r="IEA1451"/>
      <c r="IEB1451"/>
      <c r="IEC1451"/>
      <c r="IED1451"/>
      <c r="IEE1451"/>
      <c r="IEF1451"/>
      <c r="IEG1451"/>
      <c r="IEH1451"/>
      <c r="IEI1451"/>
      <c r="IEJ1451"/>
      <c r="IEK1451"/>
      <c r="IEL1451"/>
      <c r="IEM1451"/>
      <c r="IEN1451"/>
      <c r="IEO1451"/>
      <c r="IEP1451"/>
      <c r="IEQ1451"/>
      <c r="IER1451"/>
      <c r="IES1451"/>
      <c r="IET1451"/>
      <c r="IEU1451"/>
      <c r="IEV1451"/>
      <c r="IEW1451"/>
      <c r="IEX1451"/>
      <c r="IEY1451"/>
      <c r="IEZ1451"/>
      <c r="IFA1451"/>
      <c r="IFB1451"/>
      <c r="IFC1451"/>
      <c r="IFD1451"/>
      <c r="IFE1451"/>
      <c r="IFF1451"/>
      <c r="IFG1451"/>
      <c r="IFH1451"/>
      <c r="IFI1451"/>
      <c r="IFJ1451"/>
      <c r="IFK1451"/>
      <c r="IFL1451"/>
      <c r="IFM1451"/>
      <c r="IFN1451"/>
      <c r="IFO1451"/>
      <c r="IFP1451"/>
      <c r="IFQ1451"/>
      <c r="IFR1451"/>
      <c r="IFS1451"/>
      <c r="IFT1451"/>
      <c r="IFU1451"/>
      <c r="IFV1451"/>
      <c r="IFW1451"/>
      <c r="IFX1451"/>
      <c r="IFY1451"/>
      <c r="IFZ1451"/>
      <c r="IGA1451"/>
      <c r="IGB1451"/>
      <c r="IGC1451"/>
      <c r="IGD1451"/>
      <c r="IGE1451"/>
      <c r="IGF1451"/>
      <c r="IGG1451"/>
      <c r="IGH1451"/>
      <c r="IGI1451"/>
      <c r="IGJ1451"/>
      <c r="IGK1451"/>
      <c r="IGL1451"/>
      <c r="IGM1451"/>
      <c r="IGN1451"/>
      <c r="IGO1451"/>
      <c r="IGP1451"/>
      <c r="IGQ1451"/>
      <c r="IGR1451"/>
      <c r="IGS1451"/>
      <c r="IGT1451"/>
      <c r="IGU1451"/>
      <c r="IGV1451"/>
      <c r="IGW1451"/>
      <c r="IGX1451"/>
      <c r="IGY1451"/>
      <c r="IGZ1451"/>
      <c r="IHA1451"/>
      <c r="IHB1451"/>
      <c r="IHC1451"/>
      <c r="IHD1451"/>
      <c r="IHE1451"/>
      <c r="IHF1451"/>
      <c r="IHG1451"/>
      <c r="IHH1451"/>
      <c r="IHI1451"/>
      <c r="IHJ1451"/>
      <c r="IHK1451"/>
      <c r="IHL1451"/>
      <c r="IHM1451"/>
      <c r="IHN1451"/>
      <c r="IHO1451"/>
      <c r="IHP1451"/>
      <c r="IHQ1451"/>
      <c r="IHR1451"/>
      <c r="IHS1451"/>
      <c r="IHT1451"/>
      <c r="IHU1451"/>
      <c r="IHV1451"/>
      <c r="IHW1451"/>
      <c r="IHX1451"/>
      <c r="IHY1451"/>
      <c r="IHZ1451"/>
      <c r="IIA1451"/>
      <c r="IIB1451"/>
      <c r="IIC1451"/>
      <c r="IID1451"/>
      <c r="IIE1451"/>
      <c r="IIF1451"/>
      <c r="IIG1451"/>
      <c r="IIH1451"/>
      <c r="III1451"/>
      <c r="IIJ1451"/>
      <c r="IIK1451"/>
      <c r="IIL1451"/>
      <c r="IIM1451"/>
      <c r="IIN1451"/>
      <c r="IIO1451"/>
      <c r="IIP1451"/>
      <c r="IIQ1451"/>
      <c r="IIR1451"/>
      <c r="IIS1451"/>
      <c r="IIT1451"/>
      <c r="IIU1451"/>
      <c r="IIV1451"/>
      <c r="IIW1451"/>
      <c r="IIX1451"/>
      <c r="IIY1451"/>
      <c r="IIZ1451"/>
      <c r="IJA1451"/>
      <c r="IJB1451"/>
      <c r="IJC1451"/>
      <c r="IJD1451"/>
      <c r="IJE1451"/>
      <c r="IJF1451"/>
      <c r="IJG1451"/>
      <c r="IJH1451"/>
      <c r="IJI1451"/>
      <c r="IJJ1451"/>
      <c r="IJK1451"/>
      <c r="IJL1451"/>
      <c r="IJM1451"/>
      <c r="IJN1451"/>
      <c r="IJO1451"/>
      <c r="IJP1451"/>
      <c r="IJQ1451"/>
      <c r="IJR1451"/>
      <c r="IJS1451"/>
      <c r="IJT1451"/>
      <c r="IJU1451"/>
      <c r="IJV1451"/>
      <c r="IJW1451"/>
      <c r="IJX1451"/>
      <c r="IJY1451"/>
      <c r="IJZ1451"/>
      <c r="IKA1451"/>
      <c r="IKB1451"/>
      <c r="IKC1451"/>
      <c r="IKD1451"/>
      <c r="IKE1451"/>
      <c r="IKF1451"/>
      <c r="IKG1451"/>
      <c r="IKH1451"/>
      <c r="IKI1451"/>
      <c r="IKJ1451"/>
      <c r="IKK1451"/>
      <c r="IKL1451"/>
      <c r="IKM1451"/>
      <c r="IKN1451"/>
      <c r="IKO1451"/>
      <c r="IKP1451"/>
      <c r="IKQ1451"/>
      <c r="IKR1451"/>
      <c r="IKS1451"/>
      <c r="IKT1451"/>
      <c r="IKU1451"/>
      <c r="IKV1451"/>
      <c r="IKW1451"/>
      <c r="IKX1451"/>
      <c r="IKY1451"/>
      <c r="IKZ1451"/>
      <c r="ILA1451"/>
      <c r="ILB1451"/>
      <c r="ILC1451"/>
      <c r="ILD1451"/>
      <c r="ILE1451"/>
      <c r="ILF1451"/>
      <c r="ILG1451"/>
      <c r="ILH1451"/>
      <c r="ILI1451"/>
      <c r="ILJ1451"/>
      <c r="ILK1451"/>
      <c r="ILL1451"/>
      <c r="ILM1451"/>
      <c r="ILN1451"/>
      <c r="ILO1451"/>
      <c r="ILP1451"/>
      <c r="ILQ1451"/>
      <c r="ILR1451"/>
      <c r="ILS1451"/>
      <c r="ILT1451"/>
      <c r="ILU1451"/>
      <c r="ILV1451"/>
      <c r="ILW1451"/>
      <c r="ILX1451"/>
      <c r="ILY1451"/>
      <c r="ILZ1451"/>
      <c r="IMA1451"/>
      <c r="IMB1451"/>
      <c r="IMC1451"/>
      <c r="IMD1451"/>
      <c r="IME1451"/>
      <c r="IMF1451"/>
      <c r="IMG1451"/>
      <c r="IMH1451"/>
      <c r="IMI1451"/>
      <c r="IMJ1451"/>
      <c r="IMK1451"/>
      <c r="IML1451"/>
      <c r="IMM1451"/>
      <c r="IMN1451"/>
      <c r="IMO1451"/>
      <c r="IMP1451"/>
      <c r="IMQ1451"/>
      <c r="IMR1451"/>
      <c r="IMS1451"/>
      <c r="IMT1451"/>
      <c r="IMU1451"/>
      <c r="IMV1451"/>
      <c r="IMW1451"/>
      <c r="IMX1451"/>
      <c r="IMY1451"/>
      <c r="IMZ1451"/>
      <c r="INA1451"/>
      <c r="INB1451"/>
      <c r="INC1451"/>
      <c r="IND1451"/>
      <c r="INE1451"/>
      <c r="INF1451"/>
      <c r="ING1451"/>
      <c r="INH1451"/>
      <c r="INI1451"/>
      <c r="INJ1451"/>
      <c r="INK1451"/>
      <c r="INL1451"/>
      <c r="INM1451"/>
      <c r="INN1451"/>
      <c r="INO1451"/>
      <c r="INP1451"/>
      <c r="INQ1451"/>
      <c r="INR1451"/>
      <c r="INS1451"/>
      <c r="INT1451"/>
      <c r="INU1451"/>
      <c r="INV1451"/>
      <c r="INW1451"/>
      <c r="INX1451"/>
      <c r="INY1451"/>
      <c r="INZ1451"/>
      <c r="IOA1451"/>
      <c r="IOB1451"/>
      <c r="IOC1451"/>
      <c r="IOD1451"/>
      <c r="IOE1451"/>
      <c r="IOF1451"/>
      <c r="IOG1451"/>
      <c r="IOH1451"/>
      <c r="IOI1451"/>
      <c r="IOJ1451"/>
      <c r="IOK1451"/>
      <c r="IOL1451"/>
      <c r="IOM1451"/>
      <c r="ION1451"/>
      <c r="IOO1451"/>
      <c r="IOP1451"/>
      <c r="IOQ1451"/>
      <c r="IOR1451"/>
      <c r="IOS1451"/>
      <c r="IOT1451"/>
      <c r="IOU1451"/>
      <c r="IOV1451"/>
      <c r="IOW1451"/>
      <c r="IOX1451"/>
      <c r="IOY1451"/>
      <c r="IOZ1451"/>
      <c r="IPA1451"/>
      <c r="IPB1451"/>
      <c r="IPC1451"/>
      <c r="IPD1451"/>
      <c r="IPE1451"/>
      <c r="IPF1451"/>
      <c r="IPG1451"/>
      <c r="IPH1451"/>
      <c r="IPI1451"/>
      <c r="IPJ1451"/>
      <c r="IPK1451"/>
      <c r="IPL1451"/>
      <c r="IPM1451"/>
      <c r="IPN1451"/>
      <c r="IPO1451"/>
      <c r="IPP1451"/>
      <c r="IPQ1451"/>
      <c r="IPR1451"/>
      <c r="IPS1451"/>
      <c r="IPT1451"/>
      <c r="IPU1451"/>
      <c r="IPV1451"/>
      <c r="IPW1451"/>
      <c r="IPX1451"/>
      <c r="IPY1451"/>
      <c r="IPZ1451"/>
      <c r="IQA1451"/>
      <c r="IQB1451"/>
      <c r="IQC1451"/>
      <c r="IQD1451"/>
      <c r="IQE1451"/>
      <c r="IQF1451"/>
      <c r="IQG1451"/>
      <c r="IQH1451"/>
      <c r="IQI1451"/>
      <c r="IQJ1451"/>
      <c r="IQK1451"/>
      <c r="IQL1451"/>
      <c r="IQM1451"/>
      <c r="IQN1451"/>
      <c r="IQO1451"/>
      <c r="IQP1451"/>
      <c r="IQQ1451"/>
      <c r="IQR1451"/>
      <c r="IQS1451"/>
      <c r="IQT1451"/>
      <c r="IQU1451"/>
      <c r="IQV1451"/>
      <c r="IQW1451"/>
      <c r="IQX1451"/>
      <c r="IQY1451"/>
      <c r="IQZ1451"/>
      <c r="IRA1451"/>
      <c r="IRB1451"/>
      <c r="IRC1451"/>
      <c r="IRD1451"/>
      <c r="IRE1451"/>
      <c r="IRF1451"/>
      <c r="IRG1451"/>
      <c r="IRH1451"/>
      <c r="IRI1451"/>
      <c r="IRJ1451"/>
      <c r="IRK1451"/>
      <c r="IRL1451"/>
      <c r="IRM1451"/>
      <c r="IRN1451"/>
      <c r="IRO1451"/>
      <c r="IRP1451"/>
      <c r="IRQ1451"/>
      <c r="IRR1451"/>
      <c r="IRS1451"/>
      <c r="IRT1451"/>
      <c r="IRU1451"/>
      <c r="IRV1451"/>
      <c r="IRW1451"/>
      <c r="IRX1451"/>
      <c r="IRY1451"/>
      <c r="IRZ1451"/>
      <c r="ISA1451"/>
      <c r="ISB1451"/>
      <c r="ISC1451"/>
      <c r="ISD1451"/>
      <c r="ISE1451"/>
      <c r="ISF1451"/>
      <c r="ISG1451"/>
      <c r="ISH1451"/>
      <c r="ISI1451"/>
      <c r="ISJ1451"/>
      <c r="ISK1451"/>
      <c r="ISL1451"/>
      <c r="ISM1451"/>
      <c r="ISN1451"/>
      <c r="ISO1451"/>
      <c r="ISP1451"/>
      <c r="ISQ1451"/>
      <c r="ISR1451"/>
      <c r="ISS1451"/>
      <c r="IST1451"/>
      <c r="ISU1451"/>
      <c r="ISV1451"/>
      <c r="ISW1451"/>
      <c r="ISX1451"/>
      <c r="ISY1451"/>
      <c r="ISZ1451"/>
      <c r="ITA1451"/>
      <c r="ITB1451"/>
      <c r="ITC1451"/>
      <c r="ITD1451"/>
      <c r="ITE1451"/>
      <c r="ITF1451"/>
      <c r="ITG1451"/>
      <c r="ITH1451"/>
      <c r="ITI1451"/>
      <c r="ITJ1451"/>
      <c r="ITK1451"/>
      <c r="ITL1451"/>
      <c r="ITM1451"/>
      <c r="ITN1451"/>
      <c r="ITO1451"/>
      <c r="ITP1451"/>
      <c r="ITQ1451"/>
      <c r="ITR1451"/>
      <c r="ITS1451"/>
      <c r="ITT1451"/>
      <c r="ITU1451"/>
      <c r="ITV1451"/>
      <c r="ITW1451"/>
      <c r="ITX1451"/>
      <c r="ITY1451"/>
      <c r="ITZ1451"/>
      <c r="IUA1451"/>
      <c r="IUB1451"/>
      <c r="IUC1451"/>
      <c r="IUD1451"/>
      <c r="IUE1451"/>
      <c r="IUF1451"/>
      <c r="IUG1451"/>
      <c r="IUH1451"/>
      <c r="IUI1451"/>
      <c r="IUJ1451"/>
      <c r="IUK1451"/>
      <c r="IUL1451"/>
      <c r="IUM1451"/>
      <c r="IUN1451"/>
      <c r="IUO1451"/>
      <c r="IUP1451"/>
      <c r="IUQ1451"/>
      <c r="IUR1451"/>
      <c r="IUS1451"/>
      <c r="IUT1451"/>
      <c r="IUU1451"/>
      <c r="IUV1451"/>
      <c r="IUW1451"/>
      <c r="IUX1451"/>
      <c r="IUY1451"/>
      <c r="IUZ1451"/>
      <c r="IVA1451"/>
      <c r="IVB1451"/>
      <c r="IVC1451"/>
      <c r="IVD1451"/>
      <c r="IVE1451"/>
      <c r="IVF1451"/>
      <c r="IVG1451"/>
      <c r="IVH1451"/>
      <c r="IVI1451"/>
      <c r="IVJ1451"/>
      <c r="IVK1451"/>
      <c r="IVL1451"/>
      <c r="IVM1451"/>
      <c r="IVN1451"/>
      <c r="IVO1451"/>
      <c r="IVP1451"/>
      <c r="IVQ1451"/>
      <c r="IVR1451"/>
      <c r="IVS1451"/>
      <c r="IVT1451"/>
      <c r="IVU1451"/>
      <c r="IVV1451"/>
      <c r="IVW1451"/>
      <c r="IVX1451"/>
      <c r="IVY1451"/>
      <c r="IVZ1451"/>
      <c r="IWA1451"/>
      <c r="IWB1451"/>
      <c r="IWC1451"/>
      <c r="IWD1451"/>
      <c r="IWE1451"/>
      <c r="IWF1451"/>
      <c r="IWG1451"/>
      <c r="IWH1451"/>
      <c r="IWI1451"/>
      <c r="IWJ1451"/>
      <c r="IWK1451"/>
      <c r="IWL1451"/>
      <c r="IWM1451"/>
      <c r="IWN1451"/>
      <c r="IWO1451"/>
      <c r="IWP1451"/>
      <c r="IWQ1451"/>
      <c r="IWR1451"/>
      <c r="IWS1451"/>
      <c r="IWT1451"/>
      <c r="IWU1451"/>
      <c r="IWV1451"/>
      <c r="IWW1451"/>
      <c r="IWX1451"/>
      <c r="IWY1451"/>
      <c r="IWZ1451"/>
      <c r="IXA1451"/>
      <c r="IXB1451"/>
      <c r="IXC1451"/>
      <c r="IXD1451"/>
      <c r="IXE1451"/>
      <c r="IXF1451"/>
      <c r="IXG1451"/>
      <c r="IXH1451"/>
      <c r="IXI1451"/>
      <c r="IXJ1451"/>
      <c r="IXK1451"/>
      <c r="IXL1451"/>
      <c r="IXM1451"/>
      <c r="IXN1451"/>
      <c r="IXO1451"/>
      <c r="IXP1451"/>
      <c r="IXQ1451"/>
      <c r="IXR1451"/>
      <c r="IXS1451"/>
      <c r="IXT1451"/>
      <c r="IXU1451"/>
      <c r="IXV1451"/>
      <c r="IXW1451"/>
      <c r="IXX1451"/>
      <c r="IXY1451"/>
      <c r="IXZ1451"/>
      <c r="IYA1451"/>
      <c r="IYB1451"/>
      <c r="IYC1451"/>
      <c r="IYD1451"/>
      <c r="IYE1451"/>
      <c r="IYF1451"/>
      <c r="IYG1451"/>
      <c r="IYH1451"/>
      <c r="IYI1451"/>
      <c r="IYJ1451"/>
      <c r="IYK1451"/>
      <c r="IYL1451"/>
      <c r="IYM1451"/>
      <c r="IYN1451"/>
      <c r="IYO1451"/>
      <c r="IYP1451"/>
      <c r="IYQ1451"/>
      <c r="IYR1451"/>
      <c r="IYS1451"/>
      <c r="IYT1451"/>
      <c r="IYU1451"/>
      <c r="IYV1451"/>
      <c r="IYW1451"/>
      <c r="IYX1451"/>
      <c r="IYY1451"/>
      <c r="IYZ1451"/>
      <c r="IZA1451"/>
      <c r="IZB1451"/>
      <c r="IZC1451"/>
      <c r="IZD1451"/>
      <c r="IZE1451"/>
      <c r="IZF1451"/>
      <c r="IZG1451"/>
      <c r="IZH1451"/>
      <c r="IZI1451"/>
      <c r="IZJ1451"/>
      <c r="IZK1451"/>
      <c r="IZL1451"/>
      <c r="IZM1451"/>
      <c r="IZN1451"/>
      <c r="IZO1451"/>
      <c r="IZP1451"/>
      <c r="IZQ1451"/>
      <c r="IZR1451"/>
      <c r="IZS1451"/>
      <c r="IZT1451"/>
      <c r="IZU1451"/>
      <c r="IZV1451"/>
      <c r="IZW1451"/>
      <c r="IZX1451"/>
      <c r="IZY1451"/>
      <c r="IZZ1451"/>
      <c r="JAA1451"/>
      <c r="JAB1451"/>
      <c r="JAC1451"/>
      <c r="JAD1451"/>
      <c r="JAE1451"/>
      <c r="JAF1451"/>
      <c r="JAG1451"/>
      <c r="JAH1451"/>
      <c r="JAI1451"/>
      <c r="JAJ1451"/>
      <c r="JAK1451"/>
      <c r="JAL1451"/>
      <c r="JAM1451"/>
      <c r="JAN1451"/>
      <c r="JAO1451"/>
      <c r="JAP1451"/>
      <c r="JAQ1451"/>
      <c r="JAR1451"/>
      <c r="JAS1451"/>
      <c r="JAT1451"/>
      <c r="JAU1451"/>
      <c r="JAV1451"/>
      <c r="JAW1451"/>
      <c r="JAX1451"/>
      <c r="JAY1451"/>
      <c r="JAZ1451"/>
      <c r="JBA1451"/>
      <c r="JBB1451"/>
      <c r="JBC1451"/>
      <c r="JBD1451"/>
      <c r="JBE1451"/>
      <c r="JBF1451"/>
      <c r="JBG1451"/>
      <c r="JBH1451"/>
      <c r="JBI1451"/>
      <c r="JBJ1451"/>
      <c r="JBK1451"/>
      <c r="JBL1451"/>
      <c r="JBM1451"/>
      <c r="JBN1451"/>
      <c r="JBO1451"/>
      <c r="JBP1451"/>
      <c r="JBQ1451"/>
      <c r="JBR1451"/>
      <c r="JBS1451"/>
      <c r="JBT1451"/>
      <c r="JBU1451"/>
      <c r="JBV1451"/>
      <c r="JBW1451"/>
      <c r="JBX1451"/>
      <c r="JBY1451"/>
      <c r="JBZ1451"/>
      <c r="JCA1451"/>
      <c r="JCB1451"/>
      <c r="JCC1451"/>
      <c r="JCD1451"/>
      <c r="JCE1451"/>
      <c r="JCF1451"/>
      <c r="JCG1451"/>
      <c r="JCH1451"/>
      <c r="JCI1451"/>
      <c r="JCJ1451"/>
      <c r="JCK1451"/>
      <c r="JCL1451"/>
      <c r="JCM1451"/>
      <c r="JCN1451"/>
      <c r="JCO1451"/>
      <c r="JCP1451"/>
      <c r="JCQ1451"/>
      <c r="JCR1451"/>
      <c r="JCS1451"/>
      <c r="JCT1451"/>
      <c r="JCU1451"/>
      <c r="JCV1451"/>
      <c r="JCW1451"/>
      <c r="JCX1451"/>
      <c r="JCY1451"/>
      <c r="JCZ1451"/>
      <c r="JDA1451"/>
      <c r="JDB1451"/>
      <c r="JDC1451"/>
      <c r="JDD1451"/>
      <c r="JDE1451"/>
      <c r="JDF1451"/>
      <c r="JDG1451"/>
      <c r="JDH1451"/>
      <c r="JDI1451"/>
      <c r="JDJ1451"/>
      <c r="JDK1451"/>
      <c r="JDL1451"/>
      <c r="JDM1451"/>
      <c r="JDN1451"/>
      <c r="JDO1451"/>
      <c r="JDP1451"/>
      <c r="JDQ1451"/>
      <c r="JDR1451"/>
      <c r="JDS1451"/>
      <c r="JDT1451"/>
      <c r="JDU1451"/>
      <c r="JDV1451"/>
      <c r="JDW1451"/>
      <c r="JDX1451"/>
      <c r="JDY1451"/>
      <c r="JDZ1451"/>
      <c r="JEA1451"/>
      <c r="JEB1451"/>
      <c r="JEC1451"/>
      <c r="JED1451"/>
      <c r="JEE1451"/>
      <c r="JEF1451"/>
      <c r="JEG1451"/>
      <c r="JEH1451"/>
      <c r="JEI1451"/>
      <c r="JEJ1451"/>
      <c r="JEK1451"/>
      <c r="JEL1451"/>
      <c r="JEM1451"/>
      <c r="JEN1451"/>
      <c r="JEO1451"/>
      <c r="JEP1451"/>
      <c r="JEQ1451"/>
      <c r="JER1451"/>
      <c r="JES1451"/>
      <c r="JET1451"/>
      <c r="JEU1451"/>
      <c r="JEV1451"/>
      <c r="JEW1451"/>
      <c r="JEX1451"/>
      <c r="JEY1451"/>
      <c r="JEZ1451"/>
      <c r="JFA1451"/>
      <c r="JFB1451"/>
      <c r="JFC1451"/>
      <c r="JFD1451"/>
      <c r="JFE1451"/>
      <c r="JFF1451"/>
      <c r="JFG1451"/>
      <c r="JFH1451"/>
      <c r="JFI1451"/>
      <c r="JFJ1451"/>
      <c r="JFK1451"/>
      <c r="JFL1451"/>
      <c r="JFM1451"/>
      <c r="JFN1451"/>
      <c r="JFO1451"/>
      <c r="JFP1451"/>
      <c r="JFQ1451"/>
      <c r="JFR1451"/>
      <c r="JFS1451"/>
      <c r="JFT1451"/>
      <c r="JFU1451"/>
      <c r="JFV1451"/>
      <c r="JFW1451"/>
      <c r="JFX1451"/>
      <c r="JFY1451"/>
      <c r="JFZ1451"/>
      <c r="JGA1451"/>
      <c r="JGB1451"/>
      <c r="JGC1451"/>
      <c r="JGD1451"/>
      <c r="JGE1451"/>
      <c r="JGF1451"/>
      <c r="JGG1451"/>
      <c r="JGH1451"/>
      <c r="JGI1451"/>
      <c r="JGJ1451"/>
      <c r="JGK1451"/>
      <c r="JGL1451"/>
      <c r="JGM1451"/>
      <c r="JGN1451"/>
      <c r="JGO1451"/>
      <c r="JGP1451"/>
      <c r="JGQ1451"/>
      <c r="JGR1451"/>
      <c r="JGS1451"/>
      <c r="JGT1451"/>
      <c r="JGU1451"/>
      <c r="JGV1451"/>
      <c r="JGW1451"/>
      <c r="JGX1451"/>
      <c r="JGY1451"/>
      <c r="JGZ1451"/>
      <c r="JHA1451"/>
      <c r="JHB1451"/>
      <c r="JHC1451"/>
      <c r="JHD1451"/>
      <c r="JHE1451"/>
      <c r="JHF1451"/>
      <c r="JHG1451"/>
      <c r="JHH1451"/>
      <c r="JHI1451"/>
      <c r="JHJ1451"/>
      <c r="JHK1451"/>
      <c r="JHL1451"/>
      <c r="JHM1451"/>
      <c r="JHN1451"/>
      <c r="JHO1451"/>
      <c r="JHP1451"/>
      <c r="JHQ1451"/>
      <c r="JHR1451"/>
      <c r="JHS1451"/>
      <c r="JHT1451"/>
      <c r="JHU1451"/>
      <c r="JHV1451"/>
      <c r="JHW1451"/>
      <c r="JHX1451"/>
      <c r="JHY1451"/>
      <c r="JHZ1451"/>
      <c r="JIA1451"/>
      <c r="JIB1451"/>
      <c r="JIC1451"/>
      <c r="JID1451"/>
      <c r="JIE1451"/>
      <c r="JIF1451"/>
      <c r="JIG1451"/>
      <c r="JIH1451"/>
      <c r="JII1451"/>
      <c r="JIJ1451"/>
      <c r="JIK1451"/>
      <c r="JIL1451"/>
      <c r="JIM1451"/>
      <c r="JIN1451"/>
      <c r="JIO1451"/>
      <c r="JIP1451"/>
      <c r="JIQ1451"/>
      <c r="JIR1451"/>
      <c r="JIS1451"/>
      <c r="JIT1451"/>
      <c r="JIU1451"/>
      <c r="JIV1451"/>
      <c r="JIW1451"/>
      <c r="JIX1451"/>
      <c r="JIY1451"/>
      <c r="JIZ1451"/>
      <c r="JJA1451"/>
      <c r="JJB1451"/>
      <c r="JJC1451"/>
      <c r="JJD1451"/>
      <c r="JJE1451"/>
      <c r="JJF1451"/>
      <c r="JJG1451"/>
      <c r="JJH1451"/>
      <c r="JJI1451"/>
      <c r="JJJ1451"/>
      <c r="JJK1451"/>
      <c r="JJL1451"/>
      <c r="JJM1451"/>
      <c r="JJN1451"/>
      <c r="JJO1451"/>
      <c r="JJP1451"/>
      <c r="JJQ1451"/>
      <c r="JJR1451"/>
      <c r="JJS1451"/>
      <c r="JJT1451"/>
      <c r="JJU1451"/>
      <c r="JJV1451"/>
      <c r="JJW1451"/>
      <c r="JJX1451"/>
      <c r="JJY1451"/>
      <c r="JJZ1451"/>
      <c r="JKA1451"/>
      <c r="JKB1451"/>
      <c r="JKC1451"/>
      <c r="JKD1451"/>
      <c r="JKE1451"/>
      <c r="JKF1451"/>
      <c r="JKG1451"/>
      <c r="JKH1451"/>
      <c r="JKI1451"/>
      <c r="JKJ1451"/>
      <c r="JKK1451"/>
      <c r="JKL1451"/>
      <c r="JKM1451"/>
      <c r="JKN1451"/>
      <c r="JKO1451"/>
      <c r="JKP1451"/>
      <c r="JKQ1451"/>
      <c r="JKR1451"/>
      <c r="JKS1451"/>
      <c r="JKT1451"/>
      <c r="JKU1451"/>
      <c r="JKV1451"/>
      <c r="JKW1451"/>
      <c r="JKX1451"/>
      <c r="JKY1451"/>
      <c r="JKZ1451"/>
      <c r="JLA1451"/>
      <c r="JLB1451"/>
      <c r="JLC1451"/>
      <c r="JLD1451"/>
      <c r="JLE1451"/>
      <c r="JLF1451"/>
      <c r="JLG1451"/>
      <c r="JLH1451"/>
      <c r="JLI1451"/>
      <c r="JLJ1451"/>
      <c r="JLK1451"/>
      <c r="JLL1451"/>
      <c r="JLM1451"/>
      <c r="JLN1451"/>
      <c r="JLO1451"/>
      <c r="JLP1451"/>
      <c r="JLQ1451"/>
      <c r="JLR1451"/>
      <c r="JLS1451"/>
      <c r="JLT1451"/>
      <c r="JLU1451"/>
      <c r="JLV1451"/>
      <c r="JLW1451"/>
      <c r="JLX1451"/>
      <c r="JLY1451"/>
      <c r="JLZ1451"/>
      <c r="JMA1451"/>
      <c r="JMB1451"/>
      <c r="JMC1451"/>
      <c r="JMD1451"/>
      <c r="JME1451"/>
      <c r="JMF1451"/>
      <c r="JMG1451"/>
      <c r="JMH1451"/>
      <c r="JMI1451"/>
      <c r="JMJ1451"/>
      <c r="JMK1451"/>
      <c r="JML1451"/>
      <c r="JMM1451"/>
      <c r="JMN1451"/>
      <c r="JMO1451"/>
      <c r="JMP1451"/>
      <c r="JMQ1451"/>
      <c r="JMR1451"/>
      <c r="JMS1451"/>
      <c r="JMT1451"/>
      <c r="JMU1451"/>
      <c r="JMV1451"/>
      <c r="JMW1451"/>
      <c r="JMX1451"/>
      <c r="JMY1451"/>
      <c r="JMZ1451"/>
      <c r="JNA1451"/>
      <c r="JNB1451"/>
      <c r="JNC1451"/>
      <c r="JND1451"/>
      <c r="JNE1451"/>
      <c r="JNF1451"/>
      <c r="JNG1451"/>
      <c r="JNH1451"/>
      <c r="JNI1451"/>
      <c r="JNJ1451"/>
      <c r="JNK1451"/>
      <c r="JNL1451"/>
      <c r="JNM1451"/>
      <c r="JNN1451"/>
      <c r="JNO1451"/>
      <c r="JNP1451"/>
      <c r="JNQ1451"/>
      <c r="JNR1451"/>
      <c r="JNS1451"/>
      <c r="JNT1451"/>
      <c r="JNU1451"/>
      <c r="JNV1451"/>
      <c r="JNW1451"/>
      <c r="JNX1451"/>
      <c r="JNY1451"/>
      <c r="JNZ1451"/>
      <c r="JOA1451"/>
      <c r="JOB1451"/>
      <c r="JOC1451"/>
      <c r="JOD1451"/>
      <c r="JOE1451"/>
      <c r="JOF1451"/>
      <c r="JOG1451"/>
      <c r="JOH1451"/>
      <c r="JOI1451"/>
      <c r="JOJ1451"/>
      <c r="JOK1451"/>
      <c r="JOL1451"/>
      <c r="JOM1451"/>
      <c r="JON1451"/>
      <c r="JOO1451"/>
      <c r="JOP1451"/>
      <c r="JOQ1451"/>
      <c r="JOR1451"/>
      <c r="JOS1451"/>
      <c r="JOT1451"/>
      <c r="JOU1451"/>
      <c r="JOV1451"/>
      <c r="JOW1451"/>
      <c r="JOX1451"/>
      <c r="JOY1451"/>
      <c r="JOZ1451"/>
      <c r="JPA1451"/>
      <c r="JPB1451"/>
      <c r="JPC1451"/>
      <c r="JPD1451"/>
      <c r="JPE1451"/>
      <c r="JPF1451"/>
      <c r="JPG1451"/>
      <c r="JPH1451"/>
      <c r="JPI1451"/>
      <c r="JPJ1451"/>
      <c r="JPK1451"/>
      <c r="JPL1451"/>
      <c r="JPM1451"/>
      <c r="JPN1451"/>
      <c r="JPO1451"/>
      <c r="JPP1451"/>
      <c r="JPQ1451"/>
      <c r="JPR1451"/>
      <c r="JPS1451"/>
      <c r="JPT1451"/>
      <c r="JPU1451"/>
      <c r="JPV1451"/>
      <c r="JPW1451"/>
      <c r="JPX1451"/>
      <c r="JPY1451"/>
      <c r="JPZ1451"/>
      <c r="JQA1451"/>
      <c r="JQB1451"/>
      <c r="JQC1451"/>
      <c r="JQD1451"/>
      <c r="JQE1451"/>
      <c r="JQF1451"/>
      <c r="JQG1451"/>
      <c r="JQH1451"/>
      <c r="JQI1451"/>
      <c r="JQJ1451"/>
      <c r="JQK1451"/>
      <c r="JQL1451"/>
      <c r="JQM1451"/>
      <c r="JQN1451"/>
      <c r="JQO1451"/>
      <c r="JQP1451"/>
      <c r="JQQ1451"/>
      <c r="JQR1451"/>
      <c r="JQS1451"/>
      <c r="JQT1451"/>
      <c r="JQU1451"/>
      <c r="JQV1451"/>
      <c r="JQW1451"/>
      <c r="JQX1451"/>
      <c r="JQY1451"/>
      <c r="JQZ1451"/>
      <c r="JRA1451"/>
      <c r="JRB1451"/>
      <c r="JRC1451"/>
      <c r="JRD1451"/>
      <c r="JRE1451"/>
      <c r="JRF1451"/>
      <c r="JRG1451"/>
      <c r="JRH1451"/>
      <c r="JRI1451"/>
      <c r="JRJ1451"/>
      <c r="JRK1451"/>
      <c r="JRL1451"/>
      <c r="JRM1451"/>
      <c r="JRN1451"/>
      <c r="JRO1451"/>
      <c r="JRP1451"/>
      <c r="JRQ1451"/>
      <c r="JRR1451"/>
      <c r="JRS1451"/>
      <c r="JRT1451"/>
      <c r="JRU1451"/>
      <c r="JRV1451"/>
      <c r="JRW1451"/>
      <c r="JRX1451"/>
      <c r="JRY1451"/>
      <c r="JRZ1451"/>
      <c r="JSA1451"/>
      <c r="JSB1451"/>
      <c r="JSC1451"/>
      <c r="JSD1451"/>
      <c r="JSE1451"/>
      <c r="JSF1451"/>
      <c r="JSG1451"/>
      <c r="JSH1451"/>
      <c r="JSI1451"/>
      <c r="JSJ1451"/>
      <c r="JSK1451"/>
      <c r="JSL1451"/>
      <c r="JSM1451"/>
      <c r="JSN1451"/>
      <c r="JSO1451"/>
      <c r="JSP1451"/>
      <c r="JSQ1451"/>
      <c r="JSR1451"/>
      <c r="JSS1451"/>
      <c r="JST1451"/>
      <c r="JSU1451"/>
      <c r="JSV1451"/>
      <c r="JSW1451"/>
      <c r="JSX1451"/>
      <c r="JSY1451"/>
      <c r="JSZ1451"/>
      <c r="JTA1451"/>
      <c r="JTB1451"/>
      <c r="JTC1451"/>
      <c r="JTD1451"/>
      <c r="JTE1451"/>
      <c r="JTF1451"/>
      <c r="JTG1451"/>
      <c r="JTH1451"/>
      <c r="JTI1451"/>
      <c r="JTJ1451"/>
      <c r="JTK1451"/>
      <c r="JTL1451"/>
      <c r="JTM1451"/>
      <c r="JTN1451"/>
      <c r="JTO1451"/>
      <c r="JTP1451"/>
      <c r="JTQ1451"/>
      <c r="JTR1451"/>
      <c r="JTS1451"/>
      <c r="JTT1451"/>
      <c r="JTU1451"/>
      <c r="JTV1451"/>
      <c r="JTW1451"/>
      <c r="JTX1451"/>
      <c r="JTY1451"/>
      <c r="JTZ1451"/>
      <c r="JUA1451"/>
      <c r="JUB1451"/>
      <c r="JUC1451"/>
      <c r="JUD1451"/>
      <c r="JUE1451"/>
      <c r="JUF1451"/>
      <c r="JUG1451"/>
      <c r="JUH1451"/>
      <c r="JUI1451"/>
      <c r="JUJ1451"/>
      <c r="JUK1451"/>
      <c r="JUL1451"/>
      <c r="JUM1451"/>
      <c r="JUN1451"/>
      <c r="JUO1451"/>
      <c r="JUP1451"/>
      <c r="JUQ1451"/>
      <c r="JUR1451"/>
      <c r="JUS1451"/>
      <c r="JUT1451"/>
      <c r="JUU1451"/>
      <c r="JUV1451"/>
      <c r="JUW1451"/>
      <c r="JUX1451"/>
      <c r="JUY1451"/>
      <c r="JUZ1451"/>
      <c r="JVA1451"/>
      <c r="JVB1451"/>
      <c r="JVC1451"/>
      <c r="JVD1451"/>
      <c r="JVE1451"/>
      <c r="JVF1451"/>
      <c r="JVG1451"/>
      <c r="JVH1451"/>
      <c r="JVI1451"/>
      <c r="JVJ1451"/>
      <c r="JVK1451"/>
      <c r="JVL1451"/>
      <c r="JVM1451"/>
      <c r="JVN1451"/>
      <c r="JVO1451"/>
      <c r="JVP1451"/>
      <c r="JVQ1451"/>
      <c r="JVR1451"/>
      <c r="JVS1451"/>
      <c r="JVT1451"/>
      <c r="JVU1451"/>
      <c r="JVV1451"/>
      <c r="JVW1451"/>
      <c r="JVX1451"/>
      <c r="JVY1451"/>
      <c r="JVZ1451"/>
      <c r="JWA1451"/>
      <c r="JWB1451"/>
      <c r="JWC1451"/>
      <c r="JWD1451"/>
      <c r="JWE1451"/>
      <c r="JWF1451"/>
      <c r="JWG1451"/>
      <c r="JWH1451"/>
      <c r="JWI1451"/>
      <c r="JWJ1451"/>
      <c r="JWK1451"/>
      <c r="JWL1451"/>
      <c r="JWM1451"/>
      <c r="JWN1451"/>
      <c r="JWO1451"/>
      <c r="JWP1451"/>
      <c r="JWQ1451"/>
      <c r="JWR1451"/>
      <c r="JWS1451"/>
      <c r="JWT1451"/>
      <c r="JWU1451"/>
      <c r="JWV1451"/>
      <c r="JWW1451"/>
      <c r="JWX1451"/>
      <c r="JWY1451"/>
      <c r="JWZ1451"/>
      <c r="JXA1451"/>
      <c r="JXB1451"/>
      <c r="JXC1451"/>
      <c r="JXD1451"/>
      <c r="JXE1451"/>
      <c r="JXF1451"/>
      <c r="JXG1451"/>
      <c r="JXH1451"/>
      <c r="JXI1451"/>
      <c r="JXJ1451"/>
      <c r="JXK1451"/>
      <c r="JXL1451"/>
      <c r="JXM1451"/>
      <c r="JXN1451"/>
      <c r="JXO1451"/>
      <c r="JXP1451"/>
      <c r="JXQ1451"/>
      <c r="JXR1451"/>
      <c r="JXS1451"/>
      <c r="JXT1451"/>
      <c r="JXU1451"/>
      <c r="JXV1451"/>
      <c r="JXW1451"/>
      <c r="JXX1451"/>
      <c r="JXY1451"/>
      <c r="JXZ1451"/>
      <c r="JYA1451"/>
      <c r="JYB1451"/>
      <c r="JYC1451"/>
      <c r="JYD1451"/>
      <c r="JYE1451"/>
      <c r="JYF1451"/>
      <c r="JYG1451"/>
      <c r="JYH1451"/>
      <c r="JYI1451"/>
      <c r="JYJ1451"/>
      <c r="JYK1451"/>
      <c r="JYL1451"/>
      <c r="JYM1451"/>
      <c r="JYN1451"/>
      <c r="JYO1451"/>
      <c r="JYP1451"/>
      <c r="JYQ1451"/>
      <c r="JYR1451"/>
      <c r="JYS1451"/>
      <c r="JYT1451"/>
      <c r="JYU1451"/>
      <c r="JYV1451"/>
      <c r="JYW1451"/>
      <c r="JYX1451"/>
      <c r="JYY1451"/>
      <c r="JYZ1451"/>
      <c r="JZA1451"/>
      <c r="JZB1451"/>
      <c r="JZC1451"/>
      <c r="JZD1451"/>
      <c r="JZE1451"/>
      <c r="JZF1451"/>
      <c r="JZG1451"/>
      <c r="JZH1451"/>
      <c r="JZI1451"/>
      <c r="JZJ1451"/>
      <c r="JZK1451"/>
      <c r="JZL1451"/>
      <c r="JZM1451"/>
      <c r="JZN1451"/>
      <c r="JZO1451"/>
      <c r="JZP1451"/>
      <c r="JZQ1451"/>
      <c r="JZR1451"/>
      <c r="JZS1451"/>
      <c r="JZT1451"/>
      <c r="JZU1451"/>
      <c r="JZV1451"/>
      <c r="JZW1451"/>
      <c r="JZX1451"/>
      <c r="JZY1451"/>
      <c r="JZZ1451"/>
      <c r="KAA1451"/>
      <c r="KAB1451"/>
      <c r="KAC1451"/>
      <c r="KAD1451"/>
      <c r="KAE1451"/>
      <c r="KAF1451"/>
      <c r="KAG1451"/>
      <c r="KAH1451"/>
      <c r="KAI1451"/>
      <c r="KAJ1451"/>
      <c r="KAK1451"/>
      <c r="KAL1451"/>
      <c r="KAM1451"/>
      <c r="KAN1451"/>
      <c r="KAO1451"/>
      <c r="KAP1451"/>
      <c r="KAQ1451"/>
      <c r="KAR1451"/>
      <c r="KAS1451"/>
      <c r="KAT1451"/>
      <c r="KAU1451"/>
      <c r="KAV1451"/>
      <c r="KAW1451"/>
      <c r="KAX1451"/>
      <c r="KAY1451"/>
      <c r="KAZ1451"/>
      <c r="KBA1451"/>
      <c r="KBB1451"/>
      <c r="KBC1451"/>
      <c r="KBD1451"/>
      <c r="KBE1451"/>
      <c r="KBF1451"/>
      <c r="KBG1451"/>
      <c r="KBH1451"/>
      <c r="KBI1451"/>
      <c r="KBJ1451"/>
      <c r="KBK1451"/>
      <c r="KBL1451"/>
      <c r="KBM1451"/>
      <c r="KBN1451"/>
      <c r="KBO1451"/>
      <c r="KBP1451"/>
      <c r="KBQ1451"/>
      <c r="KBR1451"/>
      <c r="KBS1451"/>
      <c r="KBT1451"/>
      <c r="KBU1451"/>
      <c r="KBV1451"/>
      <c r="KBW1451"/>
      <c r="KBX1451"/>
      <c r="KBY1451"/>
      <c r="KBZ1451"/>
      <c r="KCA1451"/>
      <c r="KCB1451"/>
      <c r="KCC1451"/>
      <c r="KCD1451"/>
      <c r="KCE1451"/>
      <c r="KCF1451"/>
      <c r="KCG1451"/>
      <c r="KCH1451"/>
      <c r="KCI1451"/>
      <c r="KCJ1451"/>
      <c r="KCK1451"/>
      <c r="KCL1451"/>
      <c r="KCM1451"/>
      <c r="KCN1451"/>
      <c r="KCO1451"/>
      <c r="KCP1451"/>
      <c r="KCQ1451"/>
      <c r="KCR1451"/>
      <c r="KCS1451"/>
      <c r="KCT1451"/>
      <c r="KCU1451"/>
      <c r="KCV1451"/>
      <c r="KCW1451"/>
      <c r="KCX1451"/>
      <c r="KCY1451"/>
      <c r="KCZ1451"/>
      <c r="KDA1451"/>
      <c r="KDB1451"/>
      <c r="KDC1451"/>
      <c r="KDD1451"/>
      <c r="KDE1451"/>
      <c r="KDF1451"/>
      <c r="KDG1451"/>
      <c r="KDH1451"/>
      <c r="KDI1451"/>
      <c r="KDJ1451"/>
      <c r="KDK1451"/>
      <c r="KDL1451"/>
      <c r="KDM1451"/>
      <c r="KDN1451"/>
      <c r="KDO1451"/>
      <c r="KDP1451"/>
      <c r="KDQ1451"/>
      <c r="KDR1451"/>
      <c r="KDS1451"/>
      <c r="KDT1451"/>
      <c r="KDU1451"/>
      <c r="KDV1451"/>
      <c r="KDW1451"/>
      <c r="KDX1451"/>
      <c r="KDY1451"/>
      <c r="KDZ1451"/>
      <c r="KEA1451"/>
      <c r="KEB1451"/>
      <c r="KEC1451"/>
      <c r="KED1451"/>
      <c r="KEE1451"/>
      <c r="KEF1451"/>
      <c r="KEG1451"/>
      <c r="KEH1451"/>
      <c r="KEI1451"/>
      <c r="KEJ1451"/>
      <c r="KEK1451"/>
      <c r="KEL1451"/>
      <c r="KEM1451"/>
      <c r="KEN1451"/>
      <c r="KEO1451"/>
      <c r="KEP1451"/>
      <c r="KEQ1451"/>
      <c r="KER1451"/>
      <c r="KES1451"/>
      <c r="KET1451"/>
      <c r="KEU1451"/>
      <c r="KEV1451"/>
      <c r="KEW1451"/>
      <c r="KEX1451"/>
      <c r="KEY1451"/>
      <c r="KEZ1451"/>
      <c r="KFA1451"/>
      <c r="KFB1451"/>
      <c r="KFC1451"/>
      <c r="KFD1451"/>
      <c r="KFE1451"/>
      <c r="KFF1451"/>
      <c r="KFG1451"/>
      <c r="KFH1451"/>
      <c r="KFI1451"/>
      <c r="KFJ1451"/>
      <c r="KFK1451"/>
      <c r="KFL1451"/>
      <c r="KFM1451"/>
      <c r="KFN1451"/>
      <c r="KFO1451"/>
      <c r="KFP1451"/>
      <c r="KFQ1451"/>
      <c r="KFR1451"/>
      <c r="KFS1451"/>
      <c r="KFT1451"/>
      <c r="KFU1451"/>
      <c r="KFV1451"/>
      <c r="KFW1451"/>
      <c r="KFX1451"/>
      <c r="KFY1451"/>
      <c r="KFZ1451"/>
      <c r="KGA1451"/>
      <c r="KGB1451"/>
      <c r="KGC1451"/>
      <c r="KGD1451"/>
      <c r="KGE1451"/>
      <c r="KGF1451"/>
      <c r="KGG1451"/>
      <c r="KGH1451"/>
      <c r="KGI1451"/>
      <c r="KGJ1451"/>
      <c r="KGK1451"/>
      <c r="KGL1451"/>
      <c r="KGM1451"/>
      <c r="KGN1451"/>
      <c r="KGO1451"/>
      <c r="KGP1451"/>
      <c r="KGQ1451"/>
      <c r="KGR1451"/>
      <c r="KGS1451"/>
      <c r="KGT1451"/>
      <c r="KGU1451"/>
      <c r="KGV1451"/>
      <c r="KGW1451"/>
      <c r="KGX1451"/>
      <c r="KGY1451"/>
      <c r="KGZ1451"/>
      <c r="KHA1451"/>
      <c r="KHB1451"/>
      <c r="KHC1451"/>
      <c r="KHD1451"/>
      <c r="KHE1451"/>
      <c r="KHF1451"/>
      <c r="KHG1451"/>
      <c r="KHH1451"/>
      <c r="KHI1451"/>
      <c r="KHJ1451"/>
      <c r="KHK1451"/>
      <c r="KHL1451"/>
      <c r="KHM1451"/>
      <c r="KHN1451"/>
      <c r="KHO1451"/>
      <c r="KHP1451"/>
      <c r="KHQ1451"/>
      <c r="KHR1451"/>
      <c r="KHS1451"/>
      <c r="KHT1451"/>
      <c r="KHU1451"/>
      <c r="KHV1451"/>
      <c r="KHW1451"/>
      <c r="KHX1451"/>
      <c r="KHY1451"/>
      <c r="KHZ1451"/>
      <c r="KIA1451"/>
      <c r="KIB1451"/>
      <c r="KIC1451"/>
      <c r="KID1451"/>
      <c r="KIE1451"/>
      <c r="KIF1451"/>
      <c r="KIG1451"/>
      <c r="KIH1451"/>
      <c r="KII1451"/>
      <c r="KIJ1451"/>
      <c r="KIK1451"/>
      <c r="KIL1451"/>
      <c r="KIM1451"/>
      <c r="KIN1451"/>
      <c r="KIO1451"/>
      <c r="KIP1451"/>
      <c r="KIQ1451"/>
      <c r="KIR1451"/>
      <c r="KIS1451"/>
      <c r="KIT1451"/>
      <c r="KIU1451"/>
      <c r="KIV1451"/>
      <c r="KIW1451"/>
      <c r="KIX1451"/>
      <c r="KIY1451"/>
      <c r="KIZ1451"/>
      <c r="KJA1451"/>
      <c r="KJB1451"/>
      <c r="KJC1451"/>
      <c r="KJD1451"/>
      <c r="KJE1451"/>
      <c r="KJF1451"/>
      <c r="KJG1451"/>
      <c r="KJH1451"/>
      <c r="KJI1451"/>
      <c r="KJJ1451"/>
      <c r="KJK1451"/>
      <c r="KJL1451"/>
      <c r="KJM1451"/>
      <c r="KJN1451"/>
      <c r="KJO1451"/>
      <c r="KJP1451"/>
      <c r="KJQ1451"/>
      <c r="KJR1451"/>
      <c r="KJS1451"/>
      <c r="KJT1451"/>
      <c r="KJU1451"/>
      <c r="KJV1451"/>
      <c r="KJW1451"/>
      <c r="KJX1451"/>
      <c r="KJY1451"/>
      <c r="KJZ1451"/>
      <c r="KKA1451"/>
      <c r="KKB1451"/>
      <c r="KKC1451"/>
      <c r="KKD1451"/>
      <c r="KKE1451"/>
      <c r="KKF1451"/>
      <c r="KKG1451"/>
      <c r="KKH1451"/>
      <c r="KKI1451"/>
      <c r="KKJ1451"/>
      <c r="KKK1451"/>
      <c r="KKL1451"/>
      <c r="KKM1451"/>
      <c r="KKN1451"/>
      <c r="KKO1451"/>
      <c r="KKP1451"/>
      <c r="KKQ1451"/>
      <c r="KKR1451"/>
      <c r="KKS1451"/>
      <c r="KKT1451"/>
      <c r="KKU1451"/>
      <c r="KKV1451"/>
      <c r="KKW1451"/>
      <c r="KKX1451"/>
      <c r="KKY1451"/>
      <c r="KKZ1451"/>
      <c r="KLA1451"/>
      <c r="KLB1451"/>
      <c r="KLC1451"/>
      <c r="KLD1451"/>
      <c r="KLE1451"/>
      <c r="KLF1451"/>
      <c r="KLG1451"/>
      <c r="KLH1451"/>
      <c r="KLI1451"/>
      <c r="KLJ1451"/>
      <c r="KLK1451"/>
      <c r="KLL1451"/>
      <c r="KLM1451"/>
      <c r="KLN1451"/>
      <c r="KLO1451"/>
      <c r="KLP1451"/>
      <c r="KLQ1451"/>
      <c r="KLR1451"/>
      <c r="KLS1451"/>
      <c r="KLT1451"/>
      <c r="KLU1451"/>
      <c r="KLV1451"/>
      <c r="KLW1451"/>
      <c r="KLX1451"/>
      <c r="KLY1451"/>
      <c r="KLZ1451"/>
      <c r="KMA1451"/>
      <c r="KMB1451"/>
      <c r="KMC1451"/>
      <c r="KMD1451"/>
      <c r="KME1451"/>
      <c r="KMF1451"/>
      <c r="KMG1451"/>
      <c r="KMH1451"/>
      <c r="KMI1451"/>
      <c r="KMJ1451"/>
      <c r="KMK1451"/>
      <c r="KML1451"/>
      <c r="KMM1451"/>
      <c r="KMN1451"/>
      <c r="KMO1451"/>
      <c r="KMP1451"/>
      <c r="KMQ1451"/>
      <c r="KMR1451"/>
      <c r="KMS1451"/>
      <c r="KMT1451"/>
      <c r="KMU1451"/>
      <c r="KMV1451"/>
      <c r="KMW1451"/>
      <c r="KMX1451"/>
      <c r="KMY1451"/>
      <c r="KMZ1451"/>
      <c r="KNA1451"/>
      <c r="KNB1451"/>
      <c r="KNC1451"/>
      <c r="KND1451"/>
      <c r="KNE1451"/>
      <c r="KNF1451"/>
      <c r="KNG1451"/>
      <c r="KNH1451"/>
      <c r="KNI1451"/>
      <c r="KNJ1451"/>
      <c r="KNK1451"/>
      <c r="KNL1451"/>
      <c r="KNM1451"/>
      <c r="KNN1451"/>
      <c r="KNO1451"/>
      <c r="KNP1451"/>
      <c r="KNQ1451"/>
      <c r="KNR1451"/>
      <c r="KNS1451"/>
      <c r="KNT1451"/>
      <c r="KNU1451"/>
      <c r="KNV1451"/>
      <c r="KNW1451"/>
      <c r="KNX1451"/>
      <c r="KNY1451"/>
      <c r="KNZ1451"/>
      <c r="KOA1451"/>
      <c r="KOB1451"/>
      <c r="KOC1451"/>
      <c r="KOD1451"/>
      <c r="KOE1451"/>
      <c r="KOF1451"/>
      <c r="KOG1451"/>
      <c r="KOH1451"/>
      <c r="KOI1451"/>
      <c r="KOJ1451"/>
      <c r="KOK1451"/>
      <c r="KOL1451"/>
      <c r="KOM1451"/>
      <c r="KON1451"/>
      <c r="KOO1451"/>
      <c r="KOP1451"/>
      <c r="KOQ1451"/>
      <c r="KOR1451"/>
      <c r="KOS1451"/>
      <c r="KOT1451"/>
      <c r="KOU1451"/>
      <c r="KOV1451"/>
      <c r="KOW1451"/>
      <c r="KOX1451"/>
      <c r="KOY1451"/>
      <c r="KOZ1451"/>
      <c r="KPA1451"/>
      <c r="KPB1451"/>
      <c r="KPC1451"/>
      <c r="KPD1451"/>
      <c r="KPE1451"/>
      <c r="KPF1451"/>
      <c r="KPG1451"/>
      <c r="KPH1451"/>
      <c r="KPI1451"/>
      <c r="KPJ1451"/>
      <c r="KPK1451"/>
      <c r="KPL1451"/>
      <c r="KPM1451"/>
      <c r="KPN1451"/>
      <c r="KPO1451"/>
      <c r="KPP1451"/>
      <c r="KPQ1451"/>
      <c r="KPR1451"/>
      <c r="KPS1451"/>
      <c r="KPT1451"/>
      <c r="KPU1451"/>
      <c r="KPV1451"/>
      <c r="KPW1451"/>
      <c r="KPX1451"/>
      <c r="KPY1451"/>
      <c r="KPZ1451"/>
      <c r="KQA1451"/>
      <c r="KQB1451"/>
      <c r="KQC1451"/>
      <c r="KQD1451"/>
      <c r="KQE1451"/>
      <c r="KQF1451"/>
      <c r="KQG1451"/>
      <c r="KQH1451"/>
      <c r="KQI1451"/>
      <c r="KQJ1451"/>
      <c r="KQK1451"/>
      <c r="KQL1451"/>
      <c r="KQM1451"/>
      <c r="KQN1451"/>
      <c r="KQO1451"/>
      <c r="KQP1451"/>
      <c r="KQQ1451"/>
      <c r="KQR1451"/>
      <c r="KQS1451"/>
      <c r="KQT1451"/>
      <c r="KQU1451"/>
      <c r="KQV1451"/>
      <c r="KQW1451"/>
      <c r="KQX1451"/>
      <c r="KQY1451"/>
      <c r="KQZ1451"/>
      <c r="KRA1451"/>
      <c r="KRB1451"/>
      <c r="KRC1451"/>
      <c r="KRD1451"/>
      <c r="KRE1451"/>
      <c r="KRF1451"/>
      <c r="KRG1451"/>
      <c r="KRH1451"/>
      <c r="KRI1451"/>
      <c r="KRJ1451"/>
      <c r="KRK1451"/>
      <c r="KRL1451"/>
      <c r="KRM1451"/>
      <c r="KRN1451"/>
      <c r="KRO1451"/>
      <c r="KRP1451"/>
      <c r="KRQ1451"/>
      <c r="KRR1451"/>
      <c r="KRS1451"/>
      <c r="KRT1451"/>
      <c r="KRU1451"/>
      <c r="KRV1451"/>
      <c r="KRW1451"/>
      <c r="KRX1451"/>
      <c r="KRY1451"/>
      <c r="KRZ1451"/>
      <c r="KSA1451"/>
      <c r="KSB1451"/>
      <c r="KSC1451"/>
      <c r="KSD1451"/>
      <c r="KSE1451"/>
      <c r="KSF1451"/>
      <c r="KSG1451"/>
      <c r="KSH1451"/>
      <c r="KSI1451"/>
      <c r="KSJ1451"/>
      <c r="KSK1451"/>
      <c r="KSL1451"/>
      <c r="KSM1451"/>
      <c r="KSN1451"/>
      <c r="KSO1451"/>
      <c r="KSP1451"/>
      <c r="KSQ1451"/>
      <c r="KSR1451"/>
      <c r="KSS1451"/>
      <c r="KST1451"/>
      <c r="KSU1451"/>
      <c r="KSV1451"/>
      <c r="KSW1451"/>
      <c r="KSX1451"/>
      <c r="KSY1451"/>
      <c r="KSZ1451"/>
      <c r="KTA1451"/>
      <c r="KTB1451"/>
      <c r="KTC1451"/>
      <c r="KTD1451"/>
      <c r="KTE1451"/>
      <c r="KTF1451"/>
      <c r="KTG1451"/>
      <c r="KTH1451"/>
      <c r="KTI1451"/>
      <c r="KTJ1451"/>
      <c r="KTK1451"/>
      <c r="KTL1451"/>
      <c r="KTM1451"/>
      <c r="KTN1451"/>
      <c r="KTO1451"/>
      <c r="KTP1451"/>
      <c r="KTQ1451"/>
      <c r="KTR1451"/>
      <c r="KTS1451"/>
      <c r="KTT1451"/>
      <c r="KTU1451"/>
      <c r="KTV1451"/>
      <c r="KTW1451"/>
      <c r="KTX1451"/>
      <c r="KTY1451"/>
      <c r="KTZ1451"/>
      <c r="KUA1451"/>
      <c r="KUB1451"/>
      <c r="KUC1451"/>
      <c r="KUD1451"/>
      <c r="KUE1451"/>
      <c r="KUF1451"/>
      <c r="KUG1451"/>
      <c r="KUH1451"/>
      <c r="KUI1451"/>
      <c r="KUJ1451"/>
      <c r="KUK1451"/>
      <c r="KUL1451"/>
      <c r="KUM1451"/>
      <c r="KUN1451"/>
      <c r="KUO1451"/>
      <c r="KUP1451"/>
      <c r="KUQ1451"/>
      <c r="KUR1451"/>
      <c r="KUS1451"/>
      <c r="KUT1451"/>
      <c r="KUU1451"/>
      <c r="KUV1451"/>
      <c r="KUW1451"/>
      <c r="KUX1451"/>
      <c r="KUY1451"/>
      <c r="KUZ1451"/>
      <c r="KVA1451"/>
      <c r="KVB1451"/>
      <c r="KVC1451"/>
      <c r="KVD1451"/>
      <c r="KVE1451"/>
      <c r="KVF1451"/>
      <c r="KVG1451"/>
      <c r="KVH1451"/>
      <c r="KVI1451"/>
      <c r="KVJ1451"/>
      <c r="KVK1451"/>
      <c r="KVL1451"/>
      <c r="KVM1451"/>
      <c r="KVN1451"/>
      <c r="KVO1451"/>
      <c r="KVP1451"/>
      <c r="KVQ1451"/>
      <c r="KVR1451"/>
      <c r="KVS1451"/>
      <c r="KVT1451"/>
      <c r="KVU1451"/>
      <c r="KVV1451"/>
      <c r="KVW1451"/>
      <c r="KVX1451"/>
      <c r="KVY1451"/>
      <c r="KVZ1451"/>
      <c r="KWA1451"/>
      <c r="KWB1451"/>
      <c r="KWC1451"/>
      <c r="KWD1451"/>
      <c r="KWE1451"/>
      <c r="KWF1451"/>
      <c r="KWG1451"/>
      <c r="KWH1451"/>
      <c r="KWI1451"/>
      <c r="KWJ1451"/>
      <c r="KWK1451"/>
      <c r="KWL1451"/>
      <c r="KWM1451"/>
      <c r="KWN1451"/>
      <c r="KWO1451"/>
      <c r="KWP1451"/>
      <c r="KWQ1451"/>
      <c r="KWR1451"/>
      <c r="KWS1451"/>
      <c r="KWT1451"/>
      <c r="KWU1451"/>
      <c r="KWV1451"/>
      <c r="KWW1451"/>
      <c r="KWX1451"/>
      <c r="KWY1451"/>
      <c r="KWZ1451"/>
      <c r="KXA1451"/>
      <c r="KXB1451"/>
      <c r="KXC1451"/>
      <c r="KXD1451"/>
      <c r="KXE1451"/>
      <c r="KXF1451"/>
      <c r="KXG1451"/>
      <c r="KXH1451"/>
      <c r="KXI1451"/>
      <c r="KXJ1451"/>
      <c r="KXK1451"/>
      <c r="KXL1451"/>
      <c r="KXM1451"/>
      <c r="KXN1451"/>
      <c r="KXO1451"/>
      <c r="KXP1451"/>
      <c r="KXQ1451"/>
      <c r="KXR1451"/>
      <c r="KXS1451"/>
      <c r="KXT1451"/>
      <c r="KXU1451"/>
      <c r="KXV1451"/>
      <c r="KXW1451"/>
      <c r="KXX1451"/>
      <c r="KXY1451"/>
      <c r="KXZ1451"/>
      <c r="KYA1451"/>
      <c r="KYB1451"/>
      <c r="KYC1451"/>
      <c r="KYD1451"/>
      <c r="KYE1451"/>
      <c r="KYF1451"/>
      <c r="KYG1451"/>
      <c r="KYH1451"/>
      <c r="KYI1451"/>
      <c r="KYJ1451"/>
      <c r="KYK1451"/>
      <c r="KYL1451"/>
      <c r="KYM1451"/>
      <c r="KYN1451"/>
      <c r="KYO1451"/>
      <c r="KYP1451"/>
      <c r="KYQ1451"/>
      <c r="KYR1451"/>
      <c r="KYS1451"/>
      <c r="KYT1451"/>
      <c r="KYU1451"/>
      <c r="KYV1451"/>
      <c r="KYW1451"/>
      <c r="KYX1451"/>
      <c r="KYY1451"/>
      <c r="KYZ1451"/>
      <c r="KZA1451"/>
      <c r="KZB1451"/>
      <c r="KZC1451"/>
      <c r="KZD1451"/>
      <c r="KZE1451"/>
      <c r="KZF1451"/>
      <c r="KZG1451"/>
      <c r="KZH1451"/>
      <c r="KZI1451"/>
      <c r="KZJ1451"/>
      <c r="KZK1451"/>
      <c r="KZL1451"/>
      <c r="KZM1451"/>
      <c r="KZN1451"/>
      <c r="KZO1451"/>
      <c r="KZP1451"/>
      <c r="KZQ1451"/>
      <c r="KZR1451"/>
      <c r="KZS1451"/>
      <c r="KZT1451"/>
      <c r="KZU1451"/>
      <c r="KZV1451"/>
      <c r="KZW1451"/>
      <c r="KZX1451"/>
      <c r="KZY1451"/>
      <c r="KZZ1451"/>
      <c r="LAA1451"/>
      <c r="LAB1451"/>
      <c r="LAC1451"/>
      <c r="LAD1451"/>
      <c r="LAE1451"/>
      <c r="LAF1451"/>
      <c r="LAG1451"/>
      <c r="LAH1451"/>
      <c r="LAI1451"/>
      <c r="LAJ1451"/>
      <c r="LAK1451"/>
      <c r="LAL1451"/>
      <c r="LAM1451"/>
      <c r="LAN1451"/>
      <c r="LAO1451"/>
      <c r="LAP1451"/>
      <c r="LAQ1451"/>
      <c r="LAR1451"/>
      <c r="LAS1451"/>
      <c r="LAT1451"/>
      <c r="LAU1451"/>
      <c r="LAV1451"/>
      <c r="LAW1451"/>
      <c r="LAX1451"/>
      <c r="LAY1451"/>
      <c r="LAZ1451"/>
      <c r="LBA1451"/>
      <c r="LBB1451"/>
      <c r="LBC1451"/>
      <c r="LBD1451"/>
      <c r="LBE1451"/>
      <c r="LBF1451"/>
      <c r="LBG1451"/>
      <c r="LBH1451"/>
      <c r="LBI1451"/>
      <c r="LBJ1451"/>
      <c r="LBK1451"/>
      <c r="LBL1451"/>
      <c r="LBM1451"/>
      <c r="LBN1451"/>
      <c r="LBO1451"/>
      <c r="LBP1451"/>
      <c r="LBQ1451"/>
      <c r="LBR1451"/>
      <c r="LBS1451"/>
      <c r="LBT1451"/>
      <c r="LBU1451"/>
      <c r="LBV1451"/>
      <c r="LBW1451"/>
      <c r="LBX1451"/>
      <c r="LBY1451"/>
      <c r="LBZ1451"/>
      <c r="LCA1451"/>
      <c r="LCB1451"/>
      <c r="LCC1451"/>
      <c r="LCD1451"/>
      <c r="LCE1451"/>
      <c r="LCF1451"/>
      <c r="LCG1451"/>
      <c r="LCH1451"/>
      <c r="LCI1451"/>
      <c r="LCJ1451"/>
      <c r="LCK1451"/>
      <c r="LCL1451"/>
      <c r="LCM1451"/>
      <c r="LCN1451"/>
      <c r="LCO1451"/>
      <c r="LCP1451"/>
      <c r="LCQ1451"/>
      <c r="LCR1451"/>
      <c r="LCS1451"/>
      <c r="LCT1451"/>
      <c r="LCU1451"/>
      <c r="LCV1451"/>
      <c r="LCW1451"/>
      <c r="LCX1451"/>
      <c r="LCY1451"/>
      <c r="LCZ1451"/>
      <c r="LDA1451"/>
      <c r="LDB1451"/>
      <c r="LDC1451"/>
      <c r="LDD1451"/>
      <c r="LDE1451"/>
      <c r="LDF1451"/>
      <c r="LDG1451"/>
      <c r="LDH1451"/>
      <c r="LDI1451"/>
      <c r="LDJ1451"/>
      <c r="LDK1451"/>
      <c r="LDL1451"/>
      <c r="LDM1451"/>
      <c r="LDN1451"/>
      <c r="LDO1451"/>
      <c r="LDP1451"/>
      <c r="LDQ1451"/>
      <c r="LDR1451"/>
      <c r="LDS1451"/>
      <c r="LDT1451"/>
      <c r="LDU1451"/>
      <c r="LDV1451"/>
      <c r="LDW1451"/>
      <c r="LDX1451"/>
      <c r="LDY1451"/>
      <c r="LDZ1451"/>
      <c r="LEA1451"/>
      <c r="LEB1451"/>
      <c r="LEC1451"/>
      <c r="LED1451"/>
      <c r="LEE1451"/>
      <c r="LEF1451"/>
      <c r="LEG1451"/>
      <c r="LEH1451"/>
      <c r="LEI1451"/>
      <c r="LEJ1451"/>
      <c r="LEK1451"/>
      <c r="LEL1451"/>
      <c r="LEM1451"/>
      <c r="LEN1451"/>
      <c r="LEO1451"/>
      <c r="LEP1451"/>
      <c r="LEQ1451"/>
      <c r="LER1451"/>
      <c r="LES1451"/>
      <c r="LET1451"/>
      <c r="LEU1451"/>
      <c r="LEV1451"/>
      <c r="LEW1451"/>
      <c r="LEX1451"/>
      <c r="LEY1451"/>
      <c r="LEZ1451"/>
      <c r="LFA1451"/>
      <c r="LFB1451"/>
      <c r="LFC1451"/>
      <c r="LFD1451"/>
      <c r="LFE1451"/>
      <c r="LFF1451"/>
      <c r="LFG1451"/>
      <c r="LFH1451"/>
      <c r="LFI1451"/>
      <c r="LFJ1451"/>
      <c r="LFK1451"/>
      <c r="LFL1451"/>
      <c r="LFM1451"/>
      <c r="LFN1451"/>
      <c r="LFO1451"/>
      <c r="LFP1451"/>
      <c r="LFQ1451"/>
      <c r="LFR1451"/>
      <c r="LFS1451"/>
      <c r="LFT1451"/>
      <c r="LFU1451"/>
      <c r="LFV1451"/>
      <c r="LFW1451"/>
      <c r="LFX1451"/>
      <c r="LFY1451"/>
      <c r="LFZ1451"/>
      <c r="LGA1451"/>
      <c r="LGB1451"/>
      <c r="LGC1451"/>
      <c r="LGD1451"/>
      <c r="LGE1451"/>
      <c r="LGF1451"/>
      <c r="LGG1451"/>
      <c r="LGH1451"/>
      <c r="LGI1451"/>
      <c r="LGJ1451"/>
      <c r="LGK1451"/>
      <c r="LGL1451"/>
      <c r="LGM1451"/>
      <c r="LGN1451"/>
      <c r="LGO1451"/>
      <c r="LGP1451"/>
      <c r="LGQ1451"/>
      <c r="LGR1451"/>
      <c r="LGS1451"/>
      <c r="LGT1451"/>
      <c r="LGU1451"/>
      <c r="LGV1451"/>
      <c r="LGW1451"/>
      <c r="LGX1451"/>
      <c r="LGY1451"/>
      <c r="LGZ1451"/>
      <c r="LHA1451"/>
      <c r="LHB1451"/>
      <c r="LHC1451"/>
      <c r="LHD1451"/>
      <c r="LHE1451"/>
      <c r="LHF1451"/>
      <c r="LHG1451"/>
      <c r="LHH1451"/>
      <c r="LHI1451"/>
      <c r="LHJ1451"/>
      <c r="LHK1451"/>
      <c r="LHL1451"/>
      <c r="LHM1451"/>
      <c r="LHN1451"/>
      <c r="LHO1451"/>
      <c r="LHP1451"/>
      <c r="LHQ1451"/>
      <c r="LHR1451"/>
      <c r="LHS1451"/>
      <c r="LHT1451"/>
      <c r="LHU1451"/>
      <c r="LHV1451"/>
      <c r="LHW1451"/>
      <c r="LHX1451"/>
      <c r="LHY1451"/>
      <c r="LHZ1451"/>
      <c r="LIA1451"/>
      <c r="LIB1451"/>
      <c r="LIC1451"/>
      <c r="LID1451"/>
      <c r="LIE1451"/>
      <c r="LIF1451"/>
      <c r="LIG1451"/>
      <c r="LIH1451"/>
      <c r="LII1451"/>
      <c r="LIJ1451"/>
      <c r="LIK1451"/>
      <c r="LIL1451"/>
      <c r="LIM1451"/>
      <c r="LIN1451"/>
      <c r="LIO1451"/>
      <c r="LIP1451"/>
      <c r="LIQ1451"/>
      <c r="LIR1451"/>
      <c r="LIS1451"/>
      <c r="LIT1451"/>
      <c r="LIU1451"/>
      <c r="LIV1451"/>
      <c r="LIW1451"/>
      <c r="LIX1451"/>
      <c r="LIY1451"/>
      <c r="LIZ1451"/>
      <c r="LJA1451"/>
      <c r="LJB1451"/>
      <c r="LJC1451"/>
      <c r="LJD1451"/>
      <c r="LJE1451"/>
      <c r="LJF1451"/>
      <c r="LJG1451"/>
      <c r="LJH1451"/>
      <c r="LJI1451"/>
      <c r="LJJ1451"/>
      <c r="LJK1451"/>
      <c r="LJL1451"/>
      <c r="LJM1451"/>
      <c r="LJN1451"/>
      <c r="LJO1451"/>
      <c r="LJP1451"/>
      <c r="LJQ1451"/>
      <c r="LJR1451"/>
      <c r="LJS1451"/>
      <c r="LJT1451"/>
      <c r="LJU1451"/>
      <c r="LJV1451"/>
      <c r="LJW1451"/>
      <c r="LJX1451"/>
      <c r="LJY1451"/>
      <c r="LJZ1451"/>
      <c r="LKA1451"/>
      <c r="LKB1451"/>
      <c r="LKC1451"/>
      <c r="LKD1451"/>
      <c r="LKE1451"/>
      <c r="LKF1451"/>
      <c r="LKG1451"/>
      <c r="LKH1451"/>
      <c r="LKI1451"/>
      <c r="LKJ1451"/>
      <c r="LKK1451"/>
      <c r="LKL1451"/>
      <c r="LKM1451"/>
      <c r="LKN1451"/>
      <c r="LKO1451"/>
      <c r="LKP1451"/>
      <c r="LKQ1451"/>
      <c r="LKR1451"/>
      <c r="LKS1451"/>
      <c r="LKT1451"/>
      <c r="LKU1451"/>
      <c r="LKV1451"/>
      <c r="LKW1451"/>
      <c r="LKX1451"/>
      <c r="LKY1451"/>
      <c r="LKZ1451"/>
      <c r="LLA1451"/>
      <c r="LLB1451"/>
      <c r="LLC1451"/>
      <c r="LLD1451"/>
      <c r="LLE1451"/>
      <c r="LLF1451"/>
      <c r="LLG1451"/>
      <c r="LLH1451"/>
      <c r="LLI1451"/>
      <c r="LLJ1451"/>
      <c r="LLK1451"/>
      <c r="LLL1451"/>
      <c r="LLM1451"/>
      <c r="LLN1451"/>
      <c r="LLO1451"/>
      <c r="LLP1451"/>
      <c r="LLQ1451"/>
      <c r="LLR1451"/>
      <c r="LLS1451"/>
      <c r="LLT1451"/>
      <c r="LLU1451"/>
      <c r="LLV1451"/>
      <c r="LLW1451"/>
      <c r="LLX1451"/>
      <c r="LLY1451"/>
      <c r="LLZ1451"/>
      <c r="LMA1451"/>
      <c r="LMB1451"/>
      <c r="LMC1451"/>
      <c r="LMD1451"/>
      <c r="LME1451"/>
      <c r="LMF1451"/>
      <c r="LMG1451"/>
      <c r="LMH1451"/>
      <c r="LMI1451"/>
      <c r="LMJ1451"/>
      <c r="LMK1451"/>
      <c r="LML1451"/>
      <c r="LMM1451"/>
      <c r="LMN1451"/>
      <c r="LMO1451"/>
      <c r="LMP1451"/>
      <c r="LMQ1451"/>
      <c r="LMR1451"/>
      <c r="LMS1451"/>
      <c r="LMT1451"/>
      <c r="LMU1451"/>
      <c r="LMV1451"/>
      <c r="LMW1451"/>
      <c r="LMX1451"/>
      <c r="LMY1451"/>
      <c r="LMZ1451"/>
      <c r="LNA1451"/>
      <c r="LNB1451"/>
      <c r="LNC1451"/>
      <c r="LND1451"/>
      <c r="LNE1451"/>
      <c r="LNF1451"/>
      <c r="LNG1451"/>
      <c r="LNH1451"/>
      <c r="LNI1451"/>
      <c r="LNJ1451"/>
      <c r="LNK1451"/>
      <c r="LNL1451"/>
      <c r="LNM1451"/>
      <c r="LNN1451"/>
      <c r="LNO1451"/>
      <c r="LNP1451"/>
      <c r="LNQ1451"/>
      <c r="LNR1451"/>
      <c r="LNS1451"/>
      <c r="LNT1451"/>
      <c r="LNU1451"/>
      <c r="LNV1451"/>
      <c r="LNW1451"/>
      <c r="LNX1451"/>
      <c r="LNY1451"/>
      <c r="LNZ1451"/>
      <c r="LOA1451"/>
      <c r="LOB1451"/>
      <c r="LOC1451"/>
      <c r="LOD1451"/>
      <c r="LOE1451"/>
      <c r="LOF1451"/>
      <c r="LOG1451"/>
      <c r="LOH1451"/>
      <c r="LOI1451"/>
      <c r="LOJ1451"/>
      <c r="LOK1451"/>
      <c r="LOL1451"/>
      <c r="LOM1451"/>
      <c r="LON1451"/>
      <c r="LOO1451"/>
      <c r="LOP1451"/>
      <c r="LOQ1451"/>
      <c r="LOR1451"/>
      <c r="LOS1451"/>
      <c r="LOT1451"/>
      <c r="LOU1451"/>
      <c r="LOV1451"/>
      <c r="LOW1451"/>
      <c r="LOX1451"/>
      <c r="LOY1451"/>
      <c r="LOZ1451"/>
      <c r="LPA1451"/>
      <c r="LPB1451"/>
      <c r="LPC1451"/>
      <c r="LPD1451"/>
      <c r="LPE1451"/>
      <c r="LPF1451"/>
      <c r="LPG1451"/>
      <c r="LPH1451"/>
      <c r="LPI1451"/>
      <c r="LPJ1451"/>
      <c r="LPK1451"/>
      <c r="LPL1451"/>
      <c r="LPM1451"/>
      <c r="LPN1451"/>
      <c r="LPO1451"/>
      <c r="LPP1451"/>
      <c r="LPQ1451"/>
      <c r="LPR1451"/>
      <c r="LPS1451"/>
      <c r="LPT1451"/>
      <c r="LPU1451"/>
      <c r="LPV1451"/>
      <c r="LPW1451"/>
      <c r="LPX1451"/>
      <c r="LPY1451"/>
      <c r="LPZ1451"/>
      <c r="LQA1451"/>
      <c r="LQB1451"/>
      <c r="LQC1451"/>
      <c r="LQD1451"/>
      <c r="LQE1451"/>
      <c r="LQF1451"/>
      <c r="LQG1451"/>
      <c r="LQH1451"/>
      <c r="LQI1451"/>
      <c r="LQJ1451"/>
      <c r="LQK1451"/>
      <c r="LQL1451"/>
      <c r="LQM1451"/>
      <c r="LQN1451"/>
      <c r="LQO1451"/>
      <c r="LQP1451"/>
      <c r="LQQ1451"/>
      <c r="LQR1451"/>
      <c r="LQS1451"/>
      <c r="LQT1451"/>
      <c r="LQU1451"/>
      <c r="LQV1451"/>
      <c r="LQW1451"/>
      <c r="LQX1451"/>
      <c r="LQY1451"/>
      <c r="LQZ1451"/>
      <c r="LRA1451"/>
      <c r="LRB1451"/>
      <c r="LRC1451"/>
      <c r="LRD1451"/>
      <c r="LRE1451"/>
      <c r="LRF1451"/>
      <c r="LRG1451"/>
      <c r="LRH1451"/>
      <c r="LRI1451"/>
      <c r="LRJ1451"/>
      <c r="LRK1451"/>
      <c r="LRL1451"/>
      <c r="LRM1451"/>
      <c r="LRN1451"/>
      <c r="LRO1451"/>
      <c r="LRP1451"/>
      <c r="LRQ1451"/>
      <c r="LRR1451"/>
      <c r="LRS1451"/>
      <c r="LRT1451"/>
      <c r="LRU1451"/>
      <c r="LRV1451"/>
      <c r="LRW1451"/>
      <c r="LRX1451"/>
      <c r="LRY1451"/>
      <c r="LRZ1451"/>
      <c r="LSA1451"/>
      <c r="LSB1451"/>
      <c r="LSC1451"/>
      <c r="LSD1451"/>
      <c r="LSE1451"/>
      <c r="LSF1451"/>
      <c r="LSG1451"/>
      <c r="LSH1451"/>
      <c r="LSI1451"/>
      <c r="LSJ1451"/>
      <c r="LSK1451"/>
      <c r="LSL1451"/>
      <c r="LSM1451"/>
      <c r="LSN1451"/>
      <c r="LSO1451"/>
      <c r="LSP1451"/>
      <c r="LSQ1451"/>
      <c r="LSR1451"/>
      <c r="LSS1451"/>
      <c r="LST1451"/>
      <c r="LSU1451"/>
      <c r="LSV1451"/>
      <c r="LSW1451"/>
      <c r="LSX1451"/>
      <c r="LSY1451"/>
      <c r="LSZ1451"/>
      <c r="LTA1451"/>
      <c r="LTB1451"/>
      <c r="LTC1451"/>
      <c r="LTD1451"/>
      <c r="LTE1451"/>
      <c r="LTF1451"/>
      <c r="LTG1451"/>
      <c r="LTH1451"/>
      <c r="LTI1451"/>
      <c r="LTJ1451"/>
      <c r="LTK1451"/>
      <c r="LTL1451"/>
      <c r="LTM1451"/>
      <c r="LTN1451"/>
      <c r="LTO1451"/>
      <c r="LTP1451"/>
      <c r="LTQ1451"/>
      <c r="LTR1451"/>
      <c r="LTS1451"/>
      <c r="LTT1451"/>
      <c r="LTU1451"/>
      <c r="LTV1451"/>
      <c r="LTW1451"/>
      <c r="LTX1451"/>
      <c r="LTY1451"/>
      <c r="LTZ1451"/>
      <c r="LUA1451"/>
      <c r="LUB1451"/>
      <c r="LUC1451"/>
      <c r="LUD1451"/>
      <c r="LUE1451"/>
      <c r="LUF1451"/>
      <c r="LUG1451"/>
      <c r="LUH1451"/>
      <c r="LUI1451"/>
      <c r="LUJ1451"/>
      <c r="LUK1451"/>
      <c r="LUL1451"/>
      <c r="LUM1451"/>
      <c r="LUN1451"/>
      <c r="LUO1451"/>
      <c r="LUP1451"/>
      <c r="LUQ1451"/>
      <c r="LUR1451"/>
      <c r="LUS1451"/>
      <c r="LUT1451"/>
      <c r="LUU1451"/>
      <c r="LUV1451"/>
      <c r="LUW1451"/>
      <c r="LUX1451"/>
      <c r="LUY1451"/>
      <c r="LUZ1451"/>
      <c r="LVA1451"/>
      <c r="LVB1451"/>
      <c r="LVC1451"/>
      <c r="LVD1451"/>
      <c r="LVE1451"/>
      <c r="LVF1451"/>
      <c r="LVG1451"/>
      <c r="LVH1451"/>
      <c r="LVI1451"/>
      <c r="LVJ1451"/>
      <c r="LVK1451"/>
      <c r="LVL1451"/>
      <c r="LVM1451"/>
      <c r="LVN1451"/>
      <c r="LVO1451"/>
      <c r="LVP1451"/>
      <c r="LVQ1451"/>
      <c r="LVR1451"/>
      <c r="LVS1451"/>
      <c r="LVT1451"/>
      <c r="LVU1451"/>
      <c r="LVV1451"/>
      <c r="LVW1451"/>
      <c r="LVX1451"/>
      <c r="LVY1451"/>
      <c r="LVZ1451"/>
      <c r="LWA1451"/>
      <c r="LWB1451"/>
      <c r="LWC1451"/>
      <c r="LWD1451"/>
      <c r="LWE1451"/>
      <c r="LWF1451"/>
      <c r="LWG1451"/>
      <c r="LWH1451"/>
      <c r="LWI1451"/>
      <c r="LWJ1451"/>
      <c r="LWK1451"/>
      <c r="LWL1451"/>
      <c r="LWM1451"/>
      <c r="LWN1451"/>
      <c r="LWO1451"/>
      <c r="LWP1451"/>
      <c r="LWQ1451"/>
      <c r="LWR1451"/>
      <c r="LWS1451"/>
      <c r="LWT1451"/>
      <c r="LWU1451"/>
      <c r="LWV1451"/>
      <c r="LWW1451"/>
      <c r="LWX1451"/>
      <c r="LWY1451"/>
      <c r="LWZ1451"/>
      <c r="LXA1451"/>
      <c r="LXB1451"/>
      <c r="LXC1451"/>
      <c r="LXD1451"/>
      <c r="LXE1451"/>
      <c r="LXF1451"/>
      <c r="LXG1451"/>
      <c r="LXH1451"/>
      <c r="LXI1451"/>
      <c r="LXJ1451"/>
      <c r="LXK1451"/>
      <c r="LXL1451"/>
      <c r="LXM1451"/>
      <c r="LXN1451"/>
      <c r="LXO1451"/>
      <c r="LXP1451"/>
      <c r="LXQ1451"/>
      <c r="LXR1451"/>
      <c r="LXS1451"/>
      <c r="LXT1451"/>
      <c r="LXU1451"/>
      <c r="LXV1451"/>
      <c r="LXW1451"/>
      <c r="LXX1451"/>
      <c r="LXY1451"/>
      <c r="LXZ1451"/>
      <c r="LYA1451"/>
      <c r="LYB1451"/>
      <c r="LYC1451"/>
      <c r="LYD1451"/>
      <c r="LYE1451"/>
      <c r="LYF1451"/>
      <c r="LYG1451"/>
      <c r="LYH1451"/>
      <c r="LYI1451"/>
      <c r="LYJ1451"/>
      <c r="LYK1451"/>
      <c r="LYL1451"/>
      <c r="LYM1451"/>
      <c r="LYN1451"/>
      <c r="LYO1451"/>
      <c r="LYP1451"/>
      <c r="LYQ1451"/>
      <c r="LYR1451"/>
      <c r="LYS1451"/>
      <c r="LYT1451"/>
      <c r="LYU1451"/>
      <c r="LYV1451"/>
      <c r="LYW1451"/>
      <c r="LYX1451"/>
      <c r="LYY1451"/>
      <c r="LYZ1451"/>
      <c r="LZA1451"/>
      <c r="LZB1451"/>
      <c r="LZC1451"/>
      <c r="LZD1451"/>
      <c r="LZE1451"/>
      <c r="LZF1451"/>
      <c r="LZG1451"/>
      <c r="LZH1451"/>
      <c r="LZI1451"/>
      <c r="LZJ1451"/>
      <c r="LZK1451"/>
      <c r="LZL1451"/>
      <c r="LZM1451"/>
      <c r="LZN1451"/>
      <c r="LZO1451"/>
      <c r="LZP1451"/>
      <c r="LZQ1451"/>
      <c r="LZR1451"/>
      <c r="LZS1451"/>
      <c r="LZT1451"/>
      <c r="LZU1451"/>
      <c r="LZV1451"/>
      <c r="LZW1451"/>
      <c r="LZX1451"/>
      <c r="LZY1451"/>
      <c r="LZZ1451"/>
      <c r="MAA1451"/>
      <c r="MAB1451"/>
      <c r="MAC1451"/>
      <c r="MAD1451"/>
      <c r="MAE1451"/>
      <c r="MAF1451"/>
      <c r="MAG1451"/>
      <c r="MAH1451"/>
      <c r="MAI1451"/>
      <c r="MAJ1451"/>
      <c r="MAK1451"/>
      <c r="MAL1451"/>
      <c r="MAM1451"/>
      <c r="MAN1451"/>
      <c r="MAO1451"/>
      <c r="MAP1451"/>
      <c r="MAQ1451"/>
      <c r="MAR1451"/>
      <c r="MAS1451"/>
      <c r="MAT1451"/>
      <c r="MAU1451"/>
      <c r="MAV1451"/>
      <c r="MAW1451"/>
      <c r="MAX1451"/>
      <c r="MAY1451"/>
      <c r="MAZ1451"/>
      <c r="MBA1451"/>
      <c r="MBB1451"/>
      <c r="MBC1451"/>
      <c r="MBD1451"/>
      <c r="MBE1451"/>
      <c r="MBF1451"/>
      <c r="MBG1451"/>
      <c r="MBH1451"/>
      <c r="MBI1451"/>
      <c r="MBJ1451"/>
      <c r="MBK1451"/>
      <c r="MBL1451"/>
      <c r="MBM1451"/>
      <c r="MBN1451"/>
      <c r="MBO1451"/>
      <c r="MBP1451"/>
      <c r="MBQ1451"/>
      <c r="MBR1451"/>
      <c r="MBS1451"/>
      <c r="MBT1451"/>
      <c r="MBU1451"/>
      <c r="MBV1451"/>
      <c r="MBW1451"/>
      <c r="MBX1451"/>
      <c r="MBY1451"/>
      <c r="MBZ1451"/>
      <c r="MCA1451"/>
      <c r="MCB1451"/>
      <c r="MCC1451"/>
      <c r="MCD1451"/>
      <c r="MCE1451"/>
      <c r="MCF1451"/>
      <c r="MCG1451"/>
      <c r="MCH1451"/>
      <c r="MCI1451"/>
      <c r="MCJ1451"/>
      <c r="MCK1451"/>
      <c r="MCL1451"/>
      <c r="MCM1451"/>
      <c r="MCN1451"/>
      <c r="MCO1451"/>
      <c r="MCP1451"/>
      <c r="MCQ1451"/>
      <c r="MCR1451"/>
      <c r="MCS1451"/>
      <c r="MCT1451"/>
      <c r="MCU1451"/>
      <c r="MCV1451"/>
      <c r="MCW1451"/>
      <c r="MCX1451"/>
      <c r="MCY1451"/>
      <c r="MCZ1451"/>
      <c r="MDA1451"/>
      <c r="MDB1451"/>
      <c r="MDC1451"/>
      <c r="MDD1451"/>
      <c r="MDE1451"/>
      <c r="MDF1451"/>
      <c r="MDG1451"/>
      <c r="MDH1451"/>
      <c r="MDI1451"/>
      <c r="MDJ1451"/>
      <c r="MDK1451"/>
      <c r="MDL1451"/>
      <c r="MDM1451"/>
      <c r="MDN1451"/>
      <c r="MDO1451"/>
      <c r="MDP1451"/>
      <c r="MDQ1451"/>
      <c r="MDR1451"/>
      <c r="MDS1451"/>
      <c r="MDT1451"/>
      <c r="MDU1451"/>
      <c r="MDV1451"/>
      <c r="MDW1451"/>
      <c r="MDX1451"/>
      <c r="MDY1451"/>
      <c r="MDZ1451"/>
      <c r="MEA1451"/>
      <c r="MEB1451"/>
      <c r="MEC1451"/>
      <c r="MED1451"/>
      <c r="MEE1451"/>
      <c r="MEF1451"/>
      <c r="MEG1451"/>
      <c r="MEH1451"/>
      <c r="MEI1451"/>
      <c r="MEJ1451"/>
      <c r="MEK1451"/>
      <c r="MEL1451"/>
      <c r="MEM1451"/>
      <c r="MEN1451"/>
      <c r="MEO1451"/>
      <c r="MEP1451"/>
      <c r="MEQ1451"/>
      <c r="MER1451"/>
      <c r="MES1451"/>
      <c r="MET1451"/>
      <c r="MEU1451"/>
      <c r="MEV1451"/>
      <c r="MEW1451"/>
      <c r="MEX1451"/>
      <c r="MEY1451"/>
      <c r="MEZ1451"/>
      <c r="MFA1451"/>
      <c r="MFB1451"/>
      <c r="MFC1451"/>
      <c r="MFD1451"/>
      <c r="MFE1451"/>
      <c r="MFF1451"/>
      <c r="MFG1451"/>
      <c r="MFH1451"/>
      <c r="MFI1451"/>
      <c r="MFJ1451"/>
      <c r="MFK1451"/>
      <c r="MFL1451"/>
      <c r="MFM1451"/>
      <c r="MFN1451"/>
      <c r="MFO1451"/>
      <c r="MFP1451"/>
      <c r="MFQ1451"/>
      <c r="MFR1451"/>
      <c r="MFS1451"/>
      <c r="MFT1451"/>
      <c r="MFU1451"/>
      <c r="MFV1451"/>
      <c r="MFW1451"/>
      <c r="MFX1451"/>
      <c r="MFY1451"/>
      <c r="MFZ1451"/>
      <c r="MGA1451"/>
      <c r="MGB1451"/>
      <c r="MGC1451"/>
      <c r="MGD1451"/>
      <c r="MGE1451"/>
      <c r="MGF1451"/>
      <c r="MGG1451"/>
      <c r="MGH1451"/>
      <c r="MGI1451"/>
      <c r="MGJ1451"/>
      <c r="MGK1451"/>
      <c r="MGL1451"/>
      <c r="MGM1451"/>
      <c r="MGN1451"/>
      <c r="MGO1451"/>
      <c r="MGP1451"/>
      <c r="MGQ1451"/>
      <c r="MGR1451"/>
      <c r="MGS1451"/>
      <c r="MGT1451"/>
      <c r="MGU1451"/>
      <c r="MGV1451"/>
      <c r="MGW1451"/>
      <c r="MGX1451"/>
      <c r="MGY1451"/>
      <c r="MGZ1451"/>
      <c r="MHA1451"/>
      <c r="MHB1451"/>
      <c r="MHC1451"/>
      <c r="MHD1451"/>
      <c r="MHE1451"/>
      <c r="MHF1451"/>
      <c r="MHG1451"/>
      <c r="MHH1451"/>
      <c r="MHI1451"/>
      <c r="MHJ1451"/>
      <c r="MHK1451"/>
      <c r="MHL1451"/>
      <c r="MHM1451"/>
      <c r="MHN1451"/>
      <c r="MHO1451"/>
      <c r="MHP1451"/>
      <c r="MHQ1451"/>
      <c r="MHR1451"/>
      <c r="MHS1451"/>
      <c r="MHT1451"/>
      <c r="MHU1451"/>
      <c r="MHV1451"/>
      <c r="MHW1451"/>
      <c r="MHX1451"/>
      <c r="MHY1451"/>
      <c r="MHZ1451"/>
      <c r="MIA1451"/>
      <c r="MIB1451"/>
      <c r="MIC1451"/>
      <c r="MID1451"/>
      <c r="MIE1451"/>
      <c r="MIF1451"/>
      <c r="MIG1451"/>
      <c r="MIH1451"/>
      <c r="MII1451"/>
      <c r="MIJ1451"/>
      <c r="MIK1451"/>
      <c r="MIL1451"/>
      <c r="MIM1451"/>
      <c r="MIN1451"/>
      <c r="MIO1451"/>
      <c r="MIP1451"/>
      <c r="MIQ1451"/>
      <c r="MIR1451"/>
      <c r="MIS1451"/>
      <c r="MIT1451"/>
      <c r="MIU1451"/>
      <c r="MIV1451"/>
      <c r="MIW1451"/>
      <c r="MIX1451"/>
      <c r="MIY1451"/>
      <c r="MIZ1451"/>
      <c r="MJA1451"/>
      <c r="MJB1451"/>
      <c r="MJC1451"/>
      <c r="MJD1451"/>
      <c r="MJE1451"/>
      <c r="MJF1451"/>
      <c r="MJG1451"/>
      <c r="MJH1451"/>
      <c r="MJI1451"/>
      <c r="MJJ1451"/>
      <c r="MJK1451"/>
      <c r="MJL1451"/>
      <c r="MJM1451"/>
      <c r="MJN1451"/>
      <c r="MJO1451"/>
      <c r="MJP1451"/>
      <c r="MJQ1451"/>
      <c r="MJR1451"/>
      <c r="MJS1451"/>
      <c r="MJT1451"/>
      <c r="MJU1451"/>
      <c r="MJV1451"/>
      <c r="MJW1451"/>
      <c r="MJX1451"/>
      <c r="MJY1451"/>
      <c r="MJZ1451"/>
      <c r="MKA1451"/>
      <c r="MKB1451"/>
      <c r="MKC1451"/>
      <c r="MKD1451"/>
      <c r="MKE1451"/>
      <c r="MKF1451"/>
      <c r="MKG1451"/>
      <c r="MKH1451"/>
      <c r="MKI1451"/>
      <c r="MKJ1451"/>
      <c r="MKK1451"/>
      <c r="MKL1451"/>
      <c r="MKM1451"/>
      <c r="MKN1451"/>
      <c r="MKO1451"/>
      <c r="MKP1451"/>
      <c r="MKQ1451"/>
      <c r="MKR1451"/>
      <c r="MKS1451"/>
      <c r="MKT1451"/>
      <c r="MKU1451"/>
      <c r="MKV1451"/>
      <c r="MKW1451"/>
      <c r="MKX1451"/>
      <c r="MKY1451"/>
      <c r="MKZ1451"/>
      <c r="MLA1451"/>
      <c r="MLB1451"/>
      <c r="MLC1451"/>
      <c r="MLD1451"/>
      <c r="MLE1451"/>
      <c r="MLF1451"/>
      <c r="MLG1451"/>
      <c r="MLH1451"/>
      <c r="MLI1451"/>
      <c r="MLJ1451"/>
      <c r="MLK1451"/>
      <c r="MLL1451"/>
      <c r="MLM1451"/>
      <c r="MLN1451"/>
      <c r="MLO1451"/>
      <c r="MLP1451"/>
      <c r="MLQ1451"/>
      <c r="MLR1451"/>
      <c r="MLS1451"/>
      <c r="MLT1451"/>
      <c r="MLU1451"/>
      <c r="MLV1451"/>
      <c r="MLW1451"/>
      <c r="MLX1451"/>
      <c r="MLY1451"/>
      <c r="MLZ1451"/>
      <c r="MMA1451"/>
      <c r="MMB1451"/>
      <c r="MMC1451"/>
      <c r="MMD1451"/>
      <c r="MME1451"/>
      <c r="MMF1451"/>
      <c r="MMG1451"/>
      <c r="MMH1451"/>
      <c r="MMI1451"/>
      <c r="MMJ1451"/>
      <c r="MMK1451"/>
      <c r="MML1451"/>
      <c r="MMM1451"/>
      <c r="MMN1451"/>
      <c r="MMO1451"/>
      <c r="MMP1451"/>
      <c r="MMQ1451"/>
      <c r="MMR1451"/>
      <c r="MMS1451"/>
      <c r="MMT1451"/>
      <c r="MMU1451"/>
      <c r="MMV1451"/>
      <c r="MMW1451"/>
      <c r="MMX1451"/>
      <c r="MMY1451"/>
      <c r="MMZ1451"/>
      <c r="MNA1451"/>
      <c r="MNB1451"/>
      <c r="MNC1451"/>
      <c r="MND1451"/>
      <c r="MNE1451"/>
      <c r="MNF1451"/>
      <c r="MNG1451"/>
      <c r="MNH1451"/>
      <c r="MNI1451"/>
      <c r="MNJ1451"/>
      <c r="MNK1451"/>
      <c r="MNL1451"/>
      <c r="MNM1451"/>
      <c r="MNN1451"/>
      <c r="MNO1451"/>
      <c r="MNP1451"/>
      <c r="MNQ1451"/>
      <c r="MNR1451"/>
      <c r="MNS1451"/>
      <c r="MNT1451"/>
      <c r="MNU1451"/>
      <c r="MNV1451"/>
      <c r="MNW1451"/>
      <c r="MNX1451"/>
      <c r="MNY1451"/>
      <c r="MNZ1451"/>
      <c r="MOA1451"/>
      <c r="MOB1451"/>
      <c r="MOC1451"/>
      <c r="MOD1451"/>
      <c r="MOE1451"/>
      <c r="MOF1451"/>
      <c r="MOG1451"/>
      <c r="MOH1451"/>
      <c r="MOI1451"/>
      <c r="MOJ1451"/>
      <c r="MOK1451"/>
      <c r="MOL1451"/>
      <c r="MOM1451"/>
      <c r="MON1451"/>
      <c r="MOO1451"/>
      <c r="MOP1451"/>
      <c r="MOQ1451"/>
      <c r="MOR1451"/>
      <c r="MOS1451"/>
      <c r="MOT1451"/>
      <c r="MOU1451"/>
      <c r="MOV1451"/>
      <c r="MOW1451"/>
      <c r="MOX1451"/>
      <c r="MOY1451"/>
      <c r="MOZ1451"/>
      <c r="MPA1451"/>
      <c r="MPB1451"/>
      <c r="MPC1451"/>
      <c r="MPD1451"/>
      <c r="MPE1451"/>
      <c r="MPF1451"/>
      <c r="MPG1451"/>
      <c r="MPH1451"/>
      <c r="MPI1451"/>
      <c r="MPJ1451"/>
      <c r="MPK1451"/>
      <c r="MPL1451"/>
      <c r="MPM1451"/>
      <c r="MPN1451"/>
      <c r="MPO1451"/>
      <c r="MPP1451"/>
      <c r="MPQ1451"/>
      <c r="MPR1451"/>
      <c r="MPS1451"/>
      <c r="MPT1451"/>
      <c r="MPU1451"/>
      <c r="MPV1451"/>
      <c r="MPW1451"/>
      <c r="MPX1451"/>
      <c r="MPY1451"/>
      <c r="MPZ1451"/>
      <c r="MQA1451"/>
      <c r="MQB1451"/>
      <c r="MQC1451"/>
      <c r="MQD1451"/>
      <c r="MQE1451"/>
      <c r="MQF1451"/>
      <c r="MQG1451"/>
      <c r="MQH1451"/>
      <c r="MQI1451"/>
      <c r="MQJ1451"/>
      <c r="MQK1451"/>
      <c r="MQL1451"/>
      <c r="MQM1451"/>
      <c r="MQN1451"/>
      <c r="MQO1451"/>
      <c r="MQP1451"/>
      <c r="MQQ1451"/>
      <c r="MQR1451"/>
      <c r="MQS1451"/>
      <c r="MQT1451"/>
      <c r="MQU1451"/>
      <c r="MQV1451"/>
      <c r="MQW1451"/>
      <c r="MQX1451"/>
      <c r="MQY1451"/>
      <c r="MQZ1451"/>
      <c r="MRA1451"/>
      <c r="MRB1451"/>
      <c r="MRC1451"/>
      <c r="MRD1451"/>
      <c r="MRE1451"/>
      <c r="MRF1451"/>
      <c r="MRG1451"/>
      <c r="MRH1451"/>
      <c r="MRI1451"/>
      <c r="MRJ1451"/>
      <c r="MRK1451"/>
      <c r="MRL1451"/>
      <c r="MRM1451"/>
      <c r="MRN1451"/>
      <c r="MRO1451"/>
      <c r="MRP1451"/>
      <c r="MRQ1451"/>
      <c r="MRR1451"/>
      <c r="MRS1451"/>
      <c r="MRT1451"/>
      <c r="MRU1451"/>
      <c r="MRV1451"/>
      <c r="MRW1451"/>
      <c r="MRX1451"/>
      <c r="MRY1451"/>
      <c r="MRZ1451"/>
      <c r="MSA1451"/>
      <c r="MSB1451"/>
      <c r="MSC1451"/>
      <c r="MSD1451"/>
      <c r="MSE1451"/>
      <c r="MSF1451"/>
      <c r="MSG1451"/>
      <c r="MSH1451"/>
      <c r="MSI1451"/>
      <c r="MSJ1451"/>
      <c r="MSK1451"/>
      <c r="MSL1451"/>
      <c r="MSM1451"/>
      <c r="MSN1451"/>
      <c r="MSO1451"/>
      <c r="MSP1451"/>
      <c r="MSQ1451"/>
      <c r="MSR1451"/>
      <c r="MSS1451"/>
      <c r="MST1451"/>
      <c r="MSU1451"/>
      <c r="MSV1451"/>
      <c r="MSW1451"/>
      <c r="MSX1451"/>
      <c r="MSY1451"/>
      <c r="MSZ1451"/>
      <c r="MTA1451"/>
      <c r="MTB1451"/>
      <c r="MTC1451"/>
      <c r="MTD1451"/>
      <c r="MTE1451"/>
      <c r="MTF1451"/>
      <c r="MTG1451"/>
      <c r="MTH1451"/>
      <c r="MTI1451"/>
      <c r="MTJ1451"/>
      <c r="MTK1451"/>
      <c r="MTL1451"/>
      <c r="MTM1451"/>
      <c r="MTN1451"/>
      <c r="MTO1451"/>
      <c r="MTP1451"/>
      <c r="MTQ1451"/>
      <c r="MTR1451"/>
      <c r="MTS1451"/>
      <c r="MTT1451"/>
      <c r="MTU1451"/>
      <c r="MTV1451"/>
      <c r="MTW1451"/>
      <c r="MTX1451"/>
      <c r="MTY1451"/>
      <c r="MTZ1451"/>
      <c r="MUA1451"/>
      <c r="MUB1451"/>
      <c r="MUC1451"/>
      <c r="MUD1451"/>
      <c r="MUE1451"/>
      <c r="MUF1451"/>
      <c r="MUG1451"/>
      <c r="MUH1451"/>
      <c r="MUI1451"/>
      <c r="MUJ1451"/>
      <c r="MUK1451"/>
      <c r="MUL1451"/>
      <c r="MUM1451"/>
      <c r="MUN1451"/>
      <c r="MUO1451"/>
      <c r="MUP1451"/>
      <c r="MUQ1451"/>
      <c r="MUR1451"/>
      <c r="MUS1451"/>
      <c r="MUT1451"/>
      <c r="MUU1451"/>
      <c r="MUV1451"/>
      <c r="MUW1451"/>
      <c r="MUX1451"/>
      <c r="MUY1451"/>
      <c r="MUZ1451"/>
      <c r="MVA1451"/>
      <c r="MVB1451"/>
      <c r="MVC1451"/>
      <c r="MVD1451"/>
      <c r="MVE1451"/>
      <c r="MVF1451"/>
      <c r="MVG1451"/>
      <c r="MVH1451"/>
      <c r="MVI1451"/>
      <c r="MVJ1451"/>
      <c r="MVK1451"/>
      <c r="MVL1451"/>
      <c r="MVM1451"/>
      <c r="MVN1451"/>
      <c r="MVO1451"/>
      <c r="MVP1451"/>
      <c r="MVQ1451"/>
      <c r="MVR1451"/>
      <c r="MVS1451"/>
      <c r="MVT1451"/>
      <c r="MVU1451"/>
      <c r="MVV1451"/>
      <c r="MVW1451"/>
      <c r="MVX1451"/>
      <c r="MVY1451"/>
      <c r="MVZ1451"/>
      <c r="MWA1451"/>
      <c r="MWB1451"/>
      <c r="MWC1451"/>
      <c r="MWD1451"/>
      <c r="MWE1451"/>
      <c r="MWF1451"/>
      <c r="MWG1451"/>
      <c r="MWH1451"/>
      <c r="MWI1451"/>
      <c r="MWJ1451"/>
      <c r="MWK1451"/>
      <c r="MWL1451"/>
      <c r="MWM1451"/>
      <c r="MWN1451"/>
      <c r="MWO1451"/>
      <c r="MWP1451"/>
      <c r="MWQ1451"/>
      <c r="MWR1451"/>
      <c r="MWS1451"/>
      <c r="MWT1451"/>
      <c r="MWU1451"/>
      <c r="MWV1451"/>
      <c r="MWW1451"/>
      <c r="MWX1451"/>
      <c r="MWY1451"/>
      <c r="MWZ1451"/>
      <c r="MXA1451"/>
      <c r="MXB1451"/>
      <c r="MXC1451"/>
      <c r="MXD1451"/>
      <c r="MXE1451"/>
      <c r="MXF1451"/>
      <c r="MXG1451"/>
      <c r="MXH1451"/>
      <c r="MXI1451"/>
      <c r="MXJ1451"/>
      <c r="MXK1451"/>
      <c r="MXL1451"/>
      <c r="MXM1451"/>
      <c r="MXN1451"/>
      <c r="MXO1451"/>
      <c r="MXP1451"/>
      <c r="MXQ1451"/>
      <c r="MXR1451"/>
      <c r="MXS1451"/>
      <c r="MXT1451"/>
      <c r="MXU1451"/>
      <c r="MXV1451"/>
      <c r="MXW1451"/>
      <c r="MXX1451"/>
      <c r="MXY1451"/>
      <c r="MXZ1451"/>
      <c r="MYA1451"/>
      <c r="MYB1451"/>
      <c r="MYC1451"/>
      <c r="MYD1451"/>
      <c r="MYE1451"/>
      <c r="MYF1451"/>
      <c r="MYG1451"/>
      <c r="MYH1451"/>
      <c r="MYI1451"/>
      <c r="MYJ1451"/>
      <c r="MYK1451"/>
      <c r="MYL1451"/>
      <c r="MYM1451"/>
      <c r="MYN1451"/>
      <c r="MYO1451"/>
      <c r="MYP1451"/>
      <c r="MYQ1451"/>
      <c r="MYR1451"/>
      <c r="MYS1451"/>
      <c r="MYT1451"/>
      <c r="MYU1451"/>
      <c r="MYV1451"/>
      <c r="MYW1451"/>
      <c r="MYX1451"/>
      <c r="MYY1451"/>
      <c r="MYZ1451"/>
      <c r="MZA1451"/>
      <c r="MZB1451"/>
      <c r="MZC1451"/>
      <c r="MZD1451"/>
      <c r="MZE1451"/>
      <c r="MZF1451"/>
      <c r="MZG1451"/>
      <c r="MZH1451"/>
      <c r="MZI1451"/>
      <c r="MZJ1451"/>
      <c r="MZK1451"/>
      <c r="MZL1451"/>
      <c r="MZM1451"/>
      <c r="MZN1451"/>
      <c r="MZO1451"/>
      <c r="MZP1451"/>
      <c r="MZQ1451"/>
      <c r="MZR1451"/>
      <c r="MZS1451"/>
      <c r="MZT1451"/>
      <c r="MZU1451"/>
      <c r="MZV1451"/>
      <c r="MZW1451"/>
      <c r="MZX1451"/>
      <c r="MZY1451"/>
      <c r="MZZ1451"/>
      <c r="NAA1451"/>
      <c r="NAB1451"/>
      <c r="NAC1451"/>
      <c r="NAD1451"/>
      <c r="NAE1451"/>
      <c r="NAF1451"/>
      <c r="NAG1451"/>
      <c r="NAH1451"/>
      <c r="NAI1451"/>
      <c r="NAJ1451"/>
      <c r="NAK1451"/>
      <c r="NAL1451"/>
      <c r="NAM1451"/>
      <c r="NAN1451"/>
      <c r="NAO1451"/>
      <c r="NAP1451"/>
      <c r="NAQ1451"/>
      <c r="NAR1451"/>
      <c r="NAS1451"/>
      <c r="NAT1451"/>
      <c r="NAU1451"/>
      <c r="NAV1451"/>
      <c r="NAW1451"/>
      <c r="NAX1451"/>
      <c r="NAY1451"/>
      <c r="NAZ1451"/>
      <c r="NBA1451"/>
      <c r="NBB1451"/>
      <c r="NBC1451"/>
      <c r="NBD1451"/>
      <c r="NBE1451"/>
      <c r="NBF1451"/>
      <c r="NBG1451"/>
      <c r="NBH1451"/>
      <c r="NBI1451"/>
      <c r="NBJ1451"/>
      <c r="NBK1451"/>
      <c r="NBL1451"/>
      <c r="NBM1451"/>
      <c r="NBN1451"/>
      <c r="NBO1451"/>
      <c r="NBP1451"/>
      <c r="NBQ1451"/>
      <c r="NBR1451"/>
      <c r="NBS1451"/>
      <c r="NBT1451"/>
      <c r="NBU1451"/>
      <c r="NBV1451"/>
      <c r="NBW1451"/>
      <c r="NBX1451"/>
      <c r="NBY1451"/>
      <c r="NBZ1451"/>
      <c r="NCA1451"/>
      <c r="NCB1451"/>
      <c r="NCC1451"/>
      <c r="NCD1451"/>
      <c r="NCE1451"/>
      <c r="NCF1451"/>
      <c r="NCG1451"/>
      <c r="NCH1451"/>
      <c r="NCI1451"/>
      <c r="NCJ1451"/>
      <c r="NCK1451"/>
      <c r="NCL1451"/>
      <c r="NCM1451"/>
      <c r="NCN1451"/>
      <c r="NCO1451"/>
      <c r="NCP1451"/>
      <c r="NCQ1451"/>
      <c r="NCR1451"/>
      <c r="NCS1451"/>
      <c r="NCT1451"/>
      <c r="NCU1451"/>
      <c r="NCV1451"/>
      <c r="NCW1451"/>
      <c r="NCX1451"/>
      <c r="NCY1451"/>
      <c r="NCZ1451"/>
      <c r="NDA1451"/>
      <c r="NDB1451"/>
      <c r="NDC1451"/>
      <c r="NDD1451"/>
      <c r="NDE1451"/>
      <c r="NDF1451"/>
      <c r="NDG1451"/>
      <c r="NDH1451"/>
      <c r="NDI1451"/>
      <c r="NDJ1451"/>
      <c r="NDK1451"/>
      <c r="NDL1451"/>
      <c r="NDM1451"/>
      <c r="NDN1451"/>
      <c r="NDO1451"/>
      <c r="NDP1451"/>
      <c r="NDQ1451"/>
      <c r="NDR1451"/>
      <c r="NDS1451"/>
      <c r="NDT1451"/>
      <c r="NDU1451"/>
      <c r="NDV1451"/>
      <c r="NDW1451"/>
      <c r="NDX1451"/>
      <c r="NDY1451"/>
      <c r="NDZ1451"/>
      <c r="NEA1451"/>
      <c r="NEB1451"/>
      <c r="NEC1451"/>
      <c r="NED1451"/>
      <c r="NEE1451"/>
      <c r="NEF1451"/>
      <c r="NEG1451"/>
      <c r="NEH1451"/>
      <c r="NEI1451"/>
      <c r="NEJ1451"/>
      <c r="NEK1451"/>
      <c r="NEL1451"/>
      <c r="NEM1451"/>
      <c r="NEN1451"/>
      <c r="NEO1451"/>
      <c r="NEP1451"/>
      <c r="NEQ1451"/>
      <c r="NER1451"/>
      <c r="NES1451"/>
      <c r="NET1451"/>
      <c r="NEU1451"/>
      <c r="NEV1451"/>
      <c r="NEW1451"/>
      <c r="NEX1451"/>
      <c r="NEY1451"/>
      <c r="NEZ1451"/>
      <c r="NFA1451"/>
      <c r="NFB1451"/>
      <c r="NFC1451"/>
      <c r="NFD1451"/>
      <c r="NFE1451"/>
      <c r="NFF1451"/>
      <c r="NFG1451"/>
      <c r="NFH1451"/>
      <c r="NFI1451"/>
      <c r="NFJ1451"/>
      <c r="NFK1451"/>
      <c r="NFL1451"/>
      <c r="NFM1451"/>
      <c r="NFN1451"/>
      <c r="NFO1451"/>
      <c r="NFP1451"/>
      <c r="NFQ1451"/>
      <c r="NFR1451"/>
      <c r="NFS1451"/>
      <c r="NFT1451"/>
      <c r="NFU1451"/>
      <c r="NFV1451"/>
      <c r="NFW1451"/>
      <c r="NFX1451"/>
      <c r="NFY1451"/>
      <c r="NFZ1451"/>
      <c r="NGA1451"/>
      <c r="NGB1451"/>
      <c r="NGC1451"/>
      <c r="NGD1451"/>
      <c r="NGE1451"/>
      <c r="NGF1451"/>
      <c r="NGG1451"/>
      <c r="NGH1451"/>
      <c r="NGI1451"/>
      <c r="NGJ1451"/>
      <c r="NGK1451"/>
      <c r="NGL1451"/>
      <c r="NGM1451"/>
      <c r="NGN1451"/>
      <c r="NGO1451"/>
      <c r="NGP1451"/>
      <c r="NGQ1451"/>
      <c r="NGR1451"/>
      <c r="NGS1451"/>
      <c r="NGT1451"/>
      <c r="NGU1451"/>
      <c r="NGV1451"/>
      <c r="NGW1451"/>
      <c r="NGX1451"/>
      <c r="NGY1451"/>
      <c r="NGZ1451"/>
      <c r="NHA1451"/>
      <c r="NHB1451"/>
      <c r="NHC1451"/>
      <c r="NHD1451"/>
      <c r="NHE1451"/>
      <c r="NHF1451"/>
      <c r="NHG1451"/>
      <c r="NHH1451"/>
      <c r="NHI1451"/>
      <c r="NHJ1451"/>
      <c r="NHK1451"/>
      <c r="NHL1451"/>
      <c r="NHM1451"/>
      <c r="NHN1451"/>
      <c r="NHO1451"/>
      <c r="NHP1451"/>
      <c r="NHQ1451"/>
      <c r="NHR1451"/>
      <c r="NHS1451"/>
      <c r="NHT1451"/>
      <c r="NHU1451"/>
      <c r="NHV1451"/>
      <c r="NHW1451"/>
      <c r="NHX1451"/>
      <c r="NHY1451"/>
      <c r="NHZ1451"/>
      <c r="NIA1451"/>
      <c r="NIB1451"/>
      <c r="NIC1451"/>
      <c r="NID1451"/>
      <c r="NIE1451"/>
      <c r="NIF1451"/>
      <c r="NIG1451"/>
      <c r="NIH1451"/>
      <c r="NII1451"/>
      <c r="NIJ1451"/>
      <c r="NIK1451"/>
      <c r="NIL1451"/>
      <c r="NIM1451"/>
      <c r="NIN1451"/>
      <c r="NIO1451"/>
      <c r="NIP1451"/>
      <c r="NIQ1451"/>
      <c r="NIR1451"/>
      <c r="NIS1451"/>
      <c r="NIT1451"/>
      <c r="NIU1451"/>
      <c r="NIV1451"/>
      <c r="NIW1451"/>
      <c r="NIX1451"/>
      <c r="NIY1451"/>
      <c r="NIZ1451"/>
      <c r="NJA1451"/>
      <c r="NJB1451"/>
      <c r="NJC1451"/>
      <c r="NJD1451"/>
      <c r="NJE1451"/>
      <c r="NJF1451"/>
      <c r="NJG1451"/>
      <c r="NJH1451"/>
      <c r="NJI1451"/>
      <c r="NJJ1451"/>
      <c r="NJK1451"/>
      <c r="NJL1451"/>
      <c r="NJM1451"/>
      <c r="NJN1451"/>
      <c r="NJO1451"/>
      <c r="NJP1451"/>
      <c r="NJQ1451"/>
      <c r="NJR1451"/>
      <c r="NJS1451"/>
      <c r="NJT1451"/>
      <c r="NJU1451"/>
      <c r="NJV1451"/>
      <c r="NJW1451"/>
      <c r="NJX1451"/>
      <c r="NJY1451"/>
      <c r="NJZ1451"/>
      <c r="NKA1451"/>
      <c r="NKB1451"/>
      <c r="NKC1451"/>
      <c r="NKD1451"/>
      <c r="NKE1451"/>
      <c r="NKF1451"/>
      <c r="NKG1451"/>
      <c r="NKH1451"/>
      <c r="NKI1451"/>
      <c r="NKJ1451"/>
      <c r="NKK1451"/>
      <c r="NKL1451"/>
      <c r="NKM1451"/>
      <c r="NKN1451"/>
      <c r="NKO1451"/>
      <c r="NKP1451"/>
      <c r="NKQ1451"/>
      <c r="NKR1451"/>
      <c r="NKS1451"/>
      <c r="NKT1451"/>
      <c r="NKU1451"/>
      <c r="NKV1451"/>
      <c r="NKW1451"/>
      <c r="NKX1451"/>
      <c r="NKY1451"/>
      <c r="NKZ1451"/>
      <c r="NLA1451"/>
      <c r="NLB1451"/>
      <c r="NLC1451"/>
      <c r="NLD1451"/>
      <c r="NLE1451"/>
      <c r="NLF1451"/>
      <c r="NLG1451"/>
      <c r="NLH1451"/>
      <c r="NLI1451"/>
      <c r="NLJ1451"/>
      <c r="NLK1451"/>
      <c r="NLL1451"/>
      <c r="NLM1451"/>
      <c r="NLN1451"/>
      <c r="NLO1451"/>
      <c r="NLP1451"/>
      <c r="NLQ1451"/>
      <c r="NLR1451"/>
      <c r="NLS1451"/>
      <c r="NLT1451"/>
      <c r="NLU1451"/>
      <c r="NLV1451"/>
      <c r="NLW1451"/>
      <c r="NLX1451"/>
      <c r="NLY1451"/>
      <c r="NLZ1451"/>
      <c r="NMA1451"/>
      <c r="NMB1451"/>
      <c r="NMC1451"/>
      <c r="NMD1451"/>
      <c r="NME1451"/>
      <c r="NMF1451"/>
      <c r="NMG1451"/>
      <c r="NMH1451"/>
      <c r="NMI1451"/>
      <c r="NMJ1451"/>
      <c r="NMK1451"/>
      <c r="NML1451"/>
      <c r="NMM1451"/>
      <c r="NMN1451"/>
      <c r="NMO1451"/>
      <c r="NMP1451"/>
      <c r="NMQ1451"/>
      <c r="NMR1451"/>
      <c r="NMS1451"/>
      <c r="NMT1451"/>
      <c r="NMU1451"/>
      <c r="NMV1451"/>
      <c r="NMW1451"/>
      <c r="NMX1451"/>
      <c r="NMY1451"/>
      <c r="NMZ1451"/>
      <c r="NNA1451"/>
      <c r="NNB1451"/>
      <c r="NNC1451"/>
      <c r="NND1451"/>
      <c r="NNE1451"/>
      <c r="NNF1451"/>
      <c r="NNG1451"/>
      <c r="NNH1451"/>
      <c r="NNI1451"/>
      <c r="NNJ1451"/>
      <c r="NNK1451"/>
      <c r="NNL1451"/>
      <c r="NNM1451"/>
      <c r="NNN1451"/>
      <c r="NNO1451"/>
      <c r="NNP1451"/>
      <c r="NNQ1451"/>
      <c r="NNR1451"/>
      <c r="NNS1451"/>
      <c r="NNT1451"/>
      <c r="NNU1451"/>
      <c r="NNV1451"/>
      <c r="NNW1451"/>
      <c r="NNX1451"/>
      <c r="NNY1451"/>
      <c r="NNZ1451"/>
      <c r="NOA1451"/>
      <c r="NOB1451"/>
      <c r="NOC1451"/>
      <c r="NOD1451"/>
      <c r="NOE1451"/>
      <c r="NOF1451"/>
      <c r="NOG1451"/>
      <c r="NOH1451"/>
      <c r="NOI1451"/>
      <c r="NOJ1451"/>
      <c r="NOK1451"/>
      <c r="NOL1451"/>
      <c r="NOM1451"/>
      <c r="NON1451"/>
      <c r="NOO1451"/>
      <c r="NOP1451"/>
      <c r="NOQ1451"/>
      <c r="NOR1451"/>
      <c r="NOS1451"/>
      <c r="NOT1451"/>
      <c r="NOU1451"/>
      <c r="NOV1451"/>
      <c r="NOW1451"/>
      <c r="NOX1451"/>
      <c r="NOY1451"/>
      <c r="NOZ1451"/>
      <c r="NPA1451"/>
      <c r="NPB1451"/>
      <c r="NPC1451"/>
      <c r="NPD1451"/>
      <c r="NPE1451"/>
      <c r="NPF1451"/>
      <c r="NPG1451"/>
      <c r="NPH1451"/>
      <c r="NPI1451"/>
      <c r="NPJ1451"/>
      <c r="NPK1451"/>
      <c r="NPL1451"/>
      <c r="NPM1451"/>
      <c r="NPN1451"/>
      <c r="NPO1451"/>
      <c r="NPP1451"/>
      <c r="NPQ1451"/>
      <c r="NPR1451"/>
      <c r="NPS1451"/>
      <c r="NPT1451"/>
      <c r="NPU1451"/>
      <c r="NPV1451"/>
      <c r="NPW1451"/>
      <c r="NPX1451"/>
      <c r="NPY1451"/>
      <c r="NPZ1451"/>
      <c r="NQA1451"/>
      <c r="NQB1451"/>
      <c r="NQC1451"/>
      <c r="NQD1451"/>
      <c r="NQE1451"/>
      <c r="NQF1451"/>
      <c r="NQG1451"/>
      <c r="NQH1451"/>
      <c r="NQI1451"/>
      <c r="NQJ1451"/>
      <c r="NQK1451"/>
      <c r="NQL1451"/>
      <c r="NQM1451"/>
      <c r="NQN1451"/>
      <c r="NQO1451"/>
      <c r="NQP1451"/>
      <c r="NQQ1451"/>
      <c r="NQR1451"/>
      <c r="NQS1451"/>
      <c r="NQT1451"/>
      <c r="NQU1451"/>
      <c r="NQV1451"/>
      <c r="NQW1451"/>
      <c r="NQX1451"/>
      <c r="NQY1451"/>
      <c r="NQZ1451"/>
      <c r="NRA1451"/>
      <c r="NRB1451"/>
      <c r="NRC1451"/>
      <c r="NRD1451"/>
      <c r="NRE1451"/>
      <c r="NRF1451"/>
      <c r="NRG1451"/>
      <c r="NRH1451"/>
      <c r="NRI1451"/>
      <c r="NRJ1451"/>
      <c r="NRK1451"/>
      <c r="NRL1451"/>
      <c r="NRM1451"/>
      <c r="NRN1451"/>
      <c r="NRO1451"/>
      <c r="NRP1451"/>
      <c r="NRQ1451"/>
      <c r="NRR1451"/>
      <c r="NRS1451"/>
      <c r="NRT1451"/>
      <c r="NRU1451"/>
      <c r="NRV1451"/>
      <c r="NRW1451"/>
      <c r="NRX1451"/>
      <c r="NRY1451"/>
      <c r="NRZ1451"/>
      <c r="NSA1451"/>
      <c r="NSB1451"/>
      <c r="NSC1451"/>
      <c r="NSD1451"/>
      <c r="NSE1451"/>
      <c r="NSF1451"/>
      <c r="NSG1451"/>
      <c r="NSH1451"/>
      <c r="NSI1451"/>
      <c r="NSJ1451"/>
      <c r="NSK1451"/>
      <c r="NSL1451"/>
      <c r="NSM1451"/>
      <c r="NSN1451"/>
      <c r="NSO1451"/>
      <c r="NSP1451"/>
      <c r="NSQ1451"/>
      <c r="NSR1451"/>
      <c r="NSS1451"/>
      <c r="NST1451"/>
      <c r="NSU1451"/>
      <c r="NSV1451"/>
      <c r="NSW1451"/>
      <c r="NSX1451"/>
      <c r="NSY1451"/>
      <c r="NSZ1451"/>
      <c r="NTA1451"/>
      <c r="NTB1451"/>
      <c r="NTC1451"/>
      <c r="NTD1451"/>
      <c r="NTE1451"/>
      <c r="NTF1451"/>
      <c r="NTG1451"/>
      <c r="NTH1451"/>
      <c r="NTI1451"/>
      <c r="NTJ1451"/>
      <c r="NTK1451"/>
      <c r="NTL1451"/>
      <c r="NTM1451"/>
      <c r="NTN1451"/>
      <c r="NTO1451"/>
      <c r="NTP1451"/>
      <c r="NTQ1451"/>
      <c r="NTR1451"/>
      <c r="NTS1451"/>
      <c r="NTT1451"/>
      <c r="NTU1451"/>
      <c r="NTV1451"/>
      <c r="NTW1451"/>
      <c r="NTX1451"/>
      <c r="NTY1451"/>
      <c r="NTZ1451"/>
      <c r="NUA1451"/>
      <c r="NUB1451"/>
      <c r="NUC1451"/>
      <c r="NUD1451"/>
      <c r="NUE1451"/>
      <c r="NUF1451"/>
      <c r="NUG1451"/>
      <c r="NUH1451"/>
      <c r="NUI1451"/>
      <c r="NUJ1451"/>
      <c r="NUK1451"/>
      <c r="NUL1451"/>
      <c r="NUM1451"/>
      <c r="NUN1451"/>
      <c r="NUO1451"/>
      <c r="NUP1451"/>
      <c r="NUQ1451"/>
      <c r="NUR1451"/>
      <c r="NUS1451"/>
      <c r="NUT1451"/>
      <c r="NUU1451"/>
      <c r="NUV1451"/>
      <c r="NUW1451"/>
      <c r="NUX1451"/>
      <c r="NUY1451"/>
      <c r="NUZ1451"/>
      <c r="NVA1451"/>
      <c r="NVB1451"/>
      <c r="NVC1451"/>
      <c r="NVD1451"/>
      <c r="NVE1451"/>
      <c r="NVF1451"/>
      <c r="NVG1451"/>
      <c r="NVH1451"/>
      <c r="NVI1451"/>
      <c r="NVJ1451"/>
      <c r="NVK1451"/>
      <c r="NVL1451"/>
      <c r="NVM1451"/>
      <c r="NVN1451"/>
      <c r="NVO1451"/>
      <c r="NVP1451"/>
      <c r="NVQ1451"/>
      <c r="NVR1451"/>
      <c r="NVS1451"/>
      <c r="NVT1451"/>
      <c r="NVU1451"/>
      <c r="NVV1451"/>
      <c r="NVW1451"/>
      <c r="NVX1451"/>
      <c r="NVY1451"/>
      <c r="NVZ1451"/>
      <c r="NWA1451"/>
      <c r="NWB1451"/>
      <c r="NWC1451"/>
      <c r="NWD1451"/>
      <c r="NWE1451"/>
      <c r="NWF1451"/>
      <c r="NWG1451"/>
      <c r="NWH1451"/>
      <c r="NWI1451"/>
      <c r="NWJ1451"/>
      <c r="NWK1451"/>
      <c r="NWL1451"/>
      <c r="NWM1451"/>
      <c r="NWN1451"/>
      <c r="NWO1451"/>
      <c r="NWP1451"/>
      <c r="NWQ1451"/>
      <c r="NWR1451"/>
      <c r="NWS1451"/>
      <c r="NWT1451"/>
      <c r="NWU1451"/>
      <c r="NWV1451"/>
      <c r="NWW1451"/>
      <c r="NWX1451"/>
      <c r="NWY1451"/>
      <c r="NWZ1451"/>
      <c r="NXA1451"/>
      <c r="NXB1451"/>
      <c r="NXC1451"/>
      <c r="NXD1451"/>
      <c r="NXE1451"/>
      <c r="NXF1451"/>
      <c r="NXG1451"/>
      <c r="NXH1451"/>
      <c r="NXI1451"/>
      <c r="NXJ1451"/>
      <c r="NXK1451"/>
      <c r="NXL1451"/>
      <c r="NXM1451"/>
      <c r="NXN1451"/>
      <c r="NXO1451"/>
      <c r="NXP1451"/>
      <c r="NXQ1451"/>
      <c r="NXR1451"/>
      <c r="NXS1451"/>
      <c r="NXT1451"/>
      <c r="NXU1451"/>
      <c r="NXV1451"/>
      <c r="NXW1451"/>
      <c r="NXX1451"/>
      <c r="NXY1451"/>
      <c r="NXZ1451"/>
      <c r="NYA1451"/>
      <c r="NYB1451"/>
      <c r="NYC1451"/>
      <c r="NYD1451"/>
      <c r="NYE1451"/>
      <c r="NYF1451"/>
      <c r="NYG1451"/>
      <c r="NYH1451"/>
      <c r="NYI1451"/>
      <c r="NYJ1451"/>
      <c r="NYK1451"/>
      <c r="NYL1451"/>
      <c r="NYM1451"/>
      <c r="NYN1451"/>
      <c r="NYO1451"/>
      <c r="NYP1451"/>
      <c r="NYQ1451"/>
      <c r="NYR1451"/>
      <c r="NYS1451"/>
      <c r="NYT1451"/>
      <c r="NYU1451"/>
      <c r="NYV1451"/>
      <c r="NYW1451"/>
      <c r="NYX1451"/>
      <c r="NYY1451"/>
      <c r="NYZ1451"/>
      <c r="NZA1451"/>
      <c r="NZB1451"/>
      <c r="NZC1451"/>
      <c r="NZD1451"/>
      <c r="NZE1451"/>
      <c r="NZF1451"/>
      <c r="NZG1451"/>
      <c r="NZH1451"/>
      <c r="NZI1451"/>
      <c r="NZJ1451"/>
      <c r="NZK1451"/>
      <c r="NZL1451"/>
      <c r="NZM1451"/>
      <c r="NZN1451"/>
      <c r="NZO1451"/>
      <c r="NZP1451"/>
      <c r="NZQ1451"/>
      <c r="NZR1451"/>
      <c r="NZS1451"/>
      <c r="NZT1451"/>
      <c r="NZU1451"/>
      <c r="NZV1451"/>
      <c r="NZW1451"/>
      <c r="NZX1451"/>
      <c r="NZY1451"/>
      <c r="NZZ1451"/>
      <c r="OAA1451"/>
      <c r="OAB1451"/>
      <c r="OAC1451"/>
      <c r="OAD1451"/>
      <c r="OAE1451"/>
      <c r="OAF1451"/>
      <c r="OAG1451"/>
      <c r="OAH1451"/>
      <c r="OAI1451"/>
      <c r="OAJ1451"/>
      <c r="OAK1451"/>
      <c r="OAL1451"/>
      <c r="OAM1451"/>
      <c r="OAN1451"/>
      <c r="OAO1451"/>
      <c r="OAP1451"/>
      <c r="OAQ1451"/>
      <c r="OAR1451"/>
      <c r="OAS1451"/>
      <c r="OAT1451"/>
      <c r="OAU1451"/>
      <c r="OAV1451"/>
      <c r="OAW1451"/>
      <c r="OAX1451"/>
      <c r="OAY1451"/>
      <c r="OAZ1451"/>
      <c r="OBA1451"/>
      <c r="OBB1451"/>
      <c r="OBC1451"/>
      <c r="OBD1451"/>
      <c r="OBE1451"/>
      <c r="OBF1451"/>
      <c r="OBG1451"/>
      <c r="OBH1451"/>
      <c r="OBI1451"/>
      <c r="OBJ1451"/>
      <c r="OBK1451"/>
      <c r="OBL1451"/>
      <c r="OBM1451"/>
      <c r="OBN1451"/>
      <c r="OBO1451"/>
      <c r="OBP1451"/>
      <c r="OBQ1451"/>
      <c r="OBR1451"/>
      <c r="OBS1451"/>
      <c r="OBT1451"/>
      <c r="OBU1451"/>
      <c r="OBV1451"/>
      <c r="OBW1451"/>
      <c r="OBX1451"/>
      <c r="OBY1451"/>
      <c r="OBZ1451"/>
      <c r="OCA1451"/>
      <c r="OCB1451"/>
      <c r="OCC1451"/>
      <c r="OCD1451"/>
      <c r="OCE1451"/>
      <c r="OCF1451"/>
      <c r="OCG1451"/>
      <c r="OCH1451"/>
      <c r="OCI1451"/>
      <c r="OCJ1451"/>
      <c r="OCK1451"/>
      <c r="OCL1451"/>
      <c r="OCM1451"/>
      <c r="OCN1451"/>
      <c r="OCO1451"/>
      <c r="OCP1451"/>
      <c r="OCQ1451"/>
      <c r="OCR1451"/>
      <c r="OCS1451"/>
      <c r="OCT1451"/>
      <c r="OCU1451"/>
      <c r="OCV1451"/>
      <c r="OCW1451"/>
      <c r="OCX1451"/>
      <c r="OCY1451"/>
      <c r="OCZ1451"/>
      <c r="ODA1451"/>
      <c r="ODB1451"/>
      <c r="ODC1451"/>
      <c r="ODD1451"/>
      <c r="ODE1451"/>
      <c r="ODF1451"/>
      <c r="ODG1451"/>
      <c r="ODH1451"/>
      <c r="ODI1451"/>
      <c r="ODJ1451"/>
      <c r="ODK1451"/>
      <c r="ODL1451"/>
      <c r="ODM1451"/>
      <c r="ODN1451"/>
      <c r="ODO1451"/>
      <c r="ODP1451"/>
      <c r="ODQ1451"/>
      <c r="ODR1451"/>
      <c r="ODS1451"/>
      <c r="ODT1451"/>
      <c r="ODU1451"/>
      <c r="ODV1451"/>
      <c r="ODW1451"/>
      <c r="ODX1451"/>
      <c r="ODY1451"/>
      <c r="ODZ1451"/>
      <c r="OEA1451"/>
      <c r="OEB1451"/>
      <c r="OEC1451"/>
      <c r="OED1451"/>
      <c r="OEE1451"/>
      <c r="OEF1451"/>
      <c r="OEG1451"/>
      <c r="OEH1451"/>
      <c r="OEI1451"/>
      <c r="OEJ1451"/>
      <c r="OEK1451"/>
      <c r="OEL1451"/>
      <c r="OEM1451"/>
      <c r="OEN1451"/>
      <c r="OEO1451"/>
      <c r="OEP1451"/>
      <c r="OEQ1451"/>
      <c r="OER1451"/>
      <c r="OES1451"/>
      <c r="OET1451"/>
      <c r="OEU1451"/>
      <c r="OEV1451"/>
      <c r="OEW1451"/>
      <c r="OEX1451"/>
      <c r="OEY1451"/>
      <c r="OEZ1451"/>
      <c r="OFA1451"/>
      <c r="OFB1451"/>
      <c r="OFC1451"/>
      <c r="OFD1451"/>
      <c r="OFE1451"/>
      <c r="OFF1451"/>
      <c r="OFG1451"/>
      <c r="OFH1451"/>
      <c r="OFI1451"/>
      <c r="OFJ1451"/>
      <c r="OFK1451"/>
      <c r="OFL1451"/>
      <c r="OFM1451"/>
      <c r="OFN1451"/>
      <c r="OFO1451"/>
      <c r="OFP1451"/>
      <c r="OFQ1451"/>
      <c r="OFR1451"/>
      <c r="OFS1451"/>
      <c r="OFT1451"/>
      <c r="OFU1451"/>
      <c r="OFV1451"/>
      <c r="OFW1451"/>
      <c r="OFX1451"/>
      <c r="OFY1451"/>
      <c r="OFZ1451"/>
      <c r="OGA1451"/>
      <c r="OGB1451"/>
      <c r="OGC1451"/>
      <c r="OGD1451"/>
      <c r="OGE1451"/>
      <c r="OGF1451"/>
      <c r="OGG1451"/>
      <c r="OGH1451"/>
      <c r="OGI1451"/>
      <c r="OGJ1451"/>
      <c r="OGK1451"/>
      <c r="OGL1451"/>
      <c r="OGM1451"/>
      <c r="OGN1451"/>
      <c r="OGO1451"/>
      <c r="OGP1451"/>
      <c r="OGQ1451"/>
      <c r="OGR1451"/>
      <c r="OGS1451"/>
      <c r="OGT1451"/>
      <c r="OGU1451"/>
      <c r="OGV1451"/>
      <c r="OGW1451"/>
      <c r="OGX1451"/>
      <c r="OGY1451"/>
      <c r="OGZ1451"/>
      <c r="OHA1451"/>
      <c r="OHB1451"/>
      <c r="OHC1451"/>
      <c r="OHD1451"/>
      <c r="OHE1451"/>
      <c r="OHF1451"/>
      <c r="OHG1451"/>
      <c r="OHH1451"/>
      <c r="OHI1451"/>
      <c r="OHJ1451"/>
      <c r="OHK1451"/>
      <c r="OHL1451"/>
      <c r="OHM1451"/>
      <c r="OHN1451"/>
      <c r="OHO1451"/>
      <c r="OHP1451"/>
      <c r="OHQ1451"/>
      <c r="OHR1451"/>
      <c r="OHS1451"/>
      <c r="OHT1451"/>
      <c r="OHU1451"/>
      <c r="OHV1451"/>
      <c r="OHW1451"/>
      <c r="OHX1451"/>
      <c r="OHY1451"/>
      <c r="OHZ1451"/>
      <c r="OIA1451"/>
      <c r="OIB1451"/>
      <c r="OIC1451"/>
      <c r="OID1451"/>
      <c r="OIE1451"/>
      <c r="OIF1451"/>
      <c r="OIG1451"/>
      <c r="OIH1451"/>
      <c r="OII1451"/>
      <c r="OIJ1451"/>
      <c r="OIK1451"/>
      <c r="OIL1451"/>
      <c r="OIM1451"/>
      <c r="OIN1451"/>
      <c r="OIO1451"/>
      <c r="OIP1451"/>
      <c r="OIQ1451"/>
      <c r="OIR1451"/>
      <c r="OIS1451"/>
      <c r="OIT1451"/>
      <c r="OIU1451"/>
      <c r="OIV1451"/>
      <c r="OIW1451"/>
      <c r="OIX1451"/>
      <c r="OIY1451"/>
      <c r="OIZ1451"/>
      <c r="OJA1451"/>
      <c r="OJB1451"/>
      <c r="OJC1451"/>
      <c r="OJD1451"/>
      <c r="OJE1451"/>
      <c r="OJF1451"/>
      <c r="OJG1451"/>
      <c r="OJH1451"/>
      <c r="OJI1451"/>
      <c r="OJJ1451"/>
      <c r="OJK1451"/>
      <c r="OJL1451"/>
      <c r="OJM1451"/>
      <c r="OJN1451"/>
      <c r="OJO1451"/>
      <c r="OJP1451"/>
      <c r="OJQ1451"/>
      <c r="OJR1451"/>
      <c r="OJS1451"/>
      <c r="OJT1451"/>
      <c r="OJU1451"/>
      <c r="OJV1451"/>
      <c r="OJW1451"/>
      <c r="OJX1451"/>
      <c r="OJY1451"/>
      <c r="OJZ1451"/>
      <c r="OKA1451"/>
      <c r="OKB1451"/>
      <c r="OKC1451"/>
      <c r="OKD1451"/>
      <c r="OKE1451"/>
      <c r="OKF1451"/>
      <c r="OKG1451"/>
      <c r="OKH1451"/>
      <c r="OKI1451"/>
      <c r="OKJ1451"/>
      <c r="OKK1451"/>
      <c r="OKL1451"/>
      <c r="OKM1451"/>
      <c r="OKN1451"/>
      <c r="OKO1451"/>
      <c r="OKP1451"/>
      <c r="OKQ1451"/>
      <c r="OKR1451"/>
      <c r="OKS1451"/>
      <c r="OKT1451"/>
      <c r="OKU1451"/>
      <c r="OKV1451"/>
      <c r="OKW1451"/>
      <c r="OKX1451"/>
      <c r="OKY1451"/>
      <c r="OKZ1451"/>
      <c r="OLA1451"/>
      <c r="OLB1451"/>
      <c r="OLC1451"/>
      <c r="OLD1451"/>
      <c r="OLE1451"/>
      <c r="OLF1451"/>
      <c r="OLG1451"/>
      <c r="OLH1451"/>
      <c r="OLI1451"/>
      <c r="OLJ1451"/>
      <c r="OLK1451"/>
      <c r="OLL1451"/>
      <c r="OLM1451"/>
      <c r="OLN1451"/>
      <c r="OLO1451"/>
      <c r="OLP1451"/>
      <c r="OLQ1451"/>
      <c r="OLR1451"/>
      <c r="OLS1451"/>
      <c r="OLT1451"/>
      <c r="OLU1451"/>
      <c r="OLV1451"/>
      <c r="OLW1451"/>
      <c r="OLX1451"/>
      <c r="OLY1451"/>
      <c r="OLZ1451"/>
      <c r="OMA1451"/>
      <c r="OMB1451"/>
      <c r="OMC1451"/>
      <c r="OMD1451"/>
      <c r="OME1451"/>
      <c r="OMF1451"/>
      <c r="OMG1451"/>
      <c r="OMH1451"/>
      <c r="OMI1451"/>
      <c r="OMJ1451"/>
      <c r="OMK1451"/>
      <c r="OML1451"/>
      <c r="OMM1451"/>
      <c r="OMN1451"/>
      <c r="OMO1451"/>
      <c r="OMP1451"/>
      <c r="OMQ1451"/>
      <c r="OMR1451"/>
      <c r="OMS1451"/>
      <c r="OMT1451"/>
      <c r="OMU1451"/>
      <c r="OMV1451"/>
      <c r="OMW1451"/>
      <c r="OMX1451"/>
      <c r="OMY1451"/>
      <c r="OMZ1451"/>
      <c r="ONA1451"/>
      <c r="ONB1451"/>
      <c r="ONC1451"/>
      <c r="OND1451"/>
      <c r="ONE1451"/>
      <c r="ONF1451"/>
      <c r="ONG1451"/>
      <c r="ONH1451"/>
      <c r="ONI1451"/>
      <c r="ONJ1451"/>
      <c r="ONK1451"/>
      <c r="ONL1451"/>
      <c r="ONM1451"/>
      <c r="ONN1451"/>
      <c r="ONO1451"/>
      <c r="ONP1451"/>
      <c r="ONQ1451"/>
      <c r="ONR1451"/>
      <c r="ONS1451"/>
      <c r="ONT1451"/>
      <c r="ONU1451"/>
      <c r="ONV1451"/>
      <c r="ONW1451"/>
      <c r="ONX1451"/>
      <c r="ONY1451"/>
      <c r="ONZ1451"/>
      <c r="OOA1451"/>
      <c r="OOB1451"/>
      <c r="OOC1451"/>
      <c r="OOD1451"/>
      <c r="OOE1451"/>
      <c r="OOF1451"/>
      <c r="OOG1451"/>
      <c r="OOH1451"/>
      <c r="OOI1451"/>
      <c r="OOJ1451"/>
      <c r="OOK1451"/>
      <c r="OOL1451"/>
      <c r="OOM1451"/>
      <c r="OON1451"/>
      <c r="OOO1451"/>
      <c r="OOP1451"/>
      <c r="OOQ1451"/>
      <c r="OOR1451"/>
      <c r="OOS1451"/>
      <c r="OOT1451"/>
      <c r="OOU1451"/>
      <c r="OOV1451"/>
      <c r="OOW1451"/>
      <c r="OOX1451"/>
      <c r="OOY1451"/>
      <c r="OOZ1451"/>
      <c r="OPA1451"/>
      <c r="OPB1451"/>
      <c r="OPC1451"/>
      <c r="OPD1451"/>
      <c r="OPE1451"/>
      <c r="OPF1451"/>
      <c r="OPG1451"/>
      <c r="OPH1451"/>
      <c r="OPI1451"/>
      <c r="OPJ1451"/>
      <c r="OPK1451"/>
      <c r="OPL1451"/>
      <c r="OPM1451"/>
      <c r="OPN1451"/>
      <c r="OPO1451"/>
      <c r="OPP1451"/>
      <c r="OPQ1451"/>
      <c r="OPR1451"/>
      <c r="OPS1451"/>
      <c r="OPT1451"/>
      <c r="OPU1451"/>
      <c r="OPV1451"/>
      <c r="OPW1451"/>
      <c r="OPX1451"/>
      <c r="OPY1451"/>
      <c r="OPZ1451"/>
      <c r="OQA1451"/>
      <c r="OQB1451"/>
      <c r="OQC1451"/>
      <c r="OQD1451"/>
      <c r="OQE1451"/>
      <c r="OQF1451"/>
      <c r="OQG1451"/>
      <c r="OQH1451"/>
      <c r="OQI1451"/>
      <c r="OQJ1451"/>
      <c r="OQK1451"/>
      <c r="OQL1451"/>
      <c r="OQM1451"/>
      <c r="OQN1451"/>
      <c r="OQO1451"/>
      <c r="OQP1451"/>
      <c r="OQQ1451"/>
      <c r="OQR1451"/>
      <c r="OQS1451"/>
      <c r="OQT1451"/>
      <c r="OQU1451"/>
      <c r="OQV1451"/>
      <c r="OQW1451"/>
      <c r="OQX1451"/>
      <c r="OQY1451"/>
      <c r="OQZ1451"/>
      <c r="ORA1451"/>
      <c r="ORB1451"/>
      <c r="ORC1451"/>
      <c r="ORD1451"/>
      <c r="ORE1451"/>
      <c r="ORF1451"/>
      <c r="ORG1451"/>
      <c r="ORH1451"/>
      <c r="ORI1451"/>
      <c r="ORJ1451"/>
      <c r="ORK1451"/>
      <c r="ORL1451"/>
      <c r="ORM1451"/>
      <c r="ORN1451"/>
      <c r="ORO1451"/>
      <c r="ORP1451"/>
      <c r="ORQ1451"/>
      <c r="ORR1451"/>
      <c r="ORS1451"/>
      <c r="ORT1451"/>
      <c r="ORU1451"/>
      <c r="ORV1451"/>
      <c r="ORW1451"/>
      <c r="ORX1451"/>
      <c r="ORY1451"/>
      <c r="ORZ1451"/>
      <c r="OSA1451"/>
      <c r="OSB1451"/>
      <c r="OSC1451"/>
      <c r="OSD1451"/>
      <c r="OSE1451"/>
      <c r="OSF1451"/>
      <c r="OSG1451"/>
      <c r="OSH1451"/>
      <c r="OSI1451"/>
      <c r="OSJ1451"/>
      <c r="OSK1451"/>
      <c r="OSL1451"/>
      <c r="OSM1451"/>
      <c r="OSN1451"/>
      <c r="OSO1451"/>
      <c r="OSP1451"/>
      <c r="OSQ1451"/>
      <c r="OSR1451"/>
      <c r="OSS1451"/>
      <c r="OST1451"/>
      <c r="OSU1451"/>
      <c r="OSV1451"/>
      <c r="OSW1451"/>
      <c r="OSX1451"/>
      <c r="OSY1451"/>
      <c r="OSZ1451"/>
      <c r="OTA1451"/>
      <c r="OTB1451"/>
      <c r="OTC1451"/>
      <c r="OTD1451"/>
      <c r="OTE1451"/>
      <c r="OTF1451"/>
      <c r="OTG1451"/>
      <c r="OTH1451"/>
      <c r="OTI1451"/>
      <c r="OTJ1451"/>
      <c r="OTK1451"/>
      <c r="OTL1451"/>
      <c r="OTM1451"/>
      <c r="OTN1451"/>
      <c r="OTO1451"/>
      <c r="OTP1451"/>
      <c r="OTQ1451"/>
      <c r="OTR1451"/>
      <c r="OTS1451"/>
      <c r="OTT1451"/>
      <c r="OTU1451"/>
      <c r="OTV1451"/>
      <c r="OTW1451"/>
      <c r="OTX1451"/>
      <c r="OTY1451"/>
      <c r="OTZ1451"/>
      <c r="OUA1451"/>
      <c r="OUB1451"/>
      <c r="OUC1451"/>
      <c r="OUD1451"/>
      <c r="OUE1451"/>
      <c r="OUF1451"/>
      <c r="OUG1451"/>
      <c r="OUH1451"/>
      <c r="OUI1451"/>
      <c r="OUJ1451"/>
      <c r="OUK1451"/>
      <c r="OUL1451"/>
      <c r="OUM1451"/>
      <c r="OUN1451"/>
      <c r="OUO1451"/>
      <c r="OUP1451"/>
      <c r="OUQ1451"/>
      <c r="OUR1451"/>
      <c r="OUS1451"/>
      <c r="OUT1451"/>
      <c r="OUU1451"/>
      <c r="OUV1451"/>
      <c r="OUW1451"/>
      <c r="OUX1451"/>
      <c r="OUY1451"/>
      <c r="OUZ1451"/>
      <c r="OVA1451"/>
      <c r="OVB1451"/>
      <c r="OVC1451"/>
      <c r="OVD1451"/>
      <c r="OVE1451"/>
      <c r="OVF1451"/>
      <c r="OVG1451"/>
      <c r="OVH1451"/>
      <c r="OVI1451"/>
      <c r="OVJ1451"/>
      <c r="OVK1451"/>
      <c r="OVL1451"/>
      <c r="OVM1451"/>
      <c r="OVN1451"/>
      <c r="OVO1451"/>
      <c r="OVP1451"/>
      <c r="OVQ1451"/>
      <c r="OVR1451"/>
      <c r="OVS1451"/>
      <c r="OVT1451"/>
      <c r="OVU1451"/>
      <c r="OVV1451"/>
      <c r="OVW1451"/>
      <c r="OVX1451"/>
      <c r="OVY1451"/>
      <c r="OVZ1451"/>
      <c r="OWA1451"/>
      <c r="OWB1451"/>
      <c r="OWC1451"/>
      <c r="OWD1451"/>
      <c r="OWE1451"/>
      <c r="OWF1451"/>
      <c r="OWG1451"/>
      <c r="OWH1451"/>
      <c r="OWI1451"/>
      <c r="OWJ1451"/>
      <c r="OWK1451"/>
      <c r="OWL1451"/>
      <c r="OWM1451"/>
      <c r="OWN1451"/>
      <c r="OWO1451"/>
      <c r="OWP1451"/>
      <c r="OWQ1451"/>
      <c r="OWR1451"/>
      <c r="OWS1451"/>
      <c r="OWT1451"/>
      <c r="OWU1451"/>
      <c r="OWV1451"/>
      <c r="OWW1451"/>
      <c r="OWX1451"/>
      <c r="OWY1451"/>
      <c r="OWZ1451"/>
      <c r="OXA1451"/>
      <c r="OXB1451"/>
      <c r="OXC1451"/>
      <c r="OXD1451"/>
      <c r="OXE1451"/>
      <c r="OXF1451"/>
      <c r="OXG1451"/>
      <c r="OXH1451"/>
      <c r="OXI1451"/>
      <c r="OXJ1451"/>
      <c r="OXK1451"/>
      <c r="OXL1451"/>
      <c r="OXM1451"/>
      <c r="OXN1451"/>
      <c r="OXO1451"/>
      <c r="OXP1451"/>
      <c r="OXQ1451"/>
      <c r="OXR1451"/>
      <c r="OXS1451"/>
      <c r="OXT1451"/>
      <c r="OXU1451"/>
      <c r="OXV1451"/>
      <c r="OXW1451"/>
      <c r="OXX1451"/>
      <c r="OXY1451"/>
      <c r="OXZ1451"/>
      <c r="OYA1451"/>
      <c r="OYB1451"/>
      <c r="OYC1451"/>
      <c r="OYD1451"/>
      <c r="OYE1451"/>
      <c r="OYF1451"/>
      <c r="OYG1451"/>
      <c r="OYH1451"/>
      <c r="OYI1451"/>
      <c r="OYJ1451"/>
      <c r="OYK1451"/>
      <c r="OYL1451"/>
      <c r="OYM1451"/>
      <c r="OYN1451"/>
      <c r="OYO1451"/>
      <c r="OYP1451"/>
      <c r="OYQ1451"/>
      <c r="OYR1451"/>
      <c r="OYS1451"/>
      <c r="OYT1451"/>
      <c r="OYU1451"/>
      <c r="OYV1451"/>
      <c r="OYW1451"/>
      <c r="OYX1451"/>
      <c r="OYY1451"/>
      <c r="OYZ1451"/>
      <c r="OZA1451"/>
      <c r="OZB1451"/>
      <c r="OZC1451"/>
      <c r="OZD1451"/>
      <c r="OZE1451"/>
      <c r="OZF1451"/>
      <c r="OZG1451"/>
      <c r="OZH1451"/>
      <c r="OZI1451"/>
      <c r="OZJ1451"/>
      <c r="OZK1451"/>
      <c r="OZL1451"/>
      <c r="OZM1451"/>
      <c r="OZN1451"/>
      <c r="OZO1451"/>
      <c r="OZP1451"/>
      <c r="OZQ1451"/>
      <c r="OZR1451"/>
      <c r="OZS1451"/>
      <c r="OZT1451"/>
      <c r="OZU1451"/>
      <c r="OZV1451"/>
      <c r="OZW1451"/>
      <c r="OZX1451"/>
      <c r="OZY1451"/>
      <c r="OZZ1451"/>
      <c r="PAA1451"/>
      <c r="PAB1451"/>
      <c r="PAC1451"/>
      <c r="PAD1451"/>
      <c r="PAE1451"/>
      <c r="PAF1451"/>
      <c r="PAG1451"/>
      <c r="PAH1451"/>
      <c r="PAI1451"/>
      <c r="PAJ1451"/>
      <c r="PAK1451"/>
      <c r="PAL1451"/>
      <c r="PAM1451"/>
      <c r="PAN1451"/>
      <c r="PAO1451"/>
      <c r="PAP1451"/>
      <c r="PAQ1451"/>
      <c r="PAR1451"/>
      <c r="PAS1451"/>
      <c r="PAT1451"/>
      <c r="PAU1451"/>
      <c r="PAV1451"/>
      <c r="PAW1451"/>
      <c r="PAX1451"/>
      <c r="PAY1451"/>
      <c r="PAZ1451"/>
      <c r="PBA1451"/>
      <c r="PBB1451"/>
      <c r="PBC1451"/>
      <c r="PBD1451"/>
      <c r="PBE1451"/>
      <c r="PBF1451"/>
      <c r="PBG1451"/>
      <c r="PBH1451"/>
      <c r="PBI1451"/>
      <c r="PBJ1451"/>
      <c r="PBK1451"/>
      <c r="PBL1451"/>
      <c r="PBM1451"/>
      <c r="PBN1451"/>
      <c r="PBO1451"/>
      <c r="PBP1451"/>
      <c r="PBQ1451"/>
      <c r="PBR1451"/>
      <c r="PBS1451"/>
      <c r="PBT1451"/>
      <c r="PBU1451"/>
      <c r="PBV1451"/>
      <c r="PBW1451"/>
      <c r="PBX1451"/>
      <c r="PBY1451"/>
      <c r="PBZ1451"/>
      <c r="PCA1451"/>
      <c r="PCB1451"/>
      <c r="PCC1451"/>
      <c r="PCD1451"/>
      <c r="PCE1451"/>
      <c r="PCF1451"/>
      <c r="PCG1451"/>
      <c r="PCH1451"/>
      <c r="PCI1451"/>
      <c r="PCJ1451"/>
      <c r="PCK1451"/>
      <c r="PCL1451"/>
      <c r="PCM1451"/>
      <c r="PCN1451"/>
      <c r="PCO1451"/>
      <c r="PCP1451"/>
      <c r="PCQ1451"/>
      <c r="PCR1451"/>
      <c r="PCS1451"/>
      <c r="PCT1451"/>
      <c r="PCU1451"/>
      <c r="PCV1451"/>
      <c r="PCW1451"/>
      <c r="PCX1451"/>
      <c r="PCY1451"/>
      <c r="PCZ1451"/>
      <c r="PDA1451"/>
      <c r="PDB1451"/>
      <c r="PDC1451"/>
      <c r="PDD1451"/>
      <c r="PDE1451"/>
      <c r="PDF1451"/>
      <c r="PDG1451"/>
      <c r="PDH1451"/>
      <c r="PDI1451"/>
      <c r="PDJ1451"/>
      <c r="PDK1451"/>
      <c r="PDL1451"/>
      <c r="PDM1451"/>
      <c r="PDN1451"/>
      <c r="PDO1451"/>
      <c r="PDP1451"/>
      <c r="PDQ1451"/>
      <c r="PDR1451"/>
      <c r="PDS1451"/>
      <c r="PDT1451"/>
      <c r="PDU1451"/>
      <c r="PDV1451"/>
      <c r="PDW1451"/>
      <c r="PDX1451"/>
      <c r="PDY1451"/>
      <c r="PDZ1451"/>
      <c r="PEA1451"/>
      <c r="PEB1451"/>
      <c r="PEC1451"/>
      <c r="PED1451"/>
      <c r="PEE1451"/>
      <c r="PEF1451"/>
      <c r="PEG1451"/>
      <c r="PEH1451"/>
      <c r="PEI1451"/>
      <c r="PEJ1451"/>
      <c r="PEK1451"/>
      <c r="PEL1451"/>
      <c r="PEM1451"/>
      <c r="PEN1451"/>
      <c r="PEO1451"/>
      <c r="PEP1451"/>
      <c r="PEQ1451"/>
      <c r="PER1451"/>
      <c r="PES1451"/>
      <c r="PET1451"/>
      <c r="PEU1451"/>
      <c r="PEV1451"/>
      <c r="PEW1451"/>
      <c r="PEX1451"/>
      <c r="PEY1451"/>
      <c r="PEZ1451"/>
      <c r="PFA1451"/>
      <c r="PFB1451"/>
      <c r="PFC1451"/>
      <c r="PFD1451"/>
      <c r="PFE1451"/>
      <c r="PFF1451"/>
      <c r="PFG1451"/>
      <c r="PFH1451"/>
      <c r="PFI1451"/>
      <c r="PFJ1451"/>
      <c r="PFK1451"/>
      <c r="PFL1451"/>
      <c r="PFM1451"/>
      <c r="PFN1451"/>
      <c r="PFO1451"/>
      <c r="PFP1451"/>
      <c r="PFQ1451"/>
      <c r="PFR1451"/>
      <c r="PFS1451"/>
      <c r="PFT1451"/>
      <c r="PFU1451"/>
      <c r="PFV1451"/>
      <c r="PFW1451"/>
      <c r="PFX1451"/>
      <c r="PFY1451"/>
      <c r="PFZ1451"/>
      <c r="PGA1451"/>
      <c r="PGB1451"/>
      <c r="PGC1451"/>
      <c r="PGD1451"/>
      <c r="PGE1451"/>
      <c r="PGF1451"/>
      <c r="PGG1451"/>
      <c r="PGH1451"/>
      <c r="PGI1451"/>
      <c r="PGJ1451"/>
      <c r="PGK1451"/>
      <c r="PGL1451"/>
      <c r="PGM1451"/>
      <c r="PGN1451"/>
      <c r="PGO1451"/>
      <c r="PGP1451"/>
      <c r="PGQ1451"/>
      <c r="PGR1451"/>
      <c r="PGS1451"/>
      <c r="PGT1451"/>
      <c r="PGU1451"/>
      <c r="PGV1451"/>
      <c r="PGW1451"/>
      <c r="PGX1451"/>
      <c r="PGY1451"/>
      <c r="PGZ1451"/>
      <c r="PHA1451"/>
      <c r="PHB1451"/>
      <c r="PHC1451"/>
      <c r="PHD1451"/>
      <c r="PHE1451"/>
      <c r="PHF1451"/>
      <c r="PHG1451"/>
      <c r="PHH1451"/>
      <c r="PHI1451"/>
      <c r="PHJ1451"/>
      <c r="PHK1451"/>
      <c r="PHL1451"/>
      <c r="PHM1451"/>
      <c r="PHN1451"/>
      <c r="PHO1451"/>
      <c r="PHP1451"/>
      <c r="PHQ1451"/>
      <c r="PHR1451"/>
      <c r="PHS1451"/>
      <c r="PHT1451"/>
      <c r="PHU1451"/>
      <c r="PHV1451"/>
      <c r="PHW1451"/>
      <c r="PHX1451"/>
      <c r="PHY1451"/>
      <c r="PHZ1451"/>
      <c r="PIA1451"/>
      <c r="PIB1451"/>
      <c r="PIC1451"/>
      <c r="PID1451"/>
      <c r="PIE1451"/>
      <c r="PIF1451"/>
      <c r="PIG1451"/>
      <c r="PIH1451"/>
      <c r="PII1451"/>
      <c r="PIJ1451"/>
      <c r="PIK1451"/>
      <c r="PIL1451"/>
      <c r="PIM1451"/>
      <c r="PIN1451"/>
      <c r="PIO1451"/>
      <c r="PIP1451"/>
      <c r="PIQ1451"/>
      <c r="PIR1451"/>
      <c r="PIS1451"/>
      <c r="PIT1451"/>
      <c r="PIU1451"/>
      <c r="PIV1451"/>
      <c r="PIW1451"/>
      <c r="PIX1451"/>
      <c r="PIY1451"/>
      <c r="PIZ1451"/>
      <c r="PJA1451"/>
      <c r="PJB1451"/>
      <c r="PJC1451"/>
      <c r="PJD1451"/>
      <c r="PJE1451"/>
      <c r="PJF1451"/>
      <c r="PJG1451"/>
      <c r="PJH1451"/>
      <c r="PJI1451"/>
      <c r="PJJ1451"/>
      <c r="PJK1451"/>
      <c r="PJL1451"/>
      <c r="PJM1451"/>
      <c r="PJN1451"/>
      <c r="PJO1451"/>
      <c r="PJP1451"/>
      <c r="PJQ1451"/>
      <c r="PJR1451"/>
      <c r="PJS1451"/>
      <c r="PJT1451"/>
      <c r="PJU1451"/>
      <c r="PJV1451"/>
      <c r="PJW1451"/>
      <c r="PJX1451"/>
      <c r="PJY1451"/>
      <c r="PJZ1451"/>
      <c r="PKA1451"/>
      <c r="PKB1451"/>
      <c r="PKC1451"/>
      <c r="PKD1451"/>
      <c r="PKE1451"/>
      <c r="PKF1451"/>
      <c r="PKG1451"/>
      <c r="PKH1451"/>
      <c r="PKI1451"/>
      <c r="PKJ1451"/>
      <c r="PKK1451"/>
      <c r="PKL1451"/>
      <c r="PKM1451"/>
      <c r="PKN1451"/>
      <c r="PKO1451"/>
      <c r="PKP1451"/>
      <c r="PKQ1451"/>
      <c r="PKR1451"/>
      <c r="PKS1451"/>
      <c r="PKT1451"/>
      <c r="PKU1451"/>
      <c r="PKV1451"/>
      <c r="PKW1451"/>
      <c r="PKX1451"/>
      <c r="PKY1451"/>
      <c r="PKZ1451"/>
      <c r="PLA1451"/>
      <c r="PLB1451"/>
      <c r="PLC1451"/>
      <c r="PLD1451"/>
      <c r="PLE1451"/>
      <c r="PLF1451"/>
      <c r="PLG1451"/>
      <c r="PLH1451"/>
      <c r="PLI1451"/>
      <c r="PLJ1451"/>
      <c r="PLK1451"/>
      <c r="PLL1451"/>
      <c r="PLM1451"/>
      <c r="PLN1451"/>
      <c r="PLO1451"/>
      <c r="PLP1451"/>
      <c r="PLQ1451"/>
      <c r="PLR1451"/>
      <c r="PLS1451"/>
      <c r="PLT1451"/>
      <c r="PLU1451"/>
      <c r="PLV1451"/>
      <c r="PLW1451"/>
      <c r="PLX1451"/>
      <c r="PLY1451"/>
      <c r="PLZ1451"/>
      <c r="PMA1451"/>
      <c r="PMB1451"/>
      <c r="PMC1451"/>
      <c r="PMD1451"/>
      <c r="PME1451"/>
      <c r="PMF1451"/>
      <c r="PMG1451"/>
      <c r="PMH1451"/>
      <c r="PMI1451"/>
      <c r="PMJ1451"/>
      <c r="PMK1451"/>
      <c r="PML1451"/>
      <c r="PMM1451"/>
      <c r="PMN1451"/>
      <c r="PMO1451"/>
      <c r="PMP1451"/>
      <c r="PMQ1451"/>
      <c r="PMR1451"/>
      <c r="PMS1451"/>
      <c r="PMT1451"/>
      <c r="PMU1451"/>
      <c r="PMV1451"/>
      <c r="PMW1451"/>
      <c r="PMX1451"/>
      <c r="PMY1451"/>
      <c r="PMZ1451"/>
      <c r="PNA1451"/>
      <c r="PNB1451"/>
      <c r="PNC1451"/>
      <c r="PND1451"/>
      <c r="PNE1451"/>
      <c r="PNF1451"/>
      <c r="PNG1451"/>
      <c r="PNH1451"/>
      <c r="PNI1451"/>
      <c r="PNJ1451"/>
      <c r="PNK1451"/>
      <c r="PNL1451"/>
      <c r="PNM1451"/>
      <c r="PNN1451"/>
      <c r="PNO1451"/>
      <c r="PNP1451"/>
      <c r="PNQ1451"/>
      <c r="PNR1451"/>
      <c r="PNS1451"/>
      <c r="PNT1451"/>
      <c r="PNU1451"/>
      <c r="PNV1451"/>
      <c r="PNW1451"/>
      <c r="PNX1451"/>
      <c r="PNY1451"/>
      <c r="PNZ1451"/>
      <c r="POA1451"/>
      <c r="POB1451"/>
      <c r="POC1451"/>
      <c r="POD1451"/>
      <c r="POE1451"/>
      <c r="POF1451"/>
      <c r="POG1451"/>
      <c r="POH1451"/>
      <c r="POI1451"/>
      <c r="POJ1451"/>
      <c r="POK1451"/>
      <c r="POL1451"/>
      <c r="POM1451"/>
      <c r="PON1451"/>
      <c r="POO1451"/>
      <c r="POP1451"/>
      <c r="POQ1451"/>
      <c r="POR1451"/>
      <c r="POS1451"/>
      <c r="POT1451"/>
      <c r="POU1451"/>
      <c r="POV1451"/>
      <c r="POW1451"/>
      <c r="POX1451"/>
      <c r="POY1451"/>
      <c r="POZ1451"/>
      <c r="PPA1451"/>
      <c r="PPB1451"/>
      <c r="PPC1451"/>
      <c r="PPD1451"/>
      <c r="PPE1451"/>
      <c r="PPF1451"/>
      <c r="PPG1451"/>
      <c r="PPH1451"/>
      <c r="PPI1451"/>
      <c r="PPJ1451"/>
      <c r="PPK1451"/>
      <c r="PPL1451"/>
      <c r="PPM1451"/>
      <c r="PPN1451"/>
      <c r="PPO1451"/>
      <c r="PPP1451"/>
      <c r="PPQ1451"/>
      <c r="PPR1451"/>
      <c r="PPS1451"/>
      <c r="PPT1451"/>
      <c r="PPU1451"/>
      <c r="PPV1451"/>
      <c r="PPW1451"/>
      <c r="PPX1451"/>
      <c r="PPY1451"/>
      <c r="PPZ1451"/>
      <c r="PQA1451"/>
      <c r="PQB1451"/>
      <c r="PQC1451"/>
      <c r="PQD1451"/>
      <c r="PQE1451"/>
      <c r="PQF1451"/>
      <c r="PQG1451"/>
      <c r="PQH1451"/>
      <c r="PQI1451"/>
      <c r="PQJ1451"/>
      <c r="PQK1451"/>
      <c r="PQL1451"/>
      <c r="PQM1451"/>
      <c r="PQN1451"/>
      <c r="PQO1451"/>
      <c r="PQP1451"/>
      <c r="PQQ1451"/>
      <c r="PQR1451"/>
      <c r="PQS1451"/>
      <c r="PQT1451"/>
      <c r="PQU1451"/>
      <c r="PQV1451"/>
      <c r="PQW1451"/>
      <c r="PQX1451"/>
      <c r="PQY1451"/>
      <c r="PQZ1451"/>
      <c r="PRA1451"/>
      <c r="PRB1451"/>
      <c r="PRC1451"/>
      <c r="PRD1451"/>
      <c r="PRE1451"/>
      <c r="PRF1451"/>
      <c r="PRG1451"/>
      <c r="PRH1451"/>
      <c r="PRI1451"/>
      <c r="PRJ1451"/>
      <c r="PRK1451"/>
      <c r="PRL1451"/>
      <c r="PRM1451"/>
      <c r="PRN1451"/>
      <c r="PRO1451"/>
      <c r="PRP1451"/>
      <c r="PRQ1451"/>
      <c r="PRR1451"/>
      <c r="PRS1451"/>
      <c r="PRT1451"/>
      <c r="PRU1451"/>
      <c r="PRV1451"/>
      <c r="PRW1451"/>
      <c r="PRX1451"/>
      <c r="PRY1451"/>
      <c r="PRZ1451"/>
      <c r="PSA1451"/>
      <c r="PSB1451"/>
      <c r="PSC1451"/>
      <c r="PSD1451"/>
      <c r="PSE1451"/>
      <c r="PSF1451"/>
      <c r="PSG1451"/>
      <c r="PSH1451"/>
      <c r="PSI1451"/>
      <c r="PSJ1451"/>
      <c r="PSK1451"/>
      <c r="PSL1451"/>
      <c r="PSM1451"/>
      <c r="PSN1451"/>
      <c r="PSO1451"/>
      <c r="PSP1451"/>
      <c r="PSQ1451"/>
      <c r="PSR1451"/>
      <c r="PSS1451"/>
      <c r="PST1451"/>
      <c r="PSU1451"/>
      <c r="PSV1451"/>
      <c r="PSW1451"/>
      <c r="PSX1451"/>
      <c r="PSY1451"/>
      <c r="PSZ1451"/>
      <c r="PTA1451"/>
      <c r="PTB1451"/>
      <c r="PTC1451"/>
      <c r="PTD1451"/>
      <c r="PTE1451"/>
      <c r="PTF1451"/>
      <c r="PTG1451"/>
      <c r="PTH1451"/>
      <c r="PTI1451"/>
      <c r="PTJ1451"/>
      <c r="PTK1451"/>
      <c r="PTL1451"/>
      <c r="PTM1451"/>
      <c r="PTN1451"/>
      <c r="PTO1451"/>
      <c r="PTP1451"/>
      <c r="PTQ1451"/>
      <c r="PTR1451"/>
      <c r="PTS1451"/>
      <c r="PTT1451"/>
      <c r="PTU1451"/>
      <c r="PTV1451"/>
      <c r="PTW1451"/>
      <c r="PTX1451"/>
      <c r="PTY1451"/>
      <c r="PTZ1451"/>
      <c r="PUA1451"/>
      <c r="PUB1451"/>
      <c r="PUC1451"/>
      <c r="PUD1451"/>
      <c r="PUE1451"/>
      <c r="PUF1451"/>
      <c r="PUG1451"/>
      <c r="PUH1451"/>
      <c r="PUI1451"/>
      <c r="PUJ1451"/>
      <c r="PUK1451"/>
      <c r="PUL1451"/>
      <c r="PUM1451"/>
      <c r="PUN1451"/>
      <c r="PUO1451"/>
      <c r="PUP1451"/>
      <c r="PUQ1451"/>
      <c r="PUR1451"/>
      <c r="PUS1451"/>
      <c r="PUT1451"/>
      <c r="PUU1451"/>
      <c r="PUV1451"/>
      <c r="PUW1451"/>
      <c r="PUX1451"/>
      <c r="PUY1451"/>
      <c r="PUZ1451"/>
      <c r="PVA1451"/>
      <c r="PVB1451"/>
      <c r="PVC1451"/>
      <c r="PVD1451"/>
      <c r="PVE1451"/>
      <c r="PVF1451"/>
      <c r="PVG1451"/>
      <c r="PVH1451"/>
      <c r="PVI1451"/>
      <c r="PVJ1451"/>
      <c r="PVK1451"/>
      <c r="PVL1451"/>
      <c r="PVM1451"/>
      <c r="PVN1451"/>
      <c r="PVO1451"/>
      <c r="PVP1451"/>
      <c r="PVQ1451"/>
      <c r="PVR1451"/>
      <c r="PVS1451"/>
      <c r="PVT1451"/>
      <c r="PVU1451"/>
      <c r="PVV1451"/>
      <c r="PVW1451"/>
      <c r="PVX1451"/>
      <c r="PVY1451"/>
      <c r="PVZ1451"/>
      <c r="PWA1451"/>
      <c r="PWB1451"/>
      <c r="PWC1451"/>
      <c r="PWD1451"/>
      <c r="PWE1451"/>
      <c r="PWF1451"/>
      <c r="PWG1451"/>
      <c r="PWH1451"/>
      <c r="PWI1451"/>
      <c r="PWJ1451"/>
      <c r="PWK1451"/>
      <c r="PWL1451"/>
      <c r="PWM1451"/>
      <c r="PWN1451"/>
      <c r="PWO1451"/>
      <c r="PWP1451"/>
      <c r="PWQ1451"/>
      <c r="PWR1451"/>
      <c r="PWS1451"/>
      <c r="PWT1451"/>
      <c r="PWU1451"/>
      <c r="PWV1451"/>
      <c r="PWW1451"/>
      <c r="PWX1451"/>
      <c r="PWY1451"/>
      <c r="PWZ1451"/>
      <c r="PXA1451"/>
      <c r="PXB1451"/>
      <c r="PXC1451"/>
      <c r="PXD1451"/>
      <c r="PXE1451"/>
      <c r="PXF1451"/>
      <c r="PXG1451"/>
      <c r="PXH1451"/>
      <c r="PXI1451"/>
      <c r="PXJ1451"/>
      <c r="PXK1451"/>
      <c r="PXL1451"/>
      <c r="PXM1451"/>
      <c r="PXN1451"/>
      <c r="PXO1451"/>
      <c r="PXP1451"/>
      <c r="PXQ1451"/>
      <c r="PXR1451"/>
      <c r="PXS1451"/>
      <c r="PXT1451"/>
      <c r="PXU1451"/>
      <c r="PXV1451"/>
      <c r="PXW1451"/>
      <c r="PXX1451"/>
      <c r="PXY1451"/>
      <c r="PXZ1451"/>
      <c r="PYA1451"/>
      <c r="PYB1451"/>
      <c r="PYC1451"/>
      <c r="PYD1451"/>
      <c r="PYE1451"/>
      <c r="PYF1451"/>
      <c r="PYG1451"/>
      <c r="PYH1451"/>
      <c r="PYI1451"/>
      <c r="PYJ1451"/>
      <c r="PYK1451"/>
      <c r="PYL1451"/>
      <c r="PYM1451"/>
      <c r="PYN1451"/>
      <c r="PYO1451"/>
      <c r="PYP1451"/>
      <c r="PYQ1451"/>
      <c r="PYR1451"/>
      <c r="PYS1451"/>
      <c r="PYT1451"/>
      <c r="PYU1451"/>
      <c r="PYV1451"/>
      <c r="PYW1451"/>
      <c r="PYX1451"/>
      <c r="PYY1451"/>
      <c r="PYZ1451"/>
      <c r="PZA1451"/>
      <c r="PZB1451"/>
      <c r="PZC1451"/>
      <c r="PZD1451"/>
      <c r="PZE1451"/>
      <c r="PZF1451"/>
      <c r="PZG1451"/>
      <c r="PZH1451"/>
      <c r="PZI1451"/>
      <c r="PZJ1451"/>
      <c r="PZK1451"/>
      <c r="PZL1451"/>
      <c r="PZM1451"/>
      <c r="PZN1451"/>
      <c r="PZO1451"/>
      <c r="PZP1451"/>
      <c r="PZQ1451"/>
      <c r="PZR1451"/>
      <c r="PZS1451"/>
      <c r="PZT1451"/>
      <c r="PZU1451"/>
      <c r="PZV1451"/>
      <c r="PZW1451"/>
      <c r="PZX1451"/>
      <c r="PZY1451"/>
      <c r="PZZ1451"/>
      <c r="QAA1451"/>
      <c r="QAB1451"/>
      <c r="QAC1451"/>
      <c r="QAD1451"/>
      <c r="QAE1451"/>
      <c r="QAF1451"/>
      <c r="QAG1451"/>
      <c r="QAH1451"/>
      <c r="QAI1451"/>
      <c r="QAJ1451"/>
      <c r="QAK1451"/>
      <c r="QAL1451"/>
      <c r="QAM1451"/>
      <c r="QAN1451"/>
      <c r="QAO1451"/>
      <c r="QAP1451"/>
      <c r="QAQ1451"/>
      <c r="QAR1451"/>
      <c r="QAS1451"/>
      <c r="QAT1451"/>
      <c r="QAU1451"/>
      <c r="QAV1451"/>
      <c r="QAW1451"/>
      <c r="QAX1451"/>
      <c r="QAY1451"/>
      <c r="QAZ1451"/>
      <c r="QBA1451"/>
      <c r="QBB1451"/>
      <c r="QBC1451"/>
      <c r="QBD1451"/>
      <c r="QBE1451"/>
      <c r="QBF1451"/>
      <c r="QBG1451"/>
      <c r="QBH1451"/>
      <c r="QBI1451"/>
      <c r="QBJ1451"/>
      <c r="QBK1451"/>
      <c r="QBL1451"/>
      <c r="QBM1451"/>
      <c r="QBN1451"/>
      <c r="QBO1451"/>
      <c r="QBP1451"/>
      <c r="QBQ1451"/>
      <c r="QBR1451"/>
      <c r="QBS1451"/>
      <c r="QBT1451"/>
      <c r="QBU1451"/>
      <c r="QBV1451"/>
      <c r="QBW1451"/>
      <c r="QBX1451"/>
      <c r="QBY1451"/>
      <c r="QBZ1451"/>
      <c r="QCA1451"/>
      <c r="QCB1451"/>
      <c r="QCC1451"/>
      <c r="QCD1451"/>
      <c r="QCE1451"/>
      <c r="QCF1451"/>
      <c r="QCG1451"/>
      <c r="QCH1451"/>
      <c r="QCI1451"/>
      <c r="QCJ1451"/>
      <c r="QCK1451"/>
      <c r="QCL1451"/>
      <c r="QCM1451"/>
      <c r="QCN1451"/>
      <c r="QCO1451"/>
      <c r="QCP1451"/>
      <c r="QCQ1451"/>
      <c r="QCR1451"/>
      <c r="QCS1451"/>
      <c r="QCT1451"/>
      <c r="QCU1451"/>
      <c r="QCV1451"/>
      <c r="QCW1451"/>
      <c r="QCX1451"/>
      <c r="QCY1451"/>
      <c r="QCZ1451"/>
      <c r="QDA1451"/>
      <c r="QDB1451"/>
      <c r="QDC1451"/>
      <c r="QDD1451"/>
      <c r="QDE1451"/>
      <c r="QDF1451"/>
      <c r="QDG1451"/>
      <c r="QDH1451"/>
      <c r="QDI1451"/>
      <c r="QDJ1451"/>
      <c r="QDK1451"/>
      <c r="QDL1451"/>
      <c r="QDM1451"/>
      <c r="QDN1451"/>
      <c r="QDO1451"/>
      <c r="QDP1451"/>
      <c r="QDQ1451"/>
      <c r="QDR1451"/>
      <c r="QDS1451"/>
      <c r="QDT1451"/>
      <c r="QDU1451"/>
      <c r="QDV1451"/>
      <c r="QDW1451"/>
      <c r="QDX1451"/>
      <c r="QDY1451"/>
      <c r="QDZ1451"/>
      <c r="QEA1451"/>
      <c r="QEB1451"/>
      <c r="QEC1451"/>
      <c r="QED1451"/>
      <c r="QEE1451"/>
      <c r="QEF1451"/>
      <c r="QEG1451"/>
      <c r="QEH1451"/>
      <c r="QEI1451"/>
      <c r="QEJ1451"/>
      <c r="QEK1451"/>
      <c r="QEL1451"/>
      <c r="QEM1451"/>
      <c r="QEN1451"/>
      <c r="QEO1451"/>
      <c r="QEP1451"/>
      <c r="QEQ1451"/>
      <c r="QER1451"/>
      <c r="QES1451"/>
      <c r="QET1451"/>
      <c r="QEU1451"/>
      <c r="QEV1451"/>
      <c r="QEW1451"/>
      <c r="QEX1451"/>
      <c r="QEY1451"/>
      <c r="QEZ1451"/>
      <c r="QFA1451"/>
      <c r="QFB1451"/>
      <c r="QFC1451"/>
      <c r="QFD1451"/>
      <c r="QFE1451"/>
      <c r="QFF1451"/>
      <c r="QFG1451"/>
      <c r="QFH1451"/>
      <c r="QFI1451"/>
      <c r="QFJ1451"/>
      <c r="QFK1451"/>
      <c r="QFL1451"/>
      <c r="QFM1451"/>
      <c r="QFN1451"/>
      <c r="QFO1451"/>
      <c r="QFP1451"/>
      <c r="QFQ1451"/>
      <c r="QFR1451"/>
      <c r="QFS1451"/>
      <c r="QFT1451"/>
      <c r="QFU1451"/>
      <c r="QFV1451"/>
      <c r="QFW1451"/>
      <c r="QFX1451"/>
      <c r="QFY1451"/>
      <c r="QFZ1451"/>
      <c r="QGA1451"/>
      <c r="QGB1451"/>
      <c r="QGC1451"/>
      <c r="QGD1451"/>
      <c r="QGE1451"/>
      <c r="QGF1451"/>
      <c r="QGG1451"/>
      <c r="QGH1451"/>
      <c r="QGI1451"/>
      <c r="QGJ1451"/>
      <c r="QGK1451"/>
      <c r="QGL1451"/>
      <c r="QGM1451"/>
      <c r="QGN1451"/>
      <c r="QGO1451"/>
      <c r="QGP1451"/>
      <c r="QGQ1451"/>
      <c r="QGR1451"/>
      <c r="QGS1451"/>
      <c r="QGT1451"/>
      <c r="QGU1451"/>
      <c r="QGV1451"/>
      <c r="QGW1451"/>
      <c r="QGX1451"/>
      <c r="QGY1451"/>
      <c r="QGZ1451"/>
      <c r="QHA1451"/>
      <c r="QHB1451"/>
      <c r="QHC1451"/>
      <c r="QHD1451"/>
      <c r="QHE1451"/>
      <c r="QHF1451"/>
      <c r="QHG1451"/>
      <c r="QHH1451"/>
      <c r="QHI1451"/>
      <c r="QHJ1451"/>
      <c r="QHK1451"/>
      <c r="QHL1451"/>
      <c r="QHM1451"/>
      <c r="QHN1451"/>
      <c r="QHO1451"/>
      <c r="QHP1451"/>
      <c r="QHQ1451"/>
      <c r="QHR1451"/>
      <c r="QHS1451"/>
      <c r="QHT1451"/>
      <c r="QHU1451"/>
      <c r="QHV1451"/>
      <c r="QHW1451"/>
      <c r="QHX1451"/>
      <c r="QHY1451"/>
      <c r="QHZ1451"/>
      <c r="QIA1451"/>
      <c r="QIB1451"/>
      <c r="QIC1451"/>
      <c r="QID1451"/>
      <c r="QIE1451"/>
      <c r="QIF1451"/>
      <c r="QIG1451"/>
      <c r="QIH1451"/>
      <c r="QII1451"/>
      <c r="QIJ1451"/>
      <c r="QIK1451"/>
      <c r="QIL1451"/>
      <c r="QIM1451"/>
      <c r="QIN1451"/>
      <c r="QIO1451"/>
      <c r="QIP1451"/>
      <c r="QIQ1451"/>
      <c r="QIR1451"/>
      <c r="QIS1451"/>
      <c r="QIT1451"/>
      <c r="QIU1451"/>
      <c r="QIV1451"/>
      <c r="QIW1451"/>
      <c r="QIX1451"/>
      <c r="QIY1451"/>
      <c r="QIZ1451"/>
      <c r="QJA1451"/>
      <c r="QJB1451"/>
      <c r="QJC1451"/>
      <c r="QJD1451"/>
      <c r="QJE1451"/>
      <c r="QJF1451"/>
      <c r="QJG1451"/>
      <c r="QJH1451"/>
      <c r="QJI1451"/>
      <c r="QJJ1451"/>
      <c r="QJK1451"/>
      <c r="QJL1451"/>
      <c r="QJM1451"/>
      <c r="QJN1451"/>
      <c r="QJO1451"/>
      <c r="QJP1451"/>
      <c r="QJQ1451"/>
      <c r="QJR1451"/>
      <c r="QJS1451"/>
      <c r="QJT1451"/>
      <c r="QJU1451"/>
      <c r="QJV1451"/>
      <c r="QJW1451"/>
      <c r="QJX1451"/>
      <c r="QJY1451"/>
      <c r="QJZ1451"/>
      <c r="QKA1451"/>
      <c r="QKB1451"/>
      <c r="QKC1451"/>
      <c r="QKD1451"/>
      <c r="QKE1451"/>
      <c r="QKF1451"/>
      <c r="QKG1451"/>
      <c r="QKH1451"/>
      <c r="QKI1451"/>
      <c r="QKJ1451"/>
      <c r="QKK1451"/>
      <c r="QKL1451"/>
      <c r="QKM1451"/>
      <c r="QKN1451"/>
      <c r="QKO1451"/>
      <c r="QKP1451"/>
      <c r="QKQ1451"/>
      <c r="QKR1451"/>
      <c r="QKS1451"/>
      <c r="QKT1451"/>
      <c r="QKU1451"/>
      <c r="QKV1451"/>
      <c r="QKW1451"/>
      <c r="QKX1451"/>
      <c r="QKY1451"/>
      <c r="QKZ1451"/>
      <c r="QLA1451"/>
      <c r="QLB1451"/>
      <c r="QLC1451"/>
      <c r="QLD1451"/>
      <c r="QLE1451"/>
      <c r="QLF1451"/>
      <c r="QLG1451"/>
      <c r="QLH1451"/>
      <c r="QLI1451"/>
      <c r="QLJ1451"/>
      <c r="QLK1451"/>
      <c r="QLL1451"/>
      <c r="QLM1451"/>
      <c r="QLN1451"/>
      <c r="QLO1451"/>
      <c r="QLP1451"/>
      <c r="QLQ1451"/>
      <c r="QLR1451"/>
      <c r="QLS1451"/>
      <c r="QLT1451"/>
      <c r="QLU1451"/>
      <c r="QLV1451"/>
      <c r="QLW1451"/>
      <c r="QLX1451"/>
      <c r="QLY1451"/>
      <c r="QLZ1451"/>
      <c r="QMA1451"/>
      <c r="QMB1451"/>
      <c r="QMC1451"/>
      <c r="QMD1451"/>
      <c r="QME1451"/>
      <c r="QMF1451"/>
      <c r="QMG1451"/>
      <c r="QMH1451"/>
      <c r="QMI1451"/>
      <c r="QMJ1451"/>
      <c r="QMK1451"/>
      <c r="QML1451"/>
      <c r="QMM1451"/>
      <c r="QMN1451"/>
      <c r="QMO1451"/>
      <c r="QMP1451"/>
      <c r="QMQ1451"/>
      <c r="QMR1451"/>
      <c r="QMS1451"/>
      <c r="QMT1451"/>
      <c r="QMU1451"/>
      <c r="QMV1451"/>
      <c r="QMW1451"/>
      <c r="QMX1451"/>
      <c r="QMY1451"/>
      <c r="QMZ1451"/>
      <c r="QNA1451"/>
      <c r="QNB1451"/>
      <c r="QNC1451"/>
      <c r="QND1451"/>
      <c r="QNE1451"/>
      <c r="QNF1451"/>
      <c r="QNG1451"/>
      <c r="QNH1451"/>
      <c r="QNI1451"/>
      <c r="QNJ1451"/>
      <c r="QNK1451"/>
      <c r="QNL1451"/>
      <c r="QNM1451"/>
      <c r="QNN1451"/>
      <c r="QNO1451"/>
      <c r="QNP1451"/>
      <c r="QNQ1451"/>
      <c r="QNR1451"/>
      <c r="QNS1451"/>
      <c r="QNT1451"/>
      <c r="QNU1451"/>
      <c r="QNV1451"/>
      <c r="QNW1451"/>
      <c r="QNX1451"/>
      <c r="QNY1451"/>
      <c r="QNZ1451"/>
      <c r="QOA1451"/>
      <c r="QOB1451"/>
      <c r="QOC1451"/>
      <c r="QOD1451"/>
      <c r="QOE1451"/>
      <c r="QOF1451"/>
      <c r="QOG1451"/>
      <c r="QOH1451"/>
      <c r="QOI1451"/>
      <c r="QOJ1451"/>
      <c r="QOK1451"/>
      <c r="QOL1451"/>
      <c r="QOM1451"/>
      <c r="QON1451"/>
      <c r="QOO1451"/>
      <c r="QOP1451"/>
      <c r="QOQ1451"/>
      <c r="QOR1451"/>
      <c r="QOS1451"/>
      <c r="QOT1451"/>
      <c r="QOU1451"/>
      <c r="QOV1451"/>
      <c r="QOW1451"/>
      <c r="QOX1451"/>
      <c r="QOY1451"/>
      <c r="QOZ1451"/>
      <c r="QPA1451"/>
      <c r="QPB1451"/>
      <c r="QPC1451"/>
      <c r="QPD1451"/>
      <c r="QPE1451"/>
      <c r="QPF1451"/>
      <c r="QPG1451"/>
      <c r="QPH1451"/>
      <c r="QPI1451"/>
      <c r="QPJ1451"/>
      <c r="QPK1451"/>
      <c r="QPL1451"/>
      <c r="QPM1451"/>
      <c r="QPN1451"/>
      <c r="QPO1451"/>
      <c r="QPP1451"/>
      <c r="QPQ1451"/>
      <c r="QPR1451"/>
      <c r="QPS1451"/>
      <c r="QPT1451"/>
      <c r="QPU1451"/>
      <c r="QPV1451"/>
      <c r="QPW1451"/>
      <c r="QPX1451"/>
      <c r="QPY1451"/>
      <c r="QPZ1451"/>
      <c r="QQA1451"/>
      <c r="QQB1451"/>
      <c r="QQC1451"/>
      <c r="QQD1451"/>
      <c r="QQE1451"/>
      <c r="QQF1451"/>
      <c r="QQG1451"/>
      <c r="QQH1451"/>
      <c r="QQI1451"/>
      <c r="QQJ1451"/>
      <c r="QQK1451"/>
      <c r="QQL1451"/>
      <c r="QQM1451"/>
      <c r="QQN1451"/>
      <c r="QQO1451"/>
      <c r="QQP1451"/>
      <c r="QQQ1451"/>
      <c r="QQR1451"/>
      <c r="QQS1451"/>
      <c r="QQT1451"/>
      <c r="QQU1451"/>
      <c r="QQV1451"/>
      <c r="QQW1451"/>
      <c r="QQX1451"/>
      <c r="QQY1451"/>
      <c r="QQZ1451"/>
      <c r="QRA1451"/>
      <c r="QRB1451"/>
      <c r="QRC1451"/>
      <c r="QRD1451"/>
      <c r="QRE1451"/>
      <c r="QRF1451"/>
      <c r="QRG1451"/>
      <c r="QRH1451"/>
      <c r="QRI1451"/>
      <c r="QRJ1451"/>
      <c r="QRK1451"/>
      <c r="QRL1451"/>
      <c r="QRM1451"/>
      <c r="QRN1451"/>
      <c r="QRO1451"/>
      <c r="QRP1451"/>
      <c r="QRQ1451"/>
      <c r="QRR1451"/>
      <c r="QRS1451"/>
      <c r="QRT1451"/>
      <c r="QRU1451"/>
      <c r="QRV1451"/>
      <c r="QRW1451"/>
      <c r="QRX1451"/>
      <c r="QRY1451"/>
      <c r="QRZ1451"/>
      <c r="QSA1451"/>
      <c r="QSB1451"/>
      <c r="QSC1451"/>
      <c r="QSD1451"/>
      <c r="QSE1451"/>
      <c r="QSF1451"/>
      <c r="QSG1451"/>
      <c r="QSH1451"/>
      <c r="QSI1451"/>
      <c r="QSJ1451"/>
      <c r="QSK1451"/>
      <c r="QSL1451"/>
      <c r="QSM1451"/>
      <c r="QSN1451"/>
      <c r="QSO1451"/>
      <c r="QSP1451"/>
      <c r="QSQ1451"/>
      <c r="QSR1451"/>
      <c r="QSS1451"/>
      <c r="QST1451"/>
      <c r="QSU1451"/>
      <c r="QSV1451"/>
      <c r="QSW1451"/>
      <c r="QSX1451"/>
      <c r="QSY1451"/>
      <c r="QSZ1451"/>
      <c r="QTA1451"/>
      <c r="QTB1451"/>
      <c r="QTC1451"/>
      <c r="QTD1451"/>
      <c r="QTE1451"/>
      <c r="QTF1451"/>
      <c r="QTG1451"/>
      <c r="QTH1451"/>
      <c r="QTI1451"/>
      <c r="QTJ1451"/>
      <c r="QTK1451"/>
      <c r="QTL1451"/>
      <c r="QTM1451"/>
      <c r="QTN1451"/>
      <c r="QTO1451"/>
      <c r="QTP1451"/>
      <c r="QTQ1451"/>
      <c r="QTR1451"/>
      <c r="QTS1451"/>
      <c r="QTT1451"/>
      <c r="QTU1451"/>
      <c r="QTV1451"/>
      <c r="QTW1451"/>
      <c r="QTX1451"/>
      <c r="QTY1451"/>
      <c r="QTZ1451"/>
      <c r="QUA1451"/>
      <c r="QUB1451"/>
      <c r="QUC1451"/>
      <c r="QUD1451"/>
      <c r="QUE1451"/>
      <c r="QUF1451"/>
      <c r="QUG1451"/>
      <c r="QUH1451"/>
      <c r="QUI1451"/>
      <c r="QUJ1451"/>
      <c r="QUK1451"/>
      <c r="QUL1451"/>
      <c r="QUM1451"/>
      <c r="QUN1451"/>
      <c r="QUO1451"/>
      <c r="QUP1451"/>
      <c r="QUQ1451"/>
      <c r="QUR1451"/>
      <c r="QUS1451"/>
      <c r="QUT1451"/>
      <c r="QUU1451"/>
      <c r="QUV1451"/>
      <c r="QUW1451"/>
      <c r="QUX1451"/>
      <c r="QUY1451"/>
      <c r="QUZ1451"/>
      <c r="QVA1451"/>
      <c r="QVB1451"/>
      <c r="QVC1451"/>
      <c r="QVD1451"/>
      <c r="QVE1451"/>
      <c r="QVF1451"/>
      <c r="QVG1451"/>
      <c r="QVH1451"/>
      <c r="QVI1451"/>
      <c r="QVJ1451"/>
      <c r="QVK1451"/>
      <c r="QVL1451"/>
      <c r="QVM1451"/>
      <c r="QVN1451"/>
      <c r="QVO1451"/>
      <c r="QVP1451"/>
      <c r="QVQ1451"/>
      <c r="QVR1451"/>
      <c r="QVS1451"/>
      <c r="QVT1451"/>
      <c r="QVU1451"/>
      <c r="QVV1451"/>
      <c r="QVW1451"/>
      <c r="QVX1451"/>
      <c r="QVY1451"/>
      <c r="QVZ1451"/>
      <c r="QWA1451"/>
      <c r="QWB1451"/>
      <c r="QWC1451"/>
      <c r="QWD1451"/>
      <c r="QWE1451"/>
      <c r="QWF1451"/>
      <c r="QWG1451"/>
      <c r="QWH1451"/>
      <c r="QWI1451"/>
      <c r="QWJ1451"/>
      <c r="QWK1451"/>
      <c r="QWL1451"/>
      <c r="QWM1451"/>
      <c r="QWN1451"/>
      <c r="QWO1451"/>
      <c r="QWP1451"/>
      <c r="QWQ1451"/>
      <c r="QWR1451"/>
      <c r="QWS1451"/>
      <c r="QWT1451"/>
      <c r="QWU1451"/>
      <c r="QWV1451"/>
      <c r="QWW1451"/>
      <c r="QWX1451"/>
      <c r="QWY1451"/>
      <c r="QWZ1451"/>
      <c r="QXA1451"/>
      <c r="QXB1451"/>
      <c r="QXC1451"/>
      <c r="QXD1451"/>
      <c r="QXE1451"/>
      <c r="QXF1451"/>
      <c r="QXG1451"/>
      <c r="QXH1451"/>
      <c r="QXI1451"/>
      <c r="QXJ1451"/>
      <c r="QXK1451"/>
      <c r="QXL1451"/>
      <c r="QXM1451"/>
      <c r="QXN1451"/>
      <c r="QXO1451"/>
      <c r="QXP1451"/>
      <c r="QXQ1451"/>
      <c r="QXR1451"/>
      <c r="QXS1451"/>
      <c r="QXT1451"/>
      <c r="QXU1451"/>
      <c r="QXV1451"/>
      <c r="QXW1451"/>
      <c r="QXX1451"/>
      <c r="QXY1451"/>
      <c r="QXZ1451"/>
      <c r="QYA1451"/>
      <c r="QYB1451"/>
      <c r="QYC1451"/>
      <c r="QYD1451"/>
      <c r="QYE1451"/>
      <c r="QYF1451"/>
      <c r="QYG1451"/>
      <c r="QYH1451"/>
      <c r="QYI1451"/>
      <c r="QYJ1451"/>
      <c r="QYK1451"/>
      <c r="QYL1451"/>
      <c r="QYM1451"/>
      <c r="QYN1451"/>
      <c r="QYO1451"/>
      <c r="QYP1451"/>
      <c r="QYQ1451"/>
      <c r="QYR1451"/>
      <c r="QYS1451"/>
      <c r="QYT1451"/>
      <c r="QYU1451"/>
      <c r="QYV1451"/>
      <c r="QYW1451"/>
      <c r="QYX1451"/>
      <c r="QYY1451"/>
      <c r="QYZ1451"/>
      <c r="QZA1451"/>
      <c r="QZB1451"/>
      <c r="QZC1451"/>
      <c r="QZD1451"/>
      <c r="QZE1451"/>
      <c r="QZF1451"/>
      <c r="QZG1451"/>
      <c r="QZH1451"/>
      <c r="QZI1451"/>
      <c r="QZJ1451"/>
      <c r="QZK1451"/>
      <c r="QZL1451"/>
      <c r="QZM1451"/>
      <c r="QZN1451"/>
      <c r="QZO1451"/>
      <c r="QZP1451"/>
      <c r="QZQ1451"/>
      <c r="QZR1451"/>
      <c r="QZS1451"/>
      <c r="QZT1451"/>
      <c r="QZU1451"/>
      <c r="QZV1451"/>
      <c r="QZW1451"/>
      <c r="QZX1451"/>
      <c r="QZY1451"/>
      <c r="QZZ1451"/>
      <c r="RAA1451"/>
      <c r="RAB1451"/>
      <c r="RAC1451"/>
      <c r="RAD1451"/>
      <c r="RAE1451"/>
      <c r="RAF1451"/>
      <c r="RAG1451"/>
      <c r="RAH1451"/>
      <c r="RAI1451"/>
      <c r="RAJ1451"/>
      <c r="RAK1451"/>
      <c r="RAL1451"/>
      <c r="RAM1451"/>
      <c r="RAN1451"/>
      <c r="RAO1451"/>
      <c r="RAP1451"/>
      <c r="RAQ1451"/>
      <c r="RAR1451"/>
      <c r="RAS1451"/>
      <c r="RAT1451"/>
      <c r="RAU1451"/>
      <c r="RAV1451"/>
      <c r="RAW1451"/>
      <c r="RAX1451"/>
      <c r="RAY1451"/>
      <c r="RAZ1451"/>
      <c r="RBA1451"/>
      <c r="RBB1451"/>
      <c r="RBC1451"/>
      <c r="RBD1451"/>
      <c r="RBE1451"/>
      <c r="RBF1451"/>
      <c r="RBG1451"/>
      <c r="RBH1451"/>
      <c r="RBI1451"/>
      <c r="RBJ1451"/>
      <c r="RBK1451"/>
      <c r="RBL1451"/>
      <c r="RBM1451"/>
      <c r="RBN1451"/>
      <c r="RBO1451"/>
      <c r="RBP1451"/>
      <c r="RBQ1451"/>
      <c r="RBR1451"/>
      <c r="RBS1451"/>
      <c r="RBT1451"/>
      <c r="RBU1451"/>
      <c r="RBV1451"/>
      <c r="RBW1451"/>
      <c r="RBX1451"/>
      <c r="RBY1451"/>
      <c r="RBZ1451"/>
      <c r="RCA1451"/>
      <c r="RCB1451"/>
      <c r="RCC1451"/>
      <c r="RCD1451"/>
      <c r="RCE1451"/>
      <c r="RCF1451"/>
      <c r="RCG1451"/>
      <c r="RCH1451"/>
      <c r="RCI1451"/>
      <c r="RCJ1451"/>
      <c r="RCK1451"/>
      <c r="RCL1451"/>
      <c r="RCM1451"/>
      <c r="RCN1451"/>
      <c r="RCO1451"/>
      <c r="RCP1451"/>
      <c r="RCQ1451"/>
      <c r="RCR1451"/>
      <c r="RCS1451"/>
      <c r="RCT1451"/>
      <c r="RCU1451"/>
      <c r="RCV1451"/>
      <c r="RCW1451"/>
      <c r="RCX1451"/>
      <c r="RCY1451"/>
      <c r="RCZ1451"/>
      <c r="RDA1451"/>
      <c r="RDB1451"/>
      <c r="RDC1451"/>
      <c r="RDD1451"/>
      <c r="RDE1451"/>
      <c r="RDF1451"/>
      <c r="RDG1451"/>
      <c r="RDH1451"/>
      <c r="RDI1451"/>
      <c r="RDJ1451"/>
      <c r="RDK1451"/>
      <c r="RDL1451"/>
      <c r="RDM1451"/>
      <c r="RDN1451"/>
      <c r="RDO1451"/>
      <c r="RDP1451"/>
      <c r="RDQ1451"/>
      <c r="RDR1451"/>
      <c r="RDS1451"/>
      <c r="RDT1451"/>
      <c r="RDU1451"/>
      <c r="RDV1451"/>
      <c r="RDW1451"/>
      <c r="RDX1451"/>
      <c r="RDY1451"/>
      <c r="RDZ1451"/>
      <c r="REA1451"/>
      <c r="REB1451"/>
      <c r="REC1451"/>
      <c r="RED1451"/>
      <c r="REE1451"/>
      <c r="REF1451"/>
      <c r="REG1451"/>
      <c r="REH1451"/>
      <c r="REI1451"/>
      <c r="REJ1451"/>
      <c r="REK1451"/>
      <c r="REL1451"/>
      <c r="REM1451"/>
      <c r="REN1451"/>
      <c r="REO1451"/>
      <c r="REP1451"/>
      <c r="REQ1451"/>
      <c r="RER1451"/>
      <c r="RES1451"/>
      <c r="RET1451"/>
      <c r="REU1451"/>
      <c r="REV1451"/>
      <c r="REW1451"/>
      <c r="REX1451"/>
      <c r="REY1451"/>
      <c r="REZ1451"/>
      <c r="RFA1451"/>
      <c r="RFB1451"/>
      <c r="RFC1451"/>
      <c r="RFD1451"/>
      <c r="RFE1451"/>
      <c r="RFF1451"/>
      <c r="RFG1451"/>
      <c r="RFH1451"/>
      <c r="RFI1451"/>
      <c r="RFJ1451"/>
      <c r="RFK1451"/>
      <c r="RFL1451"/>
      <c r="RFM1451"/>
      <c r="RFN1451"/>
      <c r="RFO1451"/>
      <c r="RFP1451"/>
      <c r="RFQ1451"/>
      <c r="RFR1451"/>
      <c r="RFS1451"/>
      <c r="RFT1451"/>
      <c r="RFU1451"/>
      <c r="RFV1451"/>
      <c r="RFW1451"/>
      <c r="RFX1451"/>
      <c r="RFY1451"/>
      <c r="RFZ1451"/>
      <c r="RGA1451"/>
      <c r="RGB1451"/>
      <c r="RGC1451"/>
      <c r="RGD1451"/>
      <c r="RGE1451"/>
      <c r="RGF1451"/>
      <c r="RGG1451"/>
      <c r="RGH1451"/>
      <c r="RGI1451"/>
      <c r="RGJ1451"/>
      <c r="RGK1451"/>
      <c r="RGL1451"/>
      <c r="RGM1451"/>
      <c r="RGN1451"/>
      <c r="RGO1451"/>
      <c r="RGP1451"/>
      <c r="RGQ1451"/>
      <c r="RGR1451"/>
      <c r="RGS1451"/>
      <c r="RGT1451"/>
      <c r="RGU1451"/>
      <c r="RGV1451"/>
      <c r="RGW1451"/>
      <c r="RGX1451"/>
      <c r="RGY1451"/>
      <c r="RGZ1451"/>
      <c r="RHA1451"/>
      <c r="RHB1451"/>
      <c r="RHC1451"/>
      <c r="RHD1451"/>
      <c r="RHE1451"/>
      <c r="RHF1451"/>
      <c r="RHG1451"/>
      <c r="RHH1451"/>
      <c r="RHI1451"/>
      <c r="RHJ1451"/>
      <c r="RHK1451"/>
      <c r="RHL1451"/>
      <c r="RHM1451"/>
      <c r="RHN1451"/>
      <c r="RHO1451"/>
      <c r="RHP1451"/>
      <c r="RHQ1451"/>
      <c r="RHR1451"/>
      <c r="RHS1451"/>
      <c r="RHT1451"/>
      <c r="RHU1451"/>
      <c r="RHV1451"/>
      <c r="RHW1451"/>
      <c r="RHX1451"/>
      <c r="RHY1451"/>
      <c r="RHZ1451"/>
      <c r="RIA1451"/>
      <c r="RIB1451"/>
      <c r="RIC1451"/>
      <c r="RID1451"/>
      <c r="RIE1451"/>
      <c r="RIF1451"/>
      <c r="RIG1451"/>
      <c r="RIH1451"/>
      <c r="RII1451"/>
      <c r="RIJ1451"/>
      <c r="RIK1451"/>
      <c r="RIL1451"/>
      <c r="RIM1451"/>
      <c r="RIN1451"/>
      <c r="RIO1451"/>
      <c r="RIP1451"/>
      <c r="RIQ1451"/>
      <c r="RIR1451"/>
      <c r="RIS1451"/>
      <c r="RIT1451"/>
      <c r="RIU1451"/>
      <c r="RIV1451"/>
      <c r="RIW1451"/>
      <c r="RIX1451"/>
      <c r="RIY1451"/>
      <c r="RIZ1451"/>
      <c r="RJA1451"/>
      <c r="RJB1451"/>
      <c r="RJC1451"/>
      <c r="RJD1451"/>
      <c r="RJE1451"/>
      <c r="RJF1451"/>
      <c r="RJG1451"/>
      <c r="RJH1451"/>
      <c r="RJI1451"/>
      <c r="RJJ1451"/>
      <c r="RJK1451"/>
      <c r="RJL1451"/>
      <c r="RJM1451"/>
      <c r="RJN1451"/>
      <c r="RJO1451"/>
      <c r="RJP1451"/>
      <c r="RJQ1451"/>
      <c r="RJR1451"/>
      <c r="RJS1451"/>
      <c r="RJT1451"/>
      <c r="RJU1451"/>
      <c r="RJV1451"/>
      <c r="RJW1451"/>
      <c r="RJX1451"/>
      <c r="RJY1451"/>
      <c r="RJZ1451"/>
      <c r="RKA1451"/>
      <c r="RKB1451"/>
      <c r="RKC1451"/>
      <c r="RKD1451"/>
      <c r="RKE1451"/>
      <c r="RKF1451"/>
      <c r="RKG1451"/>
      <c r="RKH1451"/>
      <c r="RKI1451"/>
      <c r="RKJ1451"/>
      <c r="RKK1451"/>
      <c r="RKL1451"/>
      <c r="RKM1451"/>
      <c r="RKN1451"/>
      <c r="RKO1451"/>
      <c r="RKP1451"/>
      <c r="RKQ1451"/>
      <c r="RKR1451"/>
      <c r="RKS1451"/>
      <c r="RKT1451"/>
      <c r="RKU1451"/>
      <c r="RKV1451"/>
      <c r="RKW1451"/>
      <c r="RKX1451"/>
      <c r="RKY1451"/>
      <c r="RKZ1451"/>
      <c r="RLA1451"/>
      <c r="RLB1451"/>
      <c r="RLC1451"/>
      <c r="RLD1451"/>
      <c r="RLE1451"/>
      <c r="RLF1451"/>
      <c r="RLG1451"/>
      <c r="RLH1451"/>
      <c r="RLI1451"/>
      <c r="RLJ1451"/>
      <c r="RLK1451"/>
      <c r="RLL1451"/>
      <c r="RLM1451"/>
      <c r="RLN1451"/>
      <c r="RLO1451"/>
      <c r="RLP1451"/>
      <c r="RLQ1451"/>
      <c r="RLR1451"/>
      <c r="RLS1451"/>
      <c r="RLT1451"/>
      <c r="RLU1451"/>
      <c r="RLV1451"/>
      <c r="RLW1451"/>
      <c r="RLX1451"/>
      <c r="RLY1451"/>
      <c r="RLZ1451"/>
      <c r="RMA1451"/>
      <c r="RMB1451"/>
      <c r="RMC1451"/>
      <c r="RMD1451"/>
      <c r="RME1451"/>
      <c r="RMF1451"/>
      <c r="RMG1451"/>
      <c r="RMH1451"/>
      <c r="RMI1451"/>
      <c r="RMJ1451"/>
      <c r="RMK1451"/>
      <c r="RML1451"/>
      <c r="RMM1451"/>
      <c r="RMN1451"/>
      <c r="RMO1451"/>
      <c r="RMP1451"/>
      <c r="RMQ1451"/>
      <c r="RMR1451"/>
      <c r="RMS1451"/>
      <c r="RMT1451"/>
      <c r="RMU1451"/>
      <c r="RMV1451"/>
      <c r="RMW1451"/>
      <c r="RMX1451"/>
      <c r="RMY1451"/>
      <c r="RMZ1451"/>
      <c r="RNA1451"/>
      <c r="RNB1451"/>
      <c r="RNC1451"/>
      <c r="RND1451"/>
      <c r="RNE1451"/>
      <c r="RNF1451"/>
      <c r="RNG1451"/>
      <c r="RNH1451"/>
      <c r="RNI1451"/>
      <c r="RNJ1451"/>
      <c r="RNK1451"/>
      <c r="RNL1451"/>
      <c r="RNM1451"/>
      <c r="RNN1451"/>
      <c r="RNO1451"/>
      <c r="RNP1451"/>
      <c r="RNQ1451"/>
      <c r="RNR1451"/>
      <c r="RNS1451"/>
      <c r="RNT1451"/>
      <c r="RNU1451"/>
      <c r="RNV1451"/>
      <c r="RNW1451"/>
      <c r="RNX1451"/>
      <c r="RNY1451"/>
      <c r="RNZ1451"/>
      <c r="ROA1451"/>
      <c r="ROB1451"/>
      <c r="ROC1451"/>
      <c r="ROD1451"/>
      <c r="ROE1451"/>
      <c r="ROF1451"/>
      <c r="ROG1451"/>
      <c r="ROH1451"/>
      <c r="ROI1451"/>
      <c r="ROJ1451"/>
      <c r="ROK1451"/>
      <c r="ROL1451"/>
      <c r="ROM1451"/>
      <c r="RON1451"/>
      <c r="ROO1451"/>
      <c r="ROP1451"/>
      <c r="ROQ1451"/>
      <c r="ROR1451"/>
      <c r="ROS1451"/>
      <c r="ROT1451"/>
      <c r="ROU1451"/>
      <c r="ROV1451"/>
      <c r="ROW1451"/>
      <c r="ROX1451"/>
      <c r="ROY1451"/>
      <c r="ROZ1451"/>
      <c r="RPA1451"/>
      <c r="RPB1451"/>
      <c r="RPC1451"/>
      <c r="RPD1451"/>
      <c r="RPE1451"/>
      <c r="RPF1451"/>
      <c r="RPG1451"/>
      <c r="RPH1451"/>
      <c r="RPI1451"/>
      <c r="RPJ1451"/>
      <c r="RPK1451"/>
      <c r="RPL1451"/>
      <c r="RPM1451"/>
      <c r="RPN1451"/>
      <c r="RPO1451"/>
      <c r="RPP1451"/>
      <c r="RPQ1451"/>
      <c r="RPR1451"/>
      <c r="RPS1451"/>
      <c r="RPT1451"/>
      <c r="RPU1451"/>
      <c r="RPV1451"/>
      <c r="RPW1451"/>
      <c r="RPX1451"/>
      <c r="RPY1451"/>
      <c r="RPZ1451"/>
      <c r="RQA1451"/>
      <c r="RQB1451"/>
      <c r="RQC1451"/>
      <c r="RQD1451"/>
      <c r="RQE1451"/>
      <c r="RQF1451"/>
      <c r="RQG1451"/>
      <c r="RQH1451"/>
      <c r="RQI1451"/>
      <c r="RQJ1451"/>
      <c r="RQK1451"/>
      <c r="RQL1451"/>
      <c r="RQM1451"/>
      <c r="RQN1451"/>
      <c r="RQO1451"/>
      <c r="RQP1451"/>
      <c r="RQQ1451"/>
      <c r="RQR1451"/>
      <c r="RQS1451"/>
      <c r="RQT1451"/>
      <c r="RQU1451"/>
      <c r="RQV1451"/>
      <c r="RQW1451"/>
      <c r="RQX1451"/>
      <c r="RQY1451"/>
      <c r="RQZ1451"/>
      <c r="RRA1451"/>
      <c r="RRB1451"/>
      <c r="RRC1451"/>
      <c r="RRD1451"/>
      <c r="RRE1451"/>
      <c r="RRF1451"/>
      <c r="RRG1451"/>
      <c r="RRH1451"/>
      <c r="RRI1451"/>
      <c r="RRJ1451"/>
      <c r="RRK1451"/>
      <c r="RRL1451"/>
      <c r="RRM1451"/>
      <c r="RRN1451"/>
      <c r="RRO1451"/>
      <c r="RRP1451"/>
      <c r="RRQ1451"/>
      <c r="RRR1451"/>
      <c r="RRS1451"/>
      <c r="RRT1451"/>
      <c r="RRU1451"/>
      <c r="RRV1451"/>
      <c r="RRW1451"/>
      <c r="RRX1451"/>
      <c r="RRY1451"/>
      <c r="RRZ1451"/>
      <c r="RSA1451"/>
      <c r="RSB1451"/>
      <c r="RSC1451"/>
      <c r="RSD1451"/>
      <c r="RSE1451"/>
      <c r="RSF1451"/>
      <c r="RSG1451"/>
      <c r="RSH1451"/>
      <c r="RSI1451"/>
      <c r="RSJ1451"/>
      <c r="RSK1451"/>
      <c r="RSL1451"/>
      <c r="RSM1451"/>
      <c r="RSN1451"/>
      <c r="RSO1451"/>
      <c r="RSP1451"/>
      <c r="RSQ1451"/>
      <c r="RSR1451"/>
      <c r="RSS1451"/>
      <c r="RST1451"/>
      <c r="RSU1451"/>
      <c r="RSV1451"/>
      <c r="RSW1451"/>
      <c r="RSX1451"/>
      <c r="RSY1451"/>
      <c r="RSZ1451"/>
      <c r="RTA1451"/>
      <c r="RTB1451"/>
      <c r="RTC1451"/>
      <c r="RTD1451"/>
      <c r="RTE1451"/>
      <c r="RTF1451"/>
      <c r="RTG1451"/>
      <c r="RTH1451"/>
      <c r="RTI1451"/>
      <c r="RTJ1451"/>
      <c r="RTK1451"/>
      <c r="RTL1451"/>
      <c r="RTM1451"/>
      <c r="RTN1451"/>
      <c r="RTO1451"/>
      <c r="RTP1451"/>
      <c r="RTQ1451"/>
      <c r="RTR1451"/>
      <c r="RTS1451"/>
      <c r="RTT1451"/>
      <c r="RTU1451"/>
      <c r="RTV1451"/>
      <c r="RTW1451"/>
      <c r="RTX1451"/>
      <c r="RTY1451"/>
      <c r="RTZ1451"/>
      <c r="RUA1451"/>
      <c r="RUB1451"/>
      <c r="RUC1451"/>
      <c r="RUD1451"/>
      <c r="RUE1451"/>
      <c r="RUF1451"/>
      <c r="RUG1451"/>
      <c r="RUH1451"/>
      <c r="RUI1451"/>
      <c r="RUJ1451"/>
      <c r="RUK1451"/>
      <c r="RUL1451"/>
      <c r="RUM1451"/>
      <c r="RUN1451"/>
      <c r="RUO1451"/>
      <c r="RUP1451"/>
      <c r="RUQ1451"/>
      <c r="RUR1451"/>
      <c r="RUS1451"/>
      <c r="RUT1451"/>
      <c r="RUU1451"/>
      <c r="RUV1451"/>
      <c r="RUW1451"/>
      <c r="RUX1451"/>
      <c r="RUY1451"/>
      <c r="RUZ1451"/>
      <c r="RVA1451"/>
      <c r="RVB1451"/>
      <c r="RVC1451"/>
      <c r="RVD1451"/>
      <c r="RVE1451"/>
      <c r="RVF1451"/>
      <c r="RVG1451"/>
      <c r="RVH1451"/>
      <c r="RVI1451"/>
      <c r="RVJ1451"/>
      <c r="RVK1451"/>
      <c r="RVL1451"/>
      <c r="RVM1451"/>
      <c r="RVN1451"/>
      <c r="RVO1451"/>
      <c r="RVP1451"/>
      <c r="RVQ1451"/>
      <c r="RVR1451"/>
      <c r="RVS1451"/>
      <c r="RVT1451"/>
      <c r="RVU1451"/>
      <c r="RVV1451"/>
      <c r="RVW1451"/>
      <c r="RVX1451"/>
      <c r="RVY1451"/>
      <c r="RVZ1451"/>
      <c r="RWA1451"/>
      <c r="RWB1451"/>
      <c r="RWC1451"/>
      <c r="RWD1451"/>
      <c r="RWE1451"/>
      <c r="RWF1451"/>
      <c r="RWG1451"/>
      <c r="RWH1451"/>
      <c r="RWI1451"/>
      <c r="RWJ1451"/>
      <c r="RWK1451"/>
      <c r="RWL1451"/>
      <c r="RWM1451"/>
      <c r="RWN1451"/>
      <c r="RWO1451"/>
      <c r="RWP1451"/>
      <c r="RWQ1451"/>
      <c r="RWR1451"/>
      <c r="RWS1451"/>
      <c r="RWT1451"/>
      <c r="RWU1451"/>
      <c r="RWV1451"/>
      <c r="RWW1451"/>
      <c r="RWX1451"/>
      <c r="RWY1451"/>
      <c r="RWZ1451"/>
      <c r="RXA1451"/>
      <c r="RXB1451"/>
      <c r="RXC1451"/>
      <c r="RXD1451"/>
      <c r="RXE1451"/>
      <c r="RXF1451"/>
      <c r="RXG1451"/>
      <c r="RXH1451"/>
      <c r="RXI1451"/>
      <c r="RXJ1451"/>
      <c r="RXK1451"/>
      <c r="RXL1451"/>
      <c r="RXM1451"/>
      <c r="RXN1451"/>
      <c r="RXO1451"/>
      <c r="RXP1451"/>
      <c r="RXQ1451"/>
      <c r="RXR1451"/>
      <c r="RXS1451"/>
      <c r="RXT1451"/>
      <c r="RXU1451"/>
      <c r="RXV1451"/>
      <c r="RXW1451"/>
      <c r="RXX1451"/>
      <c r="RXY1451"/>
      <c r="RXZ1451"/>
      <c r="RYA1451"/>
      <c r="RYB1451"/>
      <c r="RYC1451"/>
      <c r="RYD1451"/>
      <c r="RYE1451"/>
      <c r="RYF1451"/>
      <c r="RYG1451"/>
      <c r="RYH1451"/>
      <c r="RYI1451"/>
      <c r="RYJ1451"/>
      <c r="RYK1451"/>
      <c r="RYL1451"/>
      <c r="RYM1451"/>
      <c r="RYN1451"/>
      <c r="RYO1451"/>
      <c r="RYP1451"/>
      <c r="RYQ1451"/>
      <c r="RYR1451"/>
      <c r="RYS1451"/>
      <c r="RYT1451"/>
      <c r="RYU1451"/>
      <c r="RYV1451"/>
      <c r="RYW1451"/>
      <c r="RYX1451"/>
      <c r="RYY1451"/>
      <c r="RYZ1451"/>
      <c r="RZA1451"/>
      <c r="RZB1451"/>
      <c r="RZC1451"/>
      <c r="RZD1451"/>
      <c r="RZE1451"/>
      <c r="RZF1451"/>
      <c r="RZG1451"/>
      <c r="RZH1451"/>
      <c r="RZI1451"/>
      <c r="RZJ1451"/>
      <c r="RZK1451"/>
      <c r="RZL1451"/>
      <c r="RZM1451"/>
      <c r="RZN1451"/>
      <c r="RZO1451"/>
      <c r="RZP1451"/>
      <c r="RZQ1451"/>
      <c r="RZR1451"/>
      <c r="RZS1451"/>
      <c r="RZT1451"/>
      <c r="RZU1451"/>
      <c r="RZV1451"/>
      <c r="RZW1451"/>
      <c r="RZX1451"/>
      <c r="RZY1451"/>
      <c r="RZZ1451"/>
      <c r="SAA1451"/>
      <c r="SAB1451"/>
      <c r="SAC1451"/>
      <c r="SAD1451"/>
      <c r="SAE1451"/>
      <c r="SAF1451"/>
      <c r="SAG1451"/>
      <c r="SAH1451"/>
      <c r="SAI1451"/>
      <c r="SAJ1451"/>
      <c r="SAK1451"/>
      <c r="SAL1451"/>
      <c r="SAM1451"/>
      <c r="SAN1451"/>
      <c r="SAO1451"/>
      <c r="SAP1451"/>
      <c r="SAQ1451"/>
      <c r="SAR1451"/>
      <c r="SAS1451"/>
      <c r="SAT1451"/>
      <c r="SAU1451"/>
      <c r="SAV1451"/>
      <c r="SAW1451"/>
      <c r="SAX1451"/>
      <c r="SAY1451"/>
      <c r="SAZ1451"/>
      <c r="SBA1451"/>
      <c r="SBB1451"/>
      <c r="SBC1451"/>
      <c r="SBD1451"/>
      <c r="SBE1451"/>
      <c r="SBF1451"/>
      <c r="SBG1451"/>
      <c r="SBH1451"/>
      <c r="SBI1451"/>
      <c r="SBJ1451"/>
      <c r="SBK1451"/>
      <c r="SBL1451"/>
      <c r="SBM1451"/>
      <c r="SBN1451"/>
      <c r="SBO1451"/>
      <c r="SBP1451"/>
      <c r="SBQ1451"/>
      <c r="SBR1451"/>
      <c r="SBS1451"/>
      <c r="SBT1451"/>
      <c r="SBU1451"/>
      <c r="SBV1451"/>
      <c r="SBW1451"/>
      <c r="SBX1451"/>
      <c r="SBY1451"/>
      <c r="SBZ1451"/>
      <c r="SCA1451"/>
      <c r="SCB1451"/>
      <c r="SCC1451"/>
      <c r="SCD1451"/>
      <c r="SCE1451"/>
      <c r="SCF1451"/>
      <c r="SCG1451"/>
      <c r="SCH1451"/>
      <c r="SCI1451"/>
      <c r="SCJ1451"/>
      <c r="SCK1451"/>
      <c r="SCL1451"/>
      <c r="SCM1451"/>
      <c r="SCN1451"/>
      <c r="SCO1451"/>
      <c r="SCP1451"/>
      <c r="SCQ1451"/>
      <c r="SCR1451"/>
      <c r="SCS1451"/>
      <c r="SCT1451"/>
      <c r="SCU1451"/>
      <c r="SCV1451"/>
      <c r="SCW1451"/>
      <c r="SCX1451"/>
      <c r="SCY1451"/>
      <c r="SCZ1451"/>
      <c r="SDA1451"/>
      <c r="SDB1451"/>
      <c r="SDC1451"/>
      <c r="SDD1451"/>
      <c r="SDE1451"/>
      <c r="SDF1451"/>
      <c r="SDG1451"/>
      <c r="SDH1451"/>
      <c r="SDI1451"/>
      <c r="SDJ1451"/>
      <c r="SDK1451"/>
      <c r="SDL1451"/>
      <c r="SDM1451"/>
      <c r="SDN1451"/>
      <c r="SDO1451"/>
      <c r="SDP1451"/>
      <c r="SDQ1451"/>
      <c r="SDR1451"/>
      <c r="SDS1451"/>
      <c r="SDT1451"/>
      <c r="SDU1451"/>
      <c r="SDV1451"/>
      <c r="SDW1451"/>
      <c r="SDX1451"/>
      <c r="SDY1451"/>
      <c r="SDZ1451"/>
      <c r="SEA1451"/>
      <c r="SEB1451"/>
      <c r="SEC1451"/>
      <c r="SED1451"/>
      <c r="SEE1451"/>
      <c r="SEF1451"/>
      <c r="SEG1451"/>
      <c r="SEH1451"/>
      <c r="SEI1451"/>
      <c r="SEJ1451"/>
      <c r="SEK1451"/>
      <c r="SEL1451"/>
      <c r="SEM1451"/>
      <c r="SEN1451"/>
      <c r="SEO1451"/>
      <c r="SEP1451"/>
      <c r="SEQ1451"/>
      <c r="SER1451"/>
      <c r="SES1451"/>
      <c r="SET1451"/>
      <c r="SEU1451"/>
      <c r="SEV1451"/>
      <c r="SEW1451"/>
      <c r="SEX1451"/>
      <c r="SEY1451"/>
      <c r="SEZ1451"/>
      <c r="SFA1451"/>
      <c r="SFB1451"/>
      <c r="SFC1451"/>
      <c r="SFD1451"/>
      <c r="SFE1451"/>
      <c r="SFF1451"/>
      <c r="SFG1451"/>
      <c r="SFH1451"/>
      <c r="SFI1451"/>
      <c r="SFJ1451"/>
      <c r="SFK1451"/>
      <c r="SFL1451"/>
      <c r="SFM1451"/>
      <c r="SFN1451"/>
      <c r="SFO1451"/>
      <c r="SFP1451"/>
      <c r="SFQ1451"/>
      <c r="SFR1451"/>
      <c r="SFS1451"/>
      <c r="SFT1451"/>
      <c r="SFU1451"/>
      <c r="SFV1451"/>
      <c r="SFW1451"/>
      <c r="SFX1451"/>
      <c r="SFY1451"/>
      <c r="SFZ1451"/>
      <c r="SGA1451"/>
      <c r="SGB1451"/>
      <c r="SGC1451"/>
      <c r="SGD1451"/>
      <c r="SGE1451"/>
      <c r="SGF1451"/>
      <c r="SGG1451"/>
      <c r="SGH1451"/>
      <c r="SGI1451"/>
      <c r="SGJ1451"/>
      <c r="SGK1451"/>
      <c r="SGL1451"/>
      <c r="SGM1451"/>
      <c r="SGN1451"/>
      <c r="SGO1451"/>
      <c r="SGP1451"/>
      <c r="SGQ1451"/>
      <c r="SGR1451"/>
      <c r="SGS1451"/>
      <c r="SGT1451"/>
      <c r="SGU1451"/>
      <c r="SGV1451"/>
      <c r="SGW1451"/>
      <c r="SGX1451"/>
      <c r="SGY1451"/>
      <c r="SGZ1451"/>
      <c r="SHA1451"/>
      <c r="SHB1451"/>
      <c r="SHC1451"/>
      <c r="SHD1451"/>
      <c r="SHE1451"/>
      <c r="SHF1451"/>
      <c r="SHG1451"/>
      <c r="SHH1451"/>
      <c r="SHI1451"/>
      <c r="SHJ1451"/>
      <c r="SHK1451"/>
      <c r="SHL1451"/>
      <c r="SHM1451"/>
      <c r="SHN1451"/>
      <c r="SHO1451"/>
      <c r="SHP1451"/>
      <c r="SHQ1451"/>
      <c r="SHR1451"/>
      <c r="SHS1451"/>
      <c r="SHT1451"/>
      <c r="SHU1451"/>
      <c r="SHV1451"/>
      <c r="SHW1451"/>
      <c r="SHX1451"/>
      <c r="SHY1451"/>
      <c r="SHZ1451"/>
      <c r="SIA1451"/>
      <c r="SIB1451"/>
      <c r="SIC1451"/>
      <c r="SID1451"/>
      <c r="SIE1451"/>
      <c r="SIF1451"/>
      <c r="SIG1451"/>
      <c r="SIH1451"/>
      <c r="SII1451"/>
      <c r="SIJ1451"/>
      <c r="SIK1451"/>
      <c r="SIL1451"/>
      <c r="SIM1451"/>
      <c r="SIN1451"/>
      <c r="SIO1451"/>
      <c r="SIP1451"/>
      <c r="SIQ1451"/>
      <c r="SIR1451"/>
      <c r="SIS1451"/>
      <c r="SIT1451"/>
      <c r="SIU1451"/>
      <c r="SIV1451"/>
      <c r="SIW1451"/>
      <c r="SIX1451"/>
      <c r="SIY1451"/>
      <c r="SIZ1451"/>
      <c r="SJA1451"/>
      <c r="SJB1451"/>
      <c r="SJC1451"/>
      <c r="SJD1451"/>
      <c r="SJE1451"/>
      <c r="SJF1451"/>
      <c r="SJG1451"/>
      <c r="SJH1451"/>
      <c r="SJI1451"/>
      <c r="SJJ1451"/>
      <c r="SJK1451"/>
      <c r="SJL1451"/>
      <c r="SJM1451"/>
      <c r="SJN1451"/>
      <c r="SJO1451"/>
      <c r="SJP1451"/>
      <c r="SJQ1451"/>
      <c r="SJR1451"/>
      <c r="SJS1451"/>
      <c r="SJT1451"/>
      <c r="SJU1451"/>
      <c r="SJV1451"/>
      <c r="SJW1451"/>
      <c r="SJX1451"/>
      <c r="SJY1451"/>
      <c r="SJZ1451"/>
      <c r="SKA1451"/>
      <c r="SKB1451"/>
      <c r="SKC1451"/>
      <c r="SKD1451"/>
      <c r="SKE1451"/>
      <c r="SKF1451"/>
      <c r="SKG1451"/>
      <c r="SKH1451"/>
      <c r="SKI1451"/>
      <c r="SKJ1451"/>
      <c r="SKK1451"/>
      <c r="SKL1451"/>
      <c r="SKM1451"/>
      <c r="SKN1451"/>
      <c r="SKO1451"/>
      <c r="SKP1451"/>
      <c r="SKQ1451"/>
      <c r="SKR1451"/>
      <c r="SKS1451"/>
      <c r="SKT1451"/>
      <c r="SKU1451"/>
      <c r="SKV1451"/>
      <c r="SKW1451"/>
      <c r="SKX1451"/>
      <c r="SKY1451"/>
      <c r="SKZ1451"/>
      <c r="SLA1451"/>
      <c r="SLB1451"/>
      <c r="SLC1451"/>
      <c r="SLD1451"/>
      <c r="SLE1451"/>
      <c r="SLF1451"/>
      <c r="SLG1451"/>
      <c r="SLH1451"/>
      <c r="SLI1451"/>
      <c r="SLJ1451"/>
      <c r="SLK1451"/>
      <c r="SLL1451"/>
      <c r="SLM1451"/>
      <c r="SLN1451"/>
      <c r="SLO1451"/>
      <c r="SLP1451"/>
      <c r="SLQ1451"/>
      <c r="SLR1451"/>
      <c r="SLS1451"/>
      <c r="SLT1451"/>
      <c r="SLU1451"/>
      <c r="SLV1451"/>
      <c r="SLW1451"/>
      <c r="SLX1451"/>
      <c r="SLY1451"/>
      <c r="SLZ1451"/>
      <c r="SMA1451"/>
      <c r="SMB1451"/>
      <c r="SMC1451"/>
      <c r="SMD1451"/>
      <c r="SME1451"/>
      <c r="SMF1451"/>
      <c r="SMG1451"/>
      <c r="SMH1451"/>
      <c r="SMI1451"/>
      <c r="SMJ1451"/>
      <c r="SMK1451"/>
      <c r="SML1451"/>
      <c r="SMM1451"/>
      <c r="SMN1451"/>
      <c r="SMO1451"/>
      <c r="SMP1451"/>
      <c r="SMQ1451"/>
      <c r="SMR1451"/>
      <c r="SMS1451"/>
      <c r="SMT1451"/>
      <c r="SMU1451"/>
      <c r="SMV1451"/>
      <c r="SMW1451"/>
      <c r="SMX1451"/>
      <c r="SMY1451"/>
      <c r="SMZ1451"/>
      <c r="SNA1451"/>
      <c r="SNB1451"/>
      <c r="SNC1451"/>
      <c r="SND1451"/>
      <c r="SNE1451"/>
      <c r="SNF1451"/>
      <c r="SNG1451"/>
      <c r="SNH1451"/>
      <c r="SNI1451"/>
      <c r="SNJ1451"/>
      <c r="SNK1451"/>
      <c r="SNL1451"/>
      <c r="SNM1451"/>
      <c r="SNN1451"/>
      <c r="SNO1451"/>
      <c r="SNP1451"/>
      <c r="SNQ1451"/>
      <c r="SNR1451"/>
      <c r="SNS1451"/>
      <c r="SNT1451"/>
      <c r="SNU1451"/>
      <c r="SNV1451"/>
      <c r="SNW1451"/>
      <c r="SNX1451"/>
      <c r="SNY1451"/>
      <c r="SNZ1451"/>
      <c r="SOA1451"/>
      <c r="SOB1451"/>
      <c r="SOC1451"/>
      <c r="SOD1451"/>
      <c r="SOE1451"/>
      <c r="SOF1451"/>
      <c r="SOG1451"/>
      <c r="SOH1451"/>
      <c r="SOI1451"/>
      <c r="SOJ1451"/>
      <c r="SOK1451"/>
      <c r="SOL1451"/>
      <c r="SOM1451"/>
      <c r="SON1451"/>
      <c r="SOO1451"/>
      <c r="SOP1451"/>
      <c r="SOQ1451"/>
      <c r="SOR1451"/>
      <c r="SOS1451"/>
      <c r="SOT1451"/>
      <c r="SOU1451"/>
      <c r="SOV1451"/>
      <c r="SOW1451"/>
      <c r="SOX1451"/>
      <c r="SOY1451"/>
      <c r="SOZ1451"/>
      <c r="SPA1451"/>
      <c r="SPB1451"/>
      <c r="SPC1451"/>
      <c r="SPD1451"/>
      <c r="SPE1451"/>
      <c r="SPF1451"/>
      <c r="SPG1451"/>
      <c r="SPH1451"/>
      <c r="SPI1451"/>
      <c r="SPJ1451"/>
      <c r="SPK1451"/>
      <c r="SPL1451"/>
      <c r="SPM1451"/>
      <c r="SPN1451"/>
      <c r="SPO1451"/>
      <c r="SPP1451"/>
      <c r="SPQ1451"/>
      <c r="SPR1451"/>
      <c r="SPS1451"/>
      <c r="SPT1451"/>
      <c r="SPU1451"/>
      <c r="SPV1451"/>
      <c r="SPW1451"/>
      <c r="SPX1451"/>
      <c r="SPY1451"/>
      <c r="SPZ1451"/>
      <c r="SQA1451"/>
      <c r="SQB1451"/>
      <c r="SQC1451"/>
      <c r="SQD1451"/>
      <c r="SQE1451"/>
      <c r="SQF1451"/>
      <c r="SQG1451"/>
      <c r="SQH1451"/>
      <c r="SQI1451"/>
      <c r="SQJ1451"/>
      <c r="SQK1451"/>
      <c r="SQL1451"/>
      <c r="SQM1451"/>
      <c r="SQN1451"/>
      <c r="SQO1451"/>
      <c r="SQP1451"/>
      <c r="SQQ1451"/>
      <c r="SQR1451"/>
      <c r="SQS1451"/>
      <c r="SQT1451"/>
      <c r="SQU1451"/>
      <c r="SQV1451"/>
      <c r="SQW1451"/>
      <c r="SQX1451"/>
      <c r="SQY1451"/>
      <c r="SQZ1451"/>
      <c r="SRA1451"/>
      <c r="SRB1451"/>
      <c r="SRC1451"/>
      <c r="SRD1451"/>
      <c r="SRE1451"/>
      <c r="SRF1451"/>
      <c r="SRG1451"/>
      <c r="SRH1451"/>
      <c r="SRI1451"/>
      <c r="SRJ1451"/>
      <c r="SRK1451"/>
      <c r="SRL1451"/>
      <c r="SRM1451"/>
      <c r="SRN1451"/>
      <c r="SRO1451"/>
      <c r="SRP1451"/>
      <c r="SRQ1451"/>
      <c r="SRR1451"/>
      <c r="SRS1451"/>
      <c r="SRT1451"/>
      <c r="SRU1451"/>
      <c r="SRV1451"/>
      <c r="SRW1451"/>
      <c r="SRX1451"/>
      <c r="SRY1451"/>
      <c r="SRZ1451"/>
      <c r="SSA1451"/>
      <c r="SSB1451"/>
      <c r="SSC1451"/>
      <c r="SSD1451"/>
      <c r="SSE1451"/>
      <c r="SSF1451"/>
      <c r="SSG1451"/>
      <c r="SSH1451"/>
      <c r="SSI1451"/>
      <c r="SSJ1451"/>
      <c r="SSK1451"/>
      <c r="SSL1451"/>
      <c r="SSM1451"/>
      <c r="SSN1451"/>
      <c r="SSO1451"/>
      <c r="SSP1451"/>
      <c r="SSQ1451"/>
      <c r="SSR1451"/>
      <c r="SSS1451"/>
      <c r="SST1451"/>
      <c r="SSU1451"/>
      <c r="SSV1451"/>
      <c r="SSW1451"/>
      <c r="SSX1451"/>
      <c r="SSY1451"/>
      <c r="SSZ1451"/>
      <c r="STA1451"/>
      <c r="STB1451"/>
      <c r="STC1451"/>
      <c r="STD1451"/>
      <c r="STE1451"/>
      <c r="STF1451"/>
      <c r="STG1451"/>
      <c r="STH1451"/>
      <c r="STI1451"/>
      <c r="STJ1451"/>
      <c r="STK1451"/>
      <c r="STL1451"/>
      <c r="STM1451"/>
      <c r="STN1451"/>
      <c r="STO1451"/>
      <c r="STP1451"/>
      <c r="STQ1451"/>
      <c r="STR1451"/>
      <c r="STS1451"/>
      <c r="STT1451"/>
      <c r="STU1451"/>
      <c r="STV1451"/>
      <c r="STW1451"/>
      <c r="STX1451"/>
      <c r="STY1451"/>
      <c r="STZ1451"/>
      <c r="SUA1451"/>
      <c r="SUB1451"/>
      <c r="SUC1451"/>
      <c r="SUD1451"/>
      <c r="SUE1451"/>
      <c r="SUF1451"/>
      <c r="SUG1451"/>
      <c r="SUH1451"/>
      <c r="SUI1451"/>
      <c r="SUJ1451"/>
      <c r="SUK1451"/>
      <c r="SUL1451"/>
      <c r="SUM1451"/>
      <c r="SUN1451"/>
      <c r="SUO1451"/>
      <c r="SUP1451"/>
      <c r="SUQ1451"/>
      <c r="SUR1451"/>
      <c r="SUS1451"/>
      <c r="SUT1451"/>
      <c r="SUU1451"/>
      <c r="SUV1451"/>
      <c r="SUW1451"/>
      <c r="SUX1451"/>
      <c r="SUY1451"/>
      <c r="SUZ1451"/>
      <c r="SVA1451"/>
      <c r="SVB1451"/>
      <c r="SVC1451"/>
      <c r="SVD1451"/>
      <c r="SVE1451"/>
      <c r="SVF1451"/>
      <c r="SVG1451"/>
      <c r="SVH1451"/>
      <c r="SVI1451"/>
      <c r="SVJ1451"/>
      <c r="SVK1451"/>
      <c r="SVL1451"/>
      <c r="SVM1451"/>
      <c r="SVN1451"/>
      <c r="SVO1451"/>
      <c r="SVP1451"/>
      <c r="SVQ1451"/>
      <c r="SVR1451"/>
      <c r="SVS1451"/>
      <c r="SVT1451"/>
      <c r="SVU1451"/>
      <c r="SVV1451"/>
      <c r="SVW1451"/>
      <c r="SVX1451"/>
      <c r="SVY1451"/>
      <c r="SVZ1451"/>
      <c r="SWA1451"/>
      <c r="SWB1451"/>
      <c r="SWC1451"/>
      <c r="SWD1451"/>
      <c r="SWE1451"/>
      <c r="SWF1451"/>
      <c r="SWG1451"/>
      <c r="SWH1451"/>
      <c r="SWI1451"/>
      <c r="SWJ1451"/>
      <c r="SWK1451"/>
      <c r="SWL1451"/>
      <c r="SWM1451"/>
      <c r="SWN1451"/>
      <c r="SWO1451"/>
      <c r="SWP1451"/>
      <c r="SWQ1451"/>
      <c r="SWR1451"/>
      <c r="SWS1451"/>
      <c r="SWT1451"/>
      <c r="SWU1451"/>
      <c r="SWV1451"/>
      <c r="SWW1451"/>
      <c r="SWX1451"/>
      <c r="SWY1451"/>
      <c r="SWZ1451"/>
      <c r="SXA1451"/>
      <c r="SXB1451"/>
      <c r="SXC1451"/>
      <c r="SXD1451"/>
      <c r="SXE1451"/>
      <c r="SXF1451"/>
      <c r="SXG1451"/>
      <c r="SXH1451"/>
      <c r="SXI1451"/>
      <c r="SXJ1451"/>
      <c r="SXK1451"/>
      <c r="SXL1451"/>
      <c r="SXM1451"/>
      <c r="SXN1451"/>
      <c r="SXO1451"/>
      <c r="SXP1451"/>
      <c r="SXQ1451"/>
      <c r="SXR1451"/>
      <c r="SXS1451"/>
      <c r="SXT1451"/>
      <c r="SXU1451"/>
      <c r="SXV1451"/>
      <c r="SXW1451"/>
      <c r="SXX1451"/>
      <c r="SXY1451"/>
      <c r="SXZ1451"/>
      <c r="SYA1451"/>
      <c r="SYB1451"/>
      <c r="SYC1451"/>
      <c r="SYD1451"/>
      <c r="SYE1451"/>
      <c r="SYF1451"/>
      <c r="SYG1451"/>
      <c r="SYH1451"/>
      <c r="SYI1451"/>
      <c r="SYJ1451"/>
      <c r="SYK1451"/>
      <c r="SYL1451"/>
      <c r="SYM1451"/>
      <c r="SYN1451"/>
      <c r="SYO1451"/>
      <c r="SYP1451"/>
      <c r="SYQ1451"/>
      <c r="SYR1451"/>
      <c r="SYS1451"/>
      <c r="SYT1451"/>
      <c r="SYU1451"/>
      <c r="SYV1451"/>
      <c r="SYW1451"/>
      <c r="SYX1451"/>
      <c r="SYY1451"/>
      <c r="SYZ1451"/>
      <c r="SZA1451"/>
      <c r="SZB1451"/>
      <c r="SZC1451"/>
      <c r="SZD1451"/>
      <c r="SZE1451"/>
      <c r="SZF1451"/>
      <c r="SZG1451"/>
      <c r="SZH1451"/>
      <c r="SZI1451"/>
      <c r="SZJ1451"/>
      <c r="SZK1451"/>
      <c r="SZL1451"/>
      <c r="SZM1451"/>
      <c r="SZN1451"/>
      <c r="SZO1451"/>
      <c r="SZP1451"/>
      <c r="SZQ1451"/>
      <c r="SZR1451"/>
      <c r="SZS1451"/>
      <c r="SZT1451"/>
      <c r="SZU1451"/>
      <c r="SZV1451"/>
      <c r="SZW1451"/>
      <c r="SZX1451"/>
      <c r="SZY1451"/>
      <c r="SZZ1451"/>
      <c r="TAA1451"/>
      <c r="TAB1451"/>
      <c r="TAC1451"/>
      <c r="TAD1451"/>
      <c r="TAE1451"/>
      <c r="TAF1451"/>
      <c r="TAG1451"/>
      <c r="TAH1451"/>
      <c r="TAI1451"/>
      <c r="TAJ1451"/>
      <c r="TAK1451"/>
      <c r="TAL1451"/>
      <c r="TAM1451"/>
      <c r="TAN1451"/>
      <c r="TAO1451"/>
      <c r="TAP1451"/>
      <c r="TAQ1451"/>
      <c r="TAR1451"/>
      <c r="TAS1451"/>
      <c r="TAT1451"/>
      <c r="TAU1451"/>
      <c r="TAV1451"/>
      <c r="TAW1451"/>
      <c r="TAX1451"/>
      <c r="TAY1451"/>
      <c r="TAZ1451"/>
      <c r="TBA1451"/>
      <c r="TBB1451"/>
      <c r="TBC1451"/>
      <c r="TBD1451"/>
      <c r="TBE1451"/>
      <c r="TBF1451"/>
      <c r="TBG1451"/>
      <c r="TBH1451"/>
      <c r="TBI1451"/>
      <c r="TBJ1451"/>
      <c r="TBK1451"/>
      <c r="TBL1451"/>
      <c r="TBM1451"/>
      <c r="TBN1451"/>
      <c r="TBO1451"/>
      <c r="TBP1451"/>
      <c r="TBQ1451"/>
      <c r="TBR1451"/>
      <c r="TBS1451"/>
      <c r="TBT1451"/>
      <c r="TBU1451"/>
      <c r="TBV1451"/>
      <c r="TBW1451"/>
      <c r="TBX1451"/>
      <c r="TBY1451"/>
      <c r="TBZ1451"/>
      <c r="TCA1451"/>
      <c r="TCB1451"/>
      <c r="TCC1451"/>
      <c r="TCD1451"/>
      <c r="TCE1451"/>
      <c r="TCF1451"/>
      <c r="TCG1451"/>
      <c r="TCH1451"/>
      <c r="TCI1451"/>
      <c r="TCJ1451"/>
      <c r="TCK1451"/>
      <c r="TCL1451"/>
      <c r="TCM1451"/>
      <c r="TCN1451"/>
      <c r="TCO1451"/>
      <c r="TCP1451"/>
      <c r="TCQ1451"/>
      <c r="TCR1451"/>
      <c r="TCS1451"/>
      <c r="TCT1451"/>
      <c r="TCU1451"/>
      <c r="TCV1451"/>
      <c r="TCW1451"/>
      <c r="TCX1451"/>
      <c r="TCY1451"/>
      <c r="TCZ1451"/>
      <c r="TDA1451"/>
      <c r="TDB1451"/>
      <c r="TDC1451"/>
      <c r="TDD1451"/>
      <c r="TDE1451"/>
      <c r="TDF1451"/>
      <c r="TDG1451"/>
      <c r="TDH1451"/>
      <c r="TDI1451"/>
      <c r="TDJ1451"/>
      <c r="TDK1451"/>
      <c r="TDL1451"/>
      <c r="TDM1451"/>
      <c r="TDN1451"/>
      <c r="TDO1451"/>
      <c r="TDP1451"/>
      <c r="TDQ1451"/>
      <c r="TDR1451"/>
      <c r="TDS1451"/>
      <c r="TDT1451"/>
      <c r="TDU1451"/>
      <c r="TDV1451"/>
      <c r="TDW1451"/>
      <c r="TDX1451"/>
      <c r="TDY1451"/>
      <c r="TDZ1451"/>
      <c r="TEA1451"/>
      <c r="TEB1451"/>
      <c r="TEC1451"/>
      <c r="TED1451"/>
      <c r="TEE1451"/>
      <c r="TEF1451"/>
      <c r="TEG1451"/>
      <c r="TEH1451"/>
      <c r="TEI1451"/>
      <c r="TEJ1451"/>
      <c r="TEK1451"/>
      <c r="TEL1451"/>
      <c r="TEM1451"/>
      <c r="TEN1451"/>
      <c r="TEO1451"/>
      <c r="TEP1451"/>
      <c r="TEQ1451"/>
      <c r="TER1451"/>
      <c r="TES1451"/>
      <c r="TET1451"/>
      <c r="TEU1451"/>
      <c r="TEV1451"/>
      <c r="TEW1451"/>
      <c r="TEX1451"/>
      <c r="TEY1451"/>
      <c r="TEZ1451"/>
      <c r="TFA1451"/>
      <c r="TFB1451"/>
      <c r="TFC1451"/>
      <c r="TFD1451"/>
      <c r="TFE1451"/>
      <c r="TFF1451"/>
      <c r="TFG1451"/>
      <c r="TFH1451"/>
      <c r="TFI1451"/>
      <c r="TFJ1451"/>
      <c r="TFK1451"/>
      <c r="TFL1451"/>
      <c r="TFM1451"/>
      <c r="TFN1451"/>
      <c r="TFO1451"/>
      <c r="TFP1451"/>
      <c r="TFQ1451"/>
      <c r="TFR1451"/>
      <c r="TFS1451"/>
      <c r="TFT1451"/>
      <c r="TFU1451"/>
      <c r="TFV1451"/>
      <c r="TFW1451"/>
      <c r="TFX1451"/>
      <c r="TFY1451"/>
      <c r="TFZ1451"/>
      <c r="TGA1451"/>
      <c r="TGB1451"/>
      <c r="TGC1451"/>
      <c r="TGD1451"/>
      <c r="TGE1451"/>
      <c r="TGF1451"/>
      <c r="TGG1451"/>
      <c r="TGH1451"/>
      <c r="TGI1451"/>
      <c r="TGJ1451"/>
      <c r="TGK1451"/>
      <c r="TGL1451"/>
      <c r="TGM1451"/>
      <c r="TGN1451"/>
      <c r="TGO1451"/>
      <c r="TGP1451"/>
      <c r="TGQ1451"/>
      <c r="TGR1451"/>
      <c r="TGS1451"/>
      <c r="TGT1451"/>
      <c r="TGU1451"/>
      <c r="TGV1451"/>
      <c r="TGW1451"/>
      <c r="TGX1451"/>
      <c r="TGY1451"/>
      <c r="TGZ1451"/>
      <c r="THA1451"/>
      <c r="THB1451"/>
      <c r="THC1451"/>
      <c r="THD1451"/>
      <c r="THE1451"/>
      <c r="THF1451"/>
      <c r="THG1451"/>
      <c r="THH1451"/>
      <c r="THI1451"/>
      <c r="THJ1451"/>
      <c r="THK1451"/>
      <c r="THL1451"/>
      <c r="THM1451"/>
      <c r="THN1451"/>
      <c r="THO1451"/>
      <c r="THP1451"/>
      <c r="THQ1451"/>
      <c r="THR1451"/>
      <c r="THS1451"/>
      <c r="THT1451"/>
      <c r="THU1451"/>
      <c r="THV1451"/>
      <c r="THW1451"/>
      <c r="THX1451"/>
      <c r="THY1451"/>
      <c r="THZ1451"/>
      <c r="TIA1451"/>
      <c r="TIB1451"/>
      <c r="TIC1451"/>
      <c r="TID1451"/>
      <c r="TIE1451"/>
      <c r="TIF1451"/>
      <c r="TIG1451"/>
      <c r="TIH1451"/>
      <c r="TII1451"/>
      <c r="TIJ1451"/>
      <c r="TIK1451"/>
      <c r="TIL1451"/>
      <c r="TIM1451"/>
      <c r="TIN1451"/>
      <c r="TIO1451"/>
      <c r="TIP1451"/>
      <c r="TIQ1451"/>
      <c r="TIR1451"/>
      <c r="TIS1451"/>
      <c r="TIT1451"/>
      <c r="TIU1451"/>
      <c r="TIV1451"/>
      <c r="TIW1451"/>
      <c r="TIX1451"/>
      <c r="TIY1451"/>
      <c r="TIZ1451"/>
      <c r="TJA1451"/>
      <c r="TJB1451"/>
      <c r="TJC1451"/>
      <c r="TJD1451"/>
      <c r="TJE1451"/>
      <c r="TJF1451"/>
      <c r="TJG1451"/>
      <c r="TJH1451"/>
      <c r="TJI1451"/>
      <c r="TJJ1451"/>
      <c r="TJK1451"/>
      <c r="TJL1451"/>
      <c r="TJM1451"/>
      <c r="TJN1451"/>
      <c r="TJO1451"/>
      <c r="TJP1451"/>
      <c r="TJQ1451"/>
      <c r="TJR1451"/>
      <c r="TJS1451"/>
      <c r="TJT1451"/>
      <c r="TJU1451"/>
      <c r="TJV1451"/>
      <c r="TJW1451"/>
      <c r="TJX1451"/>
      <c r="TJY1451"/>
      <c r="TJZ1451"/>
      <c r="TKA1451"/>
      <c r="TKB1451"/>
      <c r="TKC1451"/>
      <c r="TKD1451"/>
      <c r="TKE1451"/>
      <c r="TKF1451"/>
      <c r="TKG1451"/>
      <c r="TKH1451"/>
      <c r="TKI1451"/>
      <c r="TKJ1451"/>
      <c r="TKK1451"/>
      <c r="TKL1451"/>
      <c r="TKM1451"/>
      <c r="TKN1451"/>
      <c r="TKO1451"/>
      <c r="TKP1451"/>
      <c r="TKQ1451"/>
      <c r="TKR1451"/>
      <c r="TKS1451"/>
      <c r="TKT1451"/>
      <c r="TKU1451"/>
      <c r="TKV1451"/>
      <c r="TKW1451"/>
      <c r="TKX1451"/>
      <c r="TKY1451"/>
      <c r="TKZ1451"/>
      <c r="TLA1451"/>
      <c r="TLB1451"/>
      <c r="TLC1451"/>
      <c r="TLD1451"/>
      <c r="TLE1451"/>
      <c r="TLF1451"/>
      <c r="TLG1451"/>
      <c r="TLH1451"/>
      <c r="TLI1451"/>
      <c r="TLJ1451"/>
      <c r="TLK1451"/>
      <c r="TLL1451"/>
      <c r="TLM1451"/>
      <c r="TLN1451"/>
      <c r="TLO1451"/>
      <c r="TLP1451"/>
      <c r="TLQ1451"/>
      <c r="TLR1451"/>
      <c r="TLS1451"/>
      <c r="TLT1451"/>
      <c r="TLU1451"/>
      <c r="TLV1451"/>
      <c r="TLW1451"/>
      <c r="TLX1451"/>
      <c r="TLY1451"/>
      <c r="TLZ1451"/>
      <c r="TMA1451"/>
      <c r="TMB1451"/>
      <c r="TMC1451"/>
      <c r="TMD1451"/>
      <c r="TME1451"/>
      <c r="TMF1451"/>
      <c r="TMG1451"/>
      <c r="TMH1451"/>
      <c r="TMI1451"/>
      <c r="TMJ1451"/>
      <c r="TMK1451"/>
      <c r="TML1451"/>
      <c r="TMM1451"/>
      <c r="TMN1451"/>
      <c r="TMO1451"/>
      <c r="TMP1451"/>
      <c r="TMQ1451"/>
      <c r="TMR1451"/>
      <c r="TMS1451"/>
      <c r="TMT1451"/>
      <c r="TMU1451"/>
      <c r="TMV1451"/>
      <c r="TMW1451"/>
      <c r="TMX1451"/>
      <c r="TMY1451"/>
      <c r="TMZ1451"/>
      <c r="TNA1451"/>
      <c r="TNB1451"/>
      <c r="TNC1451"/>
      <c r="TND1451"/>
      <c r="TNE1451"/>
      <c r="TNF1451"/>
      <c r="TNG1451"/>
      <c r="TNH1451"/>
      <c r="TNI1451"/>
      <c r="TNJ1451"/>
      <c r="TNK1451"/>
      <c r="TNL1451"/>
      <c r="TNM1451"/>
      <c r="TNN1451"/>
      <c r="TNO1451"/>
      <c r="TNP1451"/>
      <c r="TNQ1451"/>
      <c r="TNR1451"/>
      <c r="TNS1451"/>
      <c r="TNT1451"/>
      <c r="TNU1451"/>
      <c r="TNV1451"/>
      <c r="TNW1451"/>
      <c r="TNX1451"/>
      <c r="TNY1451"/>
      <c r="TNZ1451"/>
      <c r="TOA1451"/>
      <c r="TOB1451"/>
      <c r="TOC1451"/>
      <c r="TOD1451"/>
      <c r="TOE1451"/>
      <c r="TOF1451"/>
      <c r="TOG1451"/>
      <c r="TOH1451"/>
      <c r="TOI1451"/>
      <c r="TOJ1451"/>
      <c r="TOK1451"/>
      <c r="TOL1451"/>
      <c r="TOM1451"/>
      <c r="TON1451"/>
      <c r="TOO1451"/>
      <c r="TOP1451"/>
      <c r="TOQ1451"/>
      <c r="TOR1451"/>
      <c r="TOS1451"/>
      <c r="TOT1451"/>
      <c r="TOU1451"/>
      <c r="TOV1451"/>
      <c r="TOW1451"/>
      <c r="TOX1451"/>
      <c r="TOY1451"/>
      <c r="TOZ1451"/>
      <c r="TPA1451"/>
      <c r="TPB1451"/>
      <c r="TPC1451"/>
      <c r="TPD1451"/>
      <c r="TPE1451"/>
      <c r="TPF1451"/>
      <c r="TPG1451"/>
      <c r="TPH1451"/>
      <c r="TPI1451"/>
      <c r="TPJ1451"/>
      <c r="TPK1451"/>
      <c r="TPL1451"/>
      <c r="TPM1451"/>
      <c r="TPN1451"/>
      <c r="TPO1451"/>
      <c r="TPP1451"/>
      <c r="TPQ1451"/>
      <c r="TPR1451"/>
      <c r="TPS1451"/>
      <c r="TPT1451"/>
      <c r="TPU1451"/>
      <c r="TPV1451"/>
      <c r="TPW1451"/>
      <c r="TPX1451"/>
      <c r="TPY1451"/>
      <c r="TPZ1451"/>
      <c r="TQA1451"/>
      <c r="TQB1451"/>
      <c r="TQC1451"/>
      <c r="TQD1451"/>
      <c r="TQE1451"/>
      <c r="TQF1451"/>
      <c r="TQG1451"/>
      <c r="TQH1451"/>
      <c r="TQI1451"/>
      <c r="TQJ1451"/>
      <c r="TQK1451"/>
      <c r="TQL1451"/>
      <c r="TQM1451"/>
      <c r="TQN1451"/>
      <c r="TQO1451"/>
      <c r="TQP1451"/>
      <c r="TQQ1451"/>
      <c r="TQR1451"/>
      <c r="TQS1451"/>
      <c r="TQT1451"/>
      <c r="TQU1451"/>
      <c r="TQV1451"/>
      <c r="TQW1451"/>
      <c r="TQX1451"/>
      <c r="TQY1451"/>
      <c r="TQZ1451"/>
      <c r="TRA1451"/>
      <c r="TRB1451"/>
      <c r="TRC1451"/>
      <c r="TRD1451"/>
      <c r="TRE1451"/>
      <c r="TRF1451"/>
      <c r="TRG1451"/>
      <c r="TRH1451"/>
      <c r="TRI1451"/>
      <c r="TRJ1451"/>
      <c r="TRK1451"/>
      <c r="TRL1451"/>
      <c r="TRM1451"/>
      <c r="TRN1451"/>
      <c r="TRO1451"/>
      <c r="TRP1451"/>
      <c r="TRQ1451"/>
      <c r="TRR1451"/>
      <c r="TRS1451"/>
      <c r="TRT1451"/>
      <c r="TRU1451"/>
      <c r="TRV1451"/>
      <c r="TRW1451"/>
      <c r="TRX1451"/>
      <c r="TRY1451"/>
      <c r="TRZ1451"/>
      <c r="TSA1451"/>
      <c r="TSB1451"/>
      <c r="TSC1451"/>
      <c r="TSD1451"/>
      <c r="TSE1451"/>
      <c r="TSF1451"/>
      <c r="TSG1451"/>
      <c r="TSH1451"/>
      <c r="TSI1451"/>
      <c r="TSJ1451"/>
      <c r="TSK1451"/>
      <c r="TSL1451"/>
      <c r="TSM1451"/>
      <c r="TSN1451"/>
      <c r="TSO1451"/>
      <c r="TSP1451"/>
      <c r="TSQ1451"/>
      <c r="TSR1451"/>
      <c r="TSS1451"/>
      <c r="TST1451"/>
      <c r="TSU1451"/>
      <c r="TSV1451"/>
      <c r="TSW1451"/>
      <c r="TSX1451"/>
      <c r="TSY1451"/>
      <c r="TSZ1451"/>
      <c r="TTA1451"/>
      <c r="TTB1451"/>
      <c r="TTC1451"/>
      <c r="TTD1451"/>
      <c r="TTE1451"/>
      <c r="TTF1451"/>
      <c r="TTG1451"/>
      <c r="TTH1451"/>
      <c r="TTI1451"/>
      <c r="TTJ1451"/>
      <c r="TTK1451"/>
      <c r="TTL1451"/>
      <c r="TTM1451"/>
      <c r="TTN1451"/>
      <c r="TTO1451"/>
      <c r="TTP1451"/>
      <c r="TTQ1451"/>
      <c r="TTR1451"/>
      <c r="TTS1451"/>
      <c r="TTT1451"/>
      <c r="TTU1451"/>
      <c r="TTV1451"/>
      <c r="TTW1451"/>
      <c r="TTX1451"/>
      <c r="TTY1451"/>
      <c r="TTZ1451"/>
      <c r="TUA1451"/>
      <c r="TUB1451"/>
      <c r="TUC1451"/>
      <c r="TUD1451"/>
      <c r="TUE1451"/>
      <c r="TUF1451"/>
      <c r="TUG1451"/>
      <c r="TUH1451"/>
      <c r="TUI1451"/>
      <c r="TUJ1451"/>
      <c r="TUK1451"/>
      <c r="TUL1451"/>
      <c r="TUM1451"/>
      <c r="TUN1451"/>
      <c r="TUO1451"/>
      <c r="TUP1451"/>
      <c r="TUQ1451"/>
      <c r="TUR1451"/>
      <c r="TUS1451"/>
      <c r="TUT1451"/>
      <c r="TUU1451"/>
      <c r="TUV1451"/>
      <c r="TUW1451"/>
      <c r="TUX1451"/>
      <c r="TUY1451"/>
      <c r="TUZ1451"/>
      <c r="TVA1451"/>
      <c r="TVB1451"/>
      <c r="TVC1451"/>
      <c r="TVD1451"/>
      <c r="TVE1451"/>
      <c r="TVF1451"/>
      <c r="TVG1451"/>
      <c r="TVH1451"/>
      <c r="TVI1451"/>
      <c r="TVJ1451"/>
      <c r="TVK1451"/>
      <c r="TVL1451"/>
      <c r="TVM1451"/>
      <c r="TVN1451"/>
      <c r="TVO1451"/>
      <c r="TVP1451"/>
      <c r="TVQ1451"/>
      <c r="TVR1451"/>
      <c r="TVS1451"/>
      <c r="TVT1451"/>
      <c r="TVU1451"/>
      <c r="TVV1451"/>
      <c r="TVW1451"/>
      <c r="TVX1451"/>
      <c r="TVY1451"/>
      <c r="TVZ1451"/>
      <c r="TWA1451"/>
      <c r="TWB1451"/>
      <c r="TWC1451"/>
      <c r="TWD1451"/>
      <c r="TWE1451"/>
      <c r="TWF1451"/>
      <c r="TWG1451"/>
      <c r="TWH1451"/>
      <c r="TWI1451"/>
      <c r="TWJ1451"/>
      <c r="TWK1451"/>
      <c r="TWL1451"/>
      <c r="TWM1451"/>
      <c r="TWN1451"/>
      <c r="TWO1451"/>
      <c r="TWP1451"/>
      <c r="TWQ1451"/>
      <c r="TWR1451"/>
      <c r="TWS1451"/>
      <c r="TWT1451"/>
      <c r="TWU1451"/>
      <c r="TWV1451"/>
      <c r="TWW1451"/>
      <c r="TWX1451"/>
      <c r="TWY1451"/>
      <c r="TWZ1451"/>
      <c r="TXA1451"/>
      <c r="TXB1451"/>
      <c r="TXC1451"/>
      <c r="TXD1451"/>
      <c r="TXE1451"/>
      <c r="TXF1451"/>
      <c r="TXG1451"/>
      <c r="TXH1451"/>
      <c r="TXI1451"/>
      <c r="TXJ1451"/>
      <c r="TXK1451"/>
      <c r="TXL1451"/>
      <c r="TXM1451"/>
      <c r="TXN1451"/>
      <c r="TXO1451"/>
      <c r="TXP1451"/>
      <c r="TXQ1451"/>
      <c r="TXR1451"/>
      <c r="TXS1451"/>
      <c r="TXT1451"/>
      <c r="TXU1451"/>
      <c r="TXV1451"/>
      <c r="TXW1451"/>
      <c r="TXX1451"/>
      <c r="TXY1451"/>
      <c r="TXZ1451"/>
      <c r="TYA1451"/>
      <c r="TYB1451"/>
      <c r="TYC1451"/>
      <c r="TYD1451"/>
      <c r="TYE1451"/>
      <c r="TYF1451"/>
      <c r="TYG1451"/>
      <c r="TYH1451"/>
      <c r="TYI1451"/>
      <c r="TYJ1451"/>
      <c r="TYK1451"/>
      <c r="TYL1451"/>
      <c r="TYM1451"/>
      <c r="TYN1451"/>
      <c r="TYO1451"/>
      <c r="TYP1451"/>
      <c r="TYQ1451"/>
      <c r="TYR1451"/>
      <c r="TYS1451"/>
      <c r="TYT1451"/>
      <c r="TYU1451"/>
      <c r="TYV1451"/>
      <c r="TYW1451"/>
      <c r="TYX1451"/>
      <c r="TYY1451"/>
      <c r="TYZ1451"/>
      <c r="TZA1451"/>
      <c r="TZB1451"/>
      <c r="TZC1451"/>
      <c r="TZD1451"/>
      <c r="TZE1451"/>
      <c r="TZF1451"/>
      <c r="TZG1451"/>
      <c r="TZH1451"/>
      <c r="TZI1451"/>
      <c r="TZJ1451"/>
      <c r="TZK1451"/>
      <c r="TZL1451"/>
      <c r="TZM1451"/>
      <c r="TZN1451"/>
      <c r="TZO1451"/>
      <c r="TZP1451"/>
      <c r="TZQ1451"/>
      <c r="TZR1451"/>
      <c r="TZS1451"/>
      <c r="TZT1451"/>
      <c r="TZU1451"/>
      <c r="TZV1451"/>
      <c r="TZW1451"/>
      <c r="TZX1451"/>
      <c r="TZY1451"/>
      <c r="TZZ1451"/>
      <c r="UAA1451"/>
      <c r="UAB1451"/>
      <c r="UAC1451"/>
      <c r="UAD1451"/>
      <c r="UAE1451"/>
      <c r="UAF1451"/>
      <c r="UAG1451"/>
      <c r="UAH1451"/>
      <c r="UAI1451"/>
      <c r="UAJ1451"/>
      <c r="UAK1451"/>
      <c r="UAL1451"/>
      <c r="UAM1451"/>
      <c r="UAN1451"/>
      <c r="UAO1451"/>
      <c r="UAP1451"/>
      <c r="UAQ1451"/>
      <c r="UAR1451"/>
      <c r="UAS1451"/>
      <c r="UAT1451"/>
      <c r="UAU1451"/>
      <c r="UAV1451"/>
      <c r="UAW1451"/>
      <c r="UAX1451"/>
      <c r="UAY1451"/>
      <c r="UAZ1451"/>
      <c r="UBA1451"/>
      <c r="UBB1451"/>
      <c r="UBC1451"/>
      <c r="UBD1451"/>
      <c r="UBE1451"/>
      <c r="UBF1451"/>
      <c r="UBG1451"/>
      <c r="UBH1451"/>
      <c r="UBI1451"/>
      <c r="UBJ1451"/>
      <c r="UBK1451"/>
      <c r="UBL1451"/>
      <c r="UBM1451"/>
      <c r="UBN1451"/>
      <c r="UBO1451"/>
      <c r="UBP1451"/>
      <c r="UBQ1451"/>
      <c r="UBR1451"/>
      <c r="UBS1451"/>
      <c r="UBT1451"/>
      <c r="UBU1451"/>
      <c r="UBV1451"/>
      <c r="UBW1451"/>
      <c r="UBX1451"/>
      <c r="UBY1451"/>
      <c r="UBZ1451"/>
      <c r="UCA1451"/>
      <c r="UCB1451"/>
      <c r="UCC1451"/>
      <c r="UCD1451"/>
      <c r="UCE1451"/>
      <c r="UCF1451"/>
      <c r="UCG1451"/>
      <c r="UCH1451"/>
      <c r="UCI1451"/>
      <c r="UCJ1451"/>
      <c r="UCK1451"/>
      <c r="UCL1451"/>
      <c r="UCM1451"/>
      <c r="UCN1451"/>
      <c r="UCO1451"/>
      <c r="UCP1451"/>
      <c r="UCQ1451"/>
      <c r="UCR1451"/>
      <c r="UCS1451"/>
      <c r="UCT1451"/>
      <c r="UCU1451"/>
      <c r="UCV1451"/>
      <c r="UCW1451"/>
      <c r="UCX1451"/>
      <c r="UCY1451"/>
      <c r="UCZ1451"/>
      <c r="UDA1451"/>
      <c r="UDB1451"/>
      <c r="UDC1451"/>
      <c r="UDD1451"/>
      <c r="UDE1451"/>
      <c r="UDF1451"/>
      <c r="UDG1451"/>
      <c r="UDH1451"/>
      <c r="UDI1451"/>
      <c r="UDJ1451"/>
      <c r="UDK1451"/>
      <c r="UDL1451"/>
      <c r="UDM1451"/>
      <c r="UDN1451"/>
      <c r="UDO1451"/>
      <c r="UDP1451"/>
      <c r="UDQ1451"/>
      <c r="UDR1451"/>
      <c r="UDS1451"/>
      <c r="UDT1451"/>
      <c r="UDU1451"/>
      <c r="UDV1451"/>
      <c r="UDW1451"/>
      <c r="UDX1451"/>
      <c r="UDY1451"/>
      <c r="UDZ1451"/>
      <c r="UEA1451"/>
      <c r="UEB1451"/>
      <c r="UEC1451"/>
      <c r="UED1451"/>
      <c r="UEE1451"/>
      <c r="UEF1451"/>
      <c r="UEG1451"/>
      <c r="UEH1451"/>
      <c r="UEI1451"/>
      <c r="UEJ1451"/>
      <c r="UEK1451"/>
      <c r="UEL1451"/>
      <c r="UEM1451"/>
      <c r="UEN1451"/>
      <c r="UEO1451"/>
      <c r="UEP1451"/>
      <c r="UEQ1451"/>
      <c r="UER1451"/>
      <c r="UES1451"/>
      <c r="UET1451"/>
      <c r="UEU1451"/>
      <c r="UEV1451"/>
      <c r="UEW1451"/>
      <c r="UEX1451"/>
      <c r="UEY1451"/>
      <c r="UEZ1451"/>
      <c r="UFA1451"/>
      <c r="UFB1451"/>
      <c r="UFC1451"/>
      <c r="UFD1451"/>
      <c r="UFE1451"/>
      <c r="UFF1451"/>
      <c r="UFG1451"/>
      <c r="UFH1451"/>
      <c r="UFI1451"/>
      <c r="UFJ1451"/>
      <c r="UFK1451"/>
      <c r="UFL1451"/>
      <c r="UFM1451"/>
      <c r="UFN1451"/>
      <c r="UFO1451"/>
      <c r="UFP1451"/>
      <c r="UFQ1451"/>
      <c r="UFR1451"/>
      <c r="UFS1451"/>
      <c r="UFT1451"/>
      <c r="UFU1451"/>
      <c r="UFV1451"/>
      <c r="UFW1451"/>
      <c r="UFX1451"/>
      <c r="UFY1451"/>
      <c r="UFZ1451"/>
      <c r="UGA1451"/>
      <c r="UGB1451"/>
      <c r="UGC1451"/>
      <c r="UGD1451"/>
      <c r="UGE1451"/>
      <c r="UGF1451"/>
      <c r="UGG1451"/>
      <c r="UGH1451"/>
      <c r="UGI1451"/>
      <c r="UGJ1451"/>
      <c r="UGK1451"/>
      <c r="UGL1451"/>
      <c r="UGM1451"/>
      <c r="UGN1451"/>
      <c r="UGO1451"/>
      <c r="UGP1451"/>
      <c r="UGQ1451"/>
      <c r="UGR1451"/>
      <c r="UGS1451"/>
      <c r="UGT1451"/>
      <c r="UGU1451"/>
      <c r="UGV1451"/>
      <c r="UGW1451"/>
      <c r="UGX1451"/>
      <c r="UGY1451"/>
      <c r="UGZ1451"/>
      <c r="UHA1451"/>
      <c r="UHB1451"/>
      <c r="UHC1451"/>
      <c r="UHD1451"/>
      <c r="UHE1451"/>
      <c r="UHF1451"/>
      <c r="UHG1451"/>
      <c r="UHH1451"/>
      <c r="UHI1451"/>
      <c r="UHJ1451"/>
      <c r="UHK1451"/>
      <c r="UHL1451"/>
      <c r="UHM1451"/>
      <c r="UHN1451"/>
      <c r="UHO1451"/>
      <c r="UHP1451"/>
      <c r="UHQ1451"/>
      <c r="UHR1451"/>
      <c r="UHS1451"/>
      <c r="UHT1451"/>
      <c r="UHU1451"/>
      <c r="UHV1451"/>
      <c r="UHW1451"/>
      <c r="UHX1451"/>
      <c r="UHY1451"/>
      <c r="UHZ1451"/>
      <c r="UIA1451"/>
      <c r="UIB1451"/>
      <c r="UIC1451"/>
      <c r="UID1451"/>
      <c r="UIE1451"/>
      <c r="UIF1451"/>
      <c r="UIG1451"/>
      <c r="UIH1451"/>
      <c r="UII1451"/>
      <c r="UIJ1451"/>
      <c r="UIK1451"/>
      <c r="UIL1451"/>
      <c r="UIM1451"/>
      <c r="UIN1451"/>
      <c r="UIO1451"/>
      <c r="UIP1451"/>
      <c r="UIQ1451"/>
      <c r="UIR1451"/>
      <c r="UIS1451"/>
      <c r="UIT1451"/>
      <c r="UIU1451"/>
      <c r="UIV1451"/>
      <c r="UIW1451"/>
      <c r="UIX1451"/>
      <c r="UIY1451"/>
      <c r="UIZ1451"/>
      <c r="UJA1451"/>
      <c r="UJB1451"/>
      <c r="UJC1451"/>
      <c r="UJD1451"/>
      <c r="UJE1451"/>
      <c r="UJF1451"/>
      <c r="UJG1451"/>
      <c r="UJH1451"/>
      <c r="UJI1451"/>
      <c r="UJJ1451"/>
      <c r="UJK1451"/>
      <c r="UJL1451"/>
      <c r="UJM1451"/>
      <c r="UJN1451"/>
      <c r="UJO1451"/>
      <c r="UJP1451"/>
      <c r="UJQ1451"/>
      <c r="UJR1451"/>
      <c r="UJS1451"/>
      <c r="UJT1451"/>
      <c r="UJU1451"/>
      <c r="UJV1451"/>
      <c r="UJW1451"/>
      <c r="UJX1451"/>
      <c r="UJY1451"/>
      <c r="UJZ1451"/>
      <c r="UKA1451"/>
      <c r="UKB1451"/>
      <c r="UKC1451"/>
      <c r="UKD1451"/>
      <c r="UKE1451"/>
      <c r="UKF1451"/>
      <c r="UKG1451"/>
      <c r="UKH1451"/>
      <c r="UKI1451"/>
      <c r="UKJ1451"/>
      <c r="UKK1451"/>
      <c r="UKL1451"/>
      <c r="UKM1451"/>
      <c r="UKN1451"/>
      <c r="UKO1451"/>
      <c r="UKP1451"/>
      <c r="UKQ1451"/>
      <c r="UKR1451"/>
      <c r="UKS1451"/>
      <c r="UKT1451"/>
      <c r="UKU1451"/>
      <c r="UKV1451"/>
      <c r="UKW1451"/>
      <c r="UKX1451"/>
      <c r="UKY1451"/>
      <c r="UKZ1451"/>
      <c r="ULA1451"/>
      <c r="ULB1451"/>
      <c r="ULC1451"/>
      <c r="ULD1451"/>
      <c r="ULE1451"/>
      <c r="ULF1451"/>
      <c r="ULG1451"/>
      <c r="ULH1451"/>
      <c r="ULI1451"/>
      <c r="ULJ1451"/>
      <c r="ULK1451"/>
      <c r="ULL1451"/>
      <c r="ULM1451"/>
      <c r="ULN1451"/>
      <c r="ULO1451"/>
      <c r="ULP1451"/>
      <c r="ULQ1451"/>
      <c r="ULR1451"/>
      <c r="ULS1451"/>
      <c r="ULT1451"/>
      <c r="ULU1451"/>
      <c r="ULV1451"/>
      <c r="ULW1451"/>
      <c r="ULX1451"/>
      <c r="ULY1451"/>
      <c r="ULZ1451"/>
      <c r="UMA1451"/>
      <c r="UMB1451"/>
      <c r="UMC1451"/>
      <c r="UMD1451"/>
      <c r="UME1451"/>
      <c r="UMF1451"/>
      <c r="UMG1451"/>
      <c r="UMH1451"/>
      <c r="UMI1451"/>
      <c r="UMJ1451"/>
      <c r="UMK1451"/>
      <c r="UML1451"/>
      <c r="UMM1451"/>
      <c r="UMN1451"/>
      <c r="UMO1451"/>
      <c r="UMP1451"/>
      <c r="UMQ1451"/>
      <c r="UMR1451"/>
      <c r="UMS1451"/>
      <c r="UMT1451"/>
      <c r="UMU1451"/>
      <c r="UMV1451"/>
      <c r="UMW1451"/>
      <c r="UMX1451"/>
      <c r="UMY1451"/>
      <c r="UMZ1451"/>
      <c r="UNA1451"/>
      <c r="UNB1451"/>
      <c r="UNC1451"/>
      <c r="UND1451"/>
      <c r="UNE1451"/>
      <c r="UNF1451"/>
      <c r="UNG1451"/>
      <c r="UNH1451"/>
      <c r="UNI1451"/>
      <c r="UNJ1451"/>
      <c r="UNK1451"/>
      <c r="UNL1451"/>
      <c r="UNM1451"/>
      <c r="UNN1451"/>
      <c r="UNO1451"/>
      <c r="UNP1451"/>
      <c r="UNQ1451"/>
      <c r="UNR1451"/>
      <c r="UNS1451"/>
      <c r="UNT1451"/>
      <c r="UNU1451"/>
      <c r="UNV1451"/>
      <c r="UNW1451"/>
      <c r="UNX1451"/>
      <c r="UNY1451"/>
      <c r="UNZ1451"/>
      <c r="UOA1451"/>
      <c r="UOB1451"/>
      <c r="UOC1451"/>
      <c r="UOD1451"/>
      <c r="UOE1451"/>
      <c r="UOF1451"/>
      <c r="UOG1451"/>
      <c r="UOH1451"/>
      <c r="UOI1451"/>
      <c r="UOJ1451"/>
      <c r="UOK1451"/>
      <c r="UOL1451"/>
      <c r="UOM1451"/>
      <c r="UON1451"/>
      <c r="UOO1451"/>
      <c r="UOP1451"/>
      <c r="UOQ1451"/>
      <c r="UOR1451"/>
      <c r="UOS1451"/>
      <c r="UOT1451"/>
      <c r="UOU1451"/>
      <c r="UOV1451"/>
      <c r="UOW1451"/>
      <c r="UOX1451"/>
      <c r="UOY1451"/>
      <c r="UOZ1451"/>
      <c r="UPA1451"/>
      <c r="UPB1451"/>
      <c r="UPC1451"/>
      <c r="UPD1451"/>
      <c r="UPE1451"/>
      <c r="UPF1451"/>
      <c r="UPG1451"/>
      <c r="UPH1451"/>
      <c r="UPI1451"/>
      <c r="UPJ1451"/>
      <c r="UPK1451"/>
      <c r="UPL1451"/>
      <c r="UPM1451"/>
      <c r="UPN1451"/>
      <c r="UPO1451"/>
      <c r="UPP1451"/>
      <c r="UPQ1451"/>
      <c r="UPR1451"/>
      <c r="UPS1451"/>
      <c r="UPT1451"/>
      <c r="UPU1451"/>
      <c r="UPV1451"/>
      <c r="UPW1451"/>
      <c r="UPX1451"/>
      <c r="UPY1451"/>
      <c r="UPZ1451"/>
      <c r="UQA1451"/>
      <c r="UQB1451"/>
      <c r="UQC1451"/>
      <c r="UQD1451"/>
      <c r="UQE1451"/>
      <c r="UQF1451"/>
      <c r="UQG1451"/>
      <c r="UQH1451"/>
      <c r="UQI1451"/>
      <c r="UQJ1451"/>
      <c r="UQK1451"/>
      <c r="UQL1451"/>
      <c r="UQM1451"/>
      <c r="UQN1451"/>
      <c r="UQO1451"/>
      <c r="UQP1451"/>
      <c r="UQQ1451"/>
      <c r="UQR1451"/>
      <c r="UQS1451"/>
      <c r="UQT1451"/>
      <c r="UQU1451"/>
      <c r="UQV1451"/>
      <c r="UQW1451"/>
      <c r="UQX1451"/>
      <c r="UQY1451"/>
      <c r="UQZ1451"/>
      <c r="URA1451"/>
      <c r="URB1451"/>
      <c r="URC1451"/>
      <c r="URD1451"/>
      <c r="URE1451"/>
      <c r="URF1451"/>
      <c r="URG1451"/>
      <c r="URH1451"/>
      <c r="URI1451"/>
      <c r="URJ1451"/>
      <c r="URK1451"/>
      <c r="URL1451"/>
      <c r="URM1451"/>
      <c r="URN1451"/>
      <c r="URO1451"/>
      <c r="URP1451"/>
      <c r="URQ1451"/>
      <c r="URR1451"/>
      <c r="URS1451"/>
      <c r="URT1451"/>
      <c r="URU1451"/>
      <c r="URV1451"/>
      <c r="URW1451"/>
      <c r="URX1451"/>
      <c r="URY1451"/>
      <c r="URZ1451"/>
      <c r="USA1451"/>
      <c r="USB1451"/>
      <c r="USC1451"/>
      <c r="USD1451"/>
      <c r="USE1451"/>
      <c r="USF1451"/>
      <c r="USG1451"/>
      <c r="USH1451"/>
      <c r="USI1451"/>
      <c r="USJ1451"/>
      <c r="USK1451"/>
      <c r="USL1451"/>
      <c r="USM1451"/>
      <c r="USN1451"/>
      <c r="USO1451"/>
      <c r="USP1451"/>
      <c r="USQ1451"/>
      <c r="USR1451"/>
      <c r="USS1451"/>
      <c r="UST1451"/>
      <c r="USU1451"/>
      <c r="USV1451"/>
      <c r="USW1451"/>
      <c r="USX1451"/>
      <c r="USY1451"/>
      <c r="USZ1451"/>
      <c r="UTA1451"/>
      <c r="UTB1451"/>
      <c r="UTC1451"/>
      <c r="UTD1451"/>
      <c r="UTE1451"/>
      <c r="UTF1451"/>
      <c r="UTG1451"/>
      <c r="UTH1451"/>
      <c r="UTI1451"/>
      <c r="UTJ1451"/>
      <c r="UTK1451"/>
      <c r="UTL1451"/>
      <c r="UTM1451"/>
      <c r="UTN1451"/>
      <c r="UTO1451"/>
      <c r="UTP1451"/>
      <c r="UTQ1451"/>
      <c r="UTR1451"/>
      <c r="UTS1451"/>
      <c r="UTT1451"/>
      <c r="UTU1451"/>
      <c r="UTV1451"/>
      <c r="UTW1451"/>
      <c r="UTX1451"/>
      <c r="UTY1451"/>
      <c r="UTZ1451"/>
      <c r="UUA1451"/>
      <c r="UUB1451"/>
      <c r="UUC1451"/>
      <c r="UUD1451"/>
      <c r="UUE1451"/>
      <c r="UUF1451"/>
      <c r="UUG1451"/>
      <c r="UUH1451"/>
      <c r="UUI1451"/>
      <c r="UUJ1451"/>
      <c r="UUK1451"/>
      <c r="UUL1451"/>
      <c r="UUM1451"/>
      <c r="UUN1451"/>
      <c r="UUO1451"/>
      <c r="UUP1451"/>
      <c r="UUQ1451"/>
      <c r="UUR1451"/>
      <c r="UUS1451"/>
      <c r="UUT1451"/>
      <c r="UUU1451"/>
      <c r="UUV1451"/>
      <c r="UUW1451"/>
      <c r="UUX1451"/>
      <c r="UUY1451"/>
      <c r="UUZ1451"/>
      <c r="UVA1451"/>
      <c r="UVB1451"/>
      <c r="UVC1451"/>
      <c r="UVD1451"/>
      <c r="UVE1451"/>
      <c r="UVF1451"/>
      <c r="UVG1451"/>
      <c r="UVH1451"/>
      <c r="UVI1451"/>
      <c r="UVJ1451"/>
      <c r="UVK1451"/>
      <c r="UVL1451"/>
      <c r="UVM1451"/>
      <c r="UVN1451"/>
      <c r="UVO1451"/>
      <c r="UVP1451"/>
      <c r="UVQ1451"/>
      <c r="UVR1451"/>
      <c r="UVS1451"/>
      <c r="UVT1451"/>
      <c r="UVU1451"/>
      <c r="UVV1451"/>
      <c r="UVW1451"/>
      <c r="UVX1451"/>
      <c r="UVY1451"/>
      <c r="UVZ1451"/>
      <c r="UWA1451"/>
      <c r="UWB1451"/>
      <c r="UWC1451"/>
      <c r="UWD1451"/>
      <c r="UWE1451"/>
      <c r="UWF1451"/>
      <c r="UWG1451"/>
      <c r="UWH1451"/>
      <c r="UWI1451"/>
      <c r="UWJ1451"/>
      <c r="UWK1451"/>
      <c r="UWL1451"/>
      <c r="UWM1451"/>
      <c r="UWN1451"/>
      <c r="UWO1451"/>
      <c r="UWP1451"/>
      <c r="UWQ1451"/>
      <c r="UWR1451"/>
      <c r="UWS1451"/>
      <c r="UWT1451"/>
      <c r="UWU1451"/>
      <c r="UWV1451"/>
      <c r="UWW1451"/>
      <c r="UWX1451"/>
      <c r="UWY1451"/>
      <c r="UWZ1451"/>
      <c r="UXA1451"/>
      <c r="UXB1451"/>
      <c r="UXC1451"/>
      <c r="UXD1451"/>
      <c r="UXE1451"/>
      <c r="UXF1451"/>
      <c r="UXG1451"/>
      <c r="UXH1451"/>
      <c r="UXI1451"/>
      <c r="UXJ1451"/>
      <c r="UXK1451"/>
      <c r="UXL1451"/>
      <c r="UXM1451"/>
      <c r="UXN1451"/>
      <c r="UXO1451"/>
      <c r="UXP1451"/>
      <c r="UXQ1451"/>
      <c r="UXR1451"/>
      <c r="UXS1451"/>
      <c r="UXT1451"/>
      <c r="UXU1451"/>
      <c r="UXV1451"/>
      <c r="UXW1451"/>
      <c r="UXX1451"/>
      <c r="UXY1451"/>
      <c r="UXZ1451"/>
      <c r="UYA1451"/>
      <c r="UYB1451"/>
      <c r="UYC1451"/>
      <c r="UYD1451"/>
      <c r="UYE1451"/>
      <c r="UYF1451"/>
      <c r="UYG1451"/>
      <c r="UYH1451"/>
      <c r="UYI1451"/>
      <c r="UYJ1451"/>
      <c r="UYK1451"/>
      <c r="UYL1451"/>
      <c r="UYM1451"/>
      <c r="UYN1451"/>
      <c r="UYO1451"/>
      <c r="UYP1451"/>
      <c r="UYQ1451"/>
      <c r="UYR1451"/>
      <c r="UYS1451"/>
      <c r="UYT1451"/>
      <c r="UYU1451"/>
      <c r="UYV1451"/>
      <c r="UYW1451"/>
      <c r="UYX1451"/>
      <c r="UYY1451"/>
      <c r="UYZ1451"/>
      <c r="UZA1451"/>
      <c r="UZB1451"/>
      <c r="UZC1451"/>
      <c r="UZD1451"/>
      <c r="UZE1451"/>
      <c r="UZF1451"/>
      <c r="UZG1451"/>
      <c r="UZH1451"/>
      <c r="UZI1451"/>
      <c r="UZJ1451"/>
      <c r="UZK1451"/>
      <c r="UZL1451"/>
      <c r="UZM1451"/>
      <c r="UZN1451"/>
      <c r="UZO1451"/>
      <c r="UZP1451"/>
      <c r="UZQ1451"/>
      <c r="UZR1451"/>
      <c r="UZS1451"/>
      <c r="UZT1451"/>
      <c r="UZU1451"/>
      <c r="UZV1451"/>
      <c r="UZW1451"/>
      <c r="UZX1451"/>
      <c r="UZY1451"/>
      <c r="UZZ1451"/>
      <c r="VAA1451"/>
      <c r="VAB1451"/>
      <c r="VAC1451"/>
      <c r="VAD1451"/>
      <c r="VAE1451"/>
      <c r="VAF1451"/>
      <c r="VAG1451"/>
      <c r="VAH1451"/>
      <c r="VAI1451"/>
      <c r="VAJ1451"/>
      <c r="VAK1451"/>
      <c r="VAL1451"/>
      <c r="VAM1451"/>
      <c r="VAN1451"/>
      <c r="VAO1451"/>
      <c r="VAP1451"/>
      <c r="VAQ1451"/>
      <c r="VAR1451"/>
      <c r="VAS1451"/>
      <c r="VAT1451"/>
      <c r="VAU1451"/>
      <c r="VAV1451"/>
      <c r="VAW1451"/>
      <c r="VAX1451"/>
      <c r="VAY1451"/>
      <c r="VAZ1451"/>
      <c r="VBA1451"/>
      <c r="VBB1451"/>
      <c r="VBC1451"/>
      <c r="VBD1451"/>
      <c r="VBE1451"/>
      <c r="VBF1451"/>
      <c r="VBG1451"/>
      <c r="VBH1451"/>
      <c r="VBI1451"/>
      <c r="VBJ1451"/>
      <c r="VBK1451"/>
      <c r="VBL1451"/>
      <c r="VBM1451"/>
      <c r="VBN1451"/>
      <c r="VBO1451"/>
      <c r="VBP1451"/>
      <c r="VBQ1451"/>
      <c r="VBR1451"/>
      <c r="VBS1451"/>
      <c r="VBT1451"/>
      <c r="VBU1451"/>
      <c r="VBV1451"/>
      <c r="VBW1451"/>
      <c r="VBX1451"/>
      <c r="VBY1451"/>
      <c r="VBZ1451"/>
      <c r="VCA1451"/>
      <c r="VCB1451"/>
      <c r="VCC1451"/>
      <c r="VCD1451"/>
      <c r="VCE1451"/>
      <c r="VCF1451"/>
      <c r="VCG1451"/>
      <c r="VCH1451"/>
      <c r="VCI1451"/>
      <c r="VCJ1451"/>
      <c r="VCK1451"/>
      <c r="VCL1451"/>
      <c r="VCM1451"/>
      <c r="VCN1451"/>
      <c r="VCO1451"/>
      <c r="VCP1451"/>
      <c r="VCQ1451"/>
      <c r="VCR1451"/>
      <c r="VCS1451"/>
      <c r="VCT1451"/>
      <c r="VCU1451"/>
      <c r="VCV1451"/>
      <c r="VCW1451"/>
      <c r="VCX1451"/>
      <c r="VCY1451"/>
      <c r="VCZ1451"/>
      <c r="VDA1451"/>
      <c r="VDB1451"/>
      <c r="VDC1451"/>
      <c r="VDD1451"/>
      <c r="VDE1451"/>
      <c r="VDF1451"/>
      <c r="VDG1451"/>
      <c r="VDH1451"/>
      <c r="VDI1451"/>
      <c r="VDJ1451"/>
      <c r="VDK1451"/>
      <c r="VDL1451"/>
      <c r="VDM1451"/>
      <c r="VDN1451"/>
      <c r="VDO1451"/>
      <c r="VDP1451"/>
      <c r="VDQ1451"/>
      <c r="VDR1451"/>
      <c r="VDS1451"/>
      <c r="VDT1451"/>
      <c r="VDU1451"/>
      <c r="VDV1451"/>
      <c r="VDW1451"/>
      <c r="VDX1451"/>
      <c r="VDY1451"/>
      <c r="VDZ1451"/>
      <c r="VEA1451"/>
      <c r="VEB1451"/>
      <c r="VEC1451"/>
      <c r="VED1451"/>
      <c r="VEE1451"/>
      <c r="VEF1451"/>
      <c r="VEG1451"/>
      <c r="VEH1451"/>
      <c r="VEI1451"/>
      <c r="VEJ1451"/>
      <c r="VEK1451"/>
      <c r="VEL1451"/>
      <c r="VEM1451"/>
      <c r="VEN1451"/>
      <c r="VEO1451"/>
      <c r="VEP1451"/>
      <c r="VEQ1451"/>
      <c r="VER1451"/>
      <c r="VES1451"/>
      <c r="VET1451"/>
      <c r="VEU1451"/>
      <c r="VEV1451"/>
      <c r="VEW1451"/>
      <c r="VEX1451"/>
      <c r="VEY1451"/>
      <c r="VEZ1451"/>
      <c r="VFA1451"/>
      <c r="VFB1451"/>
      <c r="VFC1451"/>
      <c r="VFD1451"/>
      <c r="VFE1451"/>
      <c r="VFF1451"/>
      <c r="VFG1451"/>
      <c r="VFH1451"/>
      <c r="VFI1451"/>
      <c r="VFJ1451"/>
      <c r="VFK1451"/>
      <c r="VFL1451"/>
      <c r="VFM1451"/>
      <c r="VFN1451"/>
      <c r="VFO1451"/>
      <c r="VFP1451"/>
      <c r="VFQ1451"/>
      <c r="VFR1451"/>
      <c r="VFS1451"/>
      <c r="VFT1451"/>
      <c r="VFU1451"/>
      <c r="VFV1451"/>
      <c r="VFW1451"/>
      <c r="VFX1451"/>
      <c r="VFY1451"/>
      <c r="VFZ1451"/>
      <c r="VGA1451"/>
      <c r="VGB1451"/>
      <c r="VGC1451"/>
      <c r="VGD1451"/>
      <c r="VGE1451"/>
      <c r="VGF1451"/>
      <c r="VGG1451"/>
      <c r="VGH1451"/>
      <c r="VGI1451"/>
      <c r="VGJ1451"/>
      <c r="VGK1451"/>
      <c r="VGL1451"/>
      <c r="VGM1451"/>
      <c r="VGN1451"/>
      <c r="VGO1451"/>
      <c r="VGP1451"/>
      <c r="VGQ1451"/>
      <c r="VGR1451"/>
      <c r="VGS1451"/>
      <c r="VGT1451"/>
      <c r="VGU1451"/>
      <c r="VGV1451"/>
      <c r="VGW1451"/>
      <c r="VGX1451"/>
      <c r="VGY1451"/>
      <c r="VGZ1451"/>
      <c r="VHA1451"/>
      <c r="VHB1451"/>
      <c r="VHC1451"/>
      <c r="VHD1451"/>
      <c r="VHE1451"/>
      <c r="VHF1451"/>
      <c r="VHG1451"/>
      <c r="VHH1451"/>
      <c r="VHI1451"/>
      <c r="VHJ1451"/>
      <c r="VHK1451"/>
      <c r="VHL1451"/>
      <c r="VHM1451"/>
      <c r="VHN1451"/>
      <c r="VHO1451"/>
      <c r="VHP1451"/>
      <c r="VHQ1451"/>
      <c r="VHR1451"/>
      <c r="VHS1451"/>
      <c r="VHT1451"/>
      <c r="VHU1451"/>
      <c r="VHV1451"/>
      <c r="VHW1451"/>
      <c r="VHX1451"/>
      <c r="VHY1451"/>
      <c r="VHZ1451"/>
      <c r="VIA1451"/>
      <c r="VIB1451"/>
      <c r="VIC1451"/>
      <c r="VID1451"/>
      <c r="VIE1451"/>
      <c r="VIF1451"/>
      <c r="VIG1451"/>
      <c r="VIH1451"/>
      <c r="VII1451"/>
      <c r="VIJ1451"/>
      <c r="VIK1451"/>
      <c r="VIL1451"/>
      <c r="VIM1451"/>
      <c r="VIN1451"/>
      <c r="VIO1451"/>
      <c r="VIP1451"/>
      <c r="VIQ1451"/>
      <c r="VIR1451"/>
      <c r="VIS1451"/>
      <c r="VIT1451"/>
      <c r="VIU1451"/>
      <c r="VIV1451"/>
      <c r="VIW1451"/>
      <c r="VIX1451"/>
      <c r="VIY1451"/>
      <c r="VIZ1451"/>
      <c r="VJA1451"/>
      <c r="VJB1451"/>
      <c r="VJC1451"/>
      <c r="VJD1451"/>
      <c r="VJE1451"/>
      <c r="VJF1451"/>
      <c r="VJG1451"/>
      <c r="VJH1451"/>
      <c r="VJI1451"/>
      <c r="VJJ1451"/>
      <c r="VJK1451"/>
      <c r="VJL1451"/>
      <c r="VJM1451"/>
      <c r="VJN1451"/>
      <c r="VJO1451"/>
      <c r="VJP1451"/>
      <c r="VJQ1451"/>
      <c r="VJR1451"/>
      <c r="VJS1451"/>
      <c r="VJT1451"/>
      <c r="VJU1451"/>
      <c r="VJV1451"/>
      <c r="VJW1451"/>
      <c r="VJX1451"/>
      <c r="VJY1451"/>
      <c r="VJZ1451"/>
      <c r="VKA1451"/>
      <c r="VKB1451"/>
      <c r="VKC1451"/>
      <c r="VKD1451"/>
      <c r="VKE1451"/>
      <c r="VKF1451"/>
      <c r="VKG1451"/>
      <c r="VKH1451"/>
      <c r="VKI1451"/>
      <c r="VKJ1451"/>
      <c r="VKK1451"/>
      <c r="VKL1451"/>
      <c r="VKM1451"/>
      <c r="VKN1451"/>
      <c r="VKO1451"/>
      <c r="VKP1451"/>
      <c r="VKQ1451"/>
      <c r="VKR1451"/>
      <c r="VKS1451"/>
      <c r="VKT1451"/>
      <c r="VKU1451"/>
      <c r="VKV1451"/>
      <c r="VKW1451"/>
      <c r="VKX1451"/>
      <c r="VKY1451"/>
      <c r="VKZ1451"/>
      <c r="VLA1451"/>
      <c r="VLB1451"/>
      <c r="VLC1451"/>
      <c r="VLD1451"/>
      <c r="VLE1451"/>
      <c r="VLF1451"/>
      <c r="VLG1451"/>
      <c r="VLH1451"/>
      <c r="VLI1451"/>
      <c r="VLJ1451"/>
      <c r="VLK1451"/>
      <c r="VLL1451"/>
      <c r="VLM1451"/>
      <c r="VLN1451"/>
      <c r="VLO1451"/>
      <c r="VLP1451"/>
      <c r="VLQ1451"/>
      <c r="VLR1451"/>
      <c r="VLS1451"/>
      <c r="VLT1451"/>
      <c r="VLU1451"/>
      <c r="VLV1451"/>
      <c r="VLW1451"/>
      <c r="VLX1451"/>
      <c r="VLY1451"/>
      <c r="VLZ1451"/>
      <c r="VMA1451"/>
      <c r="VMB1451"/>
      <c r="VMC1451"/>
      <c r="VMD1451"/>
      <c r="VME1451"/>
      <c r="VMF1451"/>
      <c r="VMG1451"/>
      <c r="VMH1451"/>
      <c r="VMI1451"/>
      <c r="VMJ1451"/>
      <c r="VMK1451"/>
      <c r="VML1451"/>
      <c r="VMM1451"/>
      <c r="VMN1451"/>
      <c r="VMO1451"/>
      <c r="VMP1451"/>
      <c r="VMQ1451"/>
      <c r="VMR1451"/>
      <c r="VMS1451"/>
      <c r="VMT1451"/>
      <c r="VMU1451"/>
      <c r="VMV1451"/>
      <c r="VMW1451"/>
      <c r="VMX1451"/>
      <c r="VMY1451"/>
      <c r="VMZ1451"/>
      <c r="VNA1451"/>
      <c r="VNB1451"/>
      <c r="VNC1451"/>
      <c r="VND1451"/>
      <c r="VNE1451"/>
      <c r="VNF1451"/>
      <c r="VNG1451"/>
      <c r="VNH1451"/>
      <c r="VNI1451"/>
      <c r="VNJ1451"/>
      <c r="VNK1451"/>
      <c r="VNL1451"/>
      <c r="VNM1451"/>
      <c r="VNN1451"/>
      <c r="VNO1451"/>
      <c r="VNP1451"/>
      <c r="VNQ1451"/>
      <c r="VNR1451"/>
      <c r="VNS1451"/>
      <c r="VNT1451"/>
      <c r="VNU1451"/>
      <c r="VNV1451"/>
      <c r="VNW1451"/>
      <c r="VNX1451"/>
      <c r="VNY1451"/>
      <c r="VNZ1451"/>
      <c r="VOA1451"/>
      <c r="VOB1451"/>
      <c r="VOC1451"/>
      <c r="VOD1451"/>
      <c r="VOE1451"/>
      <c r="VOF1451"/>
      <c r="VOG1451"/>
      <c r="VOH1451"/>
      <c r="VOI1451"/>
      <c r="VOJ1451"/>
      <c r="VOK1451"/>
      <c r="VOL1451"/>
      <c r="VOM1451"/>
      <c r="VON1451"/>
      <c r="VOO1451"/>
      <c r="VOP1451"/>
      <c r="VOQ1451"/>
      <c r="VOR1451"/>
      <c r="VOS1451"/>
      <c r="VOT1451"/>
      <c r="VOU1451"/>
      <c r="VOV1451"/>
      <c r="VOW1451"/>
      <c r="VOX1451"/>
      <c r="VOY1451"/>
      <c r="VOZ1451"/>
      <c r="VPA1451"/>
      <c r="VPB1451"/>
      <c r="VPC1451"/>
      <c r="VPD1451"/>
      <c r="VPE1451"/>
      <c r="VPF1451"/>
      <c r="VPG1451"/>
      <c r="VPH1451"/>
      <c r="VPI1451"/>
      <c r="VPJ1451"/>
      <c r="VPK1451"/>
      <c r="VPL1451"/>
      <c r="VPM1451"/>
      <c r="VPN1451"/>
      <c r="VPO1451"/>
      <c r="VPP1451"/>
      <c r="VPQ1451"/>
      <c r="VPR1451"/>
      <c r="VPS1451"/>
      <c r="VPT1451"/>
      <c r="VPU1451"/>
      <c r="VPV1451"/>
      <c r="VPW1451"/>
      <c r="VPX1451"/>
      <c r="VPY1451"/>
      <c r="VPZ1451"/>
      <c r="VQA1451"/>
      <c r="VQB1451"/>
      <c r="VQC1451"/>
      <c r="VQD1451"/>
      <c r="VQE1451"/>
      <c r="VQF1451"/>
      <c r="VQG1451"/>
      <c r="VQH1451"/>
      <c r="VQI1451"/>
      <c r="VQJ1451"/>
      <c r="VQK1451"/>
      <c r="VQL1451"/>
      <c r="VQM1451"/>
      <c r="VQN1451"/>
      <c r="VQO1451"/>
      <c r="VQP1451"/>
      <c r="VQQ1451"/>
      <c r="VQR1451"/>
      <c r="VQS1451"/>
      <c r="VQT1451"/>
      <c r="VQU1451"/>
      <c r="VQV1451"/>
      <c r="VQW1451"/>
      <c r="VQX1451"/>
      <c r="VQY1451"/>
      <c r="VQZ1451"/>
      <c r="VRA1451"/>
      <c r="VRB1451"/>
      <c r="VRC1451"/>
      <c r="VRD1451"/>
      <c r="VRE1451"/>
      <c r="VRF1451"/>
      <c r="VRG1451"/>
      <c r="VRH1451"/>
      <c r="VRI1451"/>
      <c r="VRJ1451"/>
      <c r="VRK1451"/>
      <c r="VRL1451"/>
      <c r="VRM1451"/>
      <c r="VRN1451"/>
      <c r="VRO1451"/>
      <c r="VRP1451"/>
      <c r="VRQ1451"/>
      <c r="VRR1451"/>
      <c r="VRS1451"/>
      <c r="VRT1451"/>
      <c r="VRU1451"/>
      <c r="VRV1451"/>
      <c r="VRW1451"/>
      <c r="VRX1451"/>
      <c r="VRY1451"/>
      <c r="VRZ1451"/>
      <c r="VSA1451"/>
      <c r="VSB1451"/>
      <c r="VSC1451"/>
      <c r="VSD1451"/>
      <c r="VSE1451"/>
      <c r="VSF1451"/>
      <c r="VSG1451"/>
      <c r="VSH1451"/>
      <c r="VSI1451"/>
      <c r="VSJ1451"/>
      <c r="VSK1451"/>
      <c r="VSL1451"/>
      <c r="VSM1451"/>
      <c r="VSN1451"/>
      <c r="VSO1451"/>
      <c r="VSP1451"/>
      <c r="VSQ1451"/>
      <c r="VSR1451"/>
      <c r="VSS1451"/>
      <c r="VST1451"/>
      <c r="VSU1451"/>
      <c r="VSV1451"/>
      <c r="VSW1451"/>
      <c r="VSX1451"/>
      <c r="VSY1451"/>
      <c r="VSZ1451"/>
      <c r="VTA1451"/>
      <c r="VTB1451"/>
      <c r="VTC1451"/>
      <c r="VTD1451"/>
      <c r="VTE1451"/>
      <c r="VTF1451"/>
      <c r="VTG1451"/>
      <c r="VTH1451"/>
      <c r="VTI1451"/>
      <c r="VTJ1451"/>
      <c r="VTK1451"/>
      <c r="VTL1451"/>
      <c r="VTM1451"/>
      <c r="VTN1451"/>
      <c r="VTO1451"/>
      <c r="VTP1451"/>
      <c r="VTQ1451"/>
      <c r="VTR1451"/>
      <c r="VTS1451"/>
      <c r="VTT1451"/>
      <c r="VTU1451"/>
      <c r="VTV1451"/>
      <c r="VTW1451"/>
      <c r="VTX1451"/>
      <c r="VTY1451"/>
      <c r="VTZ1451"/>
      <c r="VUA1451"/>
      <c r="VUB1451"/>
      <c r="VUC1451"/>
      <c r="VUD1451"/>
      <c r="VUE1451"/>
      <c r="VUF1451"/>
      <c r="VUG1451"/>
      <c r="VUH1451"/>
      <c r="VUI1451"/>
      <c r="VUJ1451"/>
      <c r="VUK1451"/>
      <c r="VUL1451"/>
      <c r="VUM1451"/>
      <c r="VUN1451"/>
      <c r="VUO1451"/>
      <c r="VUP1451"/>
      <c r="VUQ1451"/>
      <c r="VUR1451"/>
      <c r="VUS1451"/>
      <c r="VUT1451"/>
      <c r="VUU1451"/>
      <c r="VUV1451"/>
      <c r="VUW1451"/>
      <c r="VUX1451"/>
      <c r="VUY1451"/>
      <c r="VUZ1451"/>
      <c r="VVA1451"/>
      <c r="VVB1451"/>
      <c r="VVC1451"/>
      <c r="VVD1451"/>
      <c r="VVE1451"/>
      <c r="VVF1451"/>
      <c r="VVG1451"/>
      <c r="VVH1451"/>
      <c r="VVI1451"/>
      <c r="VVJ1451"/>
      <c r="VVK1451"/>
      <c r="VVL1451"/>
      <c r="VVM1451"/>
      <c r="VVN1451"/>
      <c r="VVO1451"/>
      <c r="VVP1451"/>
      <c r="VVQ1451"/>
      <c r="VVR1451"/>
      <c r="VVS1451"/>
      <c r="VVT1451"/>
      <c r="VVU1451"/>
      <c r="VVV1451"/>
      <c r="VVW1451"/>
      <c r="VVX1451"/>
      <c r="VVY1451"/>
      <c r="VVZ1451"/>
      <c r="VWA1451"/>
      <c r="VWB1451"/>
      <c r="VWC1451"/>
      <c r="VWD1451"/>
      <c r="VWE1451"/>
      <c r="VWF1451"/>
      <c r="VWG1451"/>
      <c r="VWH1451"/>
      <c r="VWI1451"/>
      <c r="VWJ1451"/>
      <c r="VWK1451"/>
      <c r="VWL1451"/>
      <c r="VWM1451"/>
      <c r="VWN1451"/>
      <c r="VWO1451"/>
      <c r="VWP1451"/>
      <c r="VWQ1451"/>
      <c r="VWR1451"/>
      <c r="VWS1451"/>
      <c r="VWT1451"/>
      <c r="VWU1451"/>
      <c r="VWV1451"/>
      <c r="VWW1451"/>
      <c r="VWX1451"/>
      <c r="VWY1451"/>
      <c r="VWZ1451"/>
      <c r="VXA1451"/>
      <c r="VXB1451"/>
      <c r="VXC1451"/>
      <c r="VXD1451"/>
      <c r="VXE1451"/>
      <c r="VXF1451"/>
      <c r="VXG1451"/>
      <c r="VXH1451"/>
      <c r="VXI1451"/>
      <c r="VXJ1451"/>
      <c r="VXK1451"/>
      <c r="VXL1451"/>
      <c r="VXM1451"/>
      <c r="VXN1451"/>
      <c r="VXO1451"/>
      <c r="VXP1451"/>
      <c r="VXQ1451"/>
      <c r="VXR1451"/>
      <c r="VXS1451"/>
      <c r="VXT1451"/>
      <c r="VXU1451"/>
      <c r="VXV1451"/>
      <c r="VXW1451"/>
      <c r="VXX1451"/>
      <c r="VXY1451"/>
      <c r="VXZ1451"/>
      <c r="VYA1451"/>
      <c r="VYB1451"/>
      <c r="VYC1451"/>
      <c r="VYD1451"/>
      <c r="VYE1451"/>
      <c r="VYF1451"/>
      <c r="VYG1451"/>
      <c r="VYH1451"/>
      <c r="VYI1451"/>
      <c r="VYJ1451"/>
      <c r="VYK1451"/>
      <c r="VYL1451"/>
      <c r="VYM1451"/>
      <c r="VYN1451"/>
      <c r="VYO1451"/>
      <c r="VYP1451"/>
      <c r="VYQ1451"/>
      <c r="VYR1451"/>
      <c r="VYS1451"/>
      <c r="VYT1451"/>
      <c r="VYU1451"/>
      <c r="VYV1451"/>
      <c r="VYW1451"/>
      <c r="VYX1451"/>
      <c r="VYY1451"/>
      <c r="VYZ1451"/>
      <c r="VZA1451"/>
      <c r="VZB1451"/>
      <c r="VZC1451"/>
      <c r="VZD1451"/>
      <c r="VZE1451"/>
      <c r="VZF1451"/>
      <c r="VZG1451"/>
      <c r="VZH1451"/>
      <c r="VZI1451"/>
      <c r="VZJ1451"/>
      <c r="VZK1451"/>
      <c r="VZL1451"/>
      <c r="VZM1451"/>
      <c r="VZN1451"/>
      <c r="VZO1451"/>
      <c r="VZP1451"/>
      <c r="VZQ1451"/>
      <c r="VZR1451"/>
      <c r="VZS1451"/>
      <c r="VZT1451"/>
      <c r="VZU1451"/>
      <c r="VZV1451"/>
      <c r="VZW1451"/>
      <c r="VZX1451"/>
      <c r="VZY1451"/>
      <c r="VZZ1451"/>
      <c r="WAA1451"/>
      <c r="WAB1451"/>
      <c r="WAC1451"/>
      <c r="WAD1451"/>
      <c r="WAE1451"/>
      <c r="WAF1451"/>
      <c r="WAG1451"/>
      <c r="WAH1451"/>
      <c r="WAI1451"/>
      <c r="WAJ1451"/>
      <c r="WAK1451"/>
      <c r="WAL1451"/>
      <c r="WAM1451"/>
      <c r="WAN1451"/>
      <c r="WAO1451"/>
      <c r="WAP1451"/>
      <c r="WAQ1451"/>
      <c r="WAR1451"/>
      <c r="WAS1451"/>
      <c r="WAT1451"/>
      <c r="WAU1451"/>
      <c r="WAV1451"/>
      <c r="WAW1451"/>
      <c r="WAX1451"/>
      <c r="WAY1451"/>
      <c r="WAZ1451"/>
      <c r="WBA1451"/>
      <c r="WBB1451"/>
      <c r="WBC1451"/>
      <c r="WBD1451"/>
      <c r="WBE1451"/>
      <c r="WBF1451"/>
      <c r="WBG1451"/>
      <c r="WBH1451"/>
      <c r="WBI1451"/>
      <c r="WBJ1451"/>
      <c r="WBK1451"/>
      <c r="WBL1451"/>
      <c r="WBM1451"/>
      <c r="WBN1451"/>
      <c r="WBO1451"/>
      <c r="WBP1451"/>
      <c r="WBQ1451"/>
      <c r="WBR1451"/>
      <c r="WBS1451"/>
      <c r="WBT1451"/>
      <c r="WBU1451"/>
      <c r="WBV1451"/>
      <c r="WBW1451"/>
      <c r="WBX1451"/>
      <c r="WBY1451"/>
      <c r="WBZ1451"/>
      <c r="WCA1451"/>
      <c r="WCB1451"/>
      <c r="WCC1451"/>
      <c r="WCD1451"/>
      <c r="WCE1451"/>
      <c r="WCF1451"/>
      <c r="WCG1451"/>
      <c r="WCH1451"/>
      <c r="WCI1451"/>
      <c r="WCJ1451"/>
      <c r="WCK1451"/>
      <c r="WCL1451"/>
      <c r="WCM1451"/>
      <c r="WCN1451"/>
      <c r="WCO1451"/>
      <c r="WCP1451"/>
      <c r="WCQ1451"/>
      <c r="WCR1451"/>
      <c r="WCS1451"/>
      <c r="WCT1451"/>
      <c r="WCU1451"/>
      <c r="WCV1451"/>
      <c r="WCW1451"/>
      <c r="WCX1451"/>
      <c r="WCY1451"/>
      <c r="WCZ1451"/>
      <c r="WDA1451"/>
      <c r="WDB1451"/>
      <c r="WDC1451"/>
      <c r="WDD1451"/>
      <c r="WDE1451"/>
      <c r="WDF1451"/>
      <c r="WDG1451"/>
      <c r="WDH1451"/>
      <c r="WDI1451"/>
      <c r="WDJ1451"/>
      <c r="WDK1451"/>
      <c r="WDL1451"/>
      <c r="WDM1451"/>
      <c r="WDN1451"/>
      <c r="WDO1451"/>
      <c r="WDP1451"/>
      <c r="WDQ1451"/>
      <c r="WDR1451"/>
      <c r="WDS1451"/>
      <c r="WDT1451"/>
      <c r="WDU1451"/>
      <c r="WDV1451"/>
      <c r="WDW1451"/>
      <c r="WDX1451"/>
      <c r="WDY1451"/>
      <c r="WDZ1451"/>
      <c r="WEA1451"/>
      <c r="WEB1451"/>
      <c r="WEC1451"/>
      <c r="WED1451"/>
      <c r="WEE1451"/>
      <c r="WEF1451"/>
      <c r="WEG1451"/>
      <c r="WEH1451"/>
      <c r="WEI1451"/>
      <c r="WEJ1451"/>
      <c r="WEK1451"/>
      <c r="WEL1451"/>
      <c r="WEM1451"/>
      <c r="WEN1451"/>
      <c r="WEO1451"/>
      <c r="WEP1451"/>
      <c r="WEQ1451"/>
      <c r="WER1451"/>
      <c r="WES1451"/>
      <c r="WET1451"/>
      <c r="WEU1451"/>
      <c r="WEV1451"/>
      <c r="WEW1451"/>
      <c r="WEX1451"/>
      <c r="WEY1451"/>
      <c r="WEZ1451"/>
      <c r="WFA1451"/>
      <c r="WFB1451"/>
      <c r="WFC1451"/>
      <c r="WFD1451"/>
      <c r="WFE1451"/>
      <c r="WFF1451"/>
      <c r="WFG1451"/>
      <c r="WFH1451"/>
      <c r="WFI1451"/>
      <c r="WFJ1451"/>
      <c r="WFK1451"/>
      <c r="WFL1451"/>
      <c r="WFM1451"/>
      <c r="WFN1451"/>
      <c r="WFO1451"/>
      <c r="WFP1451"/>
      <c r="WFQ1451"/>
      <c r="WFR1451"/>
      <c r="WFS1451"/>
      <c r="WFT1451"/>
      <c r="WFU1451"/>
      <c r="WFV1451"/>
      <c r="WFW1451"/>
      <c r="WFX1451"/>
      <c r="WFY1451"/>
      <c r="WFZ1451"/>
      <c r="WGA1451"/>
      <c r="WGB1451"/>
      <c r="WGC1451"/>
      <c r="WGD1451"/>
      <c r="WGE1451"/>
      <c r="WGF1451"/>
      <c r="WGG1451"/>
      <c r="WGH1451"/>
      <c r="WGI1451"/>
      <c r="WGJ1451"/>
      <c r="WGK1451"/>
      <c r="WGL1451"/>
      <c r="WGM1451"/>
      <c r="WGN1451"/>
      <c r="WGO1451"/>
      <c r="WGP1451"/>
      <c r="WGQ1451"/>
      <c r="WGR1451"/>
      <c r="WGS1451"/>
      <c r="WGT1451"/>
      <c r="WGU1451"/>
      <c r="WGV1451"/>
      <c r="WGW1451"/>
      <c r="WGX1451"/>
      <c r="WGY1451"/>
      <c r="WGZ1451"/>
      <c r="WHA1451"/>
      <c r="WHB1451"/>
      <c r="WHC1451"/>
      <c r="WHD1451"/>
      <c r="WHE1451"/>
      <c r="WHF1451"/>
      <c r="WHG1451"/>
      <c r="WHH1451"/>
      <c r="WHI1451"/>
      <c r="WHJ1451"/>
      <c r="WHK1451"/>
      <c r="WHL1451"/>
      <c r="WHM1451"/>
      <c r="WHN1451"/>
      <c r="WHO1451"/>
      <c r="WHP1451"/>
      <c r="WHQ1451"/>
      <c r="WHR1451"/>
      <c r="WHS1451"/>
      <c r="WHT1451"/>
      <c r="WHU1451"/>
      <c r="WHV1451"/>
      <c r="WHW1451"/>
      <c r="WHX1451"/>
      <c r="WHY1451"/>
      <c r="WHZ1451"/>
      <c r="WIA1451"/>
      <c r="WIB1451"/>
      <c r="WIC1451"/>
      <c r="WID1451"/>
      <c r="WIE1451"/>
      <c r="WIF1451"/>
      <c r="WIG1451"/>
      <c r="WIH1451"/>
      <c r="WII1451"/>
      <c r="WIJ1451"/>
      <c r="WIK1451"/>
      <c r="WIL1451"/>
      <c r="WIM1451"/>
      <c r="WIN1451"/>
      <c r="WIO1451"/>
      <c r="WIP1451"/>
      <c r="WIQ1451"/>
      <c r="WIR1451"/>
      <c r="WIS1451"/>
      <c r="WIT1451"/>
      <c r="WIU1451"/>
      <c r="WIV1451"/>
      <c r="WIW1451"/>
      <c r="WIX1451"/>
      <c r="WIY1451"/>
      <c r="WIZ1451"/>
      <c r="WJA1451"/>
      <c r="WJB1451"/>
      <c r="WJC1451"/>
      <c r="WJD1451"/>
      <c r="WJE1451"/>
      <c r="WJF1451"/>
      <c r="WJG1451"/>
      <c r="WJH1451"/>
      <c r="WJI1451"/>
      <c r="WJJ1451"/>
      <c r="WJK1451"/>
      <c r="WJL1451"/>
      <c r="WJM1451"/>
      <c r="WJN1451"/>
      <c r="WJO1451"/>
      <c r="WJP1451"/>
      <c r="WJQ1451"/>
      <c r="WJR1451"/>
      <c r="WJS1451"/>
      <c r="WJT1451"/>
      <c r="WJU1451"/>
      <c r="WJV1451"/>
      <c r="WJW1451"/>
      <c r="WJX1451"/>
      <c r="WJY1451"/>
      <c r="WJZ1451"/>
      <c r="WKA1451"/>
      <c r="WKB1451"/>
      <c r="WKC1451"/>
      <c r="WKD1451"/>
      <c r="WKE1451"/>
      <c r="WKF1451"/>
      <c r="WKG1451"/>
      <c r="WKH1451"/>
      <c r="WKI1451"/>
      <c r="WKJ1451"/>
      <c r="WKK1451"/>
      <c r="WKL1451"/>
      <c r="WKM1451"/>
      <c r="WKN1451"/>
      <c r="WKO1451"/>
      <c r="WKP1451"/>
      <c r="WKQ1451"/>
      <c r="WKR1451"/>
      <c r="WKS1451"/>
      <c r="WKT1451"/>
      <c r="WKU1451"/>
      <c r="WKV1451"/>
      <c r="WKW1451"/>
      <c r="WKX1451"/>
      <c r="WKY1451"/>
      <c r="WKZ1451"/>
      <c r="WLA1451"/>
      <c r="WLB1451"/>
      <c r="WLC1451"/>
      <c r="WLD1451"/>
      <c r="WLE1451"/>
      <c r="WLF1451"/>
      <c r="WLG1451"/>
      <c r="WLH1451"/>
      <c r="WLI1451"/>
      <c r="WLJ1451"/>
      <c r="WLK1451"/>
      <c r="WLL1451"/>
      <c r="WLM1451"/>
      <c r="WLN1451"/>
      <c r="WLO1451"/>
      <c r="WLP1451"/>
      <c r="WLQ1451"/>
      <c r="WLR1451"/>
      <c r="WLS1451"/>
      <c r="WLT1451"/>
      <c r="WLU1451"/>
      <c r="WLV1451"/>
      <c r="WLW1451"/>
      <c r="WLX1451"/>
      <c r="WLY1451"/>
      <c r="WLZ1451"/>
      <c r="WMA1451"/>
      <c r="WMB1451"/>
      <c r="WMC1451"/>
      <c r="WMD1451"/>
      <c r="WME1451"/>
      <c r="WMF1451"/>
      <c r="WMG1451"/>
      <c r="WMH1451"/>
      <c r="WMI1451"/>
      <c r="WMJ1451"/>
      <c r="WMK1451"/>
      <c r="WML1451"/>
      <c r="WMM1451"/>
      <c r="WMN1451"/>
      <c r="WMO1451"/>
      <c r="WMP1451"/>
      <c r="WMQ1451"/>
      <c r="WMR1451"/>
      <c r="WMS1451"/>
      <c r="WMT1451"/>
      <c r="WMU1451"/>
      <c r="WMV1451"/>
      <c r="WMW1451"/>
      <c r="WMX1451"/>
      <c r="WMY1451"/>
      <c r="WMZ1451"/>
      <c r="WNA1451"/>
      <c r="WNB1451"/>
      <c r="WNC1451"/>
      <c r="WND1451"/>
      <c r="WNE1451"/>
      <c r="WNF1451"/>
      <c r="WNG1451"/>
      <c r="WNH1451"/>
      <c r="WNI1451"/>
      <c r="WNJ1451"/>
      <c r="WNK1451"/>
      <c r="WNL1451"/>
      <c r="WNM1451"/>
      <c r="WNN1451"/>
      <c r="WNO1451"/>
      <c r="WNP1451"/>
      <c r="WNQ1451"/>
      <c r="WNR1451"/>
      <c r="WNS1451"/>
      <c r="WNT1451"/>
      <c r="WNU1451"/>
      <c r="WNV1451"/>
      <c r="WNW1451"/>
      <c r="WNX1451"/>
      <c r="WNY1451"/>
      <c r="WNZ1451"/>
      <c r="WOA1451"/>
      <c r="WOB1451"/>
      <c r="WOC1451"/>
      <c r="WOD1451"/>
      <c r="WOE1451"/>
      <c r="WOF1451"/>
      <c r="WOG1451"/>
      <c r="WOH1451"/>
      <c r="WOI1451"/>
      <c r="WOJ1451"/>
      <c r="WOK1451"/>
      <c r="WOL1451"/>
      <c r="WOM1451"/>
      <c r="WON1451"/>
      <c r="WOO1451"/>
      <c r="WOP1451"/>
      <c r="WOQ1451"/>
      <c r="WOR1451"/>
      <c r="WOS1451"/>
      <c r="WOT1451"/>
      <c r="WOU1451"/>
      <c r="WOV1451"/>
      <c r="WOW1451"/>
      <c r="WOX1451"/>
      <c r="WOY1451"/>
      <c r="WOZ1451"/>
      <c r="WPA1451"/>
      <c r="WPB1451"/>
      <c r="WPC1451"/>
      <c r="WPD1451"/>
      <c r="WPE1451"/>
      <c r="WPF1451"/>
      <c r="WPG1451"/>
      <c r="WPH1451"/>
      <c r="WPI1451"/>
      <c r="WPJ1451"/>
      <c r="WPK1451"/>
      <c r="WPL1451"/>
      <c r="WPM1451"/>
      <c r="WPN1451"/>
      <c r="WPO1451"/>
      <c r="WPP1451"/>
      <c r="WPQ1451"/>
      <c r="WPR1451"/>
      <c r="WPS1451"/>
      <c r="WPT1451"/>
      <c r="WPU1451"/>
      <c r="WPV1451"/>
      <c r="WPW1451"/>
      <c r="WPX1451"/>
      <c r="WPY1451"/>
      <c r="WPZ1451"/>
      <c r="WQA1451"/>
      <c r="WQB1451"/>
      <c r="WQC1451"/>
      <c r="WQD1451"/>
      <c r="WQE1451"/>
      <c r="WQF1451"/>
      <c r="WQG1451"/>
      <c r="WQH1451"/>
      <c r="WQI1451"/>
      <c r="WQJ1451"/>
      <c r="WQK1451"/>
      <c r="WQL1451"/>
      <c r="WQM1451"/>
      <c r="WQN1451"/>
      <c r="WQO1451"/>
      <c r="WQP1451"/>
      <c r="WQQ1451"/>
      <c r="WQR1451"/>
      <c r="WQS1451"/>
      <c r="WQT1451"/>
      <c r="WQU1451"/>
      <c r="WQV1451"/>
      <c r="WQW1451"/>
      <c r="WQX1451"/>
      <c r="WQY1451"/>
      <c r="WQZ1451"/>
      <c r="WRA1451"/>
      <c r="WRB1451"/>
      <c r="WRC1451"/>
      <c r="WRD1451"/>
      <c r="WRE1451"/>
      <c r="WRF1451"/>
      <c r="WRG1451"/>
      <c r="WRH1451"/>
      <c r="WRI1451"/>
      <c r="WRJ1451"/>
      <c r="WRK1451"/>
      <c r="WRL1451"/>
      <c r="WRM1451"/>
      <c r="WRN1451"/>
      <c r="WRO1451"/>
      <c r="WRP1451"/>
      <c r="WRQ1451"/>
      <c r="WRR1451"/>
      <c r="WRS1451"/>
      <c r="WRT1451"/>
      <c r="WRU1451"/>
      <c r="WRV1451"/>
      <c r="WRW1451"/>
      <c r="WRX1451"/>
      <c r="WRY1451"/>
      <c r="WRZ1451"/>
      <c r="WSA1451"/>
      <c r="WSB1451"/>
      <c r="WSC1451"/>
      <c r="WSD1451"/>
      <c r="WSE1451"/>
      <c r="WSF1451"/>
      <c r="WSG1451"/>
      <c r="WSH1451"/>
      <c r="WSI1451"/>
      <c r="WSJ1451"/>
      <c r="WSK1451"/>
      <c r="WSL1451"/>
      <c r="WSM1451"/>
      <c r="WSN1451"/>
      <c r="WSO1451"/>
      <c r="WSP1451"/>
      <c r="WSQ1451"/>
      <c r="WSR1451"/>
      <c r="WSS1451"/>
      <c r="WST1451"/>
      <c r="WSU1451"/>
      <c r="WSV1451"/>
      <c r="WSW1451"/>
      <c r="WSX1451"/>
      <c r="WSY1451"/>
      <c r="WSZ1451"/>
      <c r="WTA1451"/>
      <c r="WTB1451"/>
      <c r="WTC1451"/>
      <c r="WTD1451"/>
      <c r="WTE1451"/>
      <c r="WTF1451"/>
      <c r="WTG1451"/>
      <c r="WTH1451"/>
      <c r="WTI1451"/>
      <c r="WTJ1451"/>
      <c r="WTK1451"/>
      <c r="WTL1451"/>
      <c r="WTM1451"/>
      <c r="WTN1451"/>
      <c r="WTO1451"/>
      <c r="WTP1451"/>
      <c r="WTQ1451"/>
      <c r="WTR1451"/>
      <c r="WTS1451"/>
      <c r="WTT1451"/>
      <c r="WTU1451"/>
      <c r="WTV1451"/>
      <c r="WTW1451"/>
      <c r="WTX1451"/>
      <c r="WTY1451"/>
      <c r="WTZ1451"/>
      <c r="WUA1451"/>
      <c r="WUB1451"/>
      <c r="WUC1451"/>
      <c r="WUD1451"/>
      <c r="WUE1451"/>
      <c r="WUF1451"/>
      <c r="WUG1451"/>
      <c r="WUH1451"/>
      <c r="WUI1451"/>
      <c r="WUJ1451"/>
      <c r="WUK1451"/>
      <c r="WUL1451"/>
      <c r="WUM1451"/>
      <c r="WUN1451"/>
      <c r="WUO1451"/>
      <c r="WUP1451"/>
      <c r="WUQ1451"/>
      <c r="WUR1451"/>
      <c r="WUS1451"/>
      <c r="WUT1451"/>
      <c r="WUU1451"/>
      <c r="WUV1451"/>
      <c r="WUW1451"/>
      <c r="WUX1451"/>
      <c r="WUY1451"/>
      <c r="WUZ1451"/>
      <c r="WVA1451"/>
      <c r="WVB1451"/>
      <c r="WVC1451"/>
      <c r="WVD1451"/>
      <c r="WVE1451"/>
      <c r="WVF1451"/>
      <c r="WVG1451"/>
      <c r="WVH1451"/>
      <c r="WVI1451"/>
      <c r="WVJ1451"/>
      <c r="WVK1451"/>
      <c r="WVL1451"/>
      <c r="WVM1451"/>
      <c r="WVN1451"/>
      <c r="WVO1451"/>
      <c r="WVP1451"/>
      <c r="WVQ1451"/>
      <c r="WVR1451"/>
      <c r="WVS1451"/>
      <c r="WVT1451"/>
      <c r="WVU1451"/>
      <c r="WVV1451"/>
      <c r="WVW1451"/>
      <c r="WVX1451"/>
      <c r="WVY1451"/>
      <c r="WVZ1451"/>
      <c r="WWA1451"/>
      <c r="WWB1451"/>
      <c r="WWC1451"/>
      <c r="WWD1451"/>
      <c r="WWE1451"/>
      <c r="WWF1451"/>
      <c r="WWG1451"/>
      <c r="WWH1451"/>
      <c r="WWI1451"/>
      <c r="WWJ1451"/>
      <c r="WWK1451"/>
      <c r="WWL1451"/>
      <c r="WWM1451"/>
      <c r="WWN1451"/>
      <c r="WWO1451"/>
      <c r="WWP1451"/>
      <c r="WWQ1451"/>
      <c r="WWR1451"/>
      <c r="WWS1451"/>
      <c r="WWT1451"/>
      <c r="WWU1451"/>
      <c r="WWV1451"/>
      <c r="WWW1451"/>
      <c r="WWX1451"/>
      <c r="WWY1451"/>
      <c r="WWZ1451"/>
      <c r="WXA1451"/>
      <c r="WXB1451"/>
      <c r="WXC1451"/>
      <c r="WXD1451"/>
      <c r="WXE1451"/>
      <c r="WXF1451"/>
      <c r="WXG1451"/>
      <c r="WXH1451"/>
      <c r="WXI1451"/>
      <c r="WXJ1451"/>
      <c r="WXK1451"/>
      <c r="WXL1451"/>
      <c r="WXM1451"/>
      <c r="WXN1451"/>
      <c r="WXO1451"/>
      <c r="WXP1451"/>
      <c r="WXQ1451"/>
      <c r="WXR1451"/>
      <c r="WXS1451"/>
      <c r="WXT1451"/>
      <c r="WXU1451"/>
      <c r="WXV1451"/>
      <c r="WXW1451"/>
      <c r="WXX1451"/>
      <c r="WXY1451"/>
      <c r="WXZ1451"/>
      <c r="WYA1451"/>
      <c r="WYB1451"/>
      <c r="WYC1451"/>
      <c r="WYD1451"/>
      <c r="WYE1451"/>
      <c r="WYF1451"/>
      <c r="WYG1451"/>
      <c r="WYH1451"/>
      <c r="WYI1451"/>
      <c r="WYJ1451"/>
      <c r="WYK1451"/>
      <c r="WYL1451"/>
      <c r="WYM1451"/>
      <c r="WYN1451"/>
      <c r="WYO1451"/>
      <c r="WYP1451"/>
      <c r="WYQ1451"/>
      <c r="WYR1451"/>
      <c r="WYS1451"/>
      <c r="WYT1451"/>
      <c r="WYU1451"/>
      <c r="WYV1451"/>
      <c r="WYW1451"/>
      <c r="WYX1451"/>
      <c r="WYY1451"/>
      <c r="WYZ1451"/>
      <c r="WZA1451"/>
      <c r="WZB1451"/>
      <c r="WZC1451"/>
      <c r="WZD1451"/>
      <c r="WZE1451"/>
      <c r="WZF1451"/>
      <c r="WZG1451"/>
      <c r="WZH1451"/>
      <c r="WZI1451"/>
      <c r="WZJ1451"/>
      <c r="WZK1451"/>
      <c r="WZL1451"/>
      <c r="WZM1451"/>
      <c r="WZN1451"/>
      <c r="WZO1451"/>
      <c r="WZP1451"/>
      <c r="WZQ1451"/>
      <c r="WZR1451"/>
      <c r="WZS1451"/>
      <c r="WZT1451"/>
      <c r="WZU1451"/>
      <c r="WZV1451"/>
      <c r="WZW1451"/>
      <c r="WZX1451"/>
      <c r="WZY1451"/>
      <c r="WZZ1451"/>
      <c r="XAA1451"/>
      <c r="XAB1451"/>
      <c r="XAC1451"/>
      <c r="XAD1451"/>
      <c r="XAE1451"/>
      <c r="XAF1451"/>
      <c r="XAG1451"/>
      <c r="XAH1451"/>
      <c r="XAI1451"/>
      <c r="XAJ1451"/>
      <c r="XAK1451"/>
      <c r="XAL1451"/>
      <c r="XAM1451"/>
      <c r="XAN1451"/>
      <c r="XAO1451"/>
      <c r="XAP1451"/>
      <c r="XAQ1451"/>
      <c r="XAR1451"/>
      <c r="XAS1451"/>
      <c r="XAT1451"/>
      <c r="XAU1451"/>
      <c r="XAV1451"/>
      <c r="XAW1451"/>
      <c r="XAX1451"/>
      <c r="XAY1451"/>
      <c r="XAZ1451"/>
      <c r="XBA1451"/>
      <c r="XBB1451"/>
      <c r="XBC1451"/>
      <c r="XBD1451"/>
      <c r="XBE1451"/>
      <c r="XBF1451"/>
      <c r="XBG1451"/>
      <c r="XBH1451"/>
      <c r="XBI1451"/>
      <c r="XBJ1451"/>
      <c r="XBK1451"/>
      <c r="XBL1451"/>
      <c r="XBM1451"/>
      <c r="XBN1451"/>
      <c r="XBO1451"/>
      <c r="XBP1451"/>
      <c r="XBQ1451"/>
      <c r="XBR1451"/>
      <c r="XBS1451"/>
      <c r="XBT1451"/>
      <c r="XBU1451"/>
      <c r="XBV1451"/>
      <c r="XBW1451"/>
      <c r="XBX1451"/>
      <c r="XBY1451"/>
      <c r="XBZ1451"/>
      <c r="XCA1451"/>
      <c r="XCB1451"/>
      <c r="XCC1451"/>
      <c r="XCD1451"/>
      <c r="XCE1451"/>
      <c r="XCF1451"/>
      <c r="XCG1451"/>
      <c r="XCH1451"/>
      <c r="XCI1451"/>
      <c r="XCJ1451"/>
      <c r="XCK1451"/>
      <c r="XCL1451"/>
      <c r="XCM1451"/>
      <c r="XCN1451"/>
      <c r="XCO1451"/>
      <c r="XCP1451"/>
      <c r="XCQ1451"/>
      <c r="XCR1451"/>
      <c r="XCS1451"/>
      <c r="XCT1451"/>
      <c r="XCU1451"/>
      <c r="XCV1451"/>
      <c r="XCW1451"/>
      <c r="XCX1451"/>
      <c r="XCY1451"/>
      <c r="XCZ1451"/>
      <c r="XDA1451"/>
      <c r="XDB1451"/>
      <c r="XDC1451"/>
      <c r="XDD1451"/>
      <c r="XDE1451"/>
      <c r="XDF1451"/>
      <c r="XDG1451"/>
      <c r="XDH1451"/>
      <c r="XDI1451"/>
      <c r="XDJ1451"/>
      <c r="XDK1451"/>
      <c r="XDL1451"/>
      <c r="XDM1451"/>
      <c r="XDN1451"/>
      <c r="XDO1451"/>
      <c r="XDP1451"/>
      <c r="XDQ1451"/>
      <c r="XDR1451"/>
      <c r="XDS1451"/>
      <c r="XDT1451"/>
      <c r="XDU1451"/>
      <c r="XDV1451"/>
      <c r="XDW1451"/>
      <c r="XDX1451"/>
      <c r="XDY1451"/>
      <c r="XDZ1451"/>
      <c r="XEA1451"/>
      <c r="XEB1451"/>
      <c r="XEC1451"/>
      <c r="XED1451"/>
      <c r="XEE1451"/>
      <c r="XEF1451"/>
      <c r="XEG1451"/>
      <c r="XEH1451"/>
      <c r="XEI1451"/>
      <c r="XEJ1451"/>
      <c r="XEK1451"/>
      <c r="XEL1451"/>
      <c r="XEM1451"/>
      <c r="XEN1451"/>
      <c r="XEO1451"/>
      <c r="XEP1451"/>
      <c r="XEQ1451"/>
      <c r="XER1451"/>
      <c r="XES1451"/>
      <c r="XET1451"/>
      <c r="XEU1451"/>
      <c r="XEV1451"/>
      <c r="XEW1451"/>
      <c r="XEX1451"/>
      <c r="XEY1451"/>
      <c r="XEZ1451"/>
    </row>
    <row r="1452" spans="1:16380" s="103" customFormat="1" ht="15.95" customHeight="1" x14ac:dyDescent="0.25">
      <c r="A1452" s="166" t="s">
        <v>1733</v>
      </c>
      <c r="B1452" s="166"/>
      <c r="C1452" s="166"/>
      <c r="D1452" s="166" t="s">
        <v>1720</v>
      </c>
      <c r="E1452" s="166" t="s">
        <v>1739</v>
      </c>
      <c r="F1452" s="166">
        <v>2020</v>
      </c>
      <c r="G1452" s="166" t="s">
        <v>1721</v>
      </c>
      <c r="H1452" s="166" t="s">
        <v>1390</v>
      </c>
      <c r="I1452" s="166" t="s">
        <v>1740</v>
      </c>
      <c r="J1452" s="166" t="s">
        <v>1734</v>
      </c>
      <c r="K1452" s="166" t="s">
        <v>161</v>
      </c>
      <c r="L1452" s="166" t="s">
        <v>82</v>
      </c>
      <c r="M1452" s="166" t="s">
        <v>82</v>
      </c>
      <c r="N1452" s="19" t="s">
        <v>66</v>
      </c>
      <c r="O1452" s="166" t="s">
        <v>1735</v>
      </c>
      <c r="P1452" s="166" t="s">
        <v>1390</v>
      </c>
      <c r="Q1452" s="166"/>
      <c r="R1452" s="166" t="s">
        <v>1253</v>
      </c>
      <c r="S1452" s="166" t="s">
        <v>1354</v>
      </c>
      <c r="T1452" s="166" t="s">
        <v>49</v>
      </c>
      <c r="U1452" s="19" t="s">
        <v>49</v>
      </c>
      <c r="V1452" s="166">
        <v>7</v>
      </c>
      <c r="W1452" s="166" t="s">
        <v>45</v>
      </c>
      <c r="X1452" s="166" t="s">
        <v>46</v>
      </c>
      <c r="Y1452" s="166"/>
      <c r="Z1452" s="166"/>
      <c r="AA1452" s="166"/>
      <c r="AB1452" s="166">
        <v>29</v>
      </c>
      <c r="AC1452" s="166" t="s">
        <v>214</v>
      </c>
      <c r="AD1452" s="166"/>
      <c r="AE1452" s="169">
        <v>3.5</v>
      </c>
      <c r="AF1452" s="166"/>
      <c r="AG1452" s="166"/>
      <c r="AH1452" s="166"/>
      <c r="AI1452" s="166"/>
      <c r="AJ1452" s="167">
        <v>6.7</v>
      </c>
      <c r="AK1452" s="169" t="s">
        <v>1749</v>
      </c>
      <c r="AL1452" s="169" t="s">
        <v>1753</v>
      </c>
      <c r="AM1452" s="166"/>
      <c r="AN1452" s="169">
        <v>3</v>
      </c>
      <c r="AO1452" s="166"/>
      <c r="AP1452" s="168">
        <v>1.4</v>
      </c>
      <c r="AQ1452" s="169" t="s">
        <v>1758</v>
      </c>
      <c r="AR1452" s="169" t="s">
        <v>1765</v>
      </c>
      <c r="AS1452" s="166"/>
      <c r="AT1452" s="65" t="str">
        <f t="shared" si="518"/>
        <v>Y</v>
      </c>
      <c r="AU1452" s="65" t="str">
        <f t="shared" si="519"/>
        <v>Y</v>
      </c>
      <c r="AV1452" s="65" t="str">
        <f t="shared" si="520"/>
        <v>Y</v>
      </c>
      <c r="AW1452" s="99"/>
      <c r="AX1452" s="99"/>
      <c r="AY1452" s="20"/>
      <c r="AZ1452" s="96" t="str">
        <f t="shared" si="521"/>
        <v>EC10</v>
      </c>
      <c r="BA1452" s="96">
        <f>IF(AZ1452="n","n",VLOOKUP(AZ1452,'Conversion factors'!$C$4:$D$24,2,FALSE))</f>
        <v>1</v>
      </c>
      <c r="BB1452" s="96">
        <f t="shared" si="522"/>
        <v>29</v>
      </c>
      <c r="BC1452" s="97"/>
      <c r="BD1452" s="96" t="str">
        <f t="shared" si="523"/>
        <v>Chronic</v>
      </c>
      <c r="BE1452" s="96" t="str">
        <f t="shared" si="524"/>
        <v>y</v>
      </c>
      <c r="BF1452" s="98" t="str">
        <f t="shared" si="525"/>
        <v>EC10</v>
      </c>
      <c r="BG1452" s="96" t="str">
        <f>IF(BF1452="","",IF(ISNUMBER(VLOOKUP(BF1452,'Conversion factors'!$B$35:$C$52,2,FALSE)),"y","n"))</f>
        <v>y</v>
      </c>
      <c r="BH1452" s="131"/>
      <c r="BI1452" s="126"/>
      <c r="BJ1452" s="126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  <c r="DB1452"/>
      <c r="DC1452"/>
      <c r="DD1452"/>
      <c r="DE1452"/>
      <c r="DF1452"/>
      <c r="DG1452"/>
      <c r="DH1452"/>
      <c r="DI1452"/>
      <c r="DJ1452"/>
      <c r="DK1452"/>
      <c r="DL1452"/>
      <c r="DM1452"/>
      <c r="DN1452"/>
      <c r="DO1452"/>
      <c r="DP1452"/>
      <c r="DQ1452"/>
      <c r="DR1452"/>
      <c r="DS1452"/>
      <c r="DT1452"/>
      <c r="DU1452"/>
      <c r="DV1452"/>
      <c r="DW1452"/>
      <c r="DX1452"/>
      <c r="DY1452"/>
      <c r="DZ1452"/>
      <c r="EA1452"/>
      <c r="EB1452"/>
      <c r="EC1452"/>
      <c r="ED1452"/>
      <c r="EE1452"/>
      <c r="EF1452"/>
      <c r="EG1452"/>
      <c r="EH1452"/>
      <c r="EI1452"/>
      <c r="EJ1452"/>
      <c r="EK1452"/>
      <c r="EL1452"/>
      <c r="EM1452"/>
      <c r="EN1452"/>
      <c r="EO1452"/>
      <c r="EP1452"/>
      <c r="EQ1452"/>
      <c r="ER1452"/>
      <c r="ES1452"/>
      <c r="ET1452"/>
      <c r="EU1452"/>
      <c r="EV1452"/>
      <c r="EW1452"/>
      <c r="EX1452"/>
      <c r="EY1452"/>
      <c r="EZ1452"/>
      <c r="FA1452"/>
      <c r="FB1452"/>
      <c r="FC1452"/>
      <c r="FD1452"/>
      <c r="FE1452"/>
      <c r="FF1452"/>
      <c r="FG1452"/>
      <c r="FH1452"/>
      <c r="FI1452"/>
      <c r="FJ1452"/>
      <c r="FK1452"/>
      <c r="FL1452"/>
      <c r="FM1452"/>
      <c r="FN1452"/>
      <c r="FO1452"/>
      <c r="FP1452"/>
      <c r="FQ1452"/>
      <c r="FR1452"/>
      <c r="FS1452"/>
      <c r="FT1452"/>
      <c r="FU1452"/>
      <c r="FV1452"/>
      <c r="FW1452"/>
      <c r="FX1452"/>
      <c r="FY1452"/>
      <c r="FZ1452"/>
      <c r="GA1452"/>
      <c r="GB1452"/>
      <c r="GC1452"/>
      <c r="GD1452"/>
      <c r="GE1452"/>
      <c r="GF1452"/>
      <c r="GG1452"/>
      <c r="GH1452"/>
      <c r="GI1452"/>
      <c r="GJ1452"/>
      <c r="GK1452"/>
      <c r="GL1452"/>
      <c r="GM1452"/>
      <c r="GN1452"/>
      <c r="GO1452"/>
      <c r="GP1452"/>
      <c r="GQ1452"/>
      <c r="GR1452"/>
      <c r="GS1452"/>
      <c r="GT1452"/>
      <c r="GU1452"/>
      <c r="GV1452"/>
      <c r="GW1452"/>
      <c r="GX1452"/>
      <c r="GY1452"/>
      <c r="GZ1452"/>
      <c r="HA1452"/>
      <c r="HB1452"/>
      <c r="HC1452"/>
      <c r="HD1452"/>
      <c r="HE1452"/>
      <c r="HF1452"/>
      <c r="HG1452"/>
      <c r="HH1452"/>
      <c r="HI1452"/>
      <c r="HJ1452"/>
      <c r="HK1452"/>
      <c r="HL1452"/>
      <c r="HM1452"/>
      <c r="HN1452"/>
      <c r="HO1452"/>
      <c r="HP1452"/>
      <c r="HQ1452"/>
      <c r="HR1452"/>
      <c r="HS1452"/>
      <c r="HT1452"/>
      <c r="HU1452"/>
      <c r="HV1452"/>
      <c r="HW1452"/>
      <c r="HX1452"/>
      <c r="HY1452"/>
      <c r="HZ1452"/>
      <c r="IA1452"/>
      <c r="IB1452"/>
      <c r="IC1452"/>
      <c r="ID1452"/>
      <c r="IE1452"/>
      <c r="IF1452"/>
      <c r="IG1452"/>
      <c r="IH1452"/>
      <c r="II1452"/>
      <c r="IJ1452"/>
      <c r="IK1452"/>
      <c r="IL1452"/>
      <c r="IM1452"/>
      <c r="IN1452"/>
      <c r="IO1452"/>
      <c r="IP1452"/>
      <c r="IQ1452"/>
      <c r="IR1452"/>
      <c r="IS1452"/>
      <c r="IT1452"/>
      <c r="IU1452"/>
      <c r="IV1452"/>
      <c r="IW1452"/>
      <c r="IX1452"/>
      <c r="IY1452"/>
      <c r="IZ1452"/>
      <c r="JA1452"/>
      <c r="JB1452"/>
      <c r="JC1452"/>
      <c r="JD1452"/>
      <c r="JE1452"/>
      <c r="JF1452"/>
      <c r="JG1452"/>
      <c r="JH1452"/>
      <c r="JI1452"/>
      <c r="JJ1452"/>
      <c r="JK1452"/>
      <c r="JL1452"/>
      <c r="JM1452"/>
      <c r="JN1452"/>
      <c r="JO1452"/>
      <c r="JP1452"/>
      <c r="JQ1452"/>
      <c r="JR1452"/>
      <c r="JS1452"/>
      <c r="JT1452"/>
      <c r="JU1452"/>
      <c r="JV1452"/>
      <c r="JW1452"/>
      <c r="JX1452"/>
      <c r="JY1452"/>
      <c r="JZ1452"/>
      <c r="KA1452"/>
      <c r="KB1452"/>
      <c r="KC1452"/>
      <c r="KD1452"/>
      <c r="KE1452"/>
      <c r="KF1452"/>
      <c r="KG1452"/>
      <c r="KH1452"/>
      <c r="KI1452"/>
      <c r="KJ1452"/>
      <c r="KK1452"/>
      <c r="KL1452"/>
      <c r="KM1452"/>
      <c r="KN1452"/>
      <c r="KO1452"/>
      <c r="KP1452"/>
      <c r="KQ1452"/>
      <c r="KR1452"/>
      <c r="KS1452"/>
      <c r="KT1452"/>
      <c r="KU1452"/>
      <c r="KV1452"/>
      <c r="KW1452"/>
      <c r="KX1452"/>
      <c r="KY1452"/>
      <c r="KZ1452"/>
      <c r="LA1452"/>
      <c r="LB1452"/>
      <c r="LC1452"/>
      <c r="LD1452"/>
      <c r="LE1452"/>
      <c r="LF1452"/>
      <c r="LG1452"/>
      <c r="LH1452"/>
      <c r="LI1452"/>
      <c r="LJ1452"/>
      <c r="LK1452"/>
      <c r="LL1452"/>
      <c r="LM1452"/>
      <c r="LN1452"/>
      <c r="LO1452"/>
      <c r="LP1452"/>
      <c r="LQ1452"/>
      <c r="LR1452"/>
      <c r="LS1452"/>
      <c r="LT1452"/>
      <c r="LU1452"/>
      <c r="LV1452"/>
      <c r="LW1452"/>
      <c r="LX1452"/>
      <c r="LY1452"/>
      <c r="LZ1452"/>
      <c r="MA1452"/>
      <c r="MB1452"/>
      <c r="MC1452"/>
      <c r="MD1452"/>
      <c r="ME1452"/>
      <c r="MF1452"/>
      <c r="MG1452"/>
      <c r="MH1452"/>
      <c r="MI1452"/>
      <c r="MJ1452"/>
      <c r="MK1452"/>
      <c r="ML1452"/>
      <c r="MM1452"/>
      <c r="MN1452"/>
      <c r="MO1452"/>
      <c r="MP1452"/>
      <c r="MQ1452"/>
      <c r="MR1452"/>
      <c r="MS1452"/>
      <c r="MT1452"/>
      <c r="MU1452"/>
      <c r="MV1452"/>
      <c r="MW1452"/>
      <c r="MX1452"/>
      <c r="MY1452"/>
      <c r="MZ1452"/>
      <c r="NA1452"/>
      <c r="NB1452"/>
      <c r="NC1452"/>
      <c r="ND1452"/>
      <c r="NE1452"/>
      <c r="NF1452"/>
      <c r="NG1452"/>
      <c r="NH1452"/>
      <c r="NI1452"/>
      <c r="NJ1452"/>
      <c r="NK1452"/>
      <c r="NL1452"/>
      <c r="NM1452"/>
      <c r="NN1452"/>
      <c r="NO1452"/>
      <c r="NP1452"/>
      <c r="NQ1452"/>
      <c r="NR1452"/>
      <c r="NS1452"/>
      <c r="NT1452"/>
      <c r="NU1452"/>
      <c r="NV1452"/>
      <c r="NW1452"/>
      <c r="NX1452"/>
      <c r="NY1452"/>
      <c r="NZ1452"/>
      <c r="OA1452"/>
      <c r="OB1452"/>
      <c r="OC1452"/>
      <c r="OD1452"/>
      <c r="OE1452"/>
      <c r="OF1452"/>
      <c r="OG1452"/>
      <c r="OH1452"/>
      <c r="OI1452"/>
      <c r="OJ1452"/>
      <c r="OK1452"/>
      <c r="OL1452"/>
      <c r="OM1452"/>
      <c r="ON1452"/>
      <c r="OO1452"/>
      <c r="OP1452"/>
      <c r="OQ1452"/>
      <c r="OR1452"/>
      <c r="OS1452"/>
      <c r="OT1452"/>
      <c r="OU1452"/>
      <c r="OV1452"/>
      <c r="OW1452"/>
      <c r="OX1452"/>
      <c r="OY1452"/>
      <c r="OZ1452"/>
      <c r="PA1452"/>
      <c r="PB1452"/>
      <c r="PC1452"/>
      <c r="PD1452"/>
      <c r="PE1452"/>
      <c r="PF1452"/>
      <c r="PG1452"/>
      <c r="PH1452"/>
      <c r="PI1452"/>
      <c r="PJ1452"/>
      <c r="PK1452"/>
      <c r="PL1452"/>
      <c r="PM1452"/>
      <c r="PN1452"/>
      <c r="PO1452"/>
      <c r="PP1452"/>
      <c r="PQ1452"/>
      <c r="PR1452"/>
      <c r="PS1452"/>
      <c r="PT1452"/>
      <c r="PU1452"/>
      <c r="PV1452"/>
      <c r="PW1452"/>
      <c r="PX1452"/>
      <c r="PY1452"/>
      <c r="PZ1452"/>
      <c r="QA1452"/>
      <c r="QB1452"/>
      <c r="QC1452"/>
      <c r="QD1452"/>
      <c r="QE1452"/>
      <c r="QF1452"/>
      <c r="QG1452"/>
      <c r="QH1452"/>
      <c r="QI1452"/>
      <c r="QJ1452"/>
      <c r="QK1452"/>
      <c r="QL1452"/>
      <c r="QM1452"/>
      <c r="QN1452"/>
      <c r="QO1452"/>
      <c r="QP1452"/>
      <c r="QQ1452"/>
      <c r="QR1452"/>
      <c r="QS1452"/>
      <c r="QT1452"/>
      <c r="QU1452"/>
      <c r="QV1452"/>
      <c r="QW1452"/>
      <c r="QX1452"/>
      <c r="QY1452"/>
      <c r="QZ1452"/>
      <c r="RA1452"/>
      <c r="RB1452"/>
      <c r="RC1452"/>
      <c r="RD1452"/>
      <c r="RE1452"/>
      <c r="RF1452"/>
      <c r="RG1452"/>
      <c r="RH1452"/>
      <c r="RI1452"/>
      <c r="RJ1452"/>
      <c r="RK1452"/>
      <c r="RL1452"/>
      <c r="RM1452"/>
      <c r="RN1452"/>
      <c r="RO1452"/>
      <c r="RP1452"/>
      <c r="RQ1452"/>
      <c r="RR1452"/>
      <c r="RS1452"/>
      <c r="RT1452"/>
      <c r="RU1452"/>
      <c r="RV1452"/>
      <c r="RW1452"/>
      <c r="RX1452"/>
      <c r="RY1452"/>
      <c r="RZ1452"/>
      <c r="SA1452"/>
      <c r="SB1452"/>
      <c r="SC1452"/>
      <c r="SD1452"/>
      <c r="SE1452"/>
      <c r="SF1452"/>
      <c r="SG1452"/>
      <c r="SH1452"/>
      <c r="SI1452"/>
      <c r="SJ1452"/>
      <c r="SK1452"/>
      <c r="SL1452"/>
      <c r="SM1452"/>
      <c r="SN1452"/>
      <c r="SO1452"/>
      <c r="SP1452"/>
      <c r="SQ1452"/>
      <c r="SR1452"/>
      <c r="SS1452"/>
      <c r="ST1452"/>
      <c r="SU1452"/>
      <c r="SV1452"/>
      <c r="SW1452"/>
      <c r="SX1452"/>
      <c r="SY1452"/>
      <c r="SZ1452"/>
      <c r="TA1452"/>
      <c r="TB1452"/>
      <c r="TC1452"/>
      <c r="TD1452"/>
      <c r="TE1452"/>
      <c r="TF1452"/>
      <c r="TG1452"/>
      <c r="TH1452"/>
      <c r="TI1452"/>
      <c r="TJ1452"/>
      <c r="TK1452"/>
      <c r="TL1452"/>
      <c r="TM1452"/>
      <c r="TN1452"/>
      <c r="TO1452"/>
      <c r="TP1452"/>
      <c r="TQ1452"/>
      <c r="TR1452"/>
      <c r="TS1452"/>
      <c r="TT1452"/>
      <c r="TU1452"/>
      <c r="TV1452"/>
      <c r="TW1452"/>
      <c r="TX1452"/>
      <c r="TY1452"/>
      <c r="TZ1452"/>
      <c r="UA1452"/>
      <c r="UB1452"/>
      <c r="UC1452"/>
      <c r="UD1452"/>
      <c r="UE1452"/>
      <c r="UF1452"/>
      <c r="UG1452"/>
      <c r="UH1452"/>
      <c r="UI1452"/>
      <c r="UJ1452"/>
      <c r="UK1452"/>
      <c r="UL1452"/>
      <c r="UM1452"/>
      <c r="UN1452"/>
      <c r="UO1452"/>
      <c r="UP1452"/>
      <c r="UQ1452"/>
      <c r="UR1452"/>
      <c r="US1452"/>
      <c r="UT1452"/>
      <c r="UU1452"/>
      <c r="UV1452"/>
      <c r="UW1452"/>
      <c r="UX1452"/>
      <c r="UY1452"/>
      <c r="UZ1452"/>
      <c r="VA1452"/>
      <c r="VB1452"/>
      <c r="VC1452"/>
      <c r="VD1452"/>
      <c r="VE1452"/>
      <c r="VF1452"/>
      <c r="VG1452"/>
      <c r="VH1452"/>
      <c r="VI1452"/>
      <c r="VJ1452"/>
      <c r="VK1452"/>
      <c r="VL1452"/>
      <c r="VM1452"/>
      <c r="VN1452"/>
      <c r="VO1452"/>
      <c r="VP1452"/>
      <c r="VQ1452"/>
      <c r="VR1452"/>
      <c r="VS1452"/>
      <c r="VT1452"/>
      <c r="VU1452"/>
      <c r="VV1452"/>
      <c r="VW1452"/>
      <c r="VX1452"/>
      <c r="VY1452"/>
      <c r="VZ1452"/>
      <c r="WA1452"/>
      <c r="WB1452"/>
      <c r="WC1452"/>
      <c r="WD1452"/>
      <c r="WE1452"/>
      <c r="WF1452"/>
      <c r="WG1452"/>
      <c r="WH1452"/>
      <c r="WI1452"/>
      <c r="WJ1452"/>
      <c r="WK1452"/>
      <c r="WL1452"/>
      <c r="WM1452"/>
      <c r="WN1452"/>
      <c r="WO1452"/>
      <c r="WP1452"/>
      <c r="WQ1452"/>
      <c r="WR1452"/>
      <c r="WS1452"/>
      <c r="WT1452"/>
      <c r="WU1452"/>
      <c r="WV1452"/>
      <c r="WW1452"/>
      <c r="WX1452"/>
      <c r="WY1452"/>
      <c r="WZ1452"/>
      <c r="XA1452"/>
      <c r="XB1452"/>
      <c r="XC1452"/>
      <c r="XD1452"/>
      <c r="XE1452"/>
      <c r="XF1452"/>
      <c r="XG1452"/>
      <c r="XH1452"/>
      <c r="XI1452"/>
      <c r="XJ1452"/>
      <c r="XK1452"/>
      <c r="XL1452"/>
      <c r="XM1452"/>
      <c r="XN1452"/>
      <c r="XO1452"/>
      <c r="XP1452"/>
      <c r="XQ1452"/>
      <c r="XR1452"/>
      <c r="XS1452"/>
      <c r="XT1452"/>
      <c r="XU1452"/>
      <c r="XV1452"/>
      <c r="XW1452"/>
      <c r="XX1452"/>
      <c r="XY1452"/>
      <c r="XZ1452"/>
      <c r="YA1452"/>
      <c r="YB1452"/>
      <c r="YC1452"/>
      <c r="YD1452"/>
      <c r="YE1452"/>
      <c r="YF1452"/>
      <c r="YG1452"/>
      <c r="YH1452"/>
      <c r="YI1452"/>
      <c r="YJ1452"/>
      <c r="YK1452"/>
      <c r="YL1452"/>
      <c r="YM1452"/>
      <c r="YN1452"/>
      <c r="YO1452"/>
      <c r="YP1452"/>
      <c r="YQ1452"/>
      <c r="YR1452"/>
      <c r="YS1452"/>
      <c r="YT1452"/>
      <c r="YU1452"/>
      <c r="YV1452"/>
      <c r="YW1452"/>
      <c r="YX1452"/>
      <c r="YY1452"/>
      <c r="YZ1452"/>
      <c r="ZA1452"/>
      <c r="ZB1452"/>
      <c r="ZC1452"/>
      <c r="ZD1452"/>
      <c r="ZE1452"/>
      <c r="ZF1452"/>
      <c r="ZG1452"/>
      <c r="ZH1452"/>
      <c r="ZI1452"/>
      <c r="ZJ1452"/>
      <c r="ZK1452"/>
      <c r="ZL1452"/>
      <c r="ZM1452"/>
      <c r="ZN1452"/>
      <c r="ZO1452"/>
      <c r="ZP1452"/>
      <c r="ZQ1452"/>
      <c r="ZR1452"/>
      <c r="ZS1452"/>
      <c r="ZT1452"/>
      <c r="ZU1452"/>
      <c r="ZV1452"/>
      <c r="ZW1452"/>
      <c r="ZX1452"/>
      <c r="ZY1452"/>
      <c r="ZZ1452"/>
      <c r="AAA1452"/>
      <c r="AAB1452"/>
      <c r="AAC1452"/>
      <c r="AAD1452"/>
      <c r="AAE1452"/>
      <c r="AAF1452"/>
      <c r="AAG1452"/>
      <c r="AAH1452"/>
      <c r="AAI1452"/>
      <c r="AAJ1452"/>
      <c r="AAK1452"/>
      <c r="AAL1452"/>
      <c r="AAM1452"/>
      <c r="AAN1452"/>
      <c r="AAO1452"/>
      <c r="AAP1452"/>
      <c r="AAQ1452"/>
      <c r="AAR1452"/>
      <c r="AAS1452"/>
      <c r="AAT1452"/>
      <c r="AAU1452"/>
      <c r="AAV1452"/>
      <c r="AAW1452"/>
      <c r="AAX1452"/>
      <c r="AAY1452"/>
      <c r="AAZ1452"/>
      <c r="ABA1452"/>
      <c r="ABB1452"/>
      <c r="ABC1452"/>
      <c r="ABD1452"/>
      <c r="ABE1452"/>
      <c r="ABF1452"/>
      <c r="ABG1452"/>
      <c r="ABH1452"/>
      <c r="ABI1452"/>
      <c r="ABJ1452"/>
      <c r="ABK1452"/>
      <c r="ABL1452"/>
      <c r="ABM1452"/>
      <c r="ABN1452"/>
      <c r="ABO1452"/>
      <c r="ABP1452"/>
      <c r="ABQ1452"/>
      <c r="ABR1452"/>
      <c r="ABS1452"/>
      <c r="ABT1452"/>
      <c r="ABU1452"/>
      <c r="ABV1452"/>
      <c r="ABW1452"/>
      <c r="ABX1452"/>
      <c r="ABY1452"/>
      <c r="ABZ1452"/>
      <c r="ACA1452"/>
      <c r="ACB1452"/>
      <c r="ACC1452"/>
      <c r="ACD1452"/>
      <c r="ACE1452"/>
      <c r="ACF1452"/>
      <c r="ACG1452"/>
      <c r="ACH1452"/>
      <c r="ACI1452"/>
      <c r="ACJ1452"/>
      <c r="ACK1452"/>
      <c r="ACL1452"/>
      <c r="ACM1452"/>
      <c r="ACN1452"/>
      <c r="ACO1452"/>
      <c r="ACP1452"/>
      <c r="ACQ1452"/>
      <c r="ACR1452"/>
      <c r="ACS1452"/>
      <c r="ACT1452"/>
      <c r="ACU1452"/>
      <c r="ACV1452"/>
      <c r="ACW1452"/>
      <c r="ACX1452"/>
      <c r="ACY1452"/>
      <c r="ACZ1452"/>
      <c r="ADA1452"/>
      <c r="ADB1452"/>
      <c r="ADC1452"/>
      <c r="ADD1452"/>
      <c r="ADE1452"/>
      <c r="ADF1452"/>
      <c r="ADG1452"/>
      <c r="ADH1452"/>
      <c r="ADI1452"/>
      <c r="ADJ1452"/>
      <c r="ADK1452"/>
      <c r="ADL1452"/>
      <c r="ADM1452"/>
      <c r="ADN1452"/>
      <c r="ADO1452"/>
      <c r="ADP1452"/>
      <c r="ADQ1452"/>
      <c r="ADR1452"/>
      <c r="ADS1452"/>
      <c r="ADT1452"/>
      <c r="ADU1452"/>
      <c r="ADV1452"/>
      <c r="ADW1452"/>
      <c r="ADX1452"/>
      <c r="ADY1452"/>
      <c r="ADZ1452"/>
      <c r="AEA1452"/>
      <c r="AEB1452"/>
      <c r="AEC1452"/>
      <c r="AED1452"/>
      <c r="AEE1452"/>
      <c r="AEF1452"/>
      <c r="AEG1452"/>
      <c r="AEH1452"/>
      <c r="AEI1452"/>
      <c r="AEJ1452"/>
      <c r="AEK1452"/>
      <c r="AEL1452"/>
      <c r="AEM1452"/>
      <c r="AEN1452"/>
      <c r="AEO1452"/>
      <c r="AEP1452"/>
      <c r="AEQ1452"/>
      <c r="AER1452"/>
      <c r="AES1452"/>
      <c r="AET1452"/>
      <c r="AEU1452"/>
      <c r="AEV1452"/>
      <c r="AEW1452"/>
      <c r="AEX1452"/>
      <c r="AEY1452"/>
      <c r="AEZ1452"/>
      <c r="AFA1452"/>
      <c r="AFB1452"/>
      <c r="AFC1452"/>
      <c r="AFD1452"/>
      <c r="AFE1452"/>
      <c r="AFF1452"/>
      <c r="AFG1452"/>
      <c r="AFH1452"/>
      <c r="AFI1452"/>
      <c r="AFJ1452"/>
      <c r="AFK1452"/>
      <c r="AFL1452"/>
      <c r="AFM1452"/>
      <c r="AFN1452"/>
      <c r="AFO1452"/>
      <c r="AFP1452"/>
      <c r="AFQ1452"/>
      <c r="AFR1452"/>
      <c r="AFS1452"/>
      <c r="AFT1452"/>
      <c r="AFU1452"/>
      <c r="AFV1452"/>
      <c r="AFW1452"/>
      <c r="AFX1452"/>
      <c r="AFY1452"/>
      <c r="AFZ1452"/>
      <c r="AGA1452"/>
      <c r="AGB1452"/>
      <c r="AGC1452"/>
      <c r="AGD1452"/>
      <c r="AGE1452"/>
      <c r="AGF1452"/>
      <c r="AGG1452"/>
      <c r="AGH1452"/>
      <c r="AGI1452"/>
      <c r="AGJ1452"/>
      <c r="AGK1452"/>
      <c r="AGL1452"/>
      <c r="AGM1452"/>
      <c r="AGN1452"/>
      <c r="AGO1452"/>
      <c r="AGP1452"/>
      <c r="AGQ1452"/>
      <c r="AGR1452"/>
      <c r="AGS1452"/>
      <c r="AGT1452"/>
      <c r="AGU1452"/>
      <c r="AGV1452"/>
      <c r="AGW1452"/>
      <c r="AGX1452"/>
      <c r="AGY1452"/>
      <c r="AGZ1452"/>
      <c r="AHA1452"/>
      <c r="AHB1452"/>
      <c r="AHC1452"/>
      <c r="AHD1452"/>
      <c r="AHE1452"/>
      <c r="AHF1452"/>
      <c r="AHG1452"/>
      <c r="AHH1452"/>
      <c r="AHI1452"/>
      <c r="AHJ1452"/>
      <c r="AHK1452"/>
      <c r="AHL1452"/>
      <c r="AHM1452"/>
      <c r="AHN1452"/>
      <c r="AHO1452"/>
      <c r="AHP1452"/>
      <c r="AHQ1452"/>
      <c r="AHR1452"/>
      <c r="AHS1452"/>
      <c r="AHT1452"/>
      <c r="AHU1452"/>
      <c r="AHV1452"/>
      <c r="AHW1452"/>
      <c r="AHX1452"/>
      <c r="AHY1452"/>
      <c r="AHZ1452"/>
      <c r="AIA1452"/>
      <c r="AIB1452"/>
      <c r="AIC1452"/>
      <c r="AID1452"/>
      <c r="AIE1452"/>
      <c r="AIF1452"/>
      <c r="AIG1452"/>
      <c r="AIH1452"/>
      <c r="AII1452"/>
      <c r="AIJ1452"/>
      <c r="AIK1452"/>
      <c r="AIL1452"/>
      <c r="AIM1452"/>
      <c r="AIN1452"/>
      <c r="AIO1452"/>
      <c r="AIP1452"/>
      <c r="AIQ1452"/>
      <c r="AIR1452"/>
      <c r="AIS1452"/>
      <c r="AIT1452"/>
      <c r="AIU1452"/>
      <c r="AIV1452"/>
      <c r="AIW1452"/>
      <c r="AIX1452"/>
      <c r="AIY1452"/>
      <c r="AIZ1452"/>
      <c r="AJA1452"/>
      <c r="AJB1452"/>
      <c r="AJC1452"/>
      <c r="AJD1452"/>
      <c r="AJE1452"/>
      <c r="AJF1452"/>
      <c r="AJG1452"/>
      <c r="AJH1452"/>
      <c r="AJI1452"/>
      <c r="AJJ1452"/>
      <c r="AJK1452"/>
      <c r="AJL1452"/>
      <c r="AJM1452"/>
      <c r="AJN1452"/>
      <c r="AJO1452"/>
      <c r="AJP1452"/>
      <c r="AJQ1452"/>
      <c r="AJR1452"/>
      <c r="AJS1452"/>
      <c r="AJT1452"/>
      <c r="AJU1452"/>
      <c r="AJV1452"/>
      <c r="AJW1452"/>
      <c r="AJX1452"/>
      <c r="AJY1452"/>
      <c r="AJZ1452"/>
      <c r="AKA1452"/>
      <c r="AKB1452"/>
      <c r="AKC1452"/>
      <c r="AKD1452"/>
      <c r="AKE1452"/>
      <c r="AKF1452"/>
      <c r="AKG1452"/>
      <c r="AKH1452"/>
      <c r="AKI1452"/>
      <c r="AKJ1452"/>
      <c r="AKK1452"/>
      <c r="AKL1452"/>
      <c r="AKM1452"/>
      <c r="AKN1452"/>
      <c r="AKO1452"/>
      <c r="AKP1452"/>
      <c r="AKQ1452"/>
      <c r="AKR1452"/>
      <c r="AKS1452"/>
      <c r="AKT1452"/>
      <c r="AKU1452"/>
      <c r="AKV1452"/>
      <c r="AKW1452"/>
      <c r="AKX1452"/>
      <c r="AKY1452"/>
      <c r="AKZ1452"/>
      <c r="ALA1452"/>
      <c r="ALB1452"/>
      <c r="ALC1452"/>
      <c r="ALD1452"/>
      <c r="ALE1452"/>
      <c r="ALF1452"/>
      <c r="ALG1452"/>
      <c r="ALH1452"/>
      <c r="ALI1452"/>
      <c r="ALJ1452"/>
      <c r="ALK1452"/>
      <c r="ALL1452"/>
      <c r="ALM1452"/>
      <c r="ALN1452"/>
      <c r="ALO1452"/>
      <c r="ALP1452"/>
      <c r="ALQ1452"/>
      <c r="ALR1452"/>
      <c r="ALS1452"/>
      <c r="ALT1452"/>
      <c r="ALU1452"/>
      <c r="ALV1452"/>
      <c r="ALW1452"/>
      <c r="ALX1452"/>
      <c r="ALY1452"/>
      <c r="ALZ1452"/>
      <c r="AMA1452"/>
      <c r="AMB1452"/>
      <c r="AMC1452"/>
      <c r="AMD1452"/>
      <c r="AME1452"/>
      <c r="AMF1452"/>
      <c r="AMG1452"/>
      <c r="AMH1452"/>
      <c r="AMI1452"/>
      <c r="AMJ1452"/>
      <c r="AMK1452"/>
      <c r="AML1452"/>
      <c r="AMM1452"/>
      <c r="AMN1452"/>
      <c r="AMO1452"/>
      <c r="AMP1452"/>
      <c r="AMQ1452"/>
      <c r="AMR1452"/>
      <c r="AMS1452"/>
      <c r="AMT1452"/>
      <c r="AMU1452"/>
      <c r="AMV1452"/>
      <c r="AMW1452"/>
      <c r="AMX1452"/>
      <c r="AMY1452"/>
      <c r="AMZ1452"/>
      <c r="ANA1452"/>
      <c r="ANB1452"/>
      <c r="ANC1452"/>
      <c r="AND1452"/>
      <c r="ANE1452"/>
      <c r="ANF1452"/>
      <c r="ANG1452"/>
      <c r="ANH1452"/>
      <c r="ANI1452"/>
      <c r="ANJ1452"/>
      <c r="ANK1452"/>
      <c r="ANL1452"/>
      <c r="ANM1452"/>
      <c r="ANN1452"/>
      <c r="ANO1452"/>
      <c r="ANP1452"/>
      <c r="ANQ1452"/>
      <c r="ANR1452"/>
      <c r="ANS1452"/>
      <c r="ANT1452"/>
      <c r="ANU1452"/>
      <c r="ANV1452"/>
      <c r="ANW1452"/>
      <c r="ANX1452"/>
      <c r="ANY1452"/>
      <c r="ANZ1452"/>
      <c r="AOA1452"/>
      <c r="AOB1452"/>
      <c r="AOC1452"/>
      <c r="AOD1452"/>
      <c r="AOE1452"/>
      <c r="AOF1452"/>
      <c r="AOG1452"/>
      <c r="AOH1452"/>
      <c r="AOI1452"/>
      <c r="AOJ1452"/>
      <c r="AOK1452"/>
      <c r="AOL1452"/>
      <c r="AOM1452"/>
      <c r="AON1452"/>
      <c r="AOO1452"/>
      <c r="AOP1452"/>
      <c r="AOQ1452"/>
      <c r="AOR1452"/>
      <c r="AOS1452"/>
      <c r="AOT1452"/>
      <c r="AOU1452"/>
      <c r="AOV1452"/>
      <c r="AOW1452"/>
      <c r="AOX1452"/>
      <c r="AOY1452"/>
      <c r="AOZ1452"/>
      <c r="APA1452"/>
      <c r="APB1452"/>
      <c r="APC1452"/>
      <c r="APD1452"/>
      <c r="APE1452"/>
      <c r="APF1452"/>
      <c r="APG1452"/>
      <c r="APH1452"/>
      <c r="API1452"/>
      <c r="APJ1452"/>
      <c r="APK1452"/>
      <c r="APL1452"/>
      <c r="APM1452"/>
      <c r="APN1452"/>
      <c r="APO1452"/>
      <c r="APP1452"/>
      <c r="APQ1452"/>
      <c r="APR1452"/>
      <c r="APS1452"/>
      <c r="APT1452"/>
      <c r="APU1452"/>
      <c r="APV1452"/>
      <c r="APW1452"/>
      <c r="APX1452"/>
      <c r="APY1452"/>
      <c r="APZ1452"/>
      <c r="AQA1452"/>
      <c r="AQB1452"/>
      <c r="AQC1452"/>
      <c r="AQD1452"/>
      <c r="AQE1452"/>
      <c r="AQF1452"/>
      <c r="AQG1452"/>
      <c r="AQH1452"/>
      <c r="AQI1452"/>
      <c r="AQJ1452"/>
      <c r="AQK1452"/>
      <c r="AQL1452"/>
      <c r="AQM1452"/>
      <c r="AQN1452"/>
      <c r="AQO1452"/>
      <c r="AQP1452"/>
      <c r="AQQ1452"/>
      <c r="AQR1452"/>
      <c r="AQS1452"/>
      <c r="AQT1452"/>
      <c r="AQU1452"/>
      <c r="AQV1452"/>
      <c r="AQW1452"/>
      <c r="AQX1452"/>
      <c r="AQY1452"/>
      <c r="AQZ1452"/>
      <c r="ARA1452"/>
      <c r="ARB1452"/>
      <c r="ARC1452"/>
      <c r="ARD1452"/>
      <c r="ARE1452"/>
      <c r="ARF1452"/>
      <c r="ARG1452"/>
      <c r="ARH1452"/>
      <c r="ARI1452"/>
      <c r="ARJ1452"/>
      <c r="ARK1452"/>
      <c r="ARL1452"/>
      <c r="ARM1452"/>
      <c r="ARN1452"/>
      <c r="ARO1452"/>
      <c r="ARP1452"/>
      <c r="ARQ1452"/>
      <c r="ARR1452"/>
      <c r="ARS1452"/>
      <c r="ART1452"/>
      <c r="ARU1452"/>
      <c r="ARV1452"/>
      <c r="ARW1452"/>
      <c r="ARX1452"/>
      <c r="ARY1452"/>
      <c r="ARZ1452"/>
      <c r="ASA1452"/>
      <c r="ASB1452"/>
      <c r="ASC1452"/>
      <c r="ASD1452"/>
      <c r="ASE1452"/>
      <c r="ASF1452"/>
      <c r="ASG1452"/>
      <c r="ASH1452"/>
      <c r="ASI1452"/>
      <c r="ASJ1452"/>
      <c r="ASK1452"/>
      <c r="ASL1452"/>
      <c r="ASM1452"/>
      <c r="ASN1452"/>
      <c r="ASO1452"/>
      <c r="ASP1452"/>
      <c r="ASQ1452"/>
      <c r="ASR1452"/>
      <c r="ASS1452"/>
      <c r="AST1452"/>
      <c r="ASU1452"/>
      <c r="ASV1452"/>
      <c r="ASW1452"/>
      <c r="ASX1452"/>
      <c r="ASY1452"/>
      <c r="ASZ1452"/>
      <c r="ATA1452"/>
      <c r="ATB1452"/>
      <c r="ATC1452"/>
      <c r="ATD1452"/>
      <c r="ATE1452"/>
      <c r="ATF1452"/>
      <c r="ATG1452"/>
      <c r="ATH1452"/>
      <c r="ATI1452"/>
      <c r="ATJ1452"/>
      <c r="ATK1452"/>
      <c r="ATL1452"/>
      <c r="ATM1452"/>
      <c r="ATN1452"/>
      <c r="ATO1452"/>
      <c r="ATP1452"/>
      <c r="ATQ1452"/>
      <c r="ATR1452"/>
      <c r="ATS1452"/>
      <c r="ATT1452"/>
      <c r="ATU1452"/>
      <c r="ATV1452"/>
      <c r="ATW1452"/>
      <c r="ATX1452"/>
      <c r="ATY1452"/>
      <c r="ATZ1452"/>
      <c r="AUA1452"/>
      <c r="AUB1452"/>
      <c r="AUC1452"/>
      <c r="AUD1452"/>
      <c r="AUE1452"/>
      <c r="AUF1452"/>
      <c r="AUG1452"/>
      <c r="AUH1452"/>
      <c r="AUI1452"/>
      <c r="AUJ1452"/>
      <c r="AUK1452"/>
      <c r="AUL1452"/>
      <c r="AUM1452"/>
      <c r="AUN1452"/>
      <c r="AUO1452"/>
      <c r="AUP1452"/>
      <c r="AUQ1452"/>
      <c r="AUR1452"/>
      <c r="AUS1452"/>
      <c r="AUT1452"/>
      <c r="AUU1452"/>
      <c r="AUV1452"/>
      <c r="AUW1452"/>
      <c r="AUX1452"/>
      <c r="AUY1452"/>
      <c r="AUZ1452"/>
      <c r="AVA1452"/>
      <c r="AVB1452"/>
      <c r="AVC1452"/>
      <c r="AVD1452"/>
      <c r="AVE1452"/>
      <c r="AVF1452"/>
      <c r="AVG1452"/>
      <c r="AVH1452"/>
      <c r="AVI1452"/>
      <c r="AVJ1452"/>
      <c r="AVK1452"/>
      <c r="AVL1452"/>
      <c r="AVM1452"/>
      <c r="AVN1452"/>
      <c r="AVO1452"/>
      <c r="AVP1452"/>
      <c r="AVQ1452"/>
      <c r="AVR1452"/>
      <c r="AVS1452"/>
      <c r="AVT1452"/>
      <c r="AVU1452"/>
      <c r="AVV1452"/>
      <c r="AVW1452"/>
      <c r="AVX1452"/>
      <c r="AVY1452"/>
      <c r="AVZ1452"/>
      <c r="AWA1452"/>
      <c r="AWB1452"/>
      <c r="AWC1452"/>
      <c r="AWD1452"/>
      <c r="AWE1452"/>
      <c r="AWF1452"/>
      <c r="AWG1452"/>
      <c r="AWH1452"/>
      <c r="AWI1452"/>
      <c r="AWJ1452"/>
      <c r="AWK1452"/>
      <c r="AWL1452"/>
      <c r="AWM1452"/>
      <c r="AWN1452"/>
      <c r="AWO1452"/>
      <c r="AWP1452"/>
      <c r="AWQ1452"/>
      <c r="AWR1452"/>
      <c r="AWS1452"/>
      <c r="AWT1452"/>
      <c r="AWU1452"/>
      <c r="AWV1452"/>
      <c r="AWW1452"/>
      <c r="AWX1452"/>
      <c r="AWY1452"/>
      <c r="AWZ1452"/>
      <c r="AXA1452"/>
      <c r="AXB1452"/>
      <c r="AXC1452"/>
      <c r="AXD1452"/>
      <c r="AXE1452"/>
      <c r="AXF1452"/>
      <c r="AXG1452"/>
      <c r="AXH1452"/>
      <c r="AXI1452"/>
      <c r="AXJ1452"/>
      <c r="AXK1452"/>
      <c r="AXL1452"/>
      <c r="AXM1452"/>
      <c r="AXN1452"/>
      <c r="AXO1452"/>
      <c r="AXP1452"/>
      <c r="AXQ1452"/>
      <c r="AXR1452"/>
      <c r="AXS1452"/>
      <c r="AXT1452"/>
      <c r="AXU1452"/>
      <c r="AXV1452"/>
      <c r="AXW1452"/>
      <c r="AXX1452"/>
      <c r="AXY1452"/>
      <c r="AXZ1452"/>
      <c r="AYA1452"/>
      <c r="AYB1452"/>
      <c r="AYC1452"/>
      <c r="AYD1452"/>
      <c r="AYE1452"/>
      <c r="AYF1452"/>
      <c r="AYG1452"/>
      <c r="AYH1452"/>
      <c r="AYI1452"/>
      <c r="AYJ1452"/>
      <c r="AYK1452"/>
      <c r="AYL1452"/>
      <c r="AYM1452"/>
      <c r="AYN1452"/>
      <c r="AYO1452"/>
      <c r="AYP1452"/>
      <c r="AYQ1452"/>
      <c r="AYR1452"/>
      <c r="AYS1452"/>
      <c r="AYT1452"/>
      <c r="AYU1452"/>
      <c r="AYV1452"/>
      <c r="AYW1452"/>
      <c r="AYX1452"/>
      <c r="AYY1452"/>
      <c r="AYZ1452"/>
      <c r="AZA1452"/>
      <c r="AZB1452"/>
      <c r="AZC1452"/>
      <c r="AZD1452"/>
      <c r="AZE1452"/>
      <c r="AZF1452"/>
      <c r="AZG1452"/>
      <c r="AZH1452"/>
      <c r="AZI1452"/>
      <c r="AZJ1452"/>
      <c r="AZK1452"/>
      <c r="AZL1452"/>
      <c r="AZM1452"/>
      <c r="AZN1452"/>
      <c r="AZO1452"/>
      <c r="AZP1452"/>
      <c r="AZQ1452"/>
      <c r="AZR1452"/>
      <c r="AZS1452"/>
      <c r="AZT1452"/>
      <c r="AZU1452"/>
      <c r="AZV1452"/>
      <c r="AZW1452"/>
      <c r="AZX1452"/>
      <c r="AZY1452"/>
      <c r="AZZ1452"/>
      <c r="BAA1452"/>
      <c r="BAB1452"/>
      <c r="BAC1452"/>
      <c r="BAD1452"/>
      <c r="BAE1452"/>
      <c r="BAF1452"/>
      <c r="BAG1452"/>
      <c r="BAH1452"/>
      <c r="BAI1452"/>
      <c r="BAJ1452"/>
      <c r="BAK1452"/>
      <c r="BAL1452"/>
      <c r="BAM1452"/>
      <c r="BAN1452"/>
      <c r="BAO1452"/>
      <c r="BAP1452"/>
      <c r="BAQ1452"/>
      <c r="BAR1452"/>
      <c r="BAS1452"/>
      <c r="BAT1452"/>
      <c r="BAU1452"/>
      <c r="BAV1452"/>
      <c r="BAW1452"/>
      <c r="BAX1452"/>
      <c r="BAY1452"/>
      <c r="BAZ1452"/>
      <c r="BBA1452"/>
      <c r="BBB1452"/>
      <c r="BBC1452"/>
      <c r="BBD1452"/>
      <c r="BBE1452"/>
      <c r="BBF1452"/>
      <c r="BBG1452"/>
      <c r="BBH1452"/>
      <c r="BBI1452"/>
      <c r="BBJ1452"/>
      <c r="BBK1452"/>
      <c r="BBL1452"/>
      <c r="BBM1452"/>
      <c r="BBN1452"/>
      <c r="BBO1452"/>
      <c r="BBP1452"/>
      <c r="BBQ1452"/>
      <c r="BBR1452"/>
      <c r="BBS1452"/>
      <c r="BBT1452"/>
      <c r="BBU1452"/>
      <c r="BBV1452"/>
      <c r="BBW1452"/>
      <c r="BBX1452"/>
      <c r="BBY1452"/>
      <c r="BBZ1452"/>
      <c r="BCA1452"/>
      <c r="BCB1452"/>
      <c r="BCC1452"/>
      <c r="BCD1452"/>
      <c r="BCE1452"/>
      <c r="BCF1452"/>
      <c r="BCG1452"/>
      <c r="BCH1452"/>
      <c r="BCI1452"/>
      <c r="BCJ1452"/>
      <c r="BCK1452"/>
      <c r="BCL1452"/>
      <c r="BCM1452"/>
      <c r="BCN1452"/>
      <c r="BCO1452"/>
      <c r="BCP1452"/>
      <c r="BCQ1452"/>
      <c r="BCR1452"/>
      <c r="BCS1452"/>
      <c r="BCT1452"/>
      <c r="BCU1452"/>
      <c r="BCV1452"/>
      <c r="BCW1452"/>
      <c r="BCX1452"/>
      <c r="BCY1452"/>
      <c r="BCZ1452"/>
      <c r="BDA1452"/>
      <c r="BDB1452"/>
      <c r="BDC1452"/>
      <c r="BDD1452"/>
      <c r="BDE1452"/>
      <c r="BDF1452"/>
      <c r="BDG1452"/>
      <c r="BDH1452"/>
      <c r="BDI1452"/>
      <c r="BDJ1452"/>
      <c r="BDK1452"/>
      <c r="BDL1452"/>
      <c r="BDM1452"/>
      <c r="BDN1452"/>
      <c r="BDO1452"/>
      <c r="BDP1452"/>
      <c r="BDQ1452"/>
      <c r="BDR1452"/>
      <c r="BDS1452"/>
      <c r="BDT1452"/>
      <c r="BDU1452"/>
      <c r="BDV1452"/>
      <c r="BDW1452"/>
      <c r="BDX1452"/>
      <c r="BDY1452"/>
      <c r="BDZ1452"/>
      <c r="BEA1452"/>
      <c r="BEB1452"/>
      <c r="BEC1452"/>
      <c r="BED1452"/>
      <c r="BEE1452"/>
      <c r="BEF1452"/>
      <c r="BEG1452"/>
      <c r="BEH1452"/>
      <c r="BEI1452"/>
      <c r="BEJ1452"/>
      <c r="BEK1452"/>
      <c r="BEL1452"/>
      <c r="BEM1452"/>
      <c r="BEN1452"/>
      <c r="BEO1452"/>
      <c r="BEP1452"/>
      <c r="BEQ1452"/>
      <c r="BER1452"/>
      <c r="BES1452"/>
      <c r="BET1452"/>
      <c r="BEU1452"/>
      <c r="BEV1452"/>
      <c r="BEW1452"/>
      <c r="BEX1452"/>
      <c r="BEY1452"/>
      <c r="BEZ1452"/>
      <c r="BFA1452"/>
      <c r="BFB1452"/>
      <c r="BFC1452"/>
      <c r="BFD1452"/>
      <c r="BFE1452"/>
      <c r="BFF1452"/>
      <c r="BFG1452"/>
      <c r="BFH1452"/>
      <c r="BFI1452"/>
      <c r="BFJ1452"/>
      <c r="BFK1452"/>
      <c r="BFL1452"/>
      <c r="BFM1452"/>
      <c r="BFN1452"/>
      <c r="BFO1452"/>
      <c r="BFP1452"/>
      <c r="BFQ1452"/>
      <c r="BFR1452"/>
      <c r="BFS1452"/>
      <c r="BFT1452"/>
      <c r="BFU1452"/>
      <c r="BFV1452"/>
      <c r="BFW1452"/>
      <c r="BFX1452"/>
      <c r="BFY1452"/>
      <c r="BFZ1452"/>
      <c r="BGA1452"/>
      <c r="BGB1452"/>
      <c r="BGC1452"/>
      <c r="BGD1452"/>
      <c r="BGE1452"/>
      <c r="BGF1452"/>
      <c r="BGG1452"/>
      <c r="BGH1452"/>
      <c r="BGI1452"/>
      <c r="BGJ1452"/>
      <c r="BGK1452"/>
      <c r="BGL1452"/>
      <c r="BGM1452"/>
      <c r="BGN1452"/>
      <c r="BGO1452"/>
      <c r="BGP1452"/>
      <c r="BGQ1452"/>
      <c r="BGR1452"/>
      <c r="BGS1452"/>
      <c r="BGT1452"/>
      <c r="BGU1452"/>
      <c r="BGV1452"/>
      <c r="BGW1452"/>
      <c r="BGX1452"/>
      <c r="BGY1452"/>
      <c r="BGZ1452"/>
      <c r="BHA1452"/>
      <c r="BHB1452"/>
      <c r="BHC1452"/>
      <c r="BHD1452"/>
      <c r="BHE1452"/>
      <c r="BHF1452"/>
      <c r="BHG1452"/>
      <c r="BHH1452"/>
      <c r="BHI1452"/>
      <c r="BHJ1452"/>
      <c r="BHK1452"/>
      <c r="BHL1452"/>
      <c r="BHM1452"/>
      <c r="BHN1452"/>
      <c r="BHO1452"/>
      <c r="BHP1452"/>
      <c r="BHQ1452"/>
      <c r="BHR1452"/>
      <c r="BHS1452"/>
      <c r="BHT1452"/>
      <c r="BHU1452"/>
      <c r="BHV1452"/>
      <c r="BHW1452"/>
      <c r="BHX1452"/>
      <c r="BHY1452"/>
      <c r="BHZ1452"/>
      <c r="BIA1452"/>
      <c r="BIB1452"/>
      <c r="BIC1452"/>
      <c r="BID1452"/>
      <c r="BIE1452"/>
      <c r="BIF1452"/>
      <c r="BIG1452"/>
      <c r="BIH1452"/>
      <c r="BII1452"/>
      <c r="BIJ1452"/>
      <c r="BIK1452"/>
      <c r="BIL1452"/>
      <c r="BIM1452"/>
      <c r="BIN1452"/>
      <c r="BIO1452"/>
      <c r="BIP1452"/>
      <c r="BIQ1452"/>
      <c r="BIR1452"/>
      <c r="BIS1452"/>
      <c r="BIT1452"/>
      <c r="BIU1452"/>
      <c r="BIV1452"/>
      <c r="BIW1452"/>
      <c r="BIX1452"/>
      <c r="BIY1452"/>
      <c r="BIZ1452"/>
      <c r="BJA1452"/>
      <c r="BJB1452"/>
      <c r="BJC1452"/>
      <c r="BJD1452"/>
      <c r="BJE1452"/>
      <c r="BJF1452"/>
      <c r="BJG1452"/>
      <c r="BJH1452"/>
      <c r="BJI1452"/>
      <c r="BJJ1452"/>
      <c r="BJK1452"/>
      <c r="BJL1452"/>
      <c r="BJM1452"/>
      <c r="BJN1452"/>
      <c r="BJO1452"/>
      <c r="BJP1452"/>
      <c r="BJQ1452"/>
      <c r="BJR1452"/>
      <c r="BJS1452"/>
      <c r="BJT1452"/>
      <c r="BJU1452"/>
      <c r="BJV1452"/>
      <c r="BJW1452"/>
      <c r="BJX1452"/>
      <c r="BJY1452"/>
      <c r="BJZ1452"/>
      <c r="BKA1452"/>
      <c r="BKB1452"/>
      <c r="BKC1452"/>
      <c r="BKD1452"/>
      <c r="BKE1452"/>
      <c r="BKF1452"/>
      <c r="BKG1452"/>
      <c r="BKH1452"/>
      <c r="BKI1452"/>
      <c r="BKJ1452"/>
      <c r="BKK1452"/>
      <c r="BKL1452"/>
      <c r="BKM1452"/>
      <c r="BKN1452"/>
      <c r="BKO1452"/>
      <c r="BKP1452"/>
      <c r="BKQ1452"/>
      <c r="BKR1452"/>
      <c r="BKS1452"/>
      <c r="BKT1452"/>
      <c r="BKU1452"/>
      <c r="BKV1452"/>
      <c r="BKW1452"/>
      <c r="BKX1452"/>
      <c r="BKY1452"/>
      <c r="BKZ1452"/>
      <c r="BLA1452"/>
      <c r="BLB1452"/>
      <c r="BLC1452"/>
      <c r="BLD1452"/>
      <c r="BLE1452"/>
      <c r="BLF1452"/>
      <c r="BLG1452"/>
      <c r="BLH1452"/>
      <c r="BLI1452"/>
      <c r="BLJ1452"/>
      <c r="BLK1452"/>
      <c r="BLL1452"/>
      <c r="BLM1452"/>
      <c r="BLN1452"/>
      <c r="BLO1452"/>
      <c r="BLP1452"/>
      <c r="BLQ1452"/>
      <c r="BLR1452"/>
      <c r="BLS1452"/>
      <c r="BLT1452"/>
      <c r="BLU1452"/>
      <c r="BLV1452"/>
      <c r="BLW1452"/>
      <c r="BLX1452"/>
      <c r="BLY1452"/>
      <c r="BLZ1452"/>
      <c r="BMA1452"/>
      <c r="BMB1452"/>
      <c r="BMC1452"/>
      <c r="BMD1452"/>
      <c r="BME1452"/>
      <c r="BMF1452"/>
      <c r="BMG1452"/>
      <c r="BMH1452"/>
      <c r="BMI1452"/>
      <c r="BMJ1452"/>
      <c r="BMK1452"/>
      <c r="BML1452"/>
      <c r="BMM1452"/>
      <c r="BMN1452"/>
      <c r="BMO1452"/>
      <c r="BMP1452"/>
      <c r="BMQ1452"/>
      <c r="BMR1452"/>
      <c r="BMS1452"/>
      <c r="BMT1452"/>
      <c r="BMU1452"/>
      <c r="BMV1452"/>
      <c r="BMW1452"/>
      <c r="BMX1452"/>
      <c r="BMY1452"/>
      <c r="BMZ1452"/>
      <c r="BNA1452"/>
      <c r="BNB1452"/>
      <c r="BNC1452"/>
      <c r="BND1452"/>
      <c r="BNE1452"/>
      <c r="BNF1452"/>
      <c r="BNG1452"/>
      <c r="BNH1452"/>
      <c r="BNI1452"/>
      <c r="BNJ1452"/>
      <c r="BNK1452"/>
      <c r="BNL1452"/>
      <c r="BNM1452"/>
      <c r="BNN1452"/>
      <c r="BNO1452"/>
      <c r="BNP1452"/>
      <c r="BNQ1452"/>
      <c r="BNR1452"/>
      <c r="BNS1452"/>
      <c r="BNT1452"/>
      <c r="BNU1452"/>
      <c r="BNV1452"/>
      <c r="BNW1452"/>
      <c r="BNX1452"/>
      <c r="BNY1452"/>
      <c r="BNZ1452"/>
      <c r="BOA1452"/>
      <c r="BOB1452"/>
      <c r="BOC1452"/>
      <c r="BOD1452"/>
      <c r="BOE1452"/>
      <c r="BOF1452"/>
      <c r="BOG1452"/>
      <c r="BOH1452"/>
      <c r="BOI1452"/>
      <c r="BOJ1452"/>
      <c r="BOK1452"/>
      <c r="BOL1452"/>
      <c r="BOM1452"/>
      <c r="BON1452"/>
      <c r="BOO1452"/>
      <c r="BOP1452"/>
      <c r="BOQ1452"/>
      <c r="BOR1452"/>
      <c r="BOS1452"/>
      <c r="BOT1452"/>
      <c r="BOU1452"/>
      <c r="BOV1452"/>
      <c r="BOW1452"/>
      <c r="BOX1452"/>
      <c r="BOY1452"/>
      <c r="BOZ1452"/>
      <c r="BPA1452"/>
      <c r="BPB1452"/>
      <c r="BPC1452"/>
      <c r="BPD1452"/>
      <c r="BPE1452"/>
      <c r="BPF1452"/>
      <c r="BPG1452"/>
      <c r="BPH1452"/>
      <c r="BPI1452"/>
      <c r="BPJ1452"/>
      <c r="BPK1452"/>
      <c r="BPL1452"/>
      <c r="BPM1452"/>
      <c r="BPN1452"/>
      <c r="BPO1452"/>
      <c r="BPP1452"/>
      <c r="BPQ1452"/>
      <c r="BPR1452"/>
      <c r="BPS1452"/>
      <c r="BPT1452"/>
      <c r="BPU1452"/>
      <c r="BPV1452"/>
      <c r="BPW1452"/>
      <c r="BPX1452"/>
      <c r="BPY1452"/>
      <c r="BPZ1452"/>
      <c r="BQA1452"/>
      <c r="BQB1452"/>
      <c r="BQC1452"/>
      <c r="BQD1452"/>
      <c r="BQE1452"/>
      <c r="BQF1452"/>
      <c r="BQG1452"/>
      <c r="BQH1452"/>
      <c r="BQI1452"/>
      <c r="BQJ1452"/>
      <c r="BQK1452"/>
      <c r="BQL1452"/>
      <c r="BQM1452"/>
      <c r="BQN1452"/>
      <c r="BQO1452"/>
      <c r="BQP1452"/>
      <c r="BQQ1452"/>
      <c r="BQR1452"/>
      <c r="BQS1452"/>
      <c r="BQT1452"/>
      <c r="BQU1452"/>
      <c r="BQV1452"/>
      <c r="BQW1452"/>
      <c r="BQX1452"/>
      <c r="BQY1452"/>
      <c r="BQZ1452"/>
      <c r="BRA1452"/>
      <c r="BRB1452"/>
      <c r="BRC1452"/>
      <c r="BRD1452"/>
      <c r="BRE1452"/>
      <c r="BRF1452"/>
      <c r="BRG1452"/>
      <c r="BRH1452"/>
      <c r="BRI1452"/>
      <c r="BRJ1452"/>
      <c r="BRK1452"/>
      <c r="BRL1452"/>
      <c r="BRM1452"/>
      <c r="BRN1452"/>
      <c r="BRO1452"/>
      <c r="BRP1452"/>
      <c r="BRQ1452"/>
      <c r="BRR1452"/>
      <c r="BRS1452"/>
      <c r="BRT1452"/>
      <c r="BRU1452"/>
      <c r="BRV1452"/>
      <c r="BRW1452"/>
      <c r="BRX1452"/>
      <c r="BRY1452"/>
      <c r="BRZ1452"/>
      <c r="BSA1452"/>
      <c r="BSB1452"/>
      <c r="BSC1452"/>
      <c r="BSD1452"/>
      <c r="BSE1452"/>
      <c r="BSF1452"/>
      <c r="BSG1452"/>
      <c r="BSH1452"/>
      <c r="BSI1452"/>
      <c r="BSJ1452"/>
      <c r="BSK1452"/>
      <c r="BSL1452"/>
      <c r="BSM1452"/>
      <c r="BSN1452"/>
      <c r="BSO1452"/>
      <c r="BSP1452"/>
      <c r="BSQ1452"/>
      <c r="BSR1452"/>
      <c r="BSS1452"/>
      <c r="BST1452"/>
      <c r="BSU1452"/>
      <c r="BSV1452"/>
      <c r="BSW1452"/>
      <c r="BSX1452"/>
      <c r="BSY1452"/>
      <c r="BSZ1452"/>
      <c r="BTA1452"/>
      <c r="BTB1452"/>
      <c r="BTC1452"/>
      <c r="BTD1452"/>
      <c r="BTE1452"/>
      <c r="BTF1452"/>
      <c r="BTG1452"/>
      <c r="BTH1452"/>
      <c r="BTI1452"/>
      <c r="BTJ1452"/>
      <c r="BTK1452"/>
      <c r="BTL1452"/>
      <c r="BTM1452"/>
      <c r="BTN1452"/>
      <c r="BTO1452"/>
      <c r="BTP1452"/>
      <c r="BTQ1452"/>
      <c r="BTR1452"/>
      <c r="BTS1452"/>
      <c r="BTT1452"/>
      <c r="BTU1452"/>
      <c r="BTV1452"/>
      <c r="BTW1452"/>
      <c r="BTX1452"/>
      <c r="BTY1452"/>
      <c r="BTZ1452"/>
      <c r="BUA1452"/>
      <c r="BUB1452"/>
      <c r="BUC1452"/>
      <c r="BUD1452"/>
      <c r="BUE1452"/>
      <c r="BUF1452"/>
      <c r="BUG1452"/>
      <c r="BUH1452"/>
      <c r="BUI1452"/>
      <c r="BUJ1452"/>
      <c r="BUK1452"/>
      <c r="BUL1452"/>
      <c r="BUM1452"/>
      <c r="BUN1452"/>
      <c r="BUO1452"/>
      <c r="BUP1452"/>
      <c r="BUQ1452"/>
      <c r="BUR1452"/>
      <c r="BUS1452"/>
      <c r="BUT1452"/>
      <c r="BUU1452"/>
      <c r="BUV1452"/>
      <c r="BUW1452"/>
      <c r="BUX1452"/>
      <c r="BUY1452"/>
      <c r="BUZ1452"/>
      <c r="BVA1452"/>
      <c r="BVB1452"/>
      <c r="BVC1452"/>
      <c r="BVD1452"/>
      <c r="BVE1452"/>
      <c r="BVF1452"/>
      <c r="BVG1452"/>
      <c r="BVH1452"/>
      <c r="BVI1452"/>
      <c r="BVJ1452"/>
      <c r="BVK1452"/>
      <c r="BVL1452"/>
      <c r="BVM1452"/>
      <c r="BVN1452"/>
      <c r="BVO1452"/>
      <c r="BVP1452"/>
      <c r="BVQ1452"/>
      <c r="BVR1452"/>
      <c r="BVS1452"/>
      <c r="BVT1452"/>
      <c r="BVU1452"/>
      <c r="BVV1452"/>
      <c r="BVW1452"/>
      <c r="BVX1452"/>
      <c r="BVY1452"/>
      <c r="BVZ1452"/>
      <c r="BWA1452"/>
      <c r="BWB1452"/>
      <c r="BWC1452"/>
      <c r="BWD1452"/>
      <c r="BWE1452"/>
      <c r="BWF1452"/>
      <c r="BWG1452"/>
      <c r="BWH1452"/>
      <c r="BWI1452"/>
      <c r="BWJ1452"/>
      <c r="BWK1452"/>
      <c r="BWL1452"/>
      <c r="BWM1452"/>
      <c r="BWN1452"/>
      <c r="BWO1452"/>
      <c r="BWP1452"/>
      <c r="BWQ1452"/>
      <c r="BWR1452"/>
      <c r="BWS1452"/>
      <c r="BWT1452"/>
      <c r="BWU1452"/>
      <c r="BWV1452"/>
      <c r="BWW1452"/>
      <c r="BWX1452"/>
      <c r="BWY1452"/>
      <c r="BWZ1452"/>
      <c r="BXA1452"/>
      <c r="BXB1452"/>
      <c r="BXC1452"/>
      <c r="BXD1452"/>
      <c r="BXE1452"/>
      <c r="BXF1452"/>
      <c r="BXG1452"/>
      <c r="BXH1452"/>
      <c r="BXI1452"/>
      <c r="BXJ1452"/>
      <c r="BXK1452"/>
      <c r="BXL1452"/>
      <c r="BXM1452"/>
      <c r="BXN1452"/>
      <c r="BXO1452"/>
      <c r="BXP1452"/>
      <c r="BXQ1452"/>
      <c r="BXR1452"/>
      <c r="BXS1452"/>
      <c r="BXT1452"/>
      <c r="BXU1452"/>
      <c r="BXV1452"/>
      <c r="BXW1452"/>
      <c r="BXX1452"/>
      <c r="BXY1452"/>
      <c r="BXZ1452"/>
      <c r="BYA1452"/>
      <c r="BYB1452"/>
      <c r="BYC1452"/>
      <c r="BYD1452"/>
      <c r="BYE1452"/>
      <c r="BYF1452"/>
      <c r="BYG1452"/>
      <c r="BYH1452"/>
      <c r="BYI1452"/>
      <c r="BYJ1452"/>
      <c r="BYK1452"/>
      <c r="BYL1452"/>
      <c r="BYM1452"/>
      <c r="BYN1452"/>
      <c r="BYO1452"/>
      <c r="BYP1452"/>
      <c r="BYQ1452"/>
      <c r="BYR1452"/>
      <c r="BYS1452"/>
      <c r="BYT1452"/>
      <c r="BYU1452"/>
      <c r="BYV1452"/>
      <c r="BYW1452"/>
      <c r="BYX1452"/>
      <c r="BYY1452"/>
      <c r="BYZ1452"/>
      <c r="BZA1452"/>
      <c r="BZB1452"/>
      <c r="BZC1452"/>
      <c r="BZD1452"/>
      <c r="BZE1452"/>
      <c r="BZF1452"/>
      <c r="BZG1452"/>
      <c r="BZH1452"/>
      <c r="BZI1452"/>
      <c r="BZJ1452"/>
      <c r="BZK1452"/>
      <c r="BZL1452"/>
      <c r="BZM1452"/>
      <c r="BZN1452"/>
      <c r="BZO1452"/>
      <c r="BZP1452"/>
      <c r="BZQ1452"/>
      <c r="BZR1452"/>
      <c r="BZS1452"/>
      <c r="BZT1452"/>
      <c r="BZU1452"/>
      <c r="BZV1452"/>
      <c r="BZW1452"/>
      <c r="BZX1452"/>
      <c r="BZY1452"/>
      <c r="BZZ1452"/>
      <c r="CAA1452"/>
      <c r="CAB1452"/>
      <c r="CAC1452"/>
      <c r="CAD1452"/>
      <c r="CAE1452"/>
      <c r="CAF1452"/>
      <c r="CAG1452"/>
      <c r="CAH1452"/>
      <c r="CAI1452"/>
      <c r="CAJ1452"/>
      <c r="CAK1452"/>
      <c r="CAL1452"/>
      <c r="CAM1452"/>
      <c r="CAN1452"/>
      <c r="CAO1452"/>
      <c r="CAP1452"/>
      <c r="CAQ1452"/>
      <c r="CAR1452"/>
      <c r="CAS1452"/>
      <c r="CAT1452"/>
      <c r="CAU1452"/>
      <c r="CAV1452"/>
      <c r="CAW1452"/>
      <c r="CAX1452"/>
      <c r="CAY1452"/>
      <c r="CAZ1452"/>
      <c r="CBA1452"/>
      <c r="CBB1452"/>
      <c r="CBC1452"/>
      <c r="CBD1452"/>
      <c r="CBE1452"/>
      <c r="CBF1452"/>
      <c r="CBG1452"/>
      <c r="CBH1452"/>
      <c r="CBI1452"/>
      <c r="CBJ1452"/>
      <c r="CBK1452"/>
      <c r="CBL1452"/>
      <c r="CBM1452"/>
      <c r="CBN1452"/>
      <c r="CBO1452"/>
      <c r="CBP1452"/>
      <c r="CBQ1452"/>
      <c r="CBR1452"/>
      <c r="CBS1452"/>
      <c r="CBT1452"/>
      <c r="CBU1452"/>
      <c r="CBV1452"/>
      <c r="CBW1452"/>
      <c r="CBX1452"/>
      <c r="CBY1452"/>
      <c r="CBZ1452"/>
      <c r="CCA1452"/>
      <c r="CCB1452"/>
      <c r="CCC1452"/>
      <c r="CCD1452"/>
      <c r="CCE1452"/>
      <c r="CCF1452"/>
      <c r="CCG1452"/>
      <c r="CCH1452"/>
      <c r="CCI1452"/>
      <c r="CCJ1452"/>
      <c r="CCK1452"/>
      <c r="CCL1452"/>
      <c r="CCM1452"/>
      <c r="CCN1452"/>
      <c r="CCO1452"/>
      <c r="CCP1452"/>
      <c r="CCQ1452"/>
      <c r="CCR1452"/>
      <c r="CCS1452"/>
      <c r="CCT1452"/>
      <c r="CCU1452"/>
      <c r="CCV1452"/>
      <c r="CCW1452"/>
      <c r="CCX1452"/>
      <c r="CCY1452"/>
      <c r="CCZ1452"/>
      <c r="CDA1452"/>
      <c r="CDB1452"/>
      <c r="CDC1452"/>
      <c r="CDD1452"/>
      <c r="CDE1452"/>
      <c r="CDF1452"/>
      <c r="CDG1452"/>
      <c r="CDH1452"/>
      <c r="CDI1452"/>
      <c r="CDJ1452"/>
      <c r="CDK1452"/>
      <c r="CDL1452"/>
      <c r="CDM1452"/>
      <c r="CDN1452"/>
      <c r="CDO1452"/>
      <c r="CDP1452"/>
      <c r="CDQ1452"/>
      <c r="CDR1452"/>
      <c r="CDS1452"/>
      <c r="CDT1452"/>
      <c r="CDU1452"/>
      <c r="CDV1452"/>
      <c r="CDW1452"/>
      <c r="CDX1452"/>
      <c r="CDY1452"/>
      <c r="CDZ1452"/>
      <c r="CEA1452"/>
      <c r="CEB1452"/>
      <c r="CEC1452"/>
      <c r="CED1452"/>
      <c r="CEE1452"/>
      <c r="CEF1452"/>
      <c r="CEG1452"/>
      <c r="CEH1452"/>
      <c r="CEI1452"/>
      <c r="CEJ1452"/>
      <c r="CEK1452"/>
      <c r="CEL1452"/>
      <c r="CEM1452"/>
      <c r="CEN1452"/>
      <c r="CEO1452"/>
      <c r="CEP1452"/>
      <c r="CEQ1452"/>
      <c r="CER1452"/>
      <c r="CES1452"/>
      <c r="CET1452"/>
      <c r="CEU1452"/>
      <c r="CEV1452"/>
      <c r="CEW1452"/>
      <c r="CEX1452"/>
      <c r="CEY1452"/>
      <c r="CEZ1452"/>
      <c r="CFA1452"/>
      <c r="CFB1452"/>
      <c r="CFC1452"/>
      <c r="CFD1452"/>
      <c r="CFE1452"/>
      <c r="CFF1452"/>
      <c r="CFG1452"/>
      <c r="CFH1452"/>
      <c r="CFI1452"/>
      <c r="CFJ1452"/>
      <c r="CFK1452"/>
      <c r="CFL1452"/>
      <c r="CFM1452"/>
      <c r="CFN1452"/>
      <c r="CFO1452"/>
      <c r="CFP1452"/>
      <c r="CFQ1452"/>
      <c r="CFR1452"/>
      <c r="CFS1452"/>
      <c r="CFT1452"/>
      <c r="CFU1452"/>
      <c r="CFV1452"/>
      <c r="CFW1452"/>
      <c r="CFX1452"/>
      <c r="CFY1452"/>
      <c r="CFZ1452"/>
      <c r="CGA1452"/>
      <c r="CGB1452"/>
      <c r="CGC1452"/>
      <c r="CGD1452"/>
      <c r="CGE1452"/>
      <c r="CGF1452"/>
      <c r="CGG1452"/>
      <c r="CGH1452"/>
      <c r="CGI1452"/>
      <c r="CGJ1452"/>
      <c r="CGK1452"/>
      <c r="CGL1452"/>
      <c r="CGM1452"/>
      <c r="CGN1452"/>
      <c r="CGO1452"/>
      <c r="CGP1452"/>
      <c r="CGQ1452"/>
      <c r="CGR1452"/>
      <c r="CGS1452"/>
      <c r="CGT1452"/>
      <c r="CGU1452"/>
      <c r="CGV1452"/>
      <c r="CGW1452"/>
      <c r="CGX1452"/>
      <c r="CGY1452"/>
      <c r="CGZ1452"/>
      <c r="CHA1452"/>
      <c r="CHB1452"/>
      <c r="CHC1452"/>
      <c r="CHD1452"/>
      <c r="CHE1452"/>
      <c r="CHF1452"/>
      <c r="CHG1452"/>
      <c r="CHH1452"/>
      <c r="CHI1452"/>
      <c r="CHJ1452"/>
      <c r="CHK1452"/>
      <c r="CHL1452"/>
      <c r="CHM1452"/>
      <c r="CHN1452"/>
      <c r="CHO1452"/>
      <c r="CHP1452"/>
      <c r="CHQ1452"/>
      <c r="CHR1452"/>
      <c r="CHS1452"/>
      <c r="CHT1452"/>
      <c r="CHU1452"/>
      <c r="CHV1452"/>
      <c r="CHW1452"/>
      <c r="CHX1452"/>
      <c r="CHY1452"/>
      <c r="CHZ1452"/>
      <c r="CIA1452"/>
      <c r="CIB1452"/>
      <c r="CIC1452"/>
      <c r="CID1452"/>
      <c r="CIE1452"/>
      <c r="CIF1452"/>
      <c r="CIG1452"/>
      <c r="CIH1452"/>
      <c r="CII1452"/>
      <c r="CIJ1452"/>
      <c r="CIK1452"/>
      <c r="CIL1452"/>
      <c r="CIM1452"/>
      <c r="CIN1452"/>
      <c r="CIO1452"/>
      <c r="CIP1452"/>
      <c r="CIQ1452"/>
      <c r="CIR1452"/>
      <c r="CIS1452"/>
      <c r="CIT1452"/>
      <c r="CIU1452"/>
      <c r="CIV1452"/>
      <c r="CIW1452"/>
      <c r="CIX1452"/>
      <c r="CIY1452"/>
      <c r="CIZ1452"/>
      <c r="CJA1452"/>
      <c r="CJB1452"/>
      <c r="CJC1452"/>
      <c r="CJD1452"/>
      <c r="CJE1452"/>
      <c r="CJF1452"/>
      <c r="CJG1452"/>
      <c r="CJH1452"/>
      <c r="CJI1452"/>
      <c r="CJJ1452"/>
      <c r="CJK1452"/>
      <c r="CJL1452"/>
      <c r="CJM1452"/>
      <c r="CJN1452"/>
      <c r="CJO1452"/>
      <c r="CJP1452"/>
      <c r="CJQ1452"/>
      <c r="CJR1452"/>
      <c r="CJS1452"/>
      <c r="CJT1452"/>
      <c r="CJU1452"/>
      <c r="CJV1452"/>
      <c r="CJW1452"/>
      <c r="CJX1452"/>
      <c r="CJY1452"/>
      <c r="CJZ1452"/>
      <c r="CKA1452"/>
      <c r="CKB1452"/>
      <c r="CKC1452"/>
      <c r="CKD1452"/>
      <c r="CKE1452"/>
      <c r="CKF1452"/>
      <c r="CKG1452"/>
      <c r="CKH1452"/>
      <c r="CKI1452"/>
      <c r="CKJ1452"/>
      <c r="CKK1452"/>
      <c r="CKL1452"/>
      <c r="CKM1452"/>
      <c r="CKN1452"/>
      <c r="CKO1452"/>
      <c r="CKP1452"/>
      <c r="CKQ1452"/>
      <c r="CKR1452"/>
      <c r="CKS1452"/>
      <c r="CKT1452"/>
      <c r="CKU1452"/>
      <c r="CKV1452"/>
      <c r="CKW1452"/>
      <c r="CKX1452"/>
      <c r="CKY1452"/>
      <c r="CKZ1452"/>
      <c r="CLA1452"/>
      <c r="CLB1452"/>
      <c r="CLC1452"/>
      <c r="CLD1452"/>
      <c r="CLE1452"/>
      <c r="CLF1452"/>
      <c r="CLG1452"/>
      <c r="CLH1452"/>
      <c r="CLI1452"/>
      <c r="CLJ1452"/>
      <c r="CLK1452"/>
      <c r="CLL1452"/>
      <c r="CLM1452"/>
      <c r="CLN1452"/>
      <c r="CLO1452"/>
      <c r="CLP1452"/>
      <c r="CLQ1452"/>
      <c r="CLR1452"/>
      <c r="CLS1452"/>
      <c r="CLT1452"/>
      <c r="CLU1452"/>
      <c r="CLV1452"/>
      <c r="CLW1452"/>
      <c r="CLX1452"/>
      <c r="CLY1452"/>
      <c r="CLZ1452"/>
      <c r="CMA1452"/>
      <c r="CMB1452"/>
      <c r="CMC1452"/>
      <c r="CMD1452"/>
      <c r="CME1452"/>
      <c r="CMF1452"/>
      <c r="CMG1452"/>
      <c r="CMH1452"/>
      <c r="CMI1452"/>
      <c r="CMJ1452"/>
      <c r="CMK1452"/>
      <c r="CML1452"/>
      <c r="CMM1452"/>
      <c r="CMN1452"/>
      <c r="CMO1452"/>
      <c r="CMP1452"/>
      <c r="CMQ1452"/>
      <c r="CMR1452"/>
      <c r="CMS1452"/>
      <c r="CMT1452"/>
      <c r="CMU1452"/>
      <c r="CMV1452"/>
      <c r="CMW1452"/>
      <c r="CMX1452"/>
      <c r="CMY1452"/>
      <c r="CMZ1452"/>
      <c r="CNA1452"/>
      <c r="CNB1452"/>
      <c r="CNC1452"/>
      <c r="CND1452"/>
      <c r="CNE1452"/>
      <c r="CNF1452"/>
      <c r="CNG1452"/>
      <c r="CNH1452"/>
      <c r="CNI1452"/>
      <c r="CNJ1452"/>
      <c r="CNK1452"/>
      <c r="CNL1452"/>
      <c r="CNM1452"/>
      <c r="CNN1452"/>
      <c r="CNO1452"/>
      <c r="CNP1452"/>
      <c r="CNQ1452"/>
      <c r="CNR1452"/>
      <c r="CNS1452"/>
      <c r="CNT1452"/>
      <c r="CNU1452"/>
      <c r="CNV1452"/>
      <c r="CNW1452"/>
      <c r="CNX1452"/>
      <c r="CNY1452"/>
      <c r="CNZ1452"/>
      <c r="COA1452"/>
      <c r="COB1452"/>
      <c r="COC1452"/>
      <c r="COD1452"/>
      <c r="COE1452"/>
      <c r="COF1452"/>
      <c r="COG1452"/>
      <c r="COH1452"/>
      <c r="COI1452"/>
      <c r="COJ1452"/>
      <c r="COK1452"/>
      <c r="COL1452"/>
      <c r="COM1452"/>
      <c r="CON1452"/>
      <c r="COO1452"/>
      <c r="COP1452"/>
      <c r="COQ1452"/>
      <c r="COR1452"/>
      <c r="COS1452"/>
      <c r="COT1452"/>
      <c r="COU1452"/>
      <c r="COV1452"/>
      <c r="COW1452"/>
      <c r="COX1452"/>
      <c r="COY1452"/>
      <c r="COZ1452"/>
      <c r="CPA1452"/>
      <c r="CPB1452"/>
      <c r="CPC1452"/>
      <c r="CPD1452"/>
      <c r="CPE1452"/>
      <c r="CPF1452"/>
      <c r="CPG1452"/>
      <c r="CPH1452"/>
      <c r="CPI1452"/>
      <c r="CPJ1452"/>
      <c r="CPK1452"/>
      <c r="CPL1452"/>
      <c r="CPM1452"/>
      <c r="CPN1452"/>
      <c r="CPO1452"/>
      <c r="CPP1452"/>
      <c r="CPQ1452"/>
      <c r="CPR1452"/>
      <c r="CPS1452"/>
      <c r="CPT1452"/>
      <c r="CPU1452"/>
      <c r="CPV1452"/>
      <c r="CPW1452"/>
      <c r="CPX1452"/>
      <c r="CPY1452"/>
      <c r="CPZ1452"/>
      <c r="CQA1452"/>
      <c r="CQB1452"/>
      <c r="CQC1452"/>
      <c r="CQD1452"/>
      <c r="CQE1452"/>
      <c r="CQF1452"/>
      <c r="CQG1452"/>
      <c r="CQH1452"/>
      <c r="CQI1452"/>
      <c r="CQJ1452"/>
      <c r="CQK1452"/>
      <c r="CQL1452"/>
      <c r="CQM1452"/>
      <c r="CQN1452"/>
      <c r="CQO1452"/>
      <c r="CQP1452"/>
      <c r="CQQ1452"/>
      <c r="CQR1452"/>
      <c r="CQS1452"/>
      <c r="CQT1452"/>
      <c r="CQU1452"/>
      <c r="CQV1452"/>
      <c r="CQW1452"/>
      <c r="CQX1452"/>
      <c r="CQY1452"/>
      <c r="CQZ1452"/>
      <c r="CRA1452"/>
      <c r="CRB1452"/>
      <c r="CRC1452"/>
      <c r="CRD1452"/>
      <c r="CRE1452"/>
      <c r="CRF1452"/>
      <c r="CRG1452"/>
      <c r="CRH1452"/>
      <c r="CRI1452"/>
      <c r="CRJ1452"/>
      <c r="CRK1452"/>
      <c r="CRL1452"/>
      <c r="CRM1452"/>
      <c r="CRN1452"/>
      <c r="CRO1452"/>
      <c r="CRP1452"/>
      <c r="CRQ1452"/>
      <c r="CRR1452"/>
      <c r="CRS1452"/>
      <c r="CRT1452"/>
      <c r="CRU1452"/>
      <c r="CRV1452"/>
      <c r="CRW1452"/>
      <c r="CRX1452"/>
      <c r="CRY1452"/>
      <c r="CRZ1452"/>
      <c r="CSA1452"/>
      <c r="CSB1452"/>
      <c r="CSC1452"/>
      <c r="CSD1452"/>
      <c r="CSE1452"/>
      <c r="CSF1452"/>
      <c r="CSG1452"/>
      <c r="CSH1452"/>
      <c r="CSI1452"/>
      <c r="CSJ1452"/>
      <c r="CSK1452"/>
      <c r="CSL1452"/>
      <c r="CSM1452"/>
      <c r="CSN1452"/>
      <c r="CSO1452"/>
      <c r="CSP1452"/>
      <c r="CSQ1452"/>
      <c r="CSR1452"/>
      <c r="CSS1452"/>
      <c r="CST1452"/>
      <c r="CSU1452"/>
      <c r="CSV1452"/>
      <c r="CSW1452"/>
      <c r="CSX1452"/>
      <c r="CSY1452"/>
      <c r="CSZ1452"/>
      <c r="CTA1452"/>
      <c r="CTB1452"/>
      <c r="CTC1452"/>
      <c r="CTD1452"/>
      <c r="CTE1452"/>
      <c r="CTF1452"/>
      <c r="CTG1452"/>
      <c r="CTH1452"/>
      <c r="CTI1452"/>
      <c r="CTJ1452"/>
      <c r="CTK1452"/>
      <c r="CTL1452"/>
      <c r="CTM1452"/>
      <c r="CTN1452"/>
      <c r="CTO1452"/>
      <c r="CTP1452"/>
      <c r="CTQ1452"/>
      <c r="CTR1452"/>
      <c r="CTS1452"/>
      <c r="CTT1452"/>
      <c r="CTU1452"/>
      <c r="CTV1452"/>
      <c r="CTW1452"/>
      <c r="CTX1452"/>
      <c r="CTY1452"/>
      <c r="CTZ1452"/>
      <c r="CUA1452"/>
      <c r="CUB1452"/>
      <c r="CUC1452"/>
      <c r="CUD1452"/>
      <c r="CUE1452"/>
      <c r="CUF1452"/>
      <c r="CUG1452"/>
      <c r="CUH1452"/>
      <c r="CUI1452"/>
      <c r="CUJ1452"/>
      <c r="CUK1452"/>
      <c r="CUL1452"/>
      <c r="CUM1452"/>
      <c r="CUN1452"/>
      <c r="CUO1452"/>
      <c r="CUP1452"/>
      <c r="CUQ1452"/>
      <c r="CUR1452"/>
      <c r="CUS1452"/>
      <c r="CUT1452"/>
      <c r="CUU1452"/>
      <c r="CUV1452"/>
      <c r="CUW1452"/>
      <c r="CUX1452"/>
      <c r="CUY1452"/>
      <c r="CUZ1452"/>
      <c r="CVA1452"/>
      <c r="CVB1452"/>
      <c r="CVC1452"/>
      <c r="CVD1452"/>
      <c r="CVE1452"/>
      <c r="CVF1452"/>
      <c r="CVG1452"/>
      <c r="CVH1452"/>
      <c r="CVI1452"/>
      <c r="CVJ1452"/>
      <c r="CVK1452"/>
      <c r="CVL1452"/>
      <c r="CVM1452"/>
      <c r="CVN1452"/>
      <c r="CVO1452"/>
      <c r="CVP1452"/>
      <c r="CVQ1452"/>
      <c r="CVR1452"/>
      <c r="CVS1452"/>
      <c r="CVT1452"/>
      <c r="CVU1452"/>
      <c r="CVV1452"/>
      <c r="CVW1452"/>
      <c r="CVX1452"/>
      <c r="CVY1452"/>
      <c r="CVZ1452"/>
      <c r="CWA1452"/>
      <c r="CWB1452"/>
      <c r="CWC1452"/>
      <c r="CWD1452"/>
      <c r="CWE1452"/>
      <c r="CWF1452"/>
      <c r="CWG1452"/>
      <c r="CWH1452"/>
      <c r="CWI1452"/>
      <c r="CWJ1452"/>
      <c r="CWK1452"/>
      <c r="CWL1452"/>
      <c r="CWM1452"/>
      <c r="CWN1452"/>
      <c r="CWO1452"/>
      <c r="CWP1452"/>
      <c r="CWQ1452"/>
      <c r="CWR1452"/>
      <c r="CWS1452"/>
      <c r="CWT1452"/>
      <c r="CWU1452"/>
      <c r="CWV1452"/>
      <c r="CWW1452"/>
      <c r="CWX1452"/>
      <c r="CWY1452"/>
      <c r="CWZ1452"/>
      <c r="CXA1452"/>
      <c r="CXB1452"/>
      <c r="CXC1452"/>
      <c r="CXD1452"/>
      <c r="CXE1452"/>
      <c r="CXF1452"/>
      <c r="CXG1452"/>
      <c r="CXH1452"/>
      <c r="CXI1452"/>
      <c r="CXJ1452"/>
      <c r="CXK1452"/>
      <c r="CXL1452"/>
      <c r="CXM1452"/>
      <c r="CXN1452"/>
      <c r="CXO1452"/>
      <c r="CXP1452"/>
      <c r="CXQ1452"/>
      <c r="CXR1452"/>
      <c r="CXS1452"/>
      <c r="CXT1452"/>
      <c r="CXU1452"/>
      <c r="CXV1452"/>
      <c r="CXW1452"/>
      <c r="CXX1452"/>
      <c r="CXY1452"/>
      <c r="CXZ1452"/>
      <c r="CYA1452"/>
      <c r="CYB1452"/>
      <c r="CYC1452"/>
      <c r="CYD1452"/>
      <c r="CYE1452"/>
      <c r="CYF1452"/>
      <c r="CYG1452"/>
      <c r="CYH1452"/>
      <c r="CYI1452"/>
      <c r="CYJ1452"/>
      <c r="CYK1452"/>
      <c r="CYL1452"/>
      <c r="CYM1452"/>
      <c r="CYN1452"/>
      <c r="CYO1452"/>
      <c r="CYP1452"/>
      <c r="CYQ1452"/>
      <c r="CYR1452"/>
      <c r="CYS1452"/>
      <c r="CYT1452"/>
      <c r="CYU1452"/>
      <c r="CYV1452"/>
      <c r="CYW1452"/>
      <c r="CYX1452"/>
      <c r="CYY1452"/>
      <c r="CYZ1452"/>
      <c r="CZA1452"/>
      <c r="CZB1452"/>
      <c r="CZC1452"/>
      <c r="CZD1452"/>
      <c r="CZE1452"/>
      <c r="CZF1452"/>
      <c r="CZG1452"/>
      <c r="CZH1452"/>
      <c r="CZI1452"/>
      <c r="CZJ1452"/>
      <c r="CZK1452"/>
      <c r="CZL1452"/>
      <c r="CZM1452"/>
      <c r="CZN1452"/>
      <c r="CZO1452"/>
      <c r="CZP1452"/>
      <c r="CZQ1452"/>
      <c r="CZR1452"/>
      <c r="CZS1452"/>
      <c r="CZT1452"/>
      <c r="CZU1452"/>
      <c r="CZV1452"/>
      <c r="CZW1452"/>
      <c r="CZX1452"/>
      <c r="CZY1452"/>
      <c r="CZZ1452"/>
      <c r="DAA1452"/>
      <c r="DAB1452"/>
      <c r="DAC1452"/>
      <c r="DAD1452"/>
      <c r="DAE1452"/>
      <c r="DAF1452"/>
      <c r="DAG1452"/>
      <c r="DAH1452"/>
      <c r="DAI1452"/>
      <c r="DAJ1452"/>
      <c r="DAK1452"/>
      <c r="DAL1452"/>
      <c r="DAM1452"/>
      <c r="DAN1452"/>
      <c r="DAO1452"/>
      <c r="DAP1452"/>
      <c r="DAQ1452"/>
      <c r="DAR1452"/>
      <c r="DAS1452"/>
      <c r="DAT1452"/>
      <c r="DAU1452"/>
      <c r="DAV1452"/>
      <c r="DAW1452"/>
      <c r="DAX1452"/>
      <c r="DAY1452"/>
      <c r="DAZ1452"/>
      <c r="DBA1452"/>
      <c r="DBB1452"/>
      <c r="DBC1452"/>
      <c r="DBD1452"/>
      <c r="DBE1452"/>
      <c r="DBF1452"/>
      <c r="DBG1452"/>
      <c r="DBH1452"/>
      <c r="DBI1452"/>
      <c r="DBJ1452"/>
      <c r="DBK1452"/>
      <c r="DBL1452"/>
      <c r="DBM1452"/>
      <c r="DBN1452"/>
      <c r="DBO1452"/>
      <c r="DBP1452"/>
      <c r="DBQ1452"/>
      <c r="DBR1452"/>
      <c r="DBS1452"/>
      <c r="DBT1452"/>
      <c r="DBU1452"/>
      <c r="DBV1452"/>
      <c r="DBW1452"/>
      <c r="DBX1452"/>
      <c r="DBY1452"/>
      <c r="DBZ1452"/>
      <c r="DCA1452"/>
      <c r="DCB1452"/>
      <c r="DCC1452"/>
      <c r="DCD1452"/>
      <c r="DCE1452"/>
      <c r="DCF1452"/>
      <c r="DCG1452"/>
      <c r="DCH1452"/>
      <c r="DCI1452"/>
      <c r="DCJ1452"/>
      <c r="DCK1452"/>
      <c r="DCL1452"/>
      <c r="DCM1452"/>
      <c r="DCN1452"/>
      <c r="DCO1452"/>
      <c r="DCP1452"/>
      <c r="DCQ1452"/>
      <c r="DCR1452"/>
      <c r="DCS1452"/>
      <c r="DCT1452"/>
      <c r="DCU1452"/>
      <c r="DCV1452"/>
      <c r="DCW1452"/>
      <c r="DCX1452"/>
      <c r="DCY1452"/>
      <c r="DCZ1452"/>
      <c r="DDA1452"/>
      <c r="DDB1452"/>
      <c r="DDC1452"/>
      <c r="DDD1452"/>
      <c r="DDE1452"/>
      <c r="DDF1452"/>
      <c r="DDG1452"/>
      <c r="DDH1452"/>
      <c r="DDI1452"/>
      <c r="DDJ1452"/>
      <c r="DDK1452"/>
      <c r="DDL1452"/>
      <c r="DDM1452"/>
      <c r="DDN1452"/>
      <c r="DDO1452"/>
      <c r="DDP1452"/>
      <c r="DDQ1452"/>
      <c r="DDR1452"/>
      <c r="DDS1452"/>
      <c r="DDT1452"/>
      <c r="DDU1452"/>
      <c r="DDV1452"/>
      <c r="DDW1452"/>
      <c r="DDX1452"/>
      <c r="DDY1452"/>
      <c r="DDZ1452"/>
      <c r="DEA1452"/>
      <c r="DEB1452"/>
      <c r="DEC1452"/>
      <c r="DED1452"/>
      <c r="DEE1452"/>
      <c r="DEF1452"/>
      <c r="DEG1452"/>
      <c r="DEH1452"/>
      <c r="DEI1452"/>
      <c r="DEJ1452"/>
      <c r="DEK1452"/>
      <c r="DEL1452"/>
      <c r="DEM1452"/>
      <c r="DEN1452"/>
      <c r="DEO1452"/>
      <c r="DEP1452"/>
      <c r="DEQ1452"/>
      <c r="DER1452"/>
      <c r="DES1452"/>
      <c r="DET1452"/>
      <c r="DEU1452"/>
      <c r="DEV1452"/>
      <c r="DEW1452"/>
      <c r="DEX1452"/>
      <c r="DEY1452"/>
      <c r="DEZ1452"/>
      <c r="DFA1452"/>
      <c r="DFB1452"/>
      <c r="DFC1452"/>
      <c r="DFD1452"/>
      <c r="DFE1452"/>
      <c r="DFF1452"/>
      <c r="DFG1452"/>
      <c r="DFH1452"/>
      <c r="DFI1452"/>
      <c r="DFJ1452"/>
      <c r="DFK1452"/>
      <c r="DFL1452"/>
      <c r="DFM1452"/>
      <c r="DFN1452"/>
      <c r="DFO1452"/>
      <c r="DFP1452"/>
      <c r="DFQ1452"/>
      <c r="DFR1452"/>
      <c r="DFS1452"/>
      <c r="DFT1452"/>
      <c r="DFU1452"/>
      <c r="DFV1452"/>
      <c r="DFW1452"/>
      <c r="DFX1452"/>
      <c r="DFY1452"/>
      <c r="DFZ1452"/>
      <c r="DGA1452"/>
      <c r="DGB1452"/>
      <c r="DGC1452"/>
      <c r="DGD1452"/>
      <c r="DGE1452"/>
      <c r="DGF1452"/>
      <c r="DGG1452"/>
      <c r="DGH1452"/>
      <c r="DGI1452"/>
      <c r="DGJ1452"/>
      <c r="DGK1452"/>
      <c r="DGL1452"/>
      <c r="DGM1452"/>
      <c r="DGN1452"/>
      <c r="DGO1452"/>
      <c r="DGP1452"/>
      <c r="DGQ1452"/>
      <c r="DGR1452"/>
      <c r="DGS1452"/>
      <c r="DGT1452"/>
      <c r="DGU1452"/>
      <c r="DGV1452"/>
      <c r="DGW1452"/>
      <c r="DGX1452"/>
      <c r="DGY1452"/>
      <c r="DGZ1452"/>
      <c r="DHA1452"/>
      <c r="DHB1452"/>
      <c r="DHC1452"/>
      <c r="DHD1452"/>
      <c r="DHE1452"/>
      <c r="DHF1452"/>
      <c r="DHG1452"/>
      <c r="DHH1452"/>
      <c r="DHI1452"/>
      <c r="DHJ1452"/>
      <c r="DHK1452"/>
      <c r="DHL1452"/>
      <c r="DHM1452"/>
      <c r="DHN1452"/>
      <c r="DHO1452"/>
      <c r="DHP1452"/>
      <c r="DHQ1452"/>
      <c r="DHR1452"/>
      <c r="DHS1452"/>
      <c r="DHT1452"/>
      <c r="DHU1452"/>
      <c r="DHV1452"/>
      <c r="DHW1452"/>
      <c r="DHX1452"/>
      <c r="DHY1452"/>
      <c r="DHZ1452"/>
      <c r="DIA1452"/>
      <c r="DIB1452"/>
      <c r="DIC1452"/>
      <c r="DID1452"/>
      <c r="DIE1452"/>
      <c r="DIF1452"/>
      <c r="DIG1452"/>
      <c r="DIH1452"/>
      <c r="DII1452"/>
      <c r="DIJ1452"/>
      <c r="DIK1452"/>
      <c r="DIL1452"/>
      <c r="DIM1452"/>
      <c r="DIN1452"/>
      <c r="DIO1452"/>
      <c r="DIP1452"/>
      <c r="DIQ1452"/>
      <c r="DIR1452"/>
      <c r="DIS1452"/>
      <c r="DIT1452"/>
      <c r="DIU1452"/>
      <c r="DIV1452"/>
      <c r="DIW1452"/>
      <c r="DIX1452"/>
      <c r="DIY1452"/>
      <c r="DIZ1452"/>
      <c r="DJA1452"/>
      <c r="DJB1452"/>
      <c r="DJC1452"/>
      <c r="DJD1452"/>
      <c r="DJE1452"/>
      <c r="DJF1452"/>
      <c r="DJG1452"/>
      <c r="DJH1452"/>
      <c r="DJI1452"/>
      <c r="DJJ1452"/>
      <c r="DJK1452"/>
      <c r="DJL1452"/>
      <c r="DJM1452"/>
      <c r="DJN1452"/>
      <c r="DJO1452"/>
      <c r="DJP1452"/>
      <c r="DJQ1452"/>
      <c r="DJR1452"/>
      <c r="DJS1452"/>
      <c r="DJT1452"/>
      <c r="DJU1452"/>
      <c r="DJV1452"/>
      <c r="DJW1452"/>
      <c r="DJX1452"/>
      <c r="DJY1452"/>
      <c r="DJZ1452"/>
      <c r="DKA1452"/>
      <c r="DKB1452"/>
      <c r="DKC1452"/>
      <c r="DKD1452"/>
      <c r="DKE1452"/>
      <c r="DKF1452"/>
      <c r="DKG1452"/>
      <c r="DKH1452"/>
      <c r="DKI1452"/>
      <c r="DKJ1452"/>
      <c r="DKK1452"/>
      <c r="DKL1452"/>
      <c r="DKM1452"/>
      <c r="DKN1452"/>
      <c r="DKO1452"/>
      <c r="DKP1452"/>
      <c r="DKQ1452"/>
      <c r="DKR1452"/>
      <c r="DKS1452"/>
      <c r="DKT1452"/>
      <c r="DKU1452"/>
      <c r="DKV1452"/>
      <c r="DKW1452"/>
      <c r="DKX1452"/>
      <c r="DKY1452"/>
      <c r="DKZ1452"/>
      <c r="DLA1452"/>
      <c r="DLB1452"/>
      <c r="DLC1452"/>
      <c r="DLD1452"/>
      <c r="DLE1452"/>
      <c r="DLF1452"/>
      <c r="DLG1452"/>
      <c r="DLH1452"/>
      <c r="DLI1452"/>
      <c r="DLJ1452"/>
      <c r="DLK1452"/>
      <c r="DLL1452"/>
      <c r="DLM1452"/>
      <c r="DLN1452"/>
      <c r="DLO1452"/>
      <c r="DLP1452"/>
      <c r="DLQ1452"/>
      <c r="DLR1452"/>
      <c r="DLS1452"/>
      <c r="DLT1452"/>
      <c r="DLU1452"/>
      <c r="DLV1452"/>
      <c r="DLW1452"/>
      <c r="DLX1452"/>
      <c r="DLY1452"/>
      <c r="DLZ1452"/>
      <c r="DMA1452"/>
      <c r="DMB1452"/>
      <c r="DMC1452"/>
      <c r="DMD1452"/>
      <c r="DME1452"/>
      <c r="DMF1452"/>
      <c r="DMG1452"/>
      <c r="DMH1452"/>
      <c r="DMI1452"/>
      <c r="DMJ1452"/>
      <c r="DMK1452"/>
      <c r="DML1452"/>
      <c r="DMM1452"/>
      <c r="DMN1452"/>
      <c r="DMO1452"/>
      <c r="DMP1452"/>
      <c r="DMQ1452"/>
      <c r="DMR1452"/>
      <c r="DMS1452"/>
      <c r="DMT1452"/>
      <c r="DMU1452"/>
      <c r="DMV1452"/>
      <c r="DMW1452"/>
      <c r="DMX1452"/>
      <c r="DMY1452"/>
      <c r="DMZ1452"/>
      <c r="DNA1452"/>
      <c r="DNB1452"/>
      <c r="DNC1452"/>
      <c r="DND1452"/>
      <c r="DNE1452"/>
      <c r="DNF1452"/>
      <c r="DNG1452"/>
      <c r="DNH1452"/>
      <c r="DNI1452"/>
      <c r="DNJ1452"/>
      <c r="DNK1452"/>
      <c r="DNL1452"/>
      <c r="DNM1452"/>
      <c r="DNN1452"/>
      <c r="DNO1452"/>
      <c r="DNP1452"/>
      <c r="DNQ1452"/>
      <c r="DNR1452"/>
      <c r="DNS1452"/>
      <c r="DNT1452"/>
      <c r="DNU1452"/>
      <c r="DNV1452"/>
      <c r="DNW1452"/>
      <c r="DNX1452"/>
      <c r="DNY1452"/>
      <c r="DNZ1452"/>
      <c r="DOA1452"/>
      <c r="DOB1452"/>
      <c r="DOC1452"/>
      <c r="DOD1452"/>
      <c r="DOE1452"/>
      <c r="DOF1452"/>
      <c r="DOG1452"/>
      <c r="DOH1452"/>
      <c r="DOI1452"/>
      <c r="DOJ1452"/>
      <c r="DOK1452"/>
      <c r="DOL1452"/>
      <c r="DOM1452"/>
      <c r="DON1452"/>
      <c r="DOO1452"/>
      <c r="DOP1452"/>
      <c r="DOQ1452"/>
      <c r="DOR1452"/>
      <c r="DOS1452"/>
      <c r="DOT1452"/>
      <c r="DOU1452"/>
      <c r="DOV1452"/>
      <c r="DOW1452"/>
      <c r="DOX1452"/>
      <c r="DOY1452"/>
      <c r="DOZ1452"/>
      <c r="DPA1452"/>
      <c r="DPB1452"/>
      <c r="DPC1452"/>
      <c r="DPD1452"/>
      <c r="DPE1452"/>
      <c r="DPF1452"/>
      <c r="DPG1452"/>
      <c r="DPH1452"/>
      <c r="DPI1452"/>
      <c r="DPJ1452"/>
      <c r="DPK1452"/>
      <c r="DPL1452"/>
      <c r="DPM1452"/>
      <c r="DPN1452"/>
      <c r="DPO1452"/>
      <c r="DPP1452"/>
      <c r="DPQ1452"/>
      <c r="DPR1452"/>
      <c r="DPS1452"/>
      <c r="DPT1452"/>
      <c r="DPU1452"/>
      <c r="DPV1452"/>
      <c r="DPW1452"/>
      <c r="DPX1452"/>
      <c r="DPY1452"/>
      <c r="DPZ1452"/>
      <c r="DQA1452"/>
      <c r="DQB1452"/>
      <c r="DQC1452"/>
      <c r="DQD1452"/>
      <c r="DQE1452"/>
      <c r="DQF1452"/>
      <c r="DQG1452"/>
      <c r="DQH1452"/>
      <c r="DQI1452"/>
      <c r="DQJ1452"/>
      <c r="DQK1452"/>
      <c r="DQL1452"/>
      <c r="DQM1452"/>
      <c r="DQN1452"/>
      <c r="DQO1452"/>
      <c r="DQP1452"/>
      <c r="DQQ1452"/>
      <c r="DQR1452"/>
      <c r="DQS1452"/>
      <c r="DQT1452"/>
      <c r="DQU1452"/>
      <c r="DQV1452"/>
      <c r="DQW1452"/>
      <c r="DQX1452"/>
      <c r="DQY1452"/>
      <c r="DQZ1452"/>
      <c r="DRA1452"/>
      <c r="DRB1452"/>
      <c r="DRC1452"/>
      <c r="DRD1452"/>
      <c r="DRE1452"/>
      <c r="DRF1452"/>
      <c r="DRG1452"/>
      <c r="DRH1452"/>
      <c r="DRI1452"/>
      <c r="DRJ1452"/>
      <c r="DRK1452"/>
      <c r="DRL1452"/>
      <c r="DRM1452"/>
      <c r="DRN1452"/>
      <c r="DRO1452"/>
      <c r="DRP1452"/>
      <c r="DRQ1452"/>
      <c r="DRR1452"/>
      <c r="DRS1452"/>
      <c r="DRT1452"/>
      <c r="DRU1452"/>
      <c r="DRV1452"/>
      <c r="DRW1452"/>
      <c r="DRX1452"/>
      <c r="DRY1452"/>
      <c r="DRZ1452"/>
      <c r="DSA1452"/>
      <c r="DSB1452"/>
      <c r="DSC1452"/>
      <c r="DSD1452"/>
      <c r="DSE1452"/>
      <c r="DSF1452"/>
      <c r="DSG1452"/>
      <c r="DSH1452"/>
      <c r="DSI1452"/>
      <c r="DSJ1452"/>
      <c r="DSK1452"/>
      <c r="DSL1452"/>
      <c r="DSM1452"/>
      <c r="DSN1452"/>
      <c r="DSO1452"/>
      <c r="DSP1452"/>
      <c r="DSQ1452"/>
      <c r="DSR1452"/>
      <c r="DSS1452"/>
      <c r="DST1452"/>
      <c r="DSU1452"/>
      <c r="DSV1452"/>
      <c r="DSW1452"/>
      <c r="DSX1452"/>
      <c r="DSY1452"/>
      <c r="DSZ1452"/>
      <c r="DTA1452"/>
      <c r="DTB1452"/>
      <c r="DTC1452"/>
      <c r="DTD1452"/>
      <c r="DTE1452"/>
      <c r="DTF1452"/>
      <c r="DTG1452"/>
      <c r="DTH1452"/>
      <c r="DTI1452"/>
      <c r="DTJ1452"/>
      <c r="DTK1452"/>
      <c r="DTL1452"/>
      <c r="DTM1452"/>
      <c r="DTN1452"/>
      <c r="DTO1452"/>
      <c r="DTP1452"/>
      <c r="DTQ1452"/>
      <c r="DTR1452"/>
      <c r="DTS1452"/>
      <c r="DTT1452"/>
      <c r="DTU1452"/>
      <c r="DTV1452"/>
      <c r="DTW1452"/>
      <c r="DTX1452"/>
      <c r="DTY1452"/>
      <c r="DTZ1452"/>
      <c r="DUA1452"/>
      <c r="DUB1452"/>
      <c r="DUC1452"/>
      <c r="DUD1452"/>
      <c r="DUE1452"/>
      <c r="DUF1452"/>
      <c r="DUG1452"/>
      <c r="DUH1452"/>
      <c r="DUI1452"/>
      <c r="DUJ1452"/>
      <c r="DUK1452"/>
      <c r="DUL1452"/>
      <c r="DUM1452"/>
      <c r="DUN1452"/>
      <c r="DUO1452"/>
      <c r="DUP1452"/>
      <c r="DUQ1452"/>
      <c r="DUR1452"/>
      <c r="DUS1452"/>
      <c r="DUT1452"/>
      <c r="DUU1452"/>
      <c r="DUV1452"/>
      <c r="DUW1452"/>
      <c r="DUX1452"/>
      <c r="DUY1452"/>
      <c r="DUZ1452"/>
      <c r="DVA1452"/>
      <c r="DVB1452"/>
      <c r="DVC1452"/>
      <c r="DVD1452"/>
      <c r="DVE1452"/>
      <c r="DVF1452"/>
      <c r="DVG1452"/>
      <c r="DVH1452"/>
      <c r="DVI1452"/>
      <c r="DVJ1452"/>
      <c r="DVK1452"/>
      <c r="DVL1452"/>
      <c r="DVM1452"/>
      <c r="DVN1452"/>
      <c r="DVO1452"/>
      <c r="DVP1452"/>
      <c r="DVQ1452"/>
      <c r="DVR1452"/>
      <c r="DVS1452"/>
      <c r="DVT1452"/>
      <c r="DVU1452"/>
      <c r="DVV1452"/>
      <c r="DVW1452"/>
      <c r="DVX1452"/>
      <c r="DVY1452"/>
      <c r="DVZ1452"/>
      <c r="DWA1452"/>
      <c r="DWB1452"/>
      <c r="DWC1452"/>
      <c r="DWD1452"/>
      <c r="DWE1452"/>
      <c r="DWF1452"/>
      <c r="DWG1452"/>
      <c r="DWH1452"/>
      <c r="DWI1452"/>
      <c r="DWJ1452"/>
      <c r="DWK1452"/>
      <c r="DWL1452"/>
      <c r="DWM1452"/>
      <c r="DWN1452"/>
      <c r="DWO1452"/>
      <c r="DWP1452"/>
      <c r="DWQ1452"/>
      <c r="DWR1452"/>
      <c r="DWS1452"/>
      <c r="DWT1452"/>
      <c r="DWU1452"/>
      <c r="DWV1452"/>
      <c r="DWW1452"/>
      <c r="DWX1452"/>
      <c r="DWY1452"/>
      <c r="DWZ1452"/>
      <c r="DXA1452"/>
      <c r="DXB1452"/>
      <c r="DXC1452"/>
      <c r="DXD1452"/>
      <c r="DXE1452"/>
      <c r="DXF1452"/>
      <c r="DXG1452"/>
      <c r="DXH1452"/>
      <c r="DXI1452"/>
      <c r="DXJ1452"/>
      <c r="DXK1452"/>
      <c r="DXL1452"/>
      <c r="DXM1452"/>
      <c r="DXN1452"/>
      <c r="DXO1452"/>
      <c r="DXP1452"/>
      <c r="DXQ1452"/>
      <c r="DXR1452"/>
      <c r="DXS1452"/>
      <c r="DXT1452"/>
      <c r="DXU1452"/>
      <c r="DXV1452"/>
      <c r="DXW1452"/>
      <c r="DXX1452"/>
      <c r="DXY1452"/>
      <c r="DXZ1452"/>
      <c r="DYA1452"/>
      <c r="DYB1452"/>
      <c r="DYC1452"/>
      <c r="DYD1452"/>
      <c r="DYE1452"/>
      <c r="DYF1452"/>
      <c r="DYG1452"/>
      <c r="DYH1452"/>
      <c r="DYI1452"/>
      <c r="DYJ1452"/>
      <c r="DYK1452"/>
      <c r="DYL1452"/>
      <c r="DYM1452"/>
      <c r="DYN1452"/>
      <c r="DYO1452"/>
      <c r="DYP1452"/>
      <c r="DYQ1452"/>
      <c r="DYR1452"/>
      <c r="DYS1452"/>
      <c r="DYT1452"/>
      <c r="DYU1452"/>
      <c r="DYV1452"/>
      <c r="DYW1452"/>
      <c r="DYX1452"/>
      <c r="DYY1452"/>
      <c r="DYZ1452"/>
      <c r="DZA1452"/>
      <c r="DZB1452"/>
      <c r="DZC1452"/>
      <c r="DZD1452"/>
      <c r="DZE1452"/>
      <c r="DZF1452"/>
      <c r="DZG1452"/>
      <c r="DZH1452"/>
      <c r="DZI1452"/>
      <c r="DZJ1452"/>
      <c r="DZK1452"/>
      <c r="DZL1452"/>
      <c r="DZM1452"/>
      <c r="DZN1452"/>
      <c r="DZO1452"/>
      <c r="DZP1452"/>
      <c r="DZQ1452"/>
      <c r="DZR1452"/>
      <c r="DZS1452"/>
      <c r="DZT1452"/>
      <c r="DZU1452"/>
      <c r="DZV1452"/>
      <c r="DZW1452"/>
      <c r="DZX1452"/>
      <c r="DZY1452"/>
      <c r="DZZ1452"/>
      <c r="EAA1452"/>
      <c r="EAB1452"/>
      <c r="EAC1452"/>
      <c r="EAD1452"/>
      <c r="EAE1452"/>
      <c r="EAF1452"/>
      <c r="EAG1452"/>
      <c r="EAH1452"/>
      <c r="EAI1452"/>
      <c r="EAJ1452"/>
      <c r="EAK1452"/>
      <c r="EAL1452"/>
      <c r="EAM1452"/>
      <c r="EAN1452"/>
      <c r="EAO1452"/>
      <c r="EAP1452"/>
      <c r="EAQ1452"/>
      <c r="EAR1452"/>
      <c r="EAS1452"/>
      <c r="EAT1452"/>
      <c r="EAU1452"/>
      <c r="EAV1452"/>
      <c r="EAW1452"/>
      <c r="EAX1452"/>
      <c r="EAY1452"/>
      <c r="EAZ1452"/>
      <c r="EBA1452"/>
      <c r="EBB1452"/>
      <c r="EBC1452"/>
      <c r="EBD1452"/>
      <c r="EBE1452"/>
      <c r="EBF1452"/>
      <c r="EBG1452"/>
      <c r="EBH1452"/>
      <c r="EBI1452"/>
      <c r="EBJ1452"/>
      <c r="EBK1452"/>
      <c r="EBL1452"/>
      <c r="EBM1452"/>
      <c r="EBN1452"/>
      <c r="EBO1452"/>
      <c r="EBP1452"/>
      <c r="EBQ1452"/>
      <c r="EBR1452"/>
      <c r="EBS1452"/>
      <c r="EBT1452"/>
      <c r="EBU1452"/>
      <c r="EBV1452"/>
      <c r="EBW1452"/>
      <c r="EBX1452"/>
      <c r="EBY1452"/>
      <c r="EBZ1452"/>
      <c r="ECA1452"/>
      <c r="ECB1452"/>
      <c r="ECC1452"/>
      <c r="ECD1452"/>
      <c r="ECE1452"/>
      <c r="ECF1452"/>
      <c r="ECG1452"/>
      <c r="ECH1452"/>
      <c r="ECI1452"/>
      <c r="ECJ1452"/>
      <c r="ECK1452"/>
      <c r="ECL1452"/>
      <c r="ECM1452"/>
      <c r="ECN1452"/>
      <c r="ECO1452"/>
      <c r="ECP1452"/>
      <c r="ECQ1452"/>
      <c r="ECR1452"/>
      <c r="ECS1452"/>
      <c r="ECT1452"/>
      <c r="ECU1452"/>
      <c r="ECV1452"/>
      <c r="ECW1452"/>
      <c r="ECX1452"/>
      <c r="ECY1452"/>
      <c r="ECZ1452"/>
      <c r="EDA1452"/>
      <c r="EDB1452"/>
      <c r="EDC1452"/>
      <c r="EDD1452"/>
      <c r="EDE1452"/>
      <c r="EDF1452"/>
      <c r="EDG1452"/>
      <c r="EDH1452"/>
      <c r="EDI1452"/>
      <c r="EDJ1452"/>
      <c r="EDK1452"/>
      <c r="EDL1452"/>
      <c r="EDM1452"/>
      <c r="EDN1452"/>
      <c r="EDO1452"/>
      <c r="EDP1452"/>
      <c r="EDQ1452"/>
      <c r="EDR1452"/>
      <c r="EDS1452"/>
      <c r="EDT1452"/>
      <c r="EDU1452"/>
      <c r="EDV1452"/>
      <c r="EDW1452"/>
      <c r="EDX1452"/>
      <c r="EDY1452"/>
      <c r="EDZ1452"/>
      <c r="EEA1452"/>
      <c r="EEB1452"/>
      <c r="EEC1452"/>
      <c r="EED1452"/>
      <c r="EEE1452"/>
      <c r="EEF1452"/>
      <c r="EEG1452"/>
      <c r="EEH1452"/>
      <c r="EEI1452"/>
      <c r="EEJ1452"/>
      <c r="EEK1452"/>
      <c r="EEL1452"/>
      <c r="EEM1452"/>
      <c r="EEN1452"/>
      <c r="EEO1452"/>
      <c r="EEP1452"/>
      <c r="EEQ1452"/>
      <c r="EER1452"/>
      <c r="EES1452"/>
      <c r="EET1452"/>
      <c r="EEU1452"/>
      <c r="EEV1452"/>
      <c r="EEW1452"/>
      <c r="EEX1452"/>
      <c r="EEY1452"/>
      <c r="EEZ1452"/>
      <c r="EFA1452"/>
      <c r="EFB1452"/>
      <c r="EFC1452"/>
      <c r="EFD1452"/>
      <c r="EFE1452"/>
      <c r="EFF1452"/>
      <c r="EFG1452"/>
      <c r="EFH1452"/>
      <c r="EFI1452"/>
      <c r="EFJ1452"/>
      <c r="EFK1452"/>
      <c r="EFL1452"/>
      <c r="EFM1452"/>
      <c r="EFN1452"/>
      <c r="EFO1452"/>
      <c r="EFP1452"/>
      <c r="EFQ1452"/>
      <c r="EFR1452"/>
      <c r="EFS1452"/>
      <c r="EFT1452"/>
      <c r="EFU1452"/>
      <c r="EFV1452"/>
      <c r="EFW1452"/>
      <c r="EFX1452"/>
      <c r="EFY1452"/>
      <c r="EFZ1452"/>
      <c r="EGA1452"/>
      <c r="EGB1452"/>
      <c r="EGC1452"/>
      <c r="EGD1452"/>
      <c r="EGE1452"/>
      <c r="EGF1452"/>
      <c r="EGG1452"/>
      <c r="EGH1452"/>
      <c r="EGI1452"/>
      <c r="EGJ1452"/>
      <c r="EGK1452"/>
      <c r="EGL1452"/>
      <c r="EGM1452"/>
      <c r="EGN1452"/>
      <c r="EGO1452"/>
      <c r="EGP1452"/>
      <c r="EGQ1452"/>
      <c r="EGR1452"/>
      <c r="EGS1452"/>
      <c r="EGT1452"/>
      <c r="EGU1452"/>
      <c r="EGV1452"/>
      <c r="EGW1452"/>
      <c r="EGX1452"/>
      <c r="EGY1452"/>
      <c r="EGZ1452"/>
      <c r="EHA1452"/>
      <c r="EHB1452"/>
      <c r="EHC1452"/>
      <c r="EHD1452"/>
      <c r="EHE1452"/>
      <c r="EHF1452"/>
      <c r="EHG1452"/>
      <c r="EHH1452"/>
      <c r="EHI1452"/>
      <c r="EHJ1452"/>
      <c r="EHK1452"/>
      <c r="EHL1452"/>
      <c r="EHM1452"/>
      <c r="EHN1452"/>
      <c r="EHO1452"/>
      <c r="EHP1452"/>
      <c r="EHQ1452"/>
      <c r="EHR1452"/>
      <c r="EHS1452"/>
      <c r="EHT1452"/>
      <c r="EHU1452"/>
      <c r="EHV1452"/>
      <c r="EHW1452"/>
      <c r="EHX1452"/>
      <c r="EHY1452"/>
      <c r="EHZ1452"/>
      <c r="EIA1452"/>
      <c r="EIB1452"/>
      <c r="EIC1452"/>
      <c r="EID1452"/>
      <c r="EIE1452"/>
      <c r="EIF1452"/>
      <c r="EIG1452"/>
      <c r="EIH1452"/>
      <c r="EII1452"/>
      <c r="EIJ1452"/>
      <c r="EIK1452"/>
      <c r="EIL1452"/>
      <c r="EIM1452"/>
      <c r="EIN1452"/>
      <c r="EIO1452"/>
      <c r="EIP1452"/>
      <c r="EIQ1452"/>
      <c r="EIR1452"/>
      <c r="EIS1452"/>
      <c r="EIT1452"/>
      <c r="EIU1452"/>
      <c r="EIV1452"/>
      <c r="EIW1452"/>
      <c r="EIX1452"/>
      <c r="EIY1452"/>
      <c r="EIZ1452"/>
      <c r="EJA1452"/>
      <c r="EJB1452"/>
      <c r="EJC1452"/>
      <c r="EJD1452"/>
      <c r="EJE1452"/>
      <c r="EJF1452"/>
      <c r="EJG1452"/>
      <c r="EJH1452"/>
      <c r="EJI1452"/>
      <c r="EJJ1452"/>
      <c r="EJK1452"/>
      <c r="EJL1452"/>
      <c r="EJM1452"/>
      <c r="EJN1452"/>
      <c r="EJO1452"/>
      <c r="EJP1452"/>
      <c r="EJQ1452"/>
      <c r="EJR1452"/>
      <c r="EJS1452"/>
      <c r="EJT1452"/>
      <c r="EJU1452"/>
      <c r="EJV1452"/>
      <c r="EJW1452"/>
      <c r="EJX1452"/>
      <c r="EJY1452"/>
      <c r="EJZ1452"/>
      <c r="EKA1452"/>
      <c r="EKB1452"/>
      <c r="EKC1452"/>
      <c r="EKD1452"/>
      <c r="EKE1452"/>
      <c r="EKF1452"/>
      <c r="EKG1452"/>
      <c r="EKH1452"/>
      <c r="EKI1452"/>
      <c r="EKJ1452"/>
      <c r="EKK1452"/>
      <c r="EKL1452"/>
      <c r="EKM1452"/>
      <c r="EKN1452"/>
      <c r="EKO1452"/>
      <c r="EKP1452"/>
      <c r="EKQ1452"/>
      <c r="EKR1452"/>
      <c r="EKS1452"/>
      <c r="EKT1452"/>
      <c r="EKU1452"/>
      <c r="EKV1452"/>
      <c r="EKW1452"/>
      <c r="EKX1452"/>
      <c r="EKY1452"/>
      <c r="EKZ1452"/>
      <c r="ELA1452"/>
      <c r="ELB1452"/>
      <c r="ELC1452"/>
      <c r="ELD1452"/>
      <c r="ELE1452"/>
      <c r="ELF1452"/>
      <c r="ELG1452"/>
      <c r="ELH1452"/>
      <c r="ELI1452"/>
      <c r="ELJ1452"/>
      <c r="ELK1452"/>
      <c r="ELL1452"/>
      <c r="ELM1452"/>
      <c r="ELN1452"/>
      <c r="ELO1452"/>
      <c r="ELP1452"/>
      <c r="ELQ1452"/>
      <c r="ELR1452"/>
      <c r="ELS1452"/>
      <c r="ELT1452"/>
      <c r="ELU1452"/>
      <c r="ELV1452"/>
      <c r="ELW1452"/>
      <c r="ELX1452"/>
      <c r="ELY1452"/>
      <c r="ELZ1452"/>
      <c r="EMA1452"/>
      <c r="EMB1452"/>
      <c r="EMC1452"/>
      <c r="EMD1452"/>
      <c r="EME1452"/>
      <c r="EMF1452"/>
      <c r="EMG1452"/>
      <c r="EMH1452"/>
      <c r="EMI1452"/>
      <c r="EMJ1452"/>
      <c r="EMK1452"/>
      <c r="EML1452"/>
      <c r="EMM1452"/>
      <c r="EMN1452"/>
      <c r="EMO1452"/>
      <c r="EMP1452"/>
      <c r="EMQ1452"/>
      <c r="EMR1452"/>
      <c r="EMS1452"/>
      <c r="EMT1452"/>
      <c r="EMU1452"/>
      <c r="EMV1452"/>
      <c r="EMW1452"/>
      <c r="EMX1452"/>
      <c r="EMY1452"/>
      <c r="EMZ1452"/>
      <c r="ENA1452"/>
      <c r="ENB1452"/>
      <c r="ENC1452"/>
      <c r="END1452"/>
      <c r="ENE1452"/>
      <c r="ENF1452"/>
      <c r="ENG1452"/>
      <c r="ENH1452"/>
      <c r="ENI1452"/>
      <c r="ENJ1452"/>
      <c r="ENK1452"/>
      <c r="ENL1452"/>
      <c r="ENM1452"/>
      <c r="ENN1452"/>
      <c r="ENO1452"/>
      <c r="ENP1452"/>
      <c r="ENQ1452"/>
      <c r="ENR1452"/>
      <c r="ENS1452"/>
      <c r="ENT1452"/>
      <c r="ENU1452"/>
      <c r="ENV1452"/>
      <c r="ENW1452"/>
      <c r="ENX1452"/>
      <c r="ENY1452"/>
      <c r="ENZ1452"/>
      <c r="EOA1452"/>
      <c r="EOB1452"/>
      <c r="EOC1452"/>
      <c r="EOD1452"/>
      <c r="EOE1452"/>
      <c r="EOF1452"/>
      <c r="EOG1452"/>
      <c r="EOH1452"/>
      <c r="EOI1452"/>
      <c r="EOJ1452"/>
      <c r="EOK1452"/>
      <c r="EOL1452"/>
      <c r="EOM1452"/>
      <c r="EON1452"/>
      <c r="EOO1452"/>
      <c r="EOP1452"/>
      <c r="EOQ1452"/>
      <c r="EOR1452"/>
      <c r="EOS1452"/>
      <c r="EOT1452"/>
      <c r="EOU1452"/>
      <c r="EOV1452"/>
      <c r="EOW1452"/>
      <c r="EOX1452"/>
      <c r="EOY1452"/>
      <c r="EOZ1452"/>
      <c r="EPA1452"/>
      <c r="EPB1452"/>
      <c r="EPC1452"/>
      <c r="EPD1452"/>
      <c r="EPE1452"/>
      <c r="EPF1452"/>
      <c r="EPG1452"/>
      <c r="EPH1452"/>
      <c r="EPI1452"/>
      <c r="EPJ1452"/>
      <c r="EPK1452"/>
      <c r="EPL1452"/>
      <c r="EPM1452"/>
      <c r="EPN1452"/>
      <c r="EPO1452"/>
      <c r="EPP1452"/>
      <c r="EPQ1452"/>
      <c r="EPR1452"/>
      <c r="EPS1452"/>
      <c r="EPT1452"/>
      <c r="EPU1452"/>
      <c r="EPV1452"/>
      <c r="EPW1452"/>
      <c r="EPX1452"/>
      <c r="EPY1452"/>
      <c r="EPZ1452"/>
      <c r="EQA1452"/>
      <c r="EQB1452"/>
      <c r="EQC1452"/>
      <c r="EQD1452"/>
      <c r="EQE1452"/>
      <c r="EQF1452"/>
      <c r="EQG1452"/>
      <c r="EQH1452"/>
      <c r="EQI1452"/>
      <c r="EQJ1452"/>
      <c r="EQK1452"/>
      <c r="EQL1452"/>
      <c r="EQM1452"/>
      <c r="EQN1452"/>
      <c r="EQO1452"/>
      <c r="EQP1452"/>
      <c r="EQQ1452"/>
      <c r="EQR1452"/>
      <c r="EQS1452"/>
      <c r="EQT1452"/>
      <c r="EQU1452"/>
      <c r="EQV1452"/>
      <c r="EQW1452"/>
      <c r="EQX1452"/>
      <c r="EQY1452"/>
      <c r="EQZ1452"/>
      <c r="ERA1452"/>
      <c r="ERB1452"/>
      <c r="ERC1452"/>
      <c r="ERD1452"/>
      <c r="ERE1452"/>
      <c r="ERF1452"/>
      <c r="ERG1452"/>
      <c r="ERH1452"/>
      <c r="ERI1452"/>
      <c r="ERJ1452"/>
      <c r="ERK1452"/>
      <c r="ERL1452"/>
      <c r="ERM1452"/>
      <c r="ERN1452"/>
      <c r="ERO1452"/>
      <c r="ERP1452"/>
      <c r="ERQ1452"/>
      <c r="ERR1452"/>
      <c r="ERS1452"/>
      <c r="ERT1452"/>
      <c r="ERU1452"/>
      <c r="ERV1452"/>
      <c r="ERW1452"/>
      <c r="ERX1452"/>
      <c r="ERY1452"/>
      <c r="ERZ1452"/>
      <c r="ESA1452"/>
      <c r="ESB1452"/>
      <c r="ESC1452"/>
      <c r="ESD1452"/>
      <c r="ESE1452"/>
      <c r="ESF1452"/>
      <c r="ESG1452"/>
      <c r="ESH1452"/>
      <c r="ESI1452"/>
      <c r="ESJ1452"/>
      <c r="ESK1452"/>
      <c r="ESL1452"/>
      <c r="ESM1452"/>
      <c r="ESN1452"/>
      <c r="ESO1452"/>
      <c r="ESP1452"/>
      <c r="ESQ1452"/>
      <c r="ESR1452"/>
      <c r="ESS1452"/>
      <c r="EST1452"/>
      <c r="ESU1452"/>
      <c r="ESV1452"/>
      <c r="ESW1452"/>
      <c r="ESX1452"/>
      <c r="ESY1452"/>
      <c r="ESZ1452"/>
      <c r="ETA1452"/>
      <c r="ETB1452"/>
      <c r="ETC1452"/>
      <c r="ETD1452"/>
      <c r="ETE1452"/>
      <c r="ETF1452"/>
      <c r="ETG1452"/>
      <c r="ETH1452"/>
      <c r="ETI1452"/>
      <c r="ETJ1452"/>
      <c r="ETK1452"/>
      <c r="ETL1452"/>
      <c r="ETM1452"/>
      <c r="ETN1452"/>
      <c r="ETO1452"/>
      <c r="ETP1452"/>
      <c r="ETQ1452"/>
      <c r="ETR1452"/>
      <c r="ETS1452"/>
      <c r="ETT1452"/>
      <c r="ETU1452"/>
      <c r="ETV1452"/>
      <c r="ETW1452"/>
      <c r="ETX1452"/>
      <c r="ETY1452"/>
      <c r="ETZ1452"/>
      <c r="EUA1452"/>
      <c r="EUB1452"/>
      <c r="EUC1452"/>
      <c r="EUD1452"/>
      <c r="EUE1452"/>
      <c r="EUF1452"/>
      <c r="EUG1452"/>
      <c r="EUH1452"/>
      <c r="EUI1452"/>
      <c r="EUJ1452"/>
      <c r="EUK1452"/>
      <c r="EUL1452"/>
      <c r="EUM1452"/>
      <c r="EUN1452"/>
      <c r="EUO1452"/>
      <c r="EUP1452"/>
      <c r="EUQ1452"/>
      <c r="EUR1452"/>
      <c r="EUS1452"/>
      <c r="EUT1452"/>
      <c r="EUU1452"/>
      <c r="EUV1452"/>
      <c r="EUW1452"/>
      <c r="EUX1452"/>
      <c r="EUY1452"/>
      <c r="EUZ1452"/>
      <c r="EVA1452"/>
      <c r="EVB1452"/>
      <c r="EVC1452"/>
      <c r="EVD1452"/>
      <c r="EVE1452"/>
      <c r="EVF1452"/>
      <c r="EVG1452"/>
      <c r="EVH1452"/>
      <c r="EVI1452"/>
      <c r="EVJ1452"/>
      <c r="EVK1452"/>
      <c r="EVL1452"/>
      <c r="EVM1452"/>
      <c r="EVN1452"/>
      <c r="EVO1452"/>
      <c r="EVP1452"/>
      <c r="EVQ1452"/>
      <c r="EVR1452"/>
      <c r="EVS1452"/>
      <c r="EVT1452"/>
      <c r="EVU1452"/>
      <c r="EVV1452"/>
      <c r="EVW1452"/>
      <c r="EVX1452"/>
      <c r="EVY1452"/>
      <c r="EVZ1452"/>
      <c r="EWA1452"/>
      <c r="EWB1452"/>
      <c r="EWC1452"/>
      <c r="EWD1452"/>
      <c r="EWE1452"/>
      <c r="EWF1452"/>
      <c r="EWG1452"/>
      <c r="EWH1452"/>
      <c r="EWI1452"/>
      <c r="EWJ1452"/>
      <c r="EWK1452"/>
      <c r="EWL1452"/>
      <c r="EWM1452"/>
      <c r="EWN1452"/>
      <c r="EWO1452"/>
      <c r="EWP1452"/>
      <c r="EWQ1452"/>
      <c r="EWR1452"/>
      <c r="EWS1452"/>
      <c r="EWT1452"/>
      <c r="EWU1452"/>
      <c r="EWV1452"/>
      <c r="EWW1452"/>
      <c r="EWX1452"/>
      <c r="EWY1452"/>
      <c r="EWZ1452"/>
      <c r="EXA1452"/>
      <c r="EXB1452"/>
      <c r="EXC1452"/>
      <c r="EXD1452"/>
      <c r="EXE1452"/>
      <c r="EXF1452"/>
      <c r="EXG1452"/>
      <c r="EXH1452"/>
      <c r="EXI1452"/>
      <c r="EXJ1452"/>
      <c r="EXK1452"/>
      <c r="EXL1452"/>
      <c r="EXM1452"/>
      <c r="EXN1452"/>
      <c r="EXO1452"/>
      <c r="EXP1452"/>
      <c r="EXQ1452"/>
      <c r="EXR1452"/>
      <c r="EXS1452"/>
      <c r="EXT1452"/>
      <c r="EXU1452"/>
      <c r="EXV1452"/>
      <c r="EXW1452"/>
      <c r="EXX1452"/>
      <c r="EXY1452"/>
      <c r="EXZ1452"/>
      <c r="EYA1452"/>
      <c r="EYB1452"/>
      <c r="EYC1452"/>
      <c r="EYD1452"/>
      <c r="EYE1452"/>
      <c r="EYF1452"/>
      <c r="EYG1452"/>
      <c r="EYH1452"/>
      <c r="EYI1452"/>
      <c r="EYJ1452"/>
      <c r="EYK1452"/>
      <c r="EYL1452"/>
      <c r="EYM1452"/>
      <c r="EYN1452"/>
      <c r="EYO1452"/>
      <c r="EYP1452"/>
      <c r="EYQ1452"/>
      <c r="EYR1452"/>
      <c r="EYS1452"/>
      <c r="EYT1452"/>
      <c r="EYU1452"/>
      <c r="EYV1452"/>
      <c r="EYW1452"/>
      <c r="EYX1452"/>
      <c r="EYY1452"/>
      <c r="EYZ1452"/>
      <c r="EZA1452"/>
      <c r="EZB1452"/>
      <c r="EZC1452"/>
      <c r="EZD1452"/>
      <c r="EZE1452"/>
      <c r="EZF1452"/>
      <c r="EZG1452"/>
      <c r="EZH1452"/>
      <c r="EZI1452"/>
      <c r="EZJ1452"/>
      <c r="EZK1452"/>
      <c r="EZL1452"/>
      <c r="EZM1452"/>
      <c r="EZN1452"/>
      <c r="EZO1452"/>
      <c r="EZP1452"/>
      <c r="EZQ1452"/>
      <c r="EZR1452"/>
      <c r="EZS1452"/>
      <c r="EZT1452"/>
      <c r="EZU1452"/>
      <c r="EZV1452"/>
      <c r="EZW1452"/>
      <c r="EZX1452"/>
      <c r="EZY1452"/>
      <c r="EZZ1452"/>
      <c r="FAA1452"/>
      <c r="FAB1452"/>
      <c r="FAC1452"/>
      <c r="FAD1452"/>
      <c r="FAE1452"/>
      <c r="FAF1452"/>
      <c r="FAG1452"/>
      <c r="FAH1452"/>
      <c r="FAI1452"/>
      <c r="FAJ1452"/>
      <c r="FAK1452"/>
      <c r="FAL1452"/>
      <c r="FAM1452"/>
      <c r="FAN1452"/>
      <c r="FAO1452"/>
      <c r="FAP1452"/>
      <c r="FAQ1452"/>
      <c r="FAR1452"/>
      <c r="FAS1452"/>
      <c r="FAT1452"/>
      <c r="FAU1452"/>
      <c r="FAV1452"/>
      <c r="FAW1452"/>
      <c r="FAX1452"/>
      <c r="FAY1452"/>
      <c r="FAZ1452"/>
      <c r="FBA1452"/>
      <c r="FBB1452"/>
      <c r="FBC1452"/>
      <c r="FBD1452"/>
      <c r="FBE1452"/>
      <c r="FBF1452"/>
      <c r="FBG1452"/>
      <c r="FBH1452"/>
      <c r="FBI1452"/>
      <c r="FBJ1452"/>
      <c r="FBK1452"/>
      <c r="FBL1452"/>
      <c r="FBM1452"/>
      <c r="FBN1452"/>
      <c r="FBO1452"/>
      <c r="FBP1452"/>
      <c r="FBQ1452"/>
      <c r="FBR1452"/>
      <c r="FBS1452"/>
      <c r="FBT1452"/>
      <c r="FBU1452"/>
      <c r="FBV1452"/>
      <c r="FBW1452"/>
      <c r="FBX1452"/>
      <c r="FBY1452"/>
      <c r="FBZ1452"/>
      <c r="FCA1452"/>
      <c r="FCB1452"/>
      <c r="FCC1452"/>
      <c r="FCD1452"/>
      <c r="FCE1452"/>
      <c r="FCF1452"/>
      <c r="FCG1452"/>
      <c r="FCH1452"/>
      <c r="FCI1452"/>
      <c r="FCJ1452"/>
      <c r="FCK1452"/>
      <c r="FCL1452"/>
      <c r="FCM1452"/>
      <c r="FCN1452"/>
      <c r="FCO1452"/>
      <c r="FCP1452"/>
      <c r="FCQ1452"/>
      <c r="FCR1452"/>
      <c r="FCS1452"/>
      <c r="FCT1452"/>
      <c r="FCU1452"/>
      <c r="FCV1452"/>
      <c r="FCW1452"/>
      <c r="FCX1452"/>
      <c r="FCY1452"/>
      <c r="FCZ1452"/>
      <c r="FDA1452"/>
      <c r="FDB1452"/>
      <c r="FDC1452"/>
      <c r="FDD1452"/>
      <c r="FDE1452"/>
      <c r="FDF1452"/>
      <c r="FDG1452"/>
      <c r="FDH1452"/>
      <c r="FDI1452"/>
      <c r="FDJ1452"/>
      <c r="FDK1452"/>
      <c r="FDL1452"/>
      <c r="FDM1452"/>
      <c r="FDN1452"/>
      <c r="FDO1452"/>
      <c r="FDP1452"/>
      <c r="FDQ1452"/>
      <c r="FDR1452"/>
      <c r="FDS1452"/>
      <c r="FDT1452"/>
      <c r="FDU1452"/>
      <c r="FDV1452"/>
      <c r="FDW1452"/>
      <c r="FDX1452"/>
      <c r="FDY1452"/>
      <c r="FDZ1452"/>
      <c r="FEA1452"/>
      <c r="FEB1452"/>
      <c r="FEC1452"/>
      <c r="FED1452"/>
      <c r="FEE1452"/>
      <c r="FEF1452"/>
      <c r="FEG1452"/>
      <c r="FEH1452"/>
      <c r="FEI1452"/>
      <c r="FEJ1452"/>
      <c r="FEK1452"/>
      <c r="FEL1452"/>
      <c r="FEM1452"/>
      <c r="FEN1452"/>
      <c r="FEO1452"/>
      <c r="FEP1452"/>
      <c r="FEQ1452"/>
      <c r="FER1452"/>
      <c r="FES1452"/>
      <c r="FET1452"/>
      <c r="FEU1452"/>
      <c r="FEV1452"/>
      <c r="FEW1452"/>
      <c r="FEX1452"/>
      <c r="FEY1452"/>
      <c r="FEZ1452"/>
      <c r="FFA1452"/>
      <c r="FFB1452"/>
      <c r="FFC1452"/>
      <c r="FFD1452"/>
      <c r="FFE1452"/>
      <c r="FFF1452"/>
      <c r="FFG1452"/>
      <c r="FFH1452"/>
      <c r="FFI1452"/>
      <c r="FFJ1452"/>
      <c r="FFK1452"/>
      <c r="FFL1452"/>
      <c r="FFM1452"/>
      <c r="FFN1452"/>
      <c r="FFO1452"/>
      <c r="FFP1452"/>
      <c r="FFQ1452"/>
      <c r="FFR1452"/>
      <c r="FFS1452"/>
      <c r="FFT1452"/>
      <c r="FFU1452"/>
      <c r="FFV1452"/>
      <c r="FFW1452"/>
      <c r="FFX1452"/>
      <c r="FFY1452"/>
      <c r="FFZ1452"/>
      <c r="FGA1452"/>
      <c r="FGB1452"/>
      <c r="FGC1452"/>
      <c r="FGD1452"/>
      <c r="FGE1452"/>
      <c r="FGF1452"/>
      <c r="FGG1452"/>
      <c r="FGH1452"/>
      <c r="FGI1452"/>
      <c r="FGJ1452"/>
      <c r="FGK1452"/>
      <c r="FGL1452"/>
      <c r="FGM1452"/>
      <c r="FGN1452"/>
      <c r="FGO1452"/>
      <c r="FGP1452"/>
      <c r="FGQ1452"/>
      <c r="FGR1452"/>
      <c r="FGS1452"/>
      <c r="FGT1452"/>
      <c r="FGU1452"/>
      <c r="FGV1452"/>
      <c r="FGW1452"/>
      <c r="FGX1452"/>
      <c r="FGY1452"/>
      <c r="FGZ1452"/>
      <c r="FHA1452"/>
      <c r="FHB1452"/>
      <c r="FHC1452"/>
      <c r="FHD1452"/>
      <c r="FHE1452"/>
      <c r="FHF1452"/>
      <c r="FHG1452"/>
      <c r="FHH1452"/>
      <c r="FHI1452"/>
      <c r="FHJ1452"/>
      <c r="FHK1452"/>
      <c r="FHL1452"/>
      <c r="FHM1452"/>
      <c r="FHN1452"/>
      <c r="FHO1452"/>
      <c r="FHP1452"/>
      <c r="FHQ1452"/>
      <c r="FHR1452"/>
      <c r="FHS1452"/>
      <c r="FHT1452"/>
      <c r="FHU1452"/>
      <c r="FHV1452"/>
      <c r="FHW1452"/>
      <c r="FHX1452"/>
      <c r="FHY1452"/>
      <c r="FHZ1452"/>
      <c r="FIA1452"/>
      <c r="FIB1452"/>
      <c r="FIC1452"/>
      <c r="FID1452"/>
      <c r="FIE1452"/>
      <c r="FIF1452"/>
      <c r="FIG1452"/>
      <c r="FIH1452"/>
      <c r="FII1452"/>
      <c r="FIJ1452"/>
      <c r="FIK1452"/>
      <c r="FIL1452"/>
      <c r="FIM1452"/>
      <c r="FIN1452"/>
      <c r="FIO1452"/>
      <c r="FIP1452"/>
      <c r="FIQ1452"/>
      <c r="FIR1452"/>
      <c r="FIS1452"/>
      <c r="FIT1452"/>
      <c r="FIU1452"/>
      <c r="FIV1452"/>
      <c r="FIW1452"/>
      <c r="FIX1452"/>
      <c r="FIY1452"/>
      <c r="FIZ1452"/>
      <c r="FJA1452"/>
      <c r="FJB1452"/>
      <c r="FJC1452"/>
      <c r="FJD1452"/>
      <c r="FJE1452"/>
      <c r="FJF1452"/>
      <c r="FJG1452"/>
      <c r="FJH1452"/>
      <c r="FJI1452"/>
      <c r="FJJ1452"/>
      <c r="FJK1452"/>
      <c r="FJL1452"/>
      <c r="FJM1452"/>
      <c r="FJN1452"/>
      <c r="FJO1452"/>
      <c r="FJP1452"/>
      <c r="FJQ1452"/>
      <c r="FJR1452"/>
      <c r="FJS1452"/>
      <c r="FJT1452"/>
      <c r="FJU1452"/>
      <c r="FJV1452"/>
      <c r="FJW1452"/>
      <c r="FJX1452"/>
      <c r="FJY1452"/>
      <c r="FJZ1452"/>
      <c r="FKA1452"/>
      <c r="FKB1452"/>
      <c r="FKC1452"/>
      <c r="FKD1452"/>
      <c r="FKE1452"/>
      <c r="FKF1452"/>
      <c r="FKG1452"/>
      <c r="FKH1452"/>
      <c r="FKI1452"/>
      <c r="FKJ1452"/>
      <c r="FKK1452"/>
      <c r="FKL1452"/>
      <c r="FKM1452"/>
      <c r="FKN1452"/>
      <c r="FKO1452"/>
      <c r="FKP1452"/>
      <c r="FKQ1452"/>
      <c r="FKR1452"/>
      <c r="FKS1452"/>
      <c r="FKT1452"/>
      <c r="FKU1452"/>
      <c r="FKV1452"/>
      <c r="FKW1452"/>
      <c r="FKX1452"/>
      <c r="FKY1452"/>
      <c r="FKZ1452"/>
      <c r="FLA1452"/>
      <c r="FLB1452"/>
      <c r="FLC1452"/>
      <c r="FLD1452"/>
      <c r="FLE1452"/>
      <c r="FLF1452"/>
      <c r="FLG1452"/>
      <c r="FLH1452"/>
      <c r="FLI1452"/>
      <c r="FLJ1452"/>
      <c r="FLK1452"/>
      <c r="FLL1452"/>
      <c r="FLM1452"/>
      <c r="FLN1452"/>
      <c r="FLO1452"/>
      <c r="FLP1452"/>
      <c r="FLQ1452"/>
      <c r="FLR1452"/>
      <c r="FLS1452"/>
      <c r="FLT1452"/>
      <c r="FLU1452"/>
      <c r="FLV1452"/>
      <c r="FLW1452"/>
      <c r="FLX1452"/>
      <c r="FLY1452"/>
      <c r="FLZ1452"/>
      <c r="FMA1452"/>
      <c r="FMB1452"/>
      <c r="FMC1452"/>
      <c r="FMD1452"/>
      <c r="FME1452"/>
      <c r="FMF1452"/>
      <c r="FMG1452"/>
      <c r="FMH1452"/>
      <c r="FMI1452"/>
      <c r="FMJ1452"/>
      <c r="FMK1452"/>
      <c r="FML1452"/>
      <c r="FMM1452"/>
      <c r="FMN1452"/>
      <c r="FMO1452"/>
      <c r="FMP1452"/>
      <c r="FMQ1452"/>
      <c r="FMR1452"/>
      <c r="FMS1452"/>
      <c r="FMT1452"/>
      <c r="FMU1452"/>
      <c r="FMV1452"/>
      <c r="FMW1452"/>
      <c r="FMX1452"/>
      <c r="FMY1452"/>
      <c r="FMZ1452"/>
      <c r="FNA1452"/>
      <c r="FNB1452"/>
      <c r="FNC1452"/>
      <c r="FND1452"/>
      <c r="FNE1452"/>
      <c r="FNF1452"/>
      <c r="FNG1452"/>
      <c r="FNH1452"/>
      <c r="FNI1452"/>
      <c r="FNJ1452"/>
      <c r="FNK1452"/>
      <c r="FNL1452"/>
      <c r="FNM1452"/>
      <c r="FNN1452"/>
      <c r="FNO1452"/>
      <c r="FNP1452"/>
      <c r="FNQ1452"/>
      <c r="FNR1452"/>
      <c r="FNS1452"/>
      <c r="FNT1452"/>
      <c r="FNU1452"/>
      <c r="FNV1452"/>
      <c r="FNW1452"/>
      <c r="FNX1452"/>
      <c r="FNY1452"/>
      <c r="FNZ1452"/>
      <c r="FOA1452"/>
      <c r="FOB1452"/>
      <c r="FOC1452"/>
      <c r="FOD1452"/>
      <c r="FOE1452"/>
      <c r="FOF1452"/>
      <c r="FOG1452"/>
      <c r="FOH1452"/>
      <c r="FOI1452"/>
      <c r="FOJ1452"/>
      <c r="FOK1452"/>
      <c r="FOL1452"/>
      <c r="FOM1452"/>
      <c r="FON1452"/>
      <c r="FOO1452"/>
      <c r="FOP1452"/>
      <c r="FOQ1452"/>
      <c r="FOR1452"/>
      <c r="FOS1452"/>
      <c r="FOT1452"/>
      <c r="FOU1452"/>
      <c r="FOV1452"/>
      <c r="FOW1452"/>
      <c r="FOX1452"/>
      <c r="FOY1452"/>
      <c r="FOZ1452"/>
      <c r="FPA1452"/>
      <c r="FPB1452"/>
      <c r="FPC1452"/>
      <c r="FPD1452"/>
      <c r="FPE1452"/>
      <c r="FPF1452"/>
      <c r="FPG1452"/>
      <c r="FPH1452"/>
      <c r="FPI1452"/>
      <c r="FPJ1452"/>
      <c r="FPK1452"/>
      <c r="FPL1452"/>
      <c r="FPM1452"/>
      <c r="FPN1452"/>
      <c r="FPO1452"/>
      <c r="FPP1452"/>
      <c r="FPQ1452"/>
      <c r="FPR1452"/>
      <c r="FPS1452"/>
      <c r="FPT1452"/>
      <c r="FPU1452"/>
      <c r="FPV1452"/>
      <c r="FPW1452"/>
      <c r="FPX1452"/>
      <c r="FPY1452"/>
      <c r="FPZ1452"/>
      <c r="FQA1452"/>
      <c r="FQB1452"/>
      <c r="FQC1452"/>
      <c r="FQD1452"/>
      <c r="FQE1452"/>
      <c r="FQF1452"/>
      <c r="FQG1452"/>
      <c r="FQH1452"/>
      <c r="FQI1452"/>
      <c r="FQJ1452"/>
      <c r="FQK1452"/>
      <c r="FQL1452"/>
      <c r="FQM1452"/>
      <c r="FQN1452"/>
      <c r="FQO1452"/>
      <c r="FQP1452"/>
      <c r="FQQ1452"/>
      <c r="FQR1452"/>
      <c r="FQS1452"/>
      <c r="FQT1452"/>
      <c r="FQU1452"/>
      <c r="FQV1452"/>
      <c r="FQW1452"/>
      <c r="FQX1452"/>
      <c r="FQY1452"/>
      <c r="FQZ1452"/>
      <c r="FRA1452"/>
      <c r="FRB1452"/>
      <c r="FRC1452"/>
      <c r="FRD1452"/>
      <c r="FRE1452"/>
      <c r="FRF1452"/>
      <c r="FRG1452"/>
      <c r="FRH1452"/>
      <c r="FRI1452"/>
      <c r="FRJ1452"/>
      <c r="FRK1452"/>
      <c r="FRL1452"/>
      <c r="FRM1452"/>
      <c r="FRN1452"/>
      <c r="FRO1452"/>
      <c r="FRP1452"/>
      <c r="FRQ1452"/>
      <c r="FRR1452"/>
      <c r="FRS1452"/>
      <c r="FRT1452"/>
      <c r="FRU1452"/>
      <c r="FRV1452"/>
      <c r="FRW1452"/>
      <c r="FRX1452"/>
      <c r="FRY1452"/>
      <c r="FRZ1452"/>
      <c r="FSA1452"/>
      <c r="FSB1452"/>
      <c r="FSC1452"/>
      <c r="FSD1452"/>
      <c r="FSE1452"/>
      <c r="FSF1452"/>
      <c r="FSG1452"/>
      <c r="FSH1452"/>
      <c r="FSI1452"/>
      <c r="FSJ1452"/>
      <c r="FSK1452"/>
      <c r="FSL1452"/>
      <c r="FSM1452"/>
      <c r="FSN1452"/>
      <c r="FSO1452"/>
      <c r="FSP1452"/>
      <c r="FSQ1452"/>
      <c r="FSR1452"/>
      <c r="FSS1452"/>
      <c r="FST1452"/>
      <c r="FSU1452"/>
      <c r="FSV1452"/>
      <c r="FSW1452"/>
      <c r="FSX1452"/>
      <c r="FSY1452"/>
      <c r="FSZ1452"/>
      <c r="FTA1452"/>
      <c r="FTB1452"/>
      <c r="FTC1452"/>
      <c r="FTD1452"/>
      <c r="FTE1452"/>
      <c r="FTF1452"/>
      <c r="FTG1452"/>
      <c r="FTH1452"/>
      <c r="FTI1452"/>
      <c r="FTJ1452"/>
      <c r="FTK1452"/>
      <c r="FTL1452"/>
      <c r="FTM1452"/>
      <c r="FTN1452"/>
      <c r="FTO1452"/>
      <c r="FTP1452"/>
      <c r="FTQ1452"/>
      <c r="FTR1452"/>
      <c r="FTS1452"/>
      <c r="FTT1452"/>
      <c r="FTU1452"/>
      <c r="FTV1452"/>
      <c r="FTW1452"/>
      <c r="FTX1452"/>
      <c r="FTY1452"/>
      <c r="FTZ1452"/>
      <c r="FUA1452"/>
      <c r="FUB1452"/>
      <c r="FUC1452"/>
      <c r="FUD1452"/>
      <c r="FUE1452"/>
      <c r="FUF1452"/>
      <c r="FUG1452"/>
      <c r="FUH1452"/>
      <c r="FUI1452"/>
      <c r="FUJ1452"/>
      <c r="FUK1452"/>
      <c r="FUL1452"/>
      <c r="FUM1452"/>
      <c r="FUN1452"/>
      <c r="FUO1452"/>
      <c r="FUP1452"/>
      <c r="FUQ1452"/>
      <c r="FUR1452"/>
      <c r="FUS1452"/>
      <c r="FUT1452"/>
      <c r="FUU1452"/>
      <c r="FUV1452"/>
      <c r="FUW1452"/>
      <c r="FUX1452"/>
      <c r="FUY1452"/>
      <c r="FUZ1452"/>
      <c r="FVA1452"/>
      <c r="FVB1452"/>
      <c r="FVC1452"/>
      <c r="FVD1452"/>
      <c r="FVE1452"/>
      <c r="FVF1452"/>
      <c r="FVG1452"/>
      <c r="FVH1452"/>
      <c r="FVI1452"/>
      <c r="FVJ1452"/>
      <c r="FVK1452"/>
      <c r="FVL1452"/>
      <c r="FVM1452"/>
      <c r="FVN1452"/>
      <c r="FVO1452"/>
      <c r="FVP1452"/>
      <c r="FVQ1452"/>
      <c r="FVR1452"/>
      <c r="FVS1452"/>
      <c r="FVT1452"/>
      <c r="FVU1452"/>
      <c r="FVV1452"/>
      <c r="FVW1452"/>
      <c r="FVX1452"/>
      <c r="FVY1452"/>
      <c r="FVZ1452"/>
      <c r="FWA1452"/>
      <c r="FWB1452"/>
      <c r="FWC1452"/>
      <c r="FWD1452"/>
      <c r="FWE1452"/>
      <c r="FWF1452"/>
      <c r="FWG1452"/>
      <c r="FWH1452"/>
      <c r="FWI1452"/>
      <c r="FWJ1452"/>
      <c r="FWK1452"/>
      <c r="FWL1452"/>
      <c r="FWM1452"/>
      <c r="FWN1452"/>
      <c r="FWO1452"/>
      <c r="FWP1452"/>
      <c r="FWQ1452"/>
      <c r="FWR1452"/>
      <c r="FWS1452"/>
      <c r="FWT1452"/>
      <c r="FWU1452"/>
      <c r="FWV1452"/>
      <c r="FWW1452"/>
      <c r="FWX1452"/>
      <c r="FWY1452"/>
      <c r="FWZ1452"/>
      <c r="FXA1452"/>
      <c r="FXB1452"/>
      <c r="FXC1452"/>
      <c r="FXD1452"/>
      <c r="FXE1452"/>
      <c r="FXF1452"/>
      <c r="FXG1452"/>
      <c r="FXH1452"/>
      <c r="FXI1452"/>
      <c r="FXJ1452"/>
      <c r="FXK1452"/>
      <c r="FXL1452"/>
      <c r="FXM1452"/>
      <c r="FXN1452"/>
      <c r="FXO1452"/>
      <c r="FXP1452"/>
      <c r="FXQ1452"/>
      <c r="FXR1452"/>
      <c r="FXS1452"/>
      <c r="FXT1452"/>
      <c r="FXU1452"/>
      <c r="FXV1452"/>
      <c r="FXW1452"/>
      <c r="FXX1452"/>
      <c r="FXY1452"/>
      <c r="FXZ1452"/>
      <c r="FYA1452"/>
      <c r="FYB1452"/>
      <c r="FYC1452"/>
      <c r="FYD1452"/>
      <c r="FYE1452"/>
      <c r="FYF1452"/>
      <c r="FYG1452"/>
      <c r="FYH1452"/>
      <c r="FYI1452"/>
      <c r="FYJ1452"/>
      <c r="FYK1452"/>
      <c r="FYL1452"/>
      <c r="FYM1452"/>
      <c r="FYN1452"/>
      <c r="FYO1452"/>
      <c r="FYP1452"/>
      <c r="FYQ1452"/>
      <c r="FYR1452"/>
      <c r="FYS1452"/>
      <c r="FYT1452"/>
      <c r="FYU1452"/>
      <c r="FYV1452"/>
      <c r="FYW1452"/>
      <c r="FYX1452"/>
      <c r="FYY1452"/>
      <c r="FYZ1452"/>
      <c r="FZA1452"/>
      <c r="FZB1452"/>
      <c r="FZC1452"/>
      <c r="FZD1452"/>
      <c r="FZE1452"/>
      <c r="FZF1452"/>
      <c r="FZG1452"/>
      <c r="FZH1452"/>
      <c r="FZI1452"/>
      <c r="FZJ1452"/>
      <c r="FZK1452"/>
      <c r="FZL1452"/>
      <c r="FZM1452"/>
      <c r="FZN1452"/>
      <c r="FZO1452"/>
      <c r="FZP1452"/>
      <c r="FZQ1452"/>
      <c r="FZR1452"/>
      <c r="FZS1452"/>
      <c r="FZT1452"/>
      <c r="FZU1452"/>
      <c r="FZV1452"/>
      <c r="FZW1452"/>
      <c r="FZX1452"/>
      <c r="FZY1452"/>
      <c r="FZZ1452"/>
      <c r="GAA1452"/>
      <c r="GAB1452"/>
      <c r="GAC1452"/>
      <c r="GAD1452"/>
      <c r="GAE1452"/>
      <c r="GAF1452"/>
      <c r="GAG1452"/>
      <c r="GAH1452"/>
      <c r="GAI1452"/>
      <c r="GAJ1452"/>
      <c r="GAK1452"/>
      <c r="GAL1452"/>
      <c r="GAM1452"/>
      <c r="GAN1452"/>
      <c r="GAO1452"/>
      <c r="GAP1452"/>
      <c r="GAQ1452"/>
      <c r="GAR1452"/>
      <c r="GAS1452"/>
      <c r="GAT1452"/>
      <c r="GAU1452"/>
      <c r="GAV1452"/>
      <c r="GAW1452"/>
      <c r="GAX1452"/>
      <c r="GAY1452"/>
      <c r="GAZ1452"/>
      <c r="GBA1452"/>
      <c r="GBB1452"/>
      <c r="GBC1452"/>
      <c r="GBD1452"/>
      <c r="GBE1452"/>
      <c r="GBF1452"/>
      <c r="GBG1452"/>
      <c r="GBH1452"/>
      <c r="GBI1452"/>
      <c r="GBJ1452"/>
      <c r="GBK1452"/>
      <c r="GBL1452"/>
      <c r="GBM1452"/>
      <c r="GBN1452"/>
      <c r="GBO1452"/>
      <c r="GBP1452"/>
      <c r="GBQ1452"/>
      <c r="GBR1452"/>
      <c r="GBS1452"/>
      <c r="GBT1452"/>
      <c r="GBU1452"/>
      <c r="GBV1452"/>
      <c r="GBW1452"/>
      <c r="GBX1452"/>
      <c r="GBY1452"/>
      <c r="GBZ1452"/>
      <c r="GCA1452"/>
      <c r="GCB1452"/>
      <c r="GCC1452"/>
      <c r="GCD1452"/>
      <c r="GCE1452"/>
      <c r="GCF1452"/>
      <c r="GCG1452"/>
      <c r="GCH1452"/>
      <c r="GCI1452"/>
      <c r="GCJ1452"/>
      <c r="GCK1452"/>
      <c r="GCL1452"/>
      <c r="GCM1452"/>
      <c r="GCN1452"/>
      <c r="GCO1452"/>
      <c r="GCP1452"/>
      <c r="GCQ1452"/>
      <c r="GCR1452"/>
      <c r="GCS1452"/>
      <c r="GCT1452"/>
      <c r="GCU1452"/>
      <c r="GCV1452"/>
      <c r="GCW1452"/>
      <c r="GCX1452"/>
      <c r="GCY1452"/>
      <c r="GCZ1452"/>
      <c r="GDA1452"/>
      <c r="GDB1452"/>
      <c r="GDC1452"/>
      <c r="GDD1452"/>
      <c r="GDE1452"/>
      <c r="GDF1452"/>
      <c r="GDG1452"/>
      <c r="GDH1452"/>
      <c r="GDI1452"/>
      <c r="GDJ1452"/>
      <c r="GDK1452"/>
      <c r="GDL1452"/>
      <c r="GDM1452"/>
      <c r="GDN1452"/>
      <c r="GDO1452"/>
      <c r="GDP1452"/>
      <c r="GDQ1452"/>
      <c r="GDR1452"/>
      <c r="GDS1452"/>
      <c r="GDT1452"/>
      <c r="GDU1452"/>
      <c r="GDV1452"/>
      <c r="GDW1452"/>
      <c r="GDX1452"/>
      <c r="GDY1452"/>
      <c r="GDZ1452"/>
      <c r="GEA1452"/>
      <c r="GEB1452"/>
      <c r="GEC1452"/>
      <c r="GED1452"/>
      <c r="GEE1452"/>
      <c r="GEF1452"/>
      <c r="GEG1452"/>
      <c r="GEH1452"/>
      <c r="GEI1452"/>
      <c r="GEJ1452"/>
      <c r="GEK1452"/>
      <c r="GEL1452"/>
      <c r="GEM1452"/>
      <c r="GEN1452"/>
      <c r="GEO1452"/>
      <c r="GEP1452"/>
      <c r="GEQ1452"/>
      <c r="GER1452"/>
      <c r="GES1452"/>
      <c r="GET1452"/>
      <c r="GEU1452"/>
      <c r="GEV1452"/>
      <c r="GEW1452"/>
      <c r="GEX1452"/>
      <c r="GEY1452"/>
      <c r="GEZ1452"/>
      <c r="GFA1452"/>
      <c r="GFB1452"/>
      <c r="GFC1452"/>
      <c r="GFD1452"/>
      <c r="GFE1452"/>
      <c r="GFF1452"/>
      <c r="GFG1452"/>
      <c r="GFH1452"/>
      <c r="GFI1452"/>
      <c r="GFJ1452"/>
      <c r="GFK1452"/>
      <c r="GFL1452"/>
      <c r="GFM1452"/>
      <c r="GFN1452"/>
      <c r="GFO1452"/>
      <c r="GFP1452"/>
      <c r="GFQ1452"/>
      <c r="GFR1452"/>
      <c r="GFS1452"/>
      <c r="GFT1452"/>
      <c r="GFU1452"/>
      <c r="GFV1452"/>
      <c r="GFW1452"/>
      <c r="GFX1452"/>
      <c r="GFY1452"/>
      <c r="GFZ1452"/>
      <c r="GGA1452"/>
      <c r="GGB1452"/>
      <c r="GGC1452"/>
      <c r="GGD1452"/>
      <c r="GGE1452"/>
      <c r="GGF1452"/>
      <c r="GGG1452"/>
      <c r="GGH1452"/>
      <c r="GGI1452"/>
      <c r="GGJ1452"/>
      <c r="GGK1452"/>
      <c r="GGL1452"/>
      <c r="GGM1452"/>
      <c r="GGN1452"/>
      <c r="GGO1452"/>
      <c r="GGP1452"/>
      <c r="GGQ1452"/>
      <c r="GGR1452"/>
      <c r="GGS1452"/>
      <c r="GGT1452"/>
      <c r="GGU1452"/>
      <c r="GGV1452"/>
      <c r="GGW1452"/>
      <c r="GGX1452"/>
      <c r="GGY1452"/>
      <c r="GGZ1452"/>
      <c r="GHA1452"/>
      <c r="GHB1452"/>
      <c r="GHC1452"/>
      <c r="GHD1452"/>
      <c r="GHE1452"/>
      <c r="GHF1452"/>
      <c r="GHG1452"/>
      <c r="GHH1452"/>
      <c r="GHI1452"/>
      <c r="GHJ1452"/>
      <c r="GHK1452"/>
      <c r="GHL1452"/>
      <c r="GHM1452"/>
      <c r="GHN1452"/>
      <c r="GHO1452"/>
      <c r="GHP1452"/>
      <c r="GHQ1452"/>
      <c r="GHR1452"/>
      <c r="GHS1452"/>
      <c r="GHT1452"/>
      <c r="GHU1452"/>
      <c r="GHV1452"/>
      <c r="GHW1452"/>
      <c r="GHX1452"/>
      <c r="GHY1452"/>
      <c r="GHZ1452"/>
      <c r="GIA1452"/>
      <c r="GIB1452"/>
      <c r="GIC1452"/>
      <c r="GID1452"/>
      <c r="GIE1452"/>
      <c r="GIF1452"/>
      <c r="GIG1452"/>
      <c r="GIH1452"/>
      <c r="GII1452"/>
      <c r="GIJ1452"/>
      <c r="GIK1452"/>
      <c r="GIL1452"/>
      <c r="GIM1452"/>
      <c r="GIN1452"/>
      <c r="GIO1452"/>
      <c r="GIP1452"/>
      <c r="GIQ1452"/>
      <c r="GIR1452"/>
      <c r="GIS1452"/>
      <c r="GIT1452"/>
      <c r="GIU1452"/>
      <c r="GIV1452"/>
      <c r="GIW1452"/>
      <c r="GIX1452"/>
      <c r="GIY1452"/>
      <c r="GIZ1452"/>
      <c r="GJA1452"/>
      <c r="GJB1452"/>
      <c r="GJC1452"/>
      <c r="GJD1452"/>
      <c r="GJE1452"/>
      <c r="GJF1452"/>
      <c r="GJG1452"/>
      <c r="GJH1452"/>
      <c r="GJI1452"/>
      <c r="GJJ1452"/>
      <c r="GJK1452"/>
      <c r="GJL1452"/>
      <c r="GJM1452"/>
      <c r="GJN1452"/>
      <c r="GJO1452"/>
      <c r="GJP1452"/>
      <c r="GJQ1452"/>
      <c r="GJR1452"/>
      <c r="GJS1452"/>
      <c r="GJT1452"/>
      <c r="GJU1452"/>
      <c r="GJV1452"/>
      <c r="GJW1452"/>
      <c r="GJX1452"/>
      <c r="GJY1452"/>
      <c r="GJZ1452"/>
      <c r="GKA1452"/>
      <c r="GKB1452"/>
      <c r="GKC1452"/>
      <c r="GKD1452"/>
      <c r="GKE1452"/>
      <c r="GKF1452"/>
      <c r="GKG1452"/>
      <c r="GKH1452"/>
      <c r="GKI1452"/>
      <c r="GKJ1452"/>
      <c r="GKK1452"/>
      <c r="GKL1452"/>
      <c r="GKM1452"/>
      <c r="GKN1452"/>
      <c r="GKO1452"/>
      <c r="GKP1452"/>
      <c r="GKQ1452"/>
      <c r="GKR1452"/>
      <c r="GKS1452"/>
      <c r="GKT1452"/>
      <c r="GKU1452"/>
      <c r="GKV1452"/>
      <c r="GKW1452"/>
      <c r="GKX1452"/>
      <c r="GKY1452"/>
      <c r="GKZ1452"/>
      <c r="GLA1452"/>
      <c r="GLB1452"/>
      <c r="GLC1452"/>
      <c r="GLD1452"/>
      <c r="GLE1452"/>
      <c r="GLF1452"/>
      <c r="GLG1452"/>
      <c r="GLH1452"/>
      <c r="GLI1452"/>
      <c r="GLJ1452"/>
      <c r="GLK1452"/>
      <c r="GLL1452"/>
      <c r="GLM1452"/>
      <c r="GLN1452"/>
      <c r="GLO1452"/>
      <c r="GLP1452"/>
      <c r="GLQ1452"/>
      <c r="GLR1452"/>
      <c r="GLS1452"/>
      <c r="GLT1452"/>
      <c r="GLU1452"/>
      <c r="GLV1452"/>
      <c r="GLW1452"/>
      <c r="GLX1452"/>
      <c r="GLY1452"/>
      <c r="GLZ1452"/>
      <c r="GMA1452"/>
      <c r="GMB1452"/>
      <c r="GMC1452"/>
      <c r="GMD1452"/>
      <c r="GME1452"/>
      <c r="GMF1452"/>
      <c r="GMG1452"/>
      <c r="GMH1452"/>
      <c r="GMI1452"/>
      <c r="GMJ1452"/>
      <c r="GMK1452"/>
      <c r="GML1452"/>
      <c r="GMM1452"/>
      <c r="GMN1452"/>
      <c r="GMO1452"/>
      <c r="GMP1452"/>
      <c r="GMQ1452"/>
      <c r="GMR1452"/>
      <c r="GMS1452"/>
      <c r="GMT1452"/>
      <c r="GMU1452"/>
      <c r="GMV1452"/>
      <c r="GMW1452"/>
      <c r="GMX1452"/>
      <c r="GMY1452"/>
      <c r="GMZ1452"/>
      <c r="GNA1452"/>
      <c r="GNB1452"/>
      <c r="GNC1452"/>
      <c r="GND1452"/>
      <c r="GNE1452"/>
      <c r="GNF1452"/>
      <c r="GNG1452"/>
      <c r="GNH1452"/>
      <c r="GNI1452"/>
      <c r="GNJ1452"/>
      <c r="GNK1452"/>
      <c r="GNL1452"/>
      <c r="GNM1452"/>
      <c r="GNN1452"/>
      <c r="GNO1452"/>
      <c r="GNP1452"/>
      <c r="GNQ1452"/>
      <c r="GNR1452"/>
      <c r="GNS1452"/>
      <c r="GNT1452"/>
      <c r="GNU1452"/>
      <c r="GNV1452"/>
      <c r="GNW1452"/>
      <c r="GNX1452"/>
      <c r="GNY1452"/>
      <c r="GNZ1452"/>
      <c r="GOA1452"/>
      <c r="GOB1452"/>
      <c r="GOC1452"/>
      <c r="GOD1452"/>
      <c r="GOE1452"/>
      <c r="GOF1452"/>
      <c r="GOG1452"/>
      <c r="GOH1452"/>
      <c r="GOI1452"/>
      <c r="GOJ1452"/>
      <c r="GOK1452"/>
      <c r="GOL1452"/>
      <c r="GOM1452"/>
      <c r="GON1452"/>
      <c r="GOO1452"/>
      <c r="GOP1452"/>
      <c r="GOQ1452"/>
      <c r="GOR1452"/>
      <c r="GOS1452"/>
      <c r="GOT1452"/>
      <c r="GOU1452"/>
      <c r="GOV1452"/>
      <c r="GOW1452"/>
      <c r="GOX1452"/>
      <c r="GOY1452"/>
      <c r="GOZ1452"/>
      <c r="GPA1452"/>
      <c r="GPB1452"/>
      <c r="GPC1452"/>
      <c r="GPD1452"/>
      <c r="GPE1452"/>
      <c r="GPF1452"/>
      <c r="GPG1452"/>
      <c r="GPH1452"/>
      <c r="GPI1452"/>
      <c r="GPJ1452"/>
      <c r="GPK1452"/>
      <c r="GPL1452"/>
      <c r="GPM1452"/>
      <c r="GPN1452"/>
      <c r="GPO1452"/>
      <c r="GPP1452"/>
      <c r="GPQ1452"/>
      <c r="GPR1452"/>
      <c r="GPS1452"/>
      <c r="GPT1452"/>
      <c r="GPU1452"/>
      <c r="GPV1452"/>
      <c r="GPW1452"/>
      <c r="GPX1452"/>
      <c r="GPY1452"/>
      <c r="GPZ1452"/>
      <c r="GQA1452"/>
      <c r="GQB1452"/>
      <c r="GQC1452"/>
      <c r="GQD1452"/>
      <c r="GQE1452"/>
      <c r="GQF1452"/>
      <c r="GQG1452"/>
      <c r="GQH1452"/>
      <c r="GQI1452"/>
      <c r="GQJ1452"/>
      <c r="GQK1452"/>
      <c r="GQL1452"/>
      <c r="GQM1452"/>
      <c r="GQN1452"/>
      <c r="GQO1452"/>
      <c r="GQP1452"/>
      <c r="GQQ1452"/>
      <c r="GQR1452"/>
      <c r="GQS1452"/>
      <c r="GQT1452"/>
      <c r="GQU1452"/>
      <c r="GQV1452"/>
      <c r="GQW1452"/>
      <c r="GQX1452"/>
      <c r="GQY1452"/>
      <c r="GQZ1452"/>
      <c r="GRA1452"/>
      <c r="GRB1452"/>
      <c r="GRC1452"/>
      <c r="GRD1452"/>
      <c r="GRE1452"/>
      <c r="GRF1452"/>
      <c r="GRG1452"/>
      <c r="GRH1452"/>
      <c r="GRI1452"/>
      <c r="GRJ1452"/>
      <c r="GRK1452"/>
      <c r="GRL1452"/>
      <c r="GRM1452"/>
      <c r="GRN1452"/>
      <c r="GRO1452"/>
      <c r="GRP1452"/>
      <c r="GRQ1452"/>
      <c r="GRR1452"/>
      <c r="GRS1452"/>
      <c r="GRT1452"/>
      <c r="GRU1452"/>
      <c r="GRV1452"/>
      <c r="GRW1452"/>
      <c r="GRX1452"/>
      <c r="GRY1452"/>
      <c r="GRZ1452"/>
      <c r="GSA1452"/>
      <c r="GSB1452"/>
      <c r="GSC1452"/>
      <c r="GSD1452"/>
      <c r="GSE1452"/>
      <c r="GSF1452"/>
      <c r="GSG1452"/>
      <c r="GSH1452"/>
      <c r="GSI1452"/>
      <c r="GSJ1452"/>
      <c r="GSK1452"/>
      <c r="GSL1452"/>
      <c r="GSM1452"/>
      <c r="GSN1452"/>
      <c r="GSO1452"/>
      <c r="GSP1452"/>
      <c r="GSQ1452"/>
      <c r="GSR1452"/>
      <c r="GSS1452"/>
      <c r="GST1452"/>
      <c r="GSU1452"/>
      <c r="GSV1452"/>
      <c r="GSW1452"/>
      <c r="GSX1452"/>
      <c r="GSY1452"/>
      <c r="GSZ1452"/>
      <c r="GTA1452"/>
      <c r="GTB1452"/>
      <c r="GTC1452"/>
      <c r="GTD1452"/>
      <c r="GTE1452"/>
      <c r="GTF1452"/>
      <c r="GTG1452"/>
      <c r="GTH1452"/>
      <c r="GTI1452"/>
      <c r="GTJ1452"/>
      <c r="GTK1452"/>
      <c r="GTL1452"/>
      <c r="GTM1452"/>
      <c r="GTN1452"/>
      <c r="GTO1452"/>
      <c r="GTP1452"/>
      <c r="GTQ1452"/>
      <c r="GTR1452"/>
      <c r="GTS1452"/>
      <c r="GTT1452"/>
      <c r="GTU1452"/>
      <c r="GTV1452"/>
      <c r="GTW1452"/>
      <c r="GTX1452"/>
      <c r="GTY1452"/>
      <c r="GTZ1452"/>
      <c r="GUA1452"/>
      <c r="GUB1452"/>
      <c r="GUC1452"/>
      <c r="GUD1452"/>
      <c r="GUE1452"/>
      <c r="GUF1452"/>
      <c r="GUG1452"/>
      <c r="GUH1452"/>
      <c r="GUI1452"/>
      <c r="GUJ1452"/>
      <c r="GUK1452"/>
      <c r="GUL1452"/>
      <c r="GUM1452"/>
      <c r="GUN1452"/>
      <c r="GUO1452"/>
      <c r="GUP1452"/>
      <c r="GUQ1452"/>
      <c r="GUR1452"/>
      <c r="GUS1452"/>
      <c r="GUT1452"/>
      <c r="GUU1452"/>
      <c r="GUV1452"/>
      <c r="GUW1452"/>
      <c r="GUX1452"/>
      <c r="GUY1452"/>
      <c r="GUZ1452"/>
      <c r="GVA1452"/>
      <c r="GVB1452"/>
      <c r="GVC1452"/>
      <c r="GVD1452"/>
      <c r="GVE1452"/>
      <c r="GVF1452"/>
      <c r="GVG1452"/>
      <c r="GVH1452"/>
      <c r="GVI1452"/>
      <c r="GVJ1452"/>
      <c r="GVK1452"/>
      <c r="GVL1452"/>
      <c r="GVM1452"/>
      <c r="GVN1452"/>
      <c r="GVO1452"/>
      <c r="GVP1452"/>
      <c r="GVQ1452"/>
      <c r="GVR1452"/>
      <c r="GVS1452"/>
      <c r="GVT1452"/>
      <c r="GVU1452"/>
      <c r="GVV1452"/>
      <c r="GVW1452"/>
      <c r="GVX1452"/>
      <c r="GVY1452"/>
      <c r="GVZ1452"/>
      <c r="GWA1452"/>
      <c r="GWB1452"/>
      <c r="GWC1452"/>
      <c r="GWD1452"/>
      <c r="GWE1452"/>
      <c r="GWF1452"/>
      <c r="GWG1452"/>
      <c r="GWH1452"/>
      <c r="GWI1452"/>
      <c r="GWJ1452"/>
      <c r="GWK1452"/>
      <c r="GWL1452"/>
      <c r="GWM1452"/>
      <c r="GWN1452"/>
      <c r="GWO1452"/>
      <c r="GWP1452"/>
      <c r="GWQ1452"/>
      <c r="GWR1452"/>
      <c r="GWS1452"/>
      <c r="GWT1452"/>
      <c r="GWU1452"/>
      <c r="GWV1452"/>
      <c r="GWW1452"/>
      <c r="GWX1452"/>
      <c r="GWY1452"/>
      <c r="GWZ1452"/>
      <c r="GXA1452"/>
      <c r="GXB1452"/>
      <c r="GXC1452"/>
      <c r="GXD1452"/>
      <c r="GXE1452"/>
      <c r="GXF1452"/>
      <c r="GXG1452"/>
      <c r="GXH1452"/>
      <c r="GXI1452"/>
      <c r="GXJ1452"/>
      <c r="GXK1452"/>
      <c r="GXL1452"/>
      <c r="GXM1452"/>
      <c r="GXN1452"/>
      <c r="GXO1452"/>
      <c r="GXP1452"/>
      <c r="GXQ1452"/>
      <c r="GXR1452"/>
      <c r="GXS1452"/>
      <c r="GXT1452"/>
      <c r="GXU1452"/>
      <c r="GXV1452"/>
      <c r="GXW1452"/>
      <c r="GXX1452"/>
      <c r="GXY1452"/>
      <c r="GXZ1452"/>
      <c r="GYA1452"/>
      <c r="GYB1452"/>
      <c r="GYC1452"/>
      <c r="GYD1452"/>
      <c r="GYE1452"/>
      <c r="GYF1452"/>
      <c r="GYG1452"/>
      <c r="GYH1452"/>
      <c r="GYI1452"/>
      <c r="GYJ1452"/>
      <c r="GYK1452"/>
      <c r="GYL1452"/>
      <c r="GYM1452"/>
      <c r="GYN1452"/>
      <c r="GYO1452"/>
      <c r="GYP1452"/>
      <c r="GYQ1452"/>
      <c r="GYR1452"/>
      <c r="GYS1452"/>
      <c r="GYT1452"/>
      <c r="GYU1452"/>
      <c r="GYV1452"/>
      <c r="GYW1452"/>
      <c r="GYX1452"/>
      <c r="GYY1452"/>
      <c r="GYZ1452"/>
      <c r="GZA1452"/>
      <c r="GZB1452"/>
      <c r="GZC1452"/>
      <c r="GZD1452"/>
      <c r="GZE1452"/>
      <c r="GZF1452"/>
      <c r="GZG1452"/>
      <c r="GZH1452"/>
      <c r="GZI1452"/>
      <c r="GZJ1452"/>
      <c r="GZK1452"/>
      <c r="GZL1452"/>
      <c r="GZM1452"/>
      <c r="GZN1452"/>
      <c r="GZO1452"/>
      <c r="GZP1452"/>
      <c r="GZQ1452"/>
      <c r="GZR1452"/>
      <c r="GZS1452"/>
      <c r="GZT1452"/>
      <c r="GZU1452"/>
      <c r="GZV1452"/>
      <c r="GZW1452"/>
      <c r="GZX1452"/>
      <c r="GZY1452"/>
      <c r="GZZ1452"/>
      <c r="HAA1452"/>
      <c r="HAB1452"/>
      <c r="HAC1452"/>
      <c r="HAD1452"/>
      <c r="HAE1452"/>
      <c r="HAF1452"/>
      <c r="HAG1452"/>
      <c r="HAH1452"/>
      <c r="HAI1452"/>
      <c r="HAJ1452"/>
      <c r="HAK1452"/>
      <c r="HAL1452"/>
      <c r="HAM1452"/>
      <c r="HAN1452"/>
      <c r="HAO1452"/>
      <c r="HAP1452"/>
      <c r="HAQ1452"/>
      <c r="HAR1452"/>
      <c r="HAS1452"/>
      <c r="HAT1452"/>
      <c r="HAU1452"/>
      <c r="HAV1452"/>
      <c r="HAW1452"/>
      <c r="HAX1452"/>
      <c r="HAY1452"/>
      <c r="HAZ1452"/>
      <c r="HBA1452"/>
      <c r="HBB1452"/>
      <c r="HBC1452"/>
      <c r="HBD1452"/>
      <c r="HBE1452"/>
      <c r="HBF1452"/>
      <c r="HBG1452"/>
      <c r="HBH1452"/>
      <c r="HBI1452"/>
      <c r="HBJ1452"/>
      <c r="HBK1452"/>
      <c r="HBL1452"/>
      <c r="HBM1452"/>
      <c r="HBN1452"/>
      <c r="HBO1452"/>
      <c r="HBP1452"/>
      <c r="HBQ1452"/>
      <c r="HBR1452"/>
      <c r="HBS1452"/>
      <c r="HBT1452"/>
      <c r="HBU1452"/>
      <c r="HBV1452"/>
      <c r="HBW1452"/>
      <c r="HBX1452"/>
      <c r="HBY1452"/>
      <c r="HBZ1452"/>
      <c r="HCA1452"/>
      <c r="HCB1452"/>
      <c r="HCC1452"/>
      <c r="HCD1452"/>
      <c r="HCE1452"/>
      <c r="HCF1452"/>
      <c r="HCG1452"/>
      <c r="HCH1452"/>
      <c r="HCI1452"/>
      <c r="HCJ1452"/>
      <c r="HCK1452"/>
      <c r="HCL1452"/>
      <c r="HCM1452"/>
      <c r="HCN1452"/>
      <c r="HCO1452"/>
      <c r="HCP1452"/>
      <c r="HCQ1452"/>
      <c r="HCR1452"/>
      <c r="HCS1452"/>
      <c r="HCT1452"/>
      <c r="HCU1452"/>
      <c r="HCV1452"/>
      <c r="HCW1452"/>
      <c r="HCX1452"/>
      <c r="HCY1452"/>
      <c r="HCZ1452"/>
      <c r="HDA1452"/>
      <c r="HDB1452"/>
      <c r="HDC1452"/>
      <c r="HDD1452"/>
      <c r="HDE1452"/>
      <c r="HDF1452"/>
      <c r="HDG1452"/>
      <c r="HDH1452"/>
      <c r="HDI1452"/>
      <c r="HDJ1452"/>
      <c r="HDK1452"/>
      <c r="HDL1452"/>
      <c r="HDM1452"/>
      <c r="HDN1452"/>
      <c r="HDO1452"/>
      <c r="HDP1452"/>
      <c r="HDQ1452"/>
      <c r="HDR1452"/>
      <c r="HDS1452"/>
      <c r="HDT1452"/>
      <c r="HDU1452"/>
      <c r="HDV1452"/>
      <c r="HDW1452"/>
      <c r="HDX1452"/>
      <c r="HDY1452"/>
      <c r="HDZ1452"/>
      <c r="HEA1452"/>
      <c r="HEB1452"/>
      <c r="HEC1452"/>
      <c r="HED1452"/>
      <c r="HEE1452"/>
      <c r="HEF1452"/>
      <c r="HEG1452"/>
      <c r="HEH1452"/>
      <c r="HEI1452"/>
      <c r="HEJ1452"/>
      <c r="HEK1452"/>
      <c r="HEL1452"/>
      <c r="HEM1452"/>
      <c r="HEN1452"/>
      <c r="HEO1452"/>
      <c r="HEP1452"/>
      <c r="HEQ1452"/>
      <c r="HER1452"/>
      <c r="HES1452"/>
      <c r="HET1452"/>
      <c r="HEU1452"/>
      <c r="HEV1452"/>
      <c r="HEW1452"/>
      <c r="HEX1452"/>
      <c r="HEY1452"/>
      <c r="HEZ1452"/>
      <c r="HFA1452"/>
      <c r="HFB1452"/>
      <c r="HFC1452"/>
      <c r="HFD1452"/>
      <c r="HFE1452"/>
      <c r="HFF1452"/>
      <c r="HFG1452"/>
      <c r="HFH1452"/>
      <c r="HFI1452"/>
      <c r="HFJ1452"/>
      <c r="HFK1452"/>
      <c r="HFL1452"/>
      <c r="HFM1452"/>
      <c r="HFN1452"/>
      <c r="HFO1452"/>
      <c r="HFP1452"/>
      <c r="HFQ1452"/>
      <c r="HFR1452"/>
      <c r="HFS1452"/>
      <c r="HFT1452"/>
      <c r="HFU1452"/>
      <c r="HFV1452"/>
      <c r="HFW1452"/>
      <c r="HFX1452"/>
      <c r="HFY1452"/>
      <c r="HFZ1452"/>
      <c r="HGA1452"/>
      <c r="HGB1452"/>
      <c r="HGC1452"/>
      <c r="HGD1452"/>
      <c r="HGE1452"/>
      <c r="HGF1452"/>
      <c r="HGG1452"/>
      <c r="HGH1452"/>
      <c r="HGI1452"/>
      <c r="HGJ1452"/>
      <c r="HGK1452"/>
      <c r="HGL1452"/>
      <c r="HGM1452"/>
      <c r="HGN1452"/>
      <c r="HGO1452"/>
      <c r="HGP1452"/>
      <c r="HGQ1452"/>
      <c r="HGR1452"/>
      <c r="HGS1452"/>
      <c r="HGT1452"/>
      <c r="HGU1452"/>
      <c r="HGV1452"/>
      <c r="HGW1452"/>
      <c r="HGX1452"/>
      <c r="HGY1452"/>
      <c r="HGZ1452"/>
      <c r="HHA1452"/>
      <c r="HHB1452"/>
      <c r="HHC1452"/>
      <c r="HHD1452"/>
      <c r="HHE1452"/>
      <c r="HHF1452"/>
      <c r="HHG1452"/>
      <c r="HHH1452"/>
      <c r="HHI1452"/>
      <c r="HHJ1452"/>
      <c r="HHK1452"/>
      <c r="HHL1452"/>
      <c r="HHM1452"/>
      <c r="HHN1452"/>
      <c r="HHO1452"/>
      <c r="HHP1452"/>
      <c r="HHQ1452"/>
      <c r="HHR1452"/>
      <c r="HHS1452"/>
      <c r="HHT1452"/>
      <c r="HHU1452"/>
      <c r="HHV1452"/>
      <c r="HHW1452"/>
      <c r="HHX1452"/>
      <c r="HHY1452"/>
      <c r="HHZ1452"/>
      <c r="HIA1452"/>
      <c r="HIB1452"/>
      <c r="HIC1452"/>
      <c r="HID1452"/>
      <c r="HIE1452"/>
      <c r="HIF1452"/>
      <c r="HIG1452"/>
      <c r="HIH1452"/>
      <c r="HII1452"/>
      <c r="HIJ1452"/>
      <c r="HIK1452"/>
      <c r="HIL1452"/>
      <c r="HIM1452"/>
      <c r="HIN1452"/>
      <c r="HIO1452"/>
      <c r="HIP1452"/>
      <c r="HIQ1452"/>
      <c r="HIR1452"/>
      <c r="HIS1452"/>
      <c r="HIT1452"/>
      <c r="HIU1452"/>
      <c r="HIV1452"/>
      <c r="HIW1452"/>
      <c r="HIX1452"/>
      <c r="HIY1452"/>
      <c r="HIZ1452"/>
      <c r="HJA1452"/>
      <c r="HJB1452"/>
      <c r="HJC1452"/>
      <c r="HJD1452"/>
      <c r="HJE1452"/>
      <c r="HJF1452"/>
      <c r="HJG1452"/>
      <c r="HJH1452"/>
      <c r="HJI1452"/>
      <c r="HJJ1452"/>
      <c r="HJK1452"/>
      <c r="HJL1452"/>
      <c r="HJM1452"/>
      <c r="HJN1452"/>
      <c r="HJO1452"/>
      <c r="HJP1452"/>
      <c r="HJQ1452"/>
      <c r="HJR1452"/>
      <c r="HJS1452"/>
      <c r="HJT1452"/>
      <c r="HJU1452"/>
      <c r="HJV1452"/>
      <c r="HJW1452"/>
      <c r="HJX1452"/>
      <c r="HJY1452"/>
      <c r="HJZ1452"/>
      <c r="HKA1452"/>
      <c r="HKB1452"/>
      <c r="HKC1452"/>
      <c r="HKD1452"/>
      <c r="HKE1452"/>
      <c r="HKF1452"/>
      <c r="HKG1452"/>
      <c r="HKH1452"/>
      <c r="HKI1452"/>
      <c r="HKJ1452"/>
      <c r="HKK1452"/>
      <c r="HKL1452"/>
      <c r="HKM1452"/>
      <c r="HKN1452"/>
      <c r="HKO1452"/>
      <c r="HKP1452"/>
      <c r="HKQ1452"/>
      <c r="HKR1452"/>
      <c r="HKS1452"/>
      <c r="HKT1452"/>
      <c r="HKU1452"/>
      <c r="HKV1452"/>
      <c r="HKW1452"/>
      <c r="HKX1452"/>
      <c r="HKY1452"/>
      <c r="HKZ1452"/>
      <c r="HLA1452"/>
      <c r="HLB1452"/>
      <c r="HLC1452"/>
      <c r="HLD1452"/>
      <c r="HLE1452"/>
      <c r="HLF1452"/>
      <c r="HLG1452"/>
      <c r="HLH1452"/>
      <c r="HLI1452"/>
      <c r="HLJ1452"/>
      <c r="HLK1452"/>
      <c r="HLL1452"/>
      <c r="HLM1452"/>
      <c r="HLN1452"/>
      <c r="HLO1452"/>
      <c r="HLP1452"/>
      <c r="HLQ1452"/>
      <c r="HLR1452"/>
      <c r="HLS1452"/>
      <c r="HLT1452"/>
      <c r="HLU1452"/>
      <c r="HLV1452"/>
      <c r="HLW1452"/>
      <c r="HLX1452"/>
      <c r="HLY1452"/>
      <c r="HLZ1452"/>
      <c r="HMA1452"/>
      <c r="HMB1452"/>
      <c r="HMC1452"/>
      <c r="HMD1452"/>
      <c r="HME1452"/>
      <c r="HMF1452"/>
      <c r="HMG1452"/>
      <c r="HMH1452"/>
      <c r="HMI1452"/>
      <c r="HMJ1452"/>
      <c r="HMK1452"/>
      <c r="HML1452"/>
      <c r="HMM1452"/>
      <c r="HMN1452"/>
      <c r="HMO1452"/>
      <c r="HMP1452"/>
      <c r="HMQ1452"/>
      <c r="HMR1452"/>
      <c r="HMS1452"/>
      <c r="HMT1452"/>
      <c r="HMU1452"/>
      <c r="HMV1452"/>
      <c r="HMW1452"/>
      <c r="HMX1452"/>
      <c r="HMY1452"/>
      <c r="HMZ1452"/>
      <c r="HNA1452"/>
      <c r="HNB1452"/>
      <c r="HNC1452"/>
      <c r="HND1452"/>
      <c r="HNE1452"/>
      <c r="HNF1452"/>
      <c r="HNG1452"/>
      <c r="HNH1452"/>
      <c r="HNI1452"/>
      <c r="HNJ1452"/>
      <c r="HNK1452"/>
      <c r="HNL1452"/>
      <c r="HNM1452"/>
      <c r="HNN1452"/>
      <c r="HNO1452"/>
      <c r="HNP1452"/>
      <c r="HNQ1452"/>
      <c r="HNR1452"/>
      <c r="HNS1452"/>
      <c r="HNT1452"/>
      <c r="HNU1452"/>
      <c r="HNV1452"/>
      <c r="HNW1452"/>
      <c r="HNX1452"/>
      <c r="HNY1452"/>
      <c r="HNZ1452"/>
      <c r="HOA1452"/>
      <c r="HOB1452"/>
      <c r="HOC1452"/>
      <c r="HOD1452"/>
      <c r="HOE1452"/>
      <c r="HOF1452"/>
      <c r="HOG1452"/>
      <c r="HOH1452"/>
      <c r="HOI1452"/>
      <c r="HOJ1452"/>
      <c r="HOK1452"/>
      <c r="HOL1452"/>
      <c r="HOM1452"/>
      <c r="HON1452"/>
      <c r="HOO1452"/>
      <c r="HOP1452"/>
      <c r="HOQ1452"/>
      <c r="HOR1452"/>
      <c r="HOS1452"/>
      <c r="HOT1452"/>
      <c r="HOU1452"/>
      <c r="HOV1452"/>
      <c r="HOW1452"/>
      <c r="HOX1452"/>
      <c r="HOY1452"/>
      <c r="HOZ1452"/>
      <c r="HPA1452"/>
      <c r="HPB1452"/>
      <c r="HPC1452"/>
      <c r="HPD1452"/>
      <c r="HPE1452"/>
      <c r="HPF1452"/>
      <c r="HPG1452"/>
      <c r="HPH1452"/>
      <c r="HPI1452"/>
      <c r="HPJ1452"/>
      <c r="HPK1452"/>
      <c r="HPL1452"/>
      <c r="HPM1452"/>
      <c r="HPN1452"/>
      <c r="HPO1452"/>
      <c r="HPP1452"/>
      <c r="HPQ1452"/>
      <c r="HPR1452"/>
      <c r="HPS1452"/>
      <c r="HPT1452"/>
      <c r="HPU1452"/>
      <c r="HPV1452"/>
      <c r="HPW1452"/>
      <c r="HPX1452"/>
      <c r="HPY1452"/>
      <c r="HPZ1452"/>
      <c r="HQA1452"/>
      <c r="HQB1452"/>
      <c r="HQC1452"/>
      <c r="HQD1452"/>
      <c r="HQE1452"/>
      <c r="HQF1452"/>
      <c r="HQG1452"/>
      <c r="HQH1452"/>
      <c r="HQI1452"/>
      <c r="HQJ1452"/>
      <c r="HQK1452"/>
      <c r="HQL1452"/>
      <c r="HQM1452"/>
      <c r="HQN1452"/>
      <c r="HQO1452"/>
      <c r="HQP1452"/>
      <c r="HQQ1452"/>
      <c r="HQR1452"/>
      <c r="HQS1452"/>
      <c r="HQT1452"/>
      <c r="HQU1452"/>
      <c r="HQV1452"/>
      <c r="HQW1452"/>
      <c r="HQX1452"/>
      <c r="HQY1452"/>
      <c r="HQZ1452"/>
      <c r="HRA1452"/>
      <c r="HRB1452"/>
      <c r="HRC1452"/>
      <c r="HRD1452"/>
      <c r="HRE1452"/>
      <c r="HRF1452"/>
      <c r="HRG1452"/>
      <c r="HRH1452"/>
      <c r="HRI1452"/>
      <c r="HRJ1452"/>
      <c r="HRK1452"/>
      <c r="HRL1452"/>
      <c r="HRM1452"/>
      <c r="HRN1452"/>
      <c r="HRO1452"/>
      <c r="HRP1452"/>
      <c r="HRQ1452"/>
      <c r="HRR1452"/>
      <c r="HRS1452"/>
      <c r="HRT1452"/>
      <c r="HRU1452"/>
      <c r="HRV1452"/>
      <c r="HRW1452"/>
      <c r="HRX1452"/>
      <c r="HRY1452"/>
      <c r="HRZ1452"/>
      <c r="HSA1452"/>
      <c r="HSB1452"/>
      <c r="HSC1452"/>
      <c r="HSD1452"/>
      <c r="HSE1452"/>
      <c r="HSF1452"/>
      <c r="HSG1452"/>
      <c r="HSH1452"/>
      <c r="HSI1452"/>
      <c r="HSJ1452"/>
      <c r="HSK1452"/>
      <c r="HSL1452"/>
      <c r="HSM1452"/>
      <c r="HSN1452"/>
      <c r="HSO1452"/>
      <c r="HSP1452"/>
      <c r="HSQ1452"/>
      <c r="HSR1452"/>
      <c r="HSS1452"/>
      <c r="HST1452"/>
      <c r="HSU1452"/>
      <c r="HSV1452"/>
      <c r="HSW1452"/>
      <c r="HSX1452"/>
      <c r="HSY1452"/>
      <c r="HSZ1452"/>
      <c r="HTA1452"/>
      <c r="HTB1452"/>
      <c r="HTC1452"/>
      <c r="HTD1452"/>
      <c r="HTE1452"/>
      <c r="HTF1452"/>
      <c r="HTG1452"/>
      <c r="HTH1452"/>
      <c r="HTI1452"/>
      <c r="HTJ1452"/>
      <c r="HTK1452"/>
      <c r="HTL1452"/>
      <c r="HTM1452"/>
      <c r="HTN1452"/>
      <c r="HTO1452"/>
      <c r="HTP1452"/>
      <c r="HTQ1452"/>
      <c r="HTR1452"/>
      <c r="HTS1452"/>
      <c r="HTT1452"/>
      <c r="HTU1452"/>
      <c r="HTV1452"/>
      <c r="HTW1452"/>
      <c r="HTX1452"/>
      <c r="HTY1452"/>
      <c r="HTZ1452"/>
      <c r="HUA1452"/>
      <c r="HUB1452"/>
      <c r="HUC1452"/>
      <c r="HUD1452"/>
      <c r="HUE1452"/>
      <c r="HUF1452"/>
      <c r="HUG1452"/>
      <c r="HUH1452"/>
      <c r="HUI1452"/>
      <c r="HUJ1452"/>
      <c r="HUK1452"/>
      <c r="HUL1452"/>
      <c r="HUM1452"/>
      <c r="HUN1452"/>
      <c r="HUO1452"/>
      <c r="HUP1452"/>
      <c r="HUQ1452"/>
      <c r="HUR1452"/>
      <c r="HUS1452"/>
      <c r="HUT1452"/>
      <c r="HUU1452"/>
      <c r="HUV1452"/>
      <c r="HUW1452"/>
      <c r="HUX1452"/>
      <c r="HUY1452"/>
      <c r="HUZ1452"/>
      <c r="HVA1452"/>
      <c r="HVB1452"/>
      <c r="HVC1452"/>
      <c r="HVD1452"/>
      <c r="HVE1452"/>
      <c r="HVF1452"/>
      <c r="HVG1452"/>
      <c r="HVH1452"/>
      <c r="HVI1452"/>
      <c r="HVJ1452"/>
      <c r="HVK1452"/>
      <c r="HVL1452"/>
      <c r="HVM1452"/>
      <c r="HVN1452"/>
      <c r="HVO1452"/>
      <c r="HVP1452"/>
      <c r="HVQ1452"/>
      <c r="HVR1452"/>
      <c r="HVS1452"/>
      <c r="HVT1452"/>
      <c r="HVU1452"/>
      <c r="HVV1452"/>
      <c r="HVW1452"/>
      <c r="HVX1452"/>
      <c r="HVY1452"/>
      <c r="HVZ1452"/>
      <c r="HWA1452"/>
      <c r="HWB1452"/>
      <c r="HWC1452"/>
      <c r="HWD1452"/>
      <c r="HWE1452"/>
      <c r="HWF1452"/>
      <c r="HWG1452"/>
      <c r="HWH1452"/>
      <c r="HWI1452"/>
      <c r="HWJ1452"/>
      <c r="HWK1452"/>
      <c r="HWL1452"/>
      <c r="HWM1452"/>
      <c r="HWN1452"/>
      <c r="HWO1452"/>
      <c r="HWP1452"/>
      <c r="HWQ1452"/>
      <c r="HWR1452"/>
      <c r="HWS1452"/>
      <c r="HWT1452"/>
      <c r="HWU1452"/>
      <c r="HWV1452"/>
      <c r="HWW1452"/>
      <c r="HWX1452"/>
      <c r="HWY1452"/>
      <c r="HWZ1452"/>
      <c r="HXA1452"/>
      <c r="HXB1452"/>
      <c r="HXC1452"/>
      <c r="HXD1452"/>
      <c r="HXE1452"/>
      <c r="HXF1452"/>
      <c r="HXG1452"/>
      <c r="HXH1452"/>
      <c r="HXI1452"/>
      <c r="HXJ1452"/>
      <c r="HXK1452"/>
      <c r="HXL1452"/>
      <c r="HXM1452"/>
      <c r="HXN1452"/>
      <c r="HXO1452"/>
      <c r="HXP1452"/>
      <c r="HXQ1452"/>
      <c r="HXR1452"/>
      <c r="HXS1452"/>
      <c r="HXT1452"/>
      <c r="HXU1452"/>
      <c r="HXV1452"/>
      <c r="HXW1452"/>
      <c r="HXX1452"/>
      <c r="HXY1452"/>
      <c r="HXZ1452"/>
      <c r="HYA1452"/>
      <c r="HYB1452"/>
      <c r="HYC1452"/>
      <c r="HYD1452"/>
      <c r="HYE1452"/>
      <c r="HYF1452"/>
      <c r="HYG1452"/>
      <c r="HYH1452"/>
      <c r="HYI1452"/>
      <c r="HYJ1452"/>
      <c r="HYK1452"/>
      <c r="HYL1452"/>
      <c r="HYM1452"/>
      <c r="HYN1452"/>
      <c r="HYO1452"/>
      <c r="HYP1452"/>
      <c r="HYQ1452"/>
      <c r="HYR1452"/>
      <c r="HYS1452"/>
      <c r="HYT1452"/>
      <c r="HYU1452"/>
      <c r="HYV1452"/>
      <c r="HYW1452"/>
      <c r="HYX1452"/>
      <c r="HYY1452"/>
      <c r="HYZ1452"/>
      <c r="HZA1452"/>
      <c r="HZB1452"/>
      <c r="HZC1452"/>
      <c r="HZD1452"/>
      <c r="HZE1452"/>
      <c r="HZF1452"/>
      <c r="HZG1452"/>
      <c r="HZH1452"/>
      <c r="HZI1452"/>
      <c r="HZJ1452"/>
      <c r="HZK1452"/>
      <c r="HZL1452"/>
      <c r="HZM1452"/>
      <c r="HZN1452"/>
      <c r="HZO1452"/>
      <c r="HZP1452"/>
      <c r="HZQ1452"/>
      <c r="HZR1452"/>
      <c r="HZS1452"/>
      <c r="HZT1452"/>
      <c r="HZU1452"/>
      <c r="HZV1452"/>
      <c r="HZW1452"/>
      <c r="HZX1452"/>
      <c r="HZY1452"/>
      <c r="HZZ1452"/>
      <c r="IAA1452"/>
      <c r="IAB1452"/>
      <c r="IAC1452"/>
      <c r="IAD1452"/>
      <c r="IAE1452"/>
      <c r="IAF1452"/>
      <c r="IAG1452"/>
      <c r="IAH1452"/>
      <c r="IAI1452"/>
      <c r="IAJ1452"/>
      <c r="IAK1452"/>
      <c r="IAL1452"/>
      <c r="IAM1452"/>
      <c r="IAN1452"/>
      <c r="IAO1452"/>
      <c r="IAP1452"/>
      <c r="IAQ1452"/>
      <c r="IAR1452"/>
      <c r="IAS1452"/>
      <c r="IAT1452"/>
      <c r="IAU1452"/>
      <c r="IAV1452"/>
      <c r="IAW1452"/>
      <c r="IAX1452"/>
      <c r="IAY1452"/>
      <c r="IAZ1452"/>
      <c r="IBA1452"/>
      <c r="IBB1452"/>
      <c r="IBC1452"/>
      <c r="IBD1452"/>
      <c r="IBE1452"/>
      <c r="IBF1452"/>
      <c r="IBG1452"/>
      <c r="IBH1452"/>
      <c r="IBI1452"/>
      <c r="IBJ1452"/>
      <c r="IBK1452"/>
      <c r="IBL1452"/>
      <c r="IBM1452"/>
      <c r="IBN1452"/>
      <c r="IBO1452"/>
      <c r="IBP1452"/>
      <c r="IBQ1452"/>
      <c r="IBR1452"/>
      <c r="IBS1452"/>
      <c r="IBT1452"/>
      <c r="IBU1452"/>
      <c r="IBV1452"/>
      <c r="IBW1452"/>
      <c r="IBX1452"/>
      <c r="IBY1452"/>
      <c r="IBZ1452"/>
      <c r="ICA1452"/>
      <c r="ICB1452"/>
      <c r="ICC1452"/>
      <c r="ICD1452"/>
      <c r="ICE1452"/>
      <c r="ICF1452"/>
      <c r="ICG1452"/>
      <c r="ICH1452"/>
      <c r="ICI1452"/>
      <c r="ICJ1452"/>
      <c r="ICK1452"/>
      <c r="ICL1452"/>
      <c r="ICM1452"/>
      <c r="ICN1452"/>
      <c r="ICO1452"/>
      <c r="ICP1452"/>
      <c r="ICQ1452"/>
      <c r="ICR1452"/>
      <c r="ICS1452"/>
      <c r="ICT1452"/>
      <c r="ICU1452"/>
      <c r="ICV1452"/>
      <c r="ICW1452"/>
      <c r="ICX1452"/>
      <c r="ICY1452"/>
      <c r="ICZ1452"/>
      <c r="IDA1452"/>
      <c r="IDB1452"/>
      <c r="IDC1452"/>
      <c r="IDD1452"/>
      <c r="IDE1452"/>
      <c r="IDF1452"/>
      <c r="IDG1452"/>
      <c r="IDH1452"/>
      <c r="IDI1452"/>
      <c r="IDJ1452"/>
      <c r="IDK1452"/>
      <c r="IDL1452"/>
      <c r="IDM1452"/>
      <c r="IDN1452"/>
      <c r="IDO1452"/>
      <c r="IDP1452"/>
      <c r="IDQ1452"/>
      <c r="IDR1452"/>
      <c r="IDS1452"/>
      <c r="IDT1452"/>
      <c r="IDU1452"/>
      <c r="IDV1452"/>
      <c r="IDW1452"/>
      <c r="IDX1452"/>
      <c r="IDY1452"/>
      <c r="IDZ1452"/>
      <c r="IEA1452"/>
      <c r="IEB1452"/>
      <c r="IEC1452"/>
      <c r="IED1452"/>
      <c r="IEE1452"/>
      <c r="IEF1452"/>
      <c r="IEG1452"/>
      <c r="IEH1452"/>
      <c r="IEI1452"/>
      <c r="IEJ1452"/>
      <c r="IEK1452"/>
      <c r="IEL1452"/>
      <c r="IEM1452"/>
      <c r="IEN1452"/>
      <c r="IEO1452"/>
      <c r="IEP1452"/>
      <c r="IEQ1452"/>
      <c r="IER1452"/>
      <c r="IES1452"/>
      <c r="IET1452"/>
      <c r="IEU1452"/>
      <c r="IEV1452"/>
      <c r="IEW1452"/>
      <c r="IEX1452"/>
      <c r="IEY1452"/>
      <c r="IEZ1452"/>
      <c r="IFA1452"/>
      <c r="IFB1452"/>
      <c r="IFC1452"/>
      <c r="IFD1452"/>
      <c r="IFE1452"/>
      <c r="IFF1452"/>
      <c r="IFG1452"/>
      <c r="IFH1452"/>
      <c r="IFI1452"/>
      <c r="IFJ1452"/>
      <c r="IFK1452"/>
      <c r="IFL1452"/>
      <c r="IFM1452"/>
      <c r="IFN1452"/>
      <c r="IFO1452"/>
      <c r="IFP1452"/>
      <c r="IFQ1452"/>
      <c r="IFR1452"/>
      <c r="IFS1452"/>
      <c r="IFT1452"/>
      <c r="IFU1452"/>
      <c r="IFV1452"/>
      <c r="IFW1452"/>
      <c r="IFX1452"/>
      <c r="IFY1452"/>
      <c r="IFZ1452"/>
      <c r="IGA1452"/>
      <c r="IGB1452"/>
      <c r="IGC1452"/>
      <c r="IGD1452"/>
      <c r="IGE1452"/>
      <c r="IGF1452"/>
      <c r="IGG1452"/>
      <c r="IGH1452"/>
      <c r="IGI1452"/>
      <c r="IGJ1452"/>
      <c r="IGK1452"/>
      <c r="IGL1452"/>
      <c r="IGM1452"/>
      <c r="IGN1452"/>
      <c r="IGO1452"/>
      <c r="IGP1452"/>
      <c r="IGQ1452"/>
      <c r="IGR1452"/>
      <c r="IGS1452"/>
      <c r="IGT1452"/>
      <c r="IGU1452"/>
      <c r="IGV1452"/>
      <c r="IGW1452"/>
      <c r="IGX1452"/>
      <c r="IGY1452"/>
      <c r="IGZ1452"/>
      <c r="IHA1452"/>
      <c r="IHB1452"/>
      <c r="IHC1452"/>
      <c r="IHD1452"/>
      <c r="IHE1452"/>
      <c r="IHF1452"/>
      <c r="IHG1452"/>
      <c r="IHH1452"/>
      <c r="IHI1452"/>
      <c r="IHJ1452"/>
      <c r="IHK1452"/>
      <c r="IHL1452"/>
      <c r="IHM1452"/>
      <c r="IHN1452"/>
      <c r="IHO1452"/>
      <c r="IHP1452"/>
      <c r="IHQ1452"/>
      <c r="IHR1452"/>
      <c r="IHS1452"/>
      <c r="IHT1452"/>
      <c r="IHU1452"/>
      <c r="IHV1452"/>
      <c r="IHW1452"/>
      <c r="IHX1452"/>
      <c r="IHY1452"/>
      <c r="IHZ1452"/>
      <c r="IIA1452"/>
      <c r="IIB1452"/>
      <c r="IIC1452"/>
      <c r="IID1452"/>
      <c r="IIE1452"/>
      <c r="IIF1452"/>
      <c r="IIG1452"/>
      <c r="IIH1452"/>
      <c r="III1452"/>
      <c r="IIJ1452"/>
      <c r="IIK1452"/>
      <c r="IIL1452"/>
      <c r="IIM1452"/>
      <c r="IIN1452"/>
      <c r="IIO1452"/>
      <c r="IIP1452"/>
      <c r="IIQ1452"/>
      <c r="IIR1452"/>
      <c r="IIS1452"/>
      <c r="IIT1452"/>
      <c r="IIU1452"/>
      <c r="IIV1452"/>
      <c r="IIW1452"/>
      <c r="IIX1452"/>
      <c r="IIY1452"/>
      <c r="IIZ1452"/>
      <c r="IJA1452"/>
      <c r="IJB1452"/>
      <c r="IJC1452"/>
      <c r="IJD1452"/>
      <c r="IJE1452"/>
      <c r="IJF1452"/>
      <c r="IJG1452"/>
      <c r="IJH1452"/>
      <c r="IJI1452"/>
      <c r="IJJ1452"/>
      <c r="IJK1452"/>
      <c r="IJL1452"/>
      <c r="IJM1452"/>
      <c r="IJN1452"/>
      <c r="IJO1452"/>
      <c r="IJP1452"/>
      <c r="IJQ1452"/>
      <c r="IJR1452"/>
      <c r="IJS1452"/>
      <c r="IJT1452"/>
      <c r="IJU1452"/>
      <c r="IJV1452"/>
      <c r="IJW1452"/>
      <c r="IJX1452"/>
      <c r="IJY1452"/>
      <c r="IJZ1452"/>
      <c r="IKA1452"/>
      <c r="IKB1452"/>
      <c r="IKC1452"/>
      <c r="IKD1452"/>
      <c r="IKE1452"/>
      <c r="IKF1452"/>
      <c r="IKG1452"/>
      <c r="IKH1452"/>
      <c r="IKI1452"/>
      <c r="IKJ1452"/>
      <c r="IKK1452"/>
      <c r="IKL1452"/>
      <c r="IKM1452"/>
      <c r="IKN1452"/>
      <c r="IKO1452"/>
      <c r="IKP1452"/>
      <c r="IKQ1452"/>
      <c r="IKR1452"/>
      <c r="IKS1452"/>
      <c r="IKT1452"/>
      <c r="IKU1452"/>
      <c r="IKV1452"/>
      <c r="IKW1452"/>
      <c r="IKX1452"/>
      <c r="IKY1452"/>
      <c r="IKZ1452"/>
      <c r="ILA1452"/>
      <c r="ILB1452"/>
      <c r="ILC1452"/>
      <c r="ILD1452"/>
      <c r="ILE1452"/>
      <c r="ILF1452"/>
      <c r="ILG1452"/>
      <c r="ILH1452"/>
      <c r="ILI1452"/>
      <c r="ILJ1452"/>
      <c r="ILK1452"/>
      <c r="ILL1452"/>
      <c r="ILM1452"/>
      <c r="ILN1452"/>
      <c r="ILO1452"/>
      <c r="ILP1452"/>
      <c r="ILQ1452"/>
      <c r="ILR1452"/>
      <c r="ILS1452"/>
      <c r="ILT1452"/>
      <c r="ILU1452"/>
      <c r="ILV1452"/>
      <c r="ILW1452"/>
      <c r="ILX1452"/>
      <c r="ILY1452"/>
      <c r="ILZ1452"/>
      <c r="IMA1452"/>
      <c r="IMB1452"/>
      <c r="IMC1452"/>
      <c r="IMD1452"/>
      <c r="IME1452"/>
      <c r="IMF1452"/>
      <c r="IMG1452"/>
      <c r="IMH1452"/>
      <c r="IMI1452"/>
      <c r="IMJ1452"/>
      <c r="IMK1452"/>
      <c r="IML1452"/>
      <c r="IMM1452"/>
      <c r="IMN1452"/>
      <c r="IMO1452"/>
      <c r="IMP1452"/>
      <c r="IMQ1452"/>
      <c r="IMR1452"/>
      <c r="IMS1452"/>
      <c r="IMT1452"/>
      <c r="IMU1452"/>
      <c r="IMV1452"/>
      <c r="IMW1452"/>
      <c r="IMX1452"/>
      <c r="IMY1452"/>
      <c r="IMZ1452"/>
      <c r="INA1452"/>
      <c r="INB1452"/>
      <c r="INC1452"/>
      <c r="IND1452"/>
      <c r="INE1452"/>
      <c r="INF1452"/>
      <c r="ING1452"/>
      <c r="INH1452"/>
      <c r="INI1452"/>
      <c r="INJ1452"/>
      <c r="INK1452"/>
      <c r="INL1452"/>
      <c r="INM1452"/>
      <c r="INN1452"/>
      <c r="INO1452"/>
      <c r="INP1452"/>
      <c r="INQ1452"/>
      <c r="INR1452"/>
      <c r="INS1452"/>
      <c r="INT1452"/>
      <c r="INU1452"/>
      <c r="INV1452"/>
      <c r="INW1452"/>
      <c r="INX1452"/>
      <c r="INY1452"/>
      <c r="INZ1452"/>
      <c r="IOA1452"/>
      <c r="IOB1452"/>
      <c r="IOC1452"/>
      <c r="IOD1452"/>
      <c r="IOE1452"/>
      <c r="IOF1452"/>
      <c r="IOG1452"/>
      <c r="IOH1452"/>
      <c r="IOI1452"/>
      <c r="IOJ1452"/>
      <c r="IOK1452"/>
      <c r="IOL1452"/>
      <c r="IOM1452"/>
      <c r="ION1452"/>
      <c r="IOO1452"/>
      <c r="IOP1452"/>
      <c r="IOQ1452"/>
      <c r="IOR1452"/>
      <c r="IOS1452"/>
      <c r="IOT1452"/>
      <c r="IOU1452"/>
      <c r="IOV1452"/>
      <c r="IOW1452"/>
      <c r="IOX1452"/>
      <c r="IOY1452"/>
      <c r="IOZ1452"/>
      <c r="IPA1452"/>
      <c r="IPB1452"/>
      <c r="IPC1452"/>
      <c r="IPD1452"/>
      <c r="IPE1452"/>
      <c r="IPF1452"/>
      <c r="IPG1452"/>
      <c r="IPH1452"/>
      <c r="IPI1452"/>
      <c r="IPJ1452"/>
      <c r="IPK1452"/>
      <c r="IPL1452"/>
      <c r="IPM1452"/>
      <c r="IPN1452"/>
      <c r="IPO1452"/>
      <c r="IPP1452"/>
      <c r="IPQ1452"/>
      <c r="IPR1452"/>
      <c r="IPS1452"/>
      <c r="IPT1452"/>
      <c r="IPU1452"/>
      <c r="IPV1452"/>
      <c r="IPW1452"/>
      <c r="IPX1452"/>
      <c r="IPY1452"/>
      <c r="IPZ1452"/>
      <c r="IQA1452"/>
      <c r="IQB1452"/>
      <c r="IQC1452"/>
      <c r="IQD1452"/>
      <c r="IQE1452"/>
      <c r="IQF1452"/>
      <c r="IQG1452"/>
      <c r="IQH1452"/>
      <c r="IQI1452"/>
      <c r="IQJ1452"/>
      <c r="IQK1452"/>
      <c r="IQL1452"/>
      <c r="IQM1452"/>
      <c r="IQN1452"/>
      <c r="IQO1452"/>
      <c r="IQP1452"/>
      <c r="IQQ1452"/>
      <c r="IQR1452"/>
      <c r="IQS1452"/>
      <c r="IQT1452"/>
      <c r="IQU1452"/>
      <c r="IQV1452"/>
      <c r="IQW1452"/>
      <c r="IQX1452"/>
      <c r="IQY1452"/>
      <c r="IQZ1452"/>
      <c r="IRA1452"/>
      <c r="IRB1452"/>
      <c r="IRC1452"/>
      <c r="IRD1452"/>
      <c r="IRE1452"/>
      <c r="IRF1452"/>
      <c r="IRG1452"/>
      <c r="IRH1452"/>
      <c r="IRI1452"/>
      <c r="IRJ1452"/>
      <c r="IRK1452"/>
      <c r="IRL1452"/>
      <c r="IRM1452"/>
      <c r="IRN1452"/>
      <c r="IRO1452"/>
      <c r="IRP1452"/>
      <c r="IRQ1452"/>
      <c r="IRR1452"/>
      <c r="IRS1452"/>
      <c r="IRT1452"/>
      <c r="IRU1452"/>
      <c r="IRV1452"/>
      <c r="IRW1452"/>
      <c r="IRX1452"/>
      <c r="IRY1452"/>
      <c r="IRZ1452"/>
      <c r="ISA1452"/>
      <c r="ISB1452"/>
      <c r="ISC1452"/>
      <c r="ISD1452"/>
      <c r="ISE1452"/>
      <c r="ISF1452"/>
      <c r="ISG1452"/>
      <c r="ISH1452"/>
      <c r="ISI1452"/>
      <c r="ISJ1452"/>
      <c r="ISK1452"/>
      <c r="ISL1452"/>
      <c r="ISM1452"/>
      <c r="ISN1452"/>
      <c r="ISO1452"/>
      <c r="ISP1452"/>
      <c r="ISQ1452"/>
      <c r="ISR1452"/>
      <c r="ISS1452"/>
      <c r="IST1452"/>
      <c r="ISU1452"/>
      <c r="ISV1452"/>
      <c r="ISW1452"/>
      <c r="ISX1452"/>
      <c r="ISY1452"/>
      <c r="ISZ1452"/>
      <c r="ITA1452"/>
      <c r="ITB1452"/>
      <c r="ITC1452"/>
      <c r="ITD1452"/>
      <c r="ITE1452"/>
      <c r="ITF1452"/>
      <c r="ITG1452"/>
      <c r="ITH1452"/>
      <c r="ITI1452"/>
      <c r="ITJ1452"/>
      <c r="ITK1452"/>
      <c r="ITL1452"/>
      <c r="ITM1452"/>
      <c r="ITN1452"/>
      <c r="ITO1452"/>
      <c r="ITP1452"/>
      <c r="ITQ1452"/>
      <c r="ITR1452"/>
      <c r="ITS1452"/>
      <c r="ITT1452"/>
      <c r="ITU1452"/>
      <c r="ITV1452"/>
      <c r="ITW1452"/>
      <c r="ITX1452"/>
      <c r="ITY1452"/>
      <c r="ITZ1452"/>
      <c r="IUA1452"/>
      <c r="IUB1452"/>
      <c r="IUC1452"/>
      <c r="IUD1452"/>
      <c r="IUE1452"/>
      <c r="IUF1452"/>
      <c r="IUG1452"/>
      <c r="IUH1452"/>
      <c r="IUI1452"/>
      <c r="IUJ1452"/>
      <c r="IUK1452"/>
      <c r="IUL1452"/>
      <c r="IUM1452"/>
      <c r="IUN1452"/>
      <c r="IUO1452"/>
      <c r="IUP1452"/>
      <c r="IUQ1452"/>
      <c r="IUR1452"/>
      <c r="IUS1452"/>
      <c r="IUT1452"/>
      <c r="IUU1452"/>
      <c r="IUV1452"/>
      <c r="IUW1452"/>
      <c r="IUX1452"/>
      <c r="IUY1452"/>
      <c r="IUZ1452"/>
      <c r="IVA1452"/>
      <c r="IVB1452"/>
      <c r="IVC1452"/>
      <c r="IVD1452"/>
      <c r="IVE1452"/>
      <c r="IVF1452"/>
      <c r="IVG1452"/>
      <c r="IVH1452"/>
      <c r="IVI1452"/>
      <c r="IVJ1452"/>
      <c r="IVK1452"/>
      <c r="IVL1452"/>
      <c r="IVM1452"/>
      <c r="IVN1452"/>
      <c r="IVO1452"/>
      <c r="IVP1452"/>
      <c r="IVQ1452"/>
      <c r="IVR1452"/>
      <c r="IVS1452"/>
      <c r="IVT1452"/>
      <c r="IVU1452"/>
      <c r="IVV1452"/>
      <c r="IVW1452"/>
      <c r="IVX1452"/>
      <c r="IVY1452"/>
      <c r="IVZ1452"/>
      <c r="IWA1452"/>
      <c r="IWB1452"/>
      <c r="IWC1452"/>
      <c r="IWD1452"/>
      <c r="IWE1452"/>
      <c r="IWF1452"/>
      <c r="IWG1452"/>
      <c r="IWH1452"/>
      <c r="IWI1452"/>
      <c r="IWJ1452"/>
      <c r="IWK1452"/>
      <c r="IWL1452"/>
      <c r="IWM1452"/>
      <c r="IWN1452"/>
      <c r="IWO1452"/>
      <c r="IWP1452"/>
      <c r="IWQ1452"/>
      <c r="IWR1452"/>
      <c r="IWS1452"/>
      <c r="IWT1452"/>
      <c r="IWU1452"/>
      <c r="IWV1452"/>
      <c r="IWW1452"/>
      <c r="IWX1452"/>
      <c r="IWY1452"/>
      <c r="IWZ1452"/>
      <c r="IXA1452"/>
      <c r="IXB1452"/>
      <c r="IXC1452"/>
      <c r="IXD1452"/>
      <c r="IXE1452"/>
      <c r="IXF1452"/>
      <c r="IXG1452"/>
      <c r="IXH1452"/>
      <c r="IXI1452"/>
      <c r="IXJ1452"/>
      <c r="IXK1452"/>
      <c r="IXL1452"/>
      <c r="IXM1452"/>
      <c r="IXN1452"/>
      <c r="IXO1452"/>
      <c r="IXP1452"/>
      <c r="IXQ1452"/>
      <c r="IXR1452"/>
      <c r="IXS1452"/>
      <c r="IXT1452"/>
      <c r="IXU1452"/>
      <c r="IXV1452"/>
      <c r="IXW1452"/>
      <c r="IXX1452"/>
      <c r="IXY1452"/>
      <c r="IXZ1452"/>
      <c r="IYA1452"/>
      <c r="IYB1452"/>
      <c r="IYC1452"/>
      <c r="IYD1452"/>
      <c r="IYE1452"/>
      <c r="IYF1452"/>
      <c r="IYG1452"/>
      <c r="IYH1452"/>
      <c r="IYI1452"/>
      <c r="IYJ1452"/>
      <c r="IYK1452"/>
      <c r="IYL1452"/>
      <c r="IYM1452"/>
      <c r="IYN1452"/>
      <c r="IYO1452"/>
      <c r="IYP1452"/>
      <c r="IYQ1452"/>
      <c r="IYR1452"/>
      <c r="IYS1452"/>
      <c r="IYT1452"/>
      <c r="IYU1452"/>
      <c r="IYV1452"/>
      <c r="IYW1452"/>
      <c r="IYX1452"/>
      <c r="IYY1452"/>
      <c r="IYZ1452"/>
      <c r="IZA1452"/>
      <c r="IZB1452"/>
      <c r="IZC1452"/>
      <c r="IZD1452"/>
      <c r="IZE1452"/>
      <c r="IZF1452"/>
      <c r="IZG1452"/>
      <c r="IZH1452"/>
      <c r="IZI1452"/>
      <c r="IZJ1452"/>
      <c r="IZK1452"/>
      <c r="IZL1452"/>
      <c r="IZM1452"/>
      <c r="IZN1452"/>
      <c r="IZO1452"/>
      <c r="IZP1452"/>
      <c r="IZQ1452"/>
      <c r="IZR1452"/>
      <c r="IZS1452"/>
      <c r="IZT1452"/>
      <c r="IZU1452"/>
      <c r="IZV1452"/>
      <c r="IZW1452"/>
      <c r="IZX1452"/>
      <c r="IZY1452"/>
      <c r="IZZ1452"/>
      <c r="JAA1452"/>
      <c r="JAB1452"/>
      <c r="JAC1452"/>
      <c r="JAD1452"/>
      <c r="JAE1452"/>
      <c r="JAF1452"/>
      <c r="JAG1452"/>
      <c r="JAH1452"/>
      <c r="JAI1452"/>
      <c r="JAJ1452"/>
      <c r="JAK1452"/>
      <c r="JAL1452"/>
      <c r="JAM1452"/>
      <c r="JAN1452"/>
      <c r="JAO1452"/>
      <c r="JAP1452"/>
      <c r="JAQ1452"/>
      <c r="JAR1452"/>
      <c r="JAS1452"/>
      <c r="JAT1452"/>
      <c r="JAU1452"/>
      <c r="JAV1452"/>
      <c r="JAW1452"/>
      <c r="JAX1452"/>
      <c r="JAY1452"/>
      <c r="JAZ1452"/>
      <c r="JBA1452"/>
      <c r="JBB1452"/>
      <c r="JBC1452"/>
      <c r="JBD1452"/>
      <c r="JBE1452"/>
      <c r="JBF1452"/>
      <c r="JBG1452"/>
      <c r="JBH1452"/>
      <c r="JBI1452"/>
      <c r="JBJ1452"/>
      <c r="JBK1452"/>
      <c r="JBL1452"/>
      <c r="JBM1452"/>
      <c r="JBN1452"/>
      <c r="JBO1452"/>
      <c r="JBP1452"/>
      <c r="JBQ1452"/>
      <c r="JBR1452"/>
      <c r="JBS1452"/>
      <c r="JBT1452"/>
      <c r="JBU1452"/>
      <c r="JBV1452"/>
      <c r="JBW1452"/>
      <c r="JBX1452"/>
      <c r="JBY1452"/>
      <c r="JBZ1452"/>
      <c r="JCA1452"/>
      <c r="JCB1452"/>
      <c r="JCC1452"/>
      <c r="JCD1452"/>
      <c r="JCE1452"/>
      <c r="JCF1452"/>
      <c r="JCG1452"/>
      <c r="JCH1452"/>
      <c r="JCI1452"/>
      <c r="JCJ1452"/>
      <c r="JCK1452"/>
      <c r="JCL1452"/>
      <c r="JCM1452"/>
      <c r="JCN1452"/>
      <c r="JCO1452"/>
      <c r="JCP1452"/>
      <c r="JCQ1452"/>
      <c r="JCR1452"/>
      <c r="JCS1452"/>
      <c r="JCT1452"/>
      <c r="JCU1452"/>
      <c r="JCV1452"/>
      <c r="JCW1452"/>
      <c r="JCX1452"/>
      <c r="JCY1452"/>
      <c r="JCZ1452"/>
      <c r="JDA1452"/>
      <c r="JDB1452"/>
      <c r="JDC1452"/>
      <c r="JDD1452"/>
      <c r="JDE1452"/>
      <c r="JDF1452"/>
      <c r="JDG1452"/>
      <c r="JDH1452"/>
      <c r="JDI1452"/>
      <c r="JDJ1452"/>
      <c r="JDK1452"/>
      <c r="JDL1452"/>
      <c r="JDM1452"/>
      <c r="JDN1452"/>
      <c r="JDO1452"/>
      <c r="JDP1452"/>
      <c r="JDQ1452"/>
      <c r="JDR1452"/>
      <c r="JDS1452"/>
      <c r="JDT1452"/>
      <c r="JDU1452"/>
      <c r="JDV1452"/>
      <c r="JDW1452"/>
      <c r="JDX1452"/>
      <c r="JDY1452"/>
      <c r="JDZ1452"/>
      <c r="JEA1452"/>
      <c r="JEB1452"/>
      <c r="JEC1452"/>
      <c r="JED1452"/>
      <c r="JEE1452"/>
      <c r="JEF1452"/>
      <c r="JEG1452"/>
      <c r="JEH1452"/>
      <c r="JEI1452"/>
      <c r="JEJ1452"/>
      <c r="JEK1452"/>
      <c r="JEL1452"/>
      <c r="JEM1452"/>
      <c r="JEN1452"/>
      <c r="JEO1452"/>
      <c r="JEP1452"/>
      <c r="JEQ1452"/>
      <c r="JER1452"/>
      <c r="JES1452"/>
      <c r="JET1452"/>
      <c r="JEU1452"/>
      <c r="JEV1452"/>
      <c r="JEW1452"/>
      <c r="JEX1452"/>
      <c r="JEY1452"/>
      <c r="JEZ1452"/>
      <c r="JFA1452"/>
      <c r="JFB1452"/>
      <c r="JFC1452"/>
      <c r="JFD1452"/>
      <c r="JFE1452"/>
      <c r="JFF1452"/>
      <c r="JFG1452"/>
      <c r="JFH1452"/>
      <c r="JFI1452"/>
      <c r="JFJ1452"/>
      <c r="JFK1452"/>
      <c r="JFL1452"/>
      <c r="JFM1452"/>
      <c r="JFN1452"/>
      <c r="JFO1452"/>
      <c r="JFP1452"/>
      <c r="JFQ1452"/>
      <c r="JFR1452"/>
      <c r="JFS1452"/>
      <c r="JFT1452"/>
      <c r="JFU1452"/>
      <c r="JFV1452"/>
      <c r="JFW1452"/>
      <c r="JFX1452"/>
      <c r="JFY1452"/>
      <c r="JFZ1452"/>
      <c r="JGA1452"/>
      <c r="JGB1452"/>
      <c r="JGC1452"/>
      <c r="JGD1452"/>
      <c r="JGE1452"/>
      <c r="JGF1452"/>
      <c r="JGG1452"/>
      <c r="JGH1452"/>
      <c r="JGI1452"/>
      <c r="JGJ1452"/>
      <c r="JGK1452"/>
      <c r="JGL1452"/>
      <c r="JGM1452"/>
      <c r="JGN1452"/>
      <c r="JGO1452"/>
      <c r="JGP1452"/>
      <c r="JGQ1452"/>
      <c r="JGR1452"/>
      <c r="JGS1452"/>
      <c r="JGT1452"/>
      <c r="JGU1452"/>
      <c r="JGV1452"/>
      <c r="JGW1452"/>
      <c r="JGX1452"/>
      <c r="JGY1452"/>
      <c r="JGZ1452"/>
      <c r="JHA1452"/>
      <c r="JHB1452"/>
      <c r="JHC1452"/>
      <c r="JHD1452"/>
      <c r="JHE1452"/>
      <c r="JHF1452"/>
      <c r="JHG1452"/>
      <c r="JHH1452"/>
      <c r="JHI1452"/>
      <c r="JHJ1452"/>
      <c r="JHK1452"/>
      <c r="JHL1452"/>
      <c r="JHM1452"/>
      <c r="JHN1452"/>
      <c r="JHO1452"/>
      <c r="JHP1452"/>
      <c r="JHQ1452"/>
      <c r="JHR1452"/>
      <c r="JHS1452"/>
      <c r="JHT1452"/>
      <c r="JHU1452"/>
      <c r="JHV1452"/>
      <c r="JHW1452"/>
      <c r="JHX1452"/>
      <c r="JHY1452"/>
      <c r="JHZ1452"/>
      <c r="JIA1452"/>
      <c r="JIB1452"/>
      <c r="JIC1452"/>
      <c r="JID1452"/>
      <c r="JIE1452"/>
      <c r="JIF1452"/>
      <c r="JIG1452"/>
      <c r="JIH1452"/>
      <c r="JII1452"/>
      <c r="JIJ1452"/>
      <c r="JIK1452"/>
      <c r="JIL1452"/>
      <c r="JIM1452"/>
      <c r="JIN1452"/>
      <c r="JIO1452"/>
      <c r="JIP1452"/>
      <c r="JIQ1452"/>
      <c r="JIR1452"/>
      <c r="JIS1452"/>
      <c r="JIT1452"/>
      <c r="JIU1452"/>
      <c r="JIV1452"/>
      <c r="JIW1452"/>
      <c r="JIX1452"/>
      <c r="JIY1452"/>
      <c r="JIZ1452"/>
      <c r="JJA1452"/>
      <c r="JJB1452"/>
      <c r="JJC1452"/>
      <c r="JJD1452"/>
      <c r="JJE1452"/>
      <c r="JJF1452"/>
      <c r="JJG1452"/>
      <c r="JJH1452"/>
      <c r="JJI1452"/>
      <c r="JJJ1452"/>
      <c r="JJK1452"/>
      <c r="JJL1452"/>
      <c r="JJM1452"/>
      <c r="JJN1452"/>
      <c r="JJO1452"/>
      <c r="JJP1452"/>
      <c r="JJQ1452"/>
      <c r="JJR1452"/>
      <c r="JJS1452"/>
      <c r="JJT1452"/>
      <c r="JJU1452"/>
      <c r="JJV1452"/>
      <c r="JJW1452"/>
      <c r="JJX1452"/>
      <c r="JJY1452"/>
      <c r="JJZ1452"/>
      <c r="JKA1452"/>
      <c r="JKB1452"/>
      <c r="JKC1452"/>
      <c r="JKD1452"/>
      <c r="JKE1452"/>
      <c r="JKF1452"/>
      <c r="JKG1452"/>
      <c r="JKH1452"/>
      <c r="JKI1452"/>
      <c r="JKJ1452"/>
      <c r="JKK1452"/>
      <c r="JKL1452"/>
      <c r="JKM1452"/>
      <c r="JKN1452"/>
      <c r="JKO1452"/>
      <c r="JKP1452"/>
      <c r="JKQ1452"/>
      <c r="JKR1452"/>
      <c r="JKS1452"/>
      <c r="JKT1452"/>
      <c r="JKU1452"/>
      <c r="JKV1452"/>
      <c r="JKW1452"/>
      <c r="JKX1452"/>
      <c r="JKY1452"/>
      <c r="JKZ1452"/>
      <c r="JLA1452"/>
      <c r="JLB1452"/>
      <c r="JLC1452"/>
      <c r="JLD1452"/>
      <c r="JLE1452"/>
      <c r="JLF1452"/>
      <c r="JLG1452"/>
      <c r="JLH1452"/>
      <c r="JLI1452"/>
      <c r="JLJ1452"/>
      <c r="JLK1452"/>
      <c r="JLL1452"/>
      <c r="JLM1452"/>
      <c r="JLN1452"/>
      <c r="JLO1452"/>
      <c r="JLP1452"/>
      <c r="JLQ1452"/>
      <c r="JLR1452"/>
      <c r="JLS1452"/>
      <c r="JLT1452"/>
      <c r="JLU1452"/>
      <c r="JLV1452"/>
      <c r="JLW1452"/>
      <c r="JLX1452"/>
      <c r="JLY1452"/>
      <c r="JLZ1452"/>
      <c r="JMA1452"/>
      <c r="JMB1452"/>
      <c r="JMC1452"/>
      <c r="JMD1452"/>
      <c r="JME1452"/>
      <c r="JMF1452"/>
      <c r="JMG1452"/>
      <c r="JMH1452"/>
      <c r="JMI1452"/>
      <c r="JMJ1452"/>
      <c r="JMK1452"/>
      <c r="JML1452"/>
      <c r="JMM1452"/>
      <c r="JMN1452"/>
      <c r="JMO1452"/>
      <c r="JMP1452"/>
      <c r="JMQ1452"/>
      <c r="JMR1452"/>
      <c r="JMS1452"/>
      <c r="JMT1452"/>
      <c r="JMU1452"/>
      <c r="JMV1452"/>
      <c r="JMW1452"/>
      <c r="JMX1452"/>
      <c r="JMY1452"/>
      <c r="JMZ1452"/>
      <c r="JNA1452"/>
      <c r="JNB1452"/>
      <c r="JNC1452"/>
      <c r="JND1452"/>
      <c r="JNE1452"/>
      <c r="JNF1452"/>
      <c r="JNG1452"/>
      <c r="JNH1452"/>
      <c r="JNI1452"/>
      <c r="JNJ1452"/>
      <c r="JNK1452"/>
      <c r="JNL1452"/>
      <c r="JNM1452"/>
      <c r="JNN1452"/>
      <c r="JNO1452"/>
      <c r="JNP1452"/>
      <c r="JNQ1452"/>
      <c r="JNR1452"/>
      <c r="JNS1452"/>
      <c r="JNT1452"/>
      <c r="JNU1452"/>
      <c r="JNV1452"/>
      <c r="JNW1452"/>
      <c r="JNX1452"/>
      <c r="JNY1452"/>
      <c r="JNZ1452"/>
      <c r="JOA1452"/>
      <c r="JOB1452"/>
      <c r="JOC1452"/>
      <c r="JOD1452"/>
      <c r="JOE1452"/>
      <c r="JOF1452"/>
      <c r="JOG1452"/>
      <c r="JOH1452"/>
      <c r="JOI1452"/>
      <c r="JOJ1452"/>
      <c r="JOK1452"/>
      <c r="JOL1452"/>
      <c r="JOM1452"/>
      <c r="JON1452"/>
      <c r="JOO1452"/>
      <c r="JOP1452"/>
      <c r="JOQ1452"/>
      <c r="JOR1452"/>
      <c r="JOS1452"/>
      <c r="JOT1452"/>
      <c r="JOU1452"/>
      <c r="JOV1452"/>
      <c r="JOW1452"/>
      <c r="JOX1452"/>
      <c r="JOY1452"/>
      <c r="JOZ1452"/>
      <c r="JPA1452"/>
      <c r="JPB1452"/>
      <c r="JPC1452"/>
      <c r="JPD1452"/>
      <c r="JPE1452"/>
      <c r="JPF1452"/>
      <c r="JPG1452"/>
      <c r="JPH1452"/>
      <c r="JPI1452"/>
      <c r="JPJ1452"/>
      <c r="JPK1452"/>
      <c r="JPL1452"/>
      <c r="JPM1452"/>
      <c r="JPN1452"/>
      <c r="JPO1452"/>
      <c r="JPP1452"/>
      <c r="JPQ1452"/>
      <c r="JPR1452"/>
      <c r="JPS1452"/>
      <c r="JPT1452"/>
      <c r="JPU1452"/>
      <c r="JPV1452"/>
      <c r="JPW1452"/>
      <c r="JPX1452"/>
      <c r="JPY1452"/>
      <c r="JPZ1452"/>
      <c r="JQA1452"/>
      <c r="JQB1452"/>
      <c r="JQC1452"/>
      <c r="JQD1452"/>
      <c r="JQE1452"/>
      <c r="JQF1452"/>
      <c r="JQG1452"/>
      <c r="JQH1452"/>
      <c r="JQI1452"/>
      <c r="JQJ1452"/>
      <c r="JQK1452"/>
      <c r="JQL1452"/>
      <c r="JQM1452"/>
      <c r="JQN1452"/>
      <c r="JQO1452"/>
      <c r="JQP1452"/>
      <c r="JQQ1452"/>
      <c r="JQR1452"/>
      <c r="JQS1452"/>
      <c r="JQT1452"/>
      <c r="JQU1452"/>
      <c r="JQV1452"/>
      <c r="JQW1452"/>
      <c r="JQX1452"/>
      <c r="JQY1452"/>
      <c r="JQZ1452"/>
      <c r="JRA1452"/>
      <c r="JRB1452"/>
      <c r="JRC1452"/>
      <c r="JRD1452"/>
      <c r="JRE1452"/>
      <c r="JRF1452"/>
      <c r="JRG1452"/>
      <c r="JRH1452"/>
      <c r="JRI1452"/>
      <c r="JRJ1452"/>
      <c r="JRK1452"/>
      <c r="JRL1452"/>
      <c r="JRM1452"/>
      <c r="JRN1452"/>
      <c r="JRO1452"/>
      <c r="JRP1452"/>
      <c r="JRQ1452"/>
      <c r="JRR1452"/>
      <c r="JRS1452"/>
      <c r="JRT1452"/>
      <c r="JRU1452"/>
      <c r="JRV1452"/>
      <c r="JRW1452"/>
      <c r="JRX1452"/>
      <c r="JRY1452"/>
      <c r="JRZ1452"/>
      <c r="JSA1452"/>
      <c r="JSB1452"/>
      <c r="JSC1452"/>
      <c r="JSD1452"/>
      <c r="JSE1452"/>
      <c r="JSF1452"/>
      <c r="JSG1452"/>
      <c r="JSH1452"/>
      <c r="JSI1452"/>
      <c r="JSJ1452"/>
      <c r="JSK1452"/>
      <c r="JSL1452"/>
      <c r="JSM1452"/>
      <c r="JSN1452"/>
      <c r="JSO1452"/>
      <c r="JSP1452"/>
      <c r="JSQ1452"/>
      <c r="JSR1452"/>
      <c r="JSS1452"/>
      <c r="JST1452"/>
      <c r="JSU1452"/>
      <c r="JSV1452"/>
      <c r="JSW1452"/>
      <c r="JSX1452"/>
      <c r="JSY1452"/>
      <c r="JSZ1452"/>
      <c r="JTA1452"/>
      <c r="JTB1452"/>
      <c r="JTC1452"/>
      <c r="JTD1452"/>
      <c r="JTE1452"/>
      <c r="JTF1452"/>
      <c r="JTG1452"/>
      <c r="JTH1452"/>
      <c r="JTI1452"/>
      <c r="JTJ1452"/>
      <c r="JTK1452"/>
      <c r="JTL1452"/>
      <c r="JTM1452"/>
      <c r="JTN1452"/>
      <c r="JTO1452"/>
      <c r="JTP1452"/>
      <c r="JTQ1452"/>
      <c r="JTR1452"/>
      <c r="JTS1452"/>
      <c r="JTT1452"/>
      <c r="JTU1452"/>
      <c r="JTV1452"/>
      <c r="JTW1452"/>
      <c r="JTX1452"/>
      <c r="JTY1452"/>
      <c r="JTZ1452"/>
      <c r="JUA1452"/>
      <c r="JUB1452"/>
      <c r="JUC1452"/>
      <c r="JUD1452"/>
      <c r="JUE1452"/>
      <c r="JUF1452"/>
      <c r="JUG1452"/>
      <c r="JUH1452"/>
      <c r="JUI1452"/>
      <c r="JUJ1452"/>
      <c r="JUK1452"/>
      <c r="JUL1452"/>
      <c r="JUM1452"/>
      <c r="JUN1452"/>
      <c r="JUO1452"/>
      <c r="JUP1452"/>
      <c r="JUQ1452"/>
      <c r="JUR1452"/>
      <c r="JUS1452"/>
      <c r="JUT1452"/>
      <c r="JUU1452"/>
      <c r="JUV1452"/>
      <c r="JUW1452"/>
      <c r="JUX1452"/>
      <c r="JUY1452"/>
      <c r="JUZ1452"/>
      <c r="JVA1452"/>
      <c r="JVB1452"/>
      <c r="JVC1452"/>
      <c r="JVD1452"/>
      <c r="JVE1452"/>
      <c r="JVF1452"/>
      <c r="JVG1452"/>
      <c r="JVH1452"/>
      <c r="JVI1452"/>
      <c r="JVJ1452"/>
      <c r="JVK1452"/>
      <c r="JVL1452"/>
      <c r="JVM1452"/>
      <c r="JVN1452"/>
      <c r="JVO1452"/>
      <c r="JVP1452"/>
      <c r="JVQ1452"/>
      <c r="JVR1452"/>
      <c r="JVS1452"/>
      <c r="JVT1452"/>
      <c r="JVU1452"/>
      <c r="JVV1452"/>
      <c r="JVW1452"/>
      <c r="JVX1452"/>
      <c r="JVY1452"/>
      <c r="JVZ1452"/>
      <c r="JWA1452"/>
      <c r="JWB1452"/>
      <c r="JWC1452"/>
      <c r="JWD1452"/>
      <c r="JWE1452"/>
      <c r="JWF1452"/>
      <c r="JWG1452"/>
      <c r="JWH1452"/>
      <c r="JWI1452"/>
      <c r="JWJ1452"/>
      <c r="JWK1452"/>
      <c r="JWL1452"/>
      <c r="JWM1452"/>
      <c r="JWN1452"/>
      <c r="JWO1452"/>
      <c r="JWP1452"/>
      <c r="JWQ1452"/>
      <c r="JWR1452"/>
      <c r="JWS1452"/>
      <c r="JWT1452"/>
      <c r="JWU1452"/>
      <c r="JWV1452"/>
      <c r="JWW1452"/>
      <c r="JWX1452"/>
      <c r="JWY1452"/>
      <c r="JWZ1452"/>
      <c r="JXA1452"/>
      <c r="JXB1452"/>
      <c r="JXC1452"/>
      <c r="JXD1452"/>
      <c r="JXE1452"/>
      <c r="JXF1452"/>
      <c r="JXG1452"/>
      <c r="JXH1452"/>
      <c r="JXI1452"/>
      <c r="JXJ1452"/>
      <c r="JXK1452"/>
      <c r="JXL1452"/>
      <c r="JXM1452"/>
      <c r="JXN1452"/>
      <c r="JXO1452"/>
      <c r="JXP1452"/>
      <c r="JXQ1452"/>
      <c r="JXR1452"/>
      <c r="JXS1452"/>
      <c r="JXT1452"/>
      <c r="JXU1452"/>
      <c r="JXV1452"/>
      <c r="JXW1452"/>
      <c r="JXX1452"/>
      <c r="JXY1452"/>
      <c r="JXZ1452"/>
      <c r="JYA1452"/>
      <c r="JYB1452"/>
      <c r="JYC1452"/>
      <c r="JYD1452"/>
      <c r="JYE1452"/>
      <c r="JYF1452"/>
      <c r="JYG1452"/>
      <c r="JYH1452"/>
      <c r="JYI1452"/>
      <c r="JYJ1452"/>
      <c r="JYK1452"/>
      <c r="JYL1452"/>
      <c r="JYM1452"/>
      <c r="JYN1452"/>
      <c r="JYO1452"/>
      <c r="JYP1452"/>
      <c r="JYQ1452"/>
      <c r="JYR1452"/>
      <c r="JYS1452"/>
      <c r="JYT1452"/>
      <c r="JYU1452"/>
      <c r="JYV1452"/>
      <c r="JYW1452"/>
      <c r="JYX1452"/>
      <c r="JYY1452"/>
      <c r="JYZ1452"/>
      <c r="JZA1452"/>
      <c r="JZB1452"/>
      <c r="JZC1452"/>
      <c r="JZD1452"/>
      <c r="JZE1452"/>
      <c r="JZF1452"/>
      <c r="JZG1452"/>
      <c r="JZH1452"/>
      <c r="JZI1452"/>
      <c r="JZJ1452"/>
      <c r="JZK1452"/>
      <c r="JZL1452"/>
      <c r="JZM1452"/>
      <c r="JZN1452"/>
      <c r="JZO1452"/>
      <c r="JZP1452"/>
      <c r="JZQ1452"/>
      <c r="JZR1452"/>
      <c r="JZS1452"/>
      <c r="JZT1452"/>
      <c r="JZU1452"/>
      <c r="JZV1452"/>
      <c r="JZW1452"/>
      <c r="JZX1452"/>
      <c r="JZY1452"/>
      <c r="JZZ1452"/>
      <c r="KAA1452"/>
      <c r="KAB1452"/>
      <c r="KAC1452"/>
      <c r="KAD1452"/>
      <c r="KAE1452"/>
      <c r="KAF1452"/>
      <c r="KAG1452"/>
      <c r="KAH1452"/>
      <c r="KAI1452"/>
      <c r="KAJ1452"/>
      <c r="KAK1452"/>
      <c r="KAL1452"/>
      <c r="KAM1452"/>
      <c r="KAN1452"/>
      <c r="KAO1452"/>
      <c r="KAP1452"/>
      <c r="KAQ1452"/>
      <c r="KAR1452"/>
      <c r="KAS1452"/>
      <c r="KAT1452"/>
      <c r="KAU1452"/>
      <c r="KAV1452"/>
      <c r="KAW1452"/>
      <c r="KAX1452"/>
      <c r="KAY1452"/>
      <c r="KAZ1452"/>
      <c r="KBA1452"/>
      <c r="KBB1452"/>
      <c r="KBC1452"/>
      <c r="KBD1452"/>
      <c r="KBE1452"/>
      <c r="KBF1452"/>
      <c r="KBG1452"/>
      <c r="KBH1452"/>
      <c r="KBI1452"/>
      <c r="KBJ1452"/>
      <c r="KBK1452"/>
      <c r="KBL1452"/>
      <c r="KBM1452"/>
      <c r="KBN1452"/>
      <c r="KBO1452"/>
      <c r="KBP1452"/>
      <c r="KBQ1452"/>
      <c r="KBR1452"/>
      <c r="KBS1452"/>
      <c r="KBT1452"/>
      <c r="KBU1452"/>
      <c r="KBV1452"/>
      <c r="KBW1452"/>
      <c r="KBX1452"/>
      <c r="KBY1452"/>
      <c r="KBZ1452"/>
      <c r="KCA1452"/>
      <c r="KCB1452"/>
      <c r="KCC1452"/>
      <c r="KCD1452"/>
      <c r="KCE1452"/>
      <c r="KCF1452"/>
      <c r="KCG1452"/>
      <c r="KCH1452"/>
      <c r="KCI1452"/>
      <c r="KCJ1452"/>
      <c r="KCK1452"/>
      <c r="KCL1452"/>
      <c r="KCM1452"/>
      <c r="KCN1452"/>
      <c r="KCO1452"/>
      <c r="KCP1452"/>
      <c r="KCQ1452"/>
      <c r="KCR1452"/>
      <c r="KCS1452"/>
      <c r="KCT1452"/>
      <c r="KCU1452"/>
      <c r="KCV1452"/>
      <c r="KCW1452"/>
      <c r="KCX1452"/>
      <c r="KCY1452"/>
      <c r="KCZ1452"/>
      <c r="KDA1452"/>
      <c r="KDB1452"/>
      <c r="KDC1452"/>
      <c r="KDD1452"/>
      <c r="KDE1452"/>
      <c r="KDF1452"/>
      <c r="KDG1452"/>
      <c r="KDH1452"/>
      <c r="KDI1452"/>
      <c r="KDJ1452"/>
      <c r="KDK1452"/>
      <c r="KDL1452"/>
      <c r="KDM1452"/>
      <c r="KDN1452"/>
      <c r="KDO1452"/>
      <c r="KDP1452"/>
      <c r="KDQ1452"/>
      <c r="KDR1452"/>
      <c r="KDS1452"/>
      <c r="KDT1452"/>
      <c r="KDU1452"/>
      <c r="KDV1452"/>
      <c r="KDW1452"/>
      <c r="KDX1452"/>
      <c r="KDY1452"/>
      <c r="KDZ1452"/>
      <c r="KEA1452"/>
      <c r="KEB1452"/>
      <c r="KEC1452"/>
      <c r="KED1452"/>
      <c r="KEE1452"/>
      <c r="KEF1452"/>
      <c r="KEG1452"/>
      <c r="KEH1452"/>
      <c r="KEI1452"/>
      <c r="KEJ1452"/>
      <c r="KEK1452"/>
      <c r="KEL1452"/>
      <c r="KEM1452"/>
      <c r="KEN1452"/>
      <c r="KEO1452"/>
      <c r="KEP1452"/>
      <c r="KEQ1452"/>
      <c r="KER1452"/>
      <c r="KES1452"/>
      <c r="KET1452"/>
      <c r="KEU1452"/>
      <c r="KEV1452"/>
      <c r="KEW1452"/>
      <c r="KEX1452"/>
      <c r="KEY1452"/>
      <c r="KEZ1452"/>
      <c r="KFA1452"/>
      <c r="KFB1452"/>
      <c r="KFC1452"/>
      <c r="KFD1452"/>
      <c r="KFE1452"/>
      <c r="KFF1452"/>
      <c r="KFG1452"/>
      <c r="KFH1452"/>
      <c r="KFI1452"/>
      <c r="KFJ1452"/>
      <c r="KFK1452"/>
      <c r="KFL1452"/>
      <c r="KFM1452"/>
      <c r="KFN1452"/>
      <c r="KFO1452"/>
      <c r="KFP1452"/>
      <c r="KFQ1452"/>
      <c r="KFR1452"/>
      <c r="KFS1452"/>
      <c r="KFT1452"/>
      <c r="KFU1452"/>
      <c r="KFV1452"/>
      <c r="KFW1452"/>
      <c r="KFX1452"/>
      <c r="KFY1452"/>
      <c r="KFZ1452"/>
      <c r="KGA1452"/>
      <c r="KGB1452"/>
      <c r="KGC1452"/>
      <c r="KGD1452"/>
      <c r="KGE1452"/>
      <c r="KGF1452"/>
      <c r="KGG1452"/>
      <c r="KGH1452"/>
      <c r="KGI1452"/>
      <c r="KGJ1452"/>
      <c r="KGK1452"/>
      <c r="KGL1452"/>
      <c r="KGM1452"/>
      <c r="KGN1452"/>
      <c r="KGO1452"/>
      <c r="KGP1452"/>
      <c r="KGQ1452"/>
      <c r="KGR1452"/>
      <c r="KGS1452"/>
      <c r="KGT1452"/>
      <c r="KGU1452"/>
      <c r="KGV1452"/>
      <c r="KGW1452"/>
      <c r="KGX1452"/>
      <c r="KGY1452"/>
      <c r="KGZ1452"/>
      <c r="KHA1452"/>
      <c r="KHB1452"/>
      <c r="KHC1452"/>
      <c r="KHD1452"/>
      <c r="KHE1452"/>
      <c r="KHF1452"/>
      <c r="KHG1452"/>
      <c r="KHH1452"/>
      <c r="KHI1452"/>
      <c r="KHJ1452"/>
      <c r="KHK1452"/>
      <c r="KHL1452"/>
      <c r="KHM1452"/>
      <c r="KHN1452"/>
      <c r="KHO1452"/>
      <c r="KHP1452"/>
      <c r="KHQ1452"/>
      <c r="KHR1452"/>
      <c r="KHS1452"/>
      <c r="KHT1452"/>
      <c r="KHU1452"/>
      <c r="KHV1452"/>
      <c r="KHW1452"/>
      <c r="KHX1452"/>
      <c r="KHY1452"/>
      <c r="KHZ1452"/>
      <c r="KIA1452"/>
      <c r="KIB1452"/>
      <c r="KIC1452"/>
      <c r="KID1452"/>
      <c r="KIE1452"/>
      <c r="KIF1452"/>
      <c r="KIG1452"/>
      <c r="KIH1452"/>
      <c r="KII1452"/>
      <c r="KIJ1452"/>
      <c r="KIK1452"/>
      <c r="KIL1452"/>
      <c r="KIM1452"/>
      <c r="KIN1452"/>
      <c r="KIO1452"/>
      <c r="KIP1452"/>
      <c r="KIQ1452"/>
      <c r="KIR1452"/>
      <c r="KIS1452"/>
      <c r="KIT1452"/>
      <c r="KIU1452"/>
      <c r="KIV1452"/>
      <c r="KIW1452"/>
      <c r="KIX1452"/>
      <c r="KIY1452"/>
      <c r="KIZ1452"/>
      <c r="KJA1452"/>
      <c r="KJB1452"/>
      <c r="KJC1452"/>
      <c r="KJD1452"/>
      <c r="KJE1452"/>
      <c r="KJF1452"/>
      <c r="KJG1452"/>
      <c r="KJH1452"/>
      <c r="KJI1452"/>
      <c r="KJJ1452"/>
      <c r="KJK1452"/>
      <c r="KJL1452"/>
      <c r="KJM1452"/>
      <c r="KJN1452"/>
      <c r="KJO1452"/>
      <c r="KJP1452"/>
      <c r="KJQ1452"/>
      <c r="KJR1452"/>
      <c r="KJS1452"/>
      <c r="KJT1452"/>
      <c r="KJU1452"/>
      <c r="KJV1452"/>
      <c r="KJW1452"/>
      <c r="KJX1452"/>
      <c r="KJY1452"/>
      <c r="KJZ1452"/>
      <c r="KKA1452"/>
      <c r="KKB1452"/>
      <c r="KKC1452"/>
      <c r="KKD1452"/>
      <c r="KKE1452"/>
      <c r="KKF1452"/>
      <c r="KKG1452"/>
      <c r="KKH1452"/>
      <c r="KKI1452"/>
      <c r="KKJ1452"/>
      <c r="KKK1452"/>
      <c r="KKL1452"/>
      <c r="KKM1452"/>
      <c r="KKN1452"/>
      <c r="KKO1452"/>
      <c r="KKP1452"/>
      <c r="KKQ1452"/>
      <c r="KKR1452"/>
      <c r="KKS1452"/>
      <c r="KKT1452"/>
      <c r="KKU1452"/>
      <c r="KKV1452"/>
      <c r="KKW1452"/>
      <c r="KKX1452"/>
      <c r="KKY1452"/>
      <c r="KKZ1452"/>
      <c r="KLA1452"/>
      <c r="KLB1452"/>
      <c r="KLC1452"/>
      <c r="KLD1452"/>
      <c r="KLE1452"/>
      <c r="KLF1452"/>
      <c r="KLG1452"/>
      <c r="KLH1452"/>
      <c r="KLI1452"/>
      <c r="KLJ1452"/>
      <c r="KLK1452"/>
      <c r="KLL1452"/>
      <c r="KLM1452"/>
      <c r="KLN1452"/>
      <c r="KLO1452"/>
      <c r="KLP1452"/>
      <c r="KLQ1452"/>
      <c r="KLR1452"/>
      <c r="KLS1452"/>
      <c r="KLT1452"/>
      <c r="KLU1452"/>
      <c r="KLV1452"/>
      <c r="KLW1452"/>
      <c r="KLX1452"/>
      <c r="KLY1452"/>
      <c r="KLZ1452"/>
      <c r="KMA1452"/>
      <c r="KMB1452"/>
      <c r="KMC1452"/>
      <c r="KMD1452"/>
      <c r="KME1452"/>
      <c r="KMF1452"/>
      <c r="KMG1452"/>
      <c r="KMH1452"/>
      <c r="KMI1452"/>
      <c r="KMJ1452"/>
      <c r="KMK1452"/>
      <c r="KML1452"/>
      <c r="KMM1452"/>
      <c r="KMN1452"/>
      <c r="KMO1452"/>
      <c r="KMP1452"/>
      <c r="KMQ1452"/>
      <c r="KMR1452"/>
      <c r="KMS1452"/>
      <c r="KMT1452"/>
      <c r="KMU1452"/>
      <c r="KMV1452"/>
      <c r="KMW1452"/>
      <c r="KMX1452"/>
      <c r="KMY1452"/>
      <c r="KMZ1452"/>
      <c r="KNA1452"/>
      <c r="KNB1452"/>
      <c r="KNC1452"/>
      <c r="KND1452"/>
      <c r="KNE1452"/>
      <c r="KNF1452"/>
      <c r="KNG1452"/>
      <c r="KNH1452"/>
      <c r="KNI1452"/>
      <c r="KNJ1452"/>
      <c r="KNK1452"/>
      <c r="KNL1452"/>
      <c r="KNM1452"/>
      <c r="KNN1452"/>
      <c r="KNO1452"/>
      <c r="KNP1452"/>
      <c r="KNQ1452"/>
      <c r="KNR1452"/>
      <c r="KNS1452"/>
      <c r="KNT1452"/>
      <c r="KNU1452"/>
      <c r="KNV1452"/>
      <c r="KNW1452"/>
      <c r="KNX1452"/>
      <c r="KNY1452"/>
      <c r="KNZ1452"/>
      <c r="KOA1452"/>
      <c r="KOB1452"/>
      <c r="KOC1452"/>
      <c r="KOD1452"/>
      <c r="KOE1452"/>
      <c r="KOF1452"/>
      <c r="KOG1452"/>
      <c r="KOH1452"/>
      <c r="KOI1452"/>
      <c r="KOJ1452"/>
      <c r="KOK1452"/>
      <c r="KOL1452"/>
      <c r="KOM1452"/>
      <c r="KON1452"/>
      <c r="KOO1452"/>
      <c r="KOP1452"/>
      <c r="KOQ1452"/>
      <c r="KOR1452"/>
      <c r="KOS1452"/>
      <c r="KOT1452"/>
      <c r="KOU1452"/>
      <c r="KOV1452"/>
      <c r="KOW1452"/>
      <c r="KOX1452"/>
      <c r="KOY1452"/>
      <c r="KOZ1452"/>
      <c r="KPA1452"/>
      <c r="KPB1452"/>
      <c r="KPC1452"/>
      <c r="KPD1452"/>
      <c r="KPE1452"/>
      <c r="KPF1452"/>
      <c r="KPG1452"/>
      <c r="KPH1452"/>
      <c r="KPI1452"/>
      <c r="KPJ1452"/>
      <c r="KPK1452"/>
      <c r="KPL1452"/>
      <c r="KPM1452"/>
      <c r="KPN1452"/>
      <c r="KPO1452"/>
      <c r="KPP1452"/>
      <c r="KPQ1452"/>
      <c r="KPR1452"/>
      <c r="KPS1452"/>
      <c r="KPT1452"/>
      <c r="KPU1452"/>
      <c r="KPV1452"/>
      <c r="KPW1452"/>
      <c r="KPX1452"/>
      <c r="KPY1452"/>
      <c r="KPZ1452"/>
      <c r="KQA1452"/>
      <c r="KQB1452"/>
      <c r="KQC1452"/>
      <c r="KQD1452"/>
      <c r="KQE1452"/>
      <c r="KQF1452"/>
      <c r="KQG1452"/>
      <c r="KQH1452"/>
      <c r="KQI1452"/>
      <c r="KQJ1452"/>
      <c r="KQK1452"/>
      <c r="KQL1452"/>
      <c r="KQM1452"/>
      <c r="KQN1452"/>
      <c r="KQO1452"/>
      <c r="KQP1452"/>
      <c r="KQQ1452"/>
      <c r="KQR1452"/>
      <c r="KQS1452"/>
      <c r="KQT1452"/>
      <c r="KQU1452"/>
      <c r="KQV1452"/>
      <c r="KQW1452"/>
      <c r="KQX1452"/>
      <c r="KQY1452"/>
      <c r="KQZ1452"/>
      <c r="KRA1452"/>
      <c r="KRB1452"/>
      <c r="KRC1452"/>
      <c r="KRD1452"/>
      <c r="KRE1452"/>
      <c r="KRF1452"/>
      <c r="KRG1452"/>
      <c r="KRH1452"/>
      <c r="KRI1452"/>
      <c r="KRJ1452"/>
      <c r="KRK1452"/>
      <c r="KRL1452"/>
      <c r="KRM1452"/>
      <c r="KRN1452"/>
      <c r="KRO1452"/>
      <c r="KRP1452"/>
      <c r="KRQ1452"/>
      <c r="KRR1452"/>
      <c r="KRS1452"/>
      <c r="KRT1452"/>
      <c r="KRU1452"/>
      <c r="KRV1452"/>
      <c r="KRW1452"/>
      <c r="KRX1452"/>
      <c r="KRY1452"/>
      <c r="KRZ1452"/>
      <c r="KSA1452"/>
      <c r="KSB1452"/>
      <c r="KSC1452"/>
      <c r="KSD1452"/>
      <c r="KSE1452"/>
      <c r="KSF1452"/>
      <c r="KSG1452"/>
      <c r="KSH1452"/>
      <c r="KSI1452"/>
      <c r="KSJ1452"/>
      <c r="KSK1452"/>
      <c r="KSL1452"/>
      <c r="KSM1452"/>
      <c r="KSN1452"/>
      <c r="KSO1452"/>
      <c r="KSP1452"/>
      <c r="KSQ1452"/>
      <c r="KSR1452"/>
      <c r="KSS1452"/>
      <c r="KST1452"/>
      <c r="KSU1452"/>
      <c r="KSV1452"/>
      <c r="KSW1452"/>
      <c r="KSX1452"/>
      <c r="KSY1452"/>
      <c r="KSZ1452"/>
      <c r="KTA1452"/>
      <c r="KTB1452"/>
      <c r="KTC1452"/>
      <c r="KTD1452"/>
      <c r="KTE1452"/>
      <c r="KTF1452"/>
      <c r="KTG1452"/>
      <c r="KTH1452"/>
      <c r="KTI1452"/>
      <c r="KTJ1452"/>
      <c r="KTK1452"/>
      <c r="KTL1452"/>
      <c r="KTM1452"/>
      <c r="KTN1452"/>
      <c r="KTO1452"/>
      <c r="KTP1452"/>
      <c r="KTQ1452"/>
      <c r="KTR1452"/>
      <c r="KTS1452"/>
      <c r="KTT1452"/>
      <c r="KTU1452"/>
      <c r="KTV1452"/>
      <c r="KTW1452"/>
      <c r="KTX1452"/>
      <c r="KTY1452"/>
      <c r="KTZ1452"/>
      <c r="KUA1452"/>
      <c r="KUB1452"/>
      <c r="KUC1452"/>
      <c r="KUD1452"/>
      <c r="KUE1452"/>
      <c r="KUF1452"/>
      <c r="KUG1452"/>
      <c r="KUH1452"/>
      <c r="KUI1452"/>
      <c r="KUJ1452"/>
      <c r="KUK1452"/>
      <c r="KUL1452"/>
      <c r="KUM1452"/>
      <c r="KUN1452"/>
      <c r="KUO1452"/>
      <c r="KUP1452"/>
      <c r="KUQ1452"/>
      <c r="KUR1452"/>
      <c r="KUS1452"/>
      <c r="KUT1452"/>
      <c r="KUU1452"/>
      <c r="KUV1452"/>
      <c r="KUW1452"/>
      <c r="KUX1452"/>
      <c r="KUY1452"/>
      <c r="KUZ1452"/>
      <c r="KVA1452"/>
      <c r="KVB1452"/>
      <c r="KVC1452"/>
      <c r="KVD1452"/>
      <c r="KVE1452"/>
      <c r="KVF1452"/>
      <c r="KVG1452"/>
      <c r="KVH1452"/>
      <c r="KVI1452"/>
      <c r="KVJ1452"/>
      <c r="KVK1452"/>
      <c r="KVL1452"/>
      <c r="KVM1452"/>
      <c r="KVN1452"/>
      <c r="KVO1452"/>
      <c r="KVP1452"/>
      <c r="KVQ1452"/>
      <c r="KVR1452"/>
      <c r="KVS1452"/>
      <c r="KVT1452"/>
      <c r="KVU1452"/>
      <c r="KVV1452"/>
      <c r="KVW1452"/>
      <c r="KVX1452"/>
      <c r="KVY1452"/>
      <c r="KVZ1452"/>
      <c r="KWA1452"/>
      <c r="KWB1452"/>
      <c r="KWC1452"/>
      <c r="KWD1452"/>
      <c r="KWE1452"/>
      <c r="KWF1452"/>
      <c r="KWG1452"/>
      <c r="KWH1452"/>
      <c r="KWI1452"/>
      <c r="KWJ1452"/>
      <c r="KWK1452"/>
      <c r="KWL1452"/>
      <c r="KWM1452"/>
      <c r="KWN1452"/>
      <c r="KWO1452"/>
      <c r="KWP1452"/>
      <c r="KWQ1452"/>
      <c r="KWR1452"/>
      <c r="KWS1452"/>
      <c r="KWT1452"/>
      <c r="KWU1452"/>
      <c r="KWV1452"/>
      <c r="KWW1452"/>
      <c r="KWX1452"/>
      <c r="KWY1452"/>
      <c r="KWZ1452"/>
      <c r="KXA1452"/>
      <c r="KXB1452"/>
      <c r="KXC1452"/>
      <c r="KXD1452"/>
      <c r="KXE1452"/>
      <c r="KXF1452"/>
      <c r="KXG1452"/>
      <c r="KXH1452"/>
      <c r="KXI1452"/>
      <c r="KXJ1452"/>
      <c r="KXK1452"/>
      <c r="KXL1452"/>
      <c r="KXM1452"/>
      <c r="KXN1452"/>
      <c r="KXO1452"/>
      <c r="KXP1452"/>
      <c r="KXQ1452"/>
      <c r="KXR1452"/>
      <c r="KXS1452"/>
      <c r="KXT1452"/>
      <c r="KXU1452"/>
      <c r="KXV1452"/>
      <c r="KXW1452"/>
      <c r="KXX1452"/>
      <c r="KXY1452"/>
      <c r="KXZ1452"/>
      <c r="KYA1452"/>
      <c r="KYB1452"/>
      <c r="KYC1452"/>
      <c r="KYD1452"/>
      <c r="KYE1452"/>
      <c r="KYF1452"/>
      <c r="KYG1452"/>
      <c r="KYH1452"/>
      <c r="KYI1452"/>
      <c r="KYJ1452"/>
      <c r="KYK1452"/>
      <c r="KYL1452"/>
      <c r="KYM1452"/>
      <c r="KYN1452"/>
      <c r="KYO1452"/>
      <c r="KYP1452"/>
      <c r="KYQ1452"/>
      <c r="KYR1452"/>
      <c r="KYS1452"/>
      <c r="KYT1452"/>
      <c r="KYU1452"/>
      <c r="KYV1452"/>
      <c r="KYW1452"/>
      <c r="KYX1452"/>
      <c r="KYY1452"/>
      <c r="KYZ1452"/>
      <c r="KZA1452"/>
      <c r="KZB1452"/>
      <c r="KZC1452"/>
      <c r="KZD1452"/>
      <c r="KZE1452"/>
      <c r="KZF1452"/>
      <c r="KZG1452"/>
      <c r="KZH1452"/>
      <c r="KZI1452"/>
      <c r="KZJ1452"/>
      <c r="KZK1452"/>
      <c r="KZL1452"/>
      <c r="KZM1452"/>
      <c r="KZN1452"/>
      <c r="KZO1452"/>
      <c r="KZP1452"/>
      <c r="KZQ1452"/>
      <c r="KZR1452"/>
      <c r="KZS1452"/>
      <c r="KZT1452"/>
      <c r="KZU1452"/>
      <c r="KZV1452"/>
      <c r="KZW1452"/>
      <c r="KZX1452"/>
      <c r="KZY1452"/>
      <c r="KZZ1452"/>
      <c r="LAA1452"/>
      <c r="LAB1452"/>
      <c r="LAC1452"/>
      <c r="LAD1452"/>
      <c r="LAE1452"/>
      <c r="LAF1452"/>
      <c r="LAG1452"/>
      <c r="LAH1452"/>
      <c r="LAI1452"/>
      <c r="LAJ1452"/>
      <c r="LAK1452"/>
      <c r="LAL1452"/>
      <c r="LAM1452"/>
      <c r="LAN1452"/>
      <c r="LAO1452"/>
      <c r="LAP1452"/>
      <c r="LAQ1452"/>
      <c r="LAR1452"/>
      <c r="LAS1452"/>
      <c r="LAT1452"/>
      <c r="LAU1452"/>
      <c r="LAV1452"/>
      <c r="LAW1452"/>
      <c r="LAX1452"/>
      <c r="LAY1452"/>
      <c r="LAZ1452"/>
      <c r="LBA1452"/>
      <c r="LBB1452"/>
      <c r="LBC1452"/>
      <c r="LBD1452"/>
      <c r="LBE1452"/>
      <c r="LBF1452"/>
      <c r="LBG1452"/>
      <c r="LBH1452"/>
      <c r="LBI1452"/>
      <c r="LBJ1452"/>
      <c r="LBK1452"/>
      <c r="LBL1452"/>
      <c r="LBM1452"/>
      <c r="LBN1452"/>
      <c r="LBO1452"/>
      <c r="LBP1452"/>
      <c r="LBQ1452"/>
      <c r="LBR1452"/>
      <c r="LBS1452"/>
      <c r="LBT1452"/>
      <c r="LBU1452"/>
      <c r="LBV1452"/>
      <c r="LBW1452"/>
      <c r="LBX1452"/>
      <c r="LBY1452"/>
      <c r="LBZ1452"/>
      <c r="LCA1452"/>
      <c r="LCB1452"/>
      <c r="LCC1452"/>
      <c r="LCD1452"/>
      <c r="LCE1452"/>
      <c r="LCF1452"/>
      <c r="LCG1452"/>
      <c r="LCH1452"/>
      <c r="LCI1452"/>
      <c r="LCJ1452"/>
      <c r="LCK1452"/>
      <c r="LCL1452"/>
      <c r="LCM1452"/>
      <c r="LCN1452"/>
      <c r="LCO1452"/>
      <c r="LCP1452"/>
      <c r="LCQ1452"/>
      <c r="LCR1452"/>
      <c r="LCS1452"/>
      <c r="LCT1452"/>
      <c r="LCU1452"/>
      <c r="LCV1452"/>
      <c r="LCW1452"/>
      <c r="LCX1452"/>
      <c r="LCY1452"/>
      <c r="LCZ1452"/>
      <c r="LDA1452"/>
      <c r="LDB1452"/>
      <c r="LDC1452"/>
      <c r="LDD1452"/>
      <c r="LDE1452"/>
      <c r="LDF1452"/>
      <c r="LDG1452"/>
      <c r="LDH1452"/>
      <c r="LDI1452"/>
      <c r="LDJ1452"/>
      <c r="LDK1452"/>
      <c r="LDL1452"/>
      <c r="LDM1452"/>
      <c r="LDN1452"/>
      <c r="LDO1452"/>
      <c r="LDP1452"/>
      <c r="LDQ1452"/>
      <c r="LDR1452"/>
      <c r="LDS1452"/>
      <c r="LDT1452"/>
      <c r="LDU1452"/>
      <c r="LDV1452"/>
      <c r="LDW1452"/>
      <c r="LDX1452"/>
      <c r="LDY1452"/>
      <c r="LDZ1452"/>
      <c r="LEA1452"/>
      <c r="LEB1452"/>
      <c r="LEC1452"/>
      <c r="LED1452"/>
      <c r="LEE1452"/>
      <c r="LEF1452"/>
      <c r="LEG1452"/>
      <c r="LEH1452"/>
      <c r="LEI1452"/>
      <c r="LEJ1452"/>
      <c r="LEK1452"/>
      <c r="LEL1452"/>
      <c r="LEM1452"/>
      <c r="LEN1452"/>
      <c r="LEO1452"/>
      <c r="LEP1452"/>
      <c r="LEQ1452"/>
      <c r="LER1452"/>
      <c r="LES1452"/>
      <c r="LET1452"/>
      <c r="LEU1452"/>
      <c r="LEV1452"/>
      <c r="LEW1452"/>
      <c r="LEX1452"/>
      <c r="LEY1452"/>
      <c r="LEZ1452"/>
      <c r="LFA1452"/>
      <c r="LFB1452"/>
      <c r="LFC1452"/>
      <c r="LFD1452"/>
      <c r="LFE1452"/>
      <c r="LFF1452"/>
      <c r="LFG1452"/>
      <c r="LFH1452"/>
      <c r="LFI1452"/>
      <c r="LFJ1452"/>
      <c r="LFK1452"/>
      <c r="LFL1452"/>
      <c r="LFM1452"/>
      <c r="LFN1452"/>
      <c r="LFO1452"/>
      <c r="LFP1452"/>
      <c r="LFQ1452"/>
      <c r="LFR1452"/>
      <c r="LFS1452"/>
      <c r="LFT1452"/>
      <c r="LFU1452"/>
      <c r="LFV1452"/>
      <c r="LFW1452"/>
      <c r="LFX1452"/>
      <c r="LFY1452"/>
      <c r="LFZ1452"/>
      <c r="LGA1452"/>
      <c r="LGB1452"/>
      <c r="LGC1452"/>
      <c r="LGD1452"/>
      <c r="LGE1452"/>
      <c r="LGF1452"/>
      <c r="LGG1452"/>
      <c r="LGH1452"/>
      <c r="LGI1452"/>
      <c r="LGJ1452"/>
      <c r="LGK1452"/>
      <c r="LGL1452"/>
      <c r="LGM1452"/>
      <c r="LGN1452"/>
      <c r="LGO1452"/>
      <c r="LGP1452"/>
      <c r="LGQ1452"/>
      <c r="LGR1452"/>
      <c r="LGS1452"/>
      <c r="LGT1452"/>
      <c r="LGU1452"/>
      <c r="LGV1452"/>
      <c r="LGW1452"/>
      <c r="LGX1452"/>
      <c r="LGY1452"/>
      <c r="LGZ1452"/>
      <c r="LHA1452"/>
      <c r="LHB1452"/>
      <c r="LHC1452"/>
      <c r="LHD1452"/>
      <c r="LHE1452"/>
      <c r="LHF1452"/>
      <c r="LHG1452"/>
      <c r="LHH1452"/>
      <c r="LHI1452"/>
      <c r="LHJ1452"/>
      <c r="LHK1452"/>
      <c r="LHL1452"/>
      <c r="LHM1452"/>
      <c r="LHN1452"/>
      <c r="LHO1452"/>
      <c r="LHP1452"/>
      <c r="LHQ1452"/>
      <c r="LHR1452"/>
      <c r="LHS1452"/>
      <c r="LHT1452"/>
      <c r="LHU1452"/>
      <c r="LHV1452"/>
      <c r="LHW1452"/>
      <c r="LHX1452"/>
      <c r="LHY1452"/>
      <c r="LHZ1452"/>
      <c r="LIA1452"/>
      <c r="LIB1452"/>
      <c r="LIC1452"/>
      <c r="LID1452"/>
      <c r="LIE1452"/>
      <c r="LIF1452"/>
      <c r="LIG1452"/>
      <c r="LIH1452"/>
      <c r="LII1452"/>
      <c r="LIJ1452"/>
      <c r="LIK1452"/>
      <c r="LIL1452"/>
      <c r="LIM1452"/>
      <c r="LIN1452"/>
      <c r="LIO1452"/>
      <c r="LIP1452"/>
      <c r="LIQ1452"/>
      <c r="LIR1452"/>
      <c r="LIS1452"/>
      <c r="LIT1452"/>
      <c r="LIU1452"/>
      <c r="LIV1452"/>
      <c r="LIW1452"/>
      <c r="LIX1452"/>
      <c r="LIY1452"/>
      <c r="LIZ1452"/>
      <c r="LJA1452"/>
      <c r="LJB1452"/>
      <c r="LJC1452"/>
      <c r="LJD1452"/>
      <c r="LJE1452"/>
      <c r="LJF1452"/>
      <c r="LJG1452"/>
      <c r="LJH1452"/>
      <c r="LJI1452"/>
      <c r="LJJ1452"/>
      <c r="LJK1452"/>
      <c r="LJL1452"/>
      <c r="LJM1452"/>
      <c r="LJN1452"/>
      <c r="LJO1452"/>
      <c r="LJP1452"/>
      <c r="LJQ1452"/>
      <c r="LJR1452"/>
      <c r="LJS1452"/>
      <c r="LJT1452"/>
      <c r="LJU1452"/>
      <c r="LJV1452"/>
      <c r="LJW1452"/>
      <c r="LJX1452"/>
      <c r="LJY1452"/>
      <c r="LJZ1452"/>
      <c r="LKA1452"/>
      <c r="LKB1452"/>
      <c r="LKC1452"/>
      <c r="LKD1452"/>
      <c r="LKE1452"/>
      <c r="LKF1452"/>
      <c r="LKG1452"/>
      <c r="LKH1452"/>
      <c r="LKI1452"/>
      <c r="LKJ1452"/>
      <c r="LKK1452"/>
      <c r="LKL1452"/>
      <c r="LKM1452"/>
      <c r="LKN1452"/>
      <c r="LKO1452"/>
      <c r="LKP1452"/>
      <c r="LKQ1452"/>
      <c r="LKR1452"/>
      <c r="LKS1452"/>
      <c r="LKT1452"/>
      <c r="LKU1452"/>
      <c r="LKV1452"/>
      <c r="LKW1452"/>
      <c r="LKX1452"/>
      <c r="LKY1452"/>
      <c r="LKZ1452"/>
      <c r="LLA1452"/>
      <c r="LLB1452"/>
      <c r="LLC1452"/>
      <c r="LLD1452"/>
      <c r="LLE1452"/>
      <c r="LLF1452"/>
      <c r="LLG1452"/>
      <c r="LLH1452"/>
      <c r="LLI1452"/>
      <c r="LLJ1452"/>
      <c r="LLK1452"/>
      <c r="LLL1452"/>
      <c r="LLM1452"/>
      <c r="LLN1452"/>
      <c r="LLO1452"/>
      <c r="LLP1452"/>
      <c r="LLQ1452"/>
      <c r="LLR1452"/>
      <c r="LLS1452"/>
      <c r="LLT1452"/>
      <c r="LLU1452"/>
      <c r="LLV1452"/>
      <c r="LLW1452"/>
      <c r="LLX1452"/>
      <c r="LLY1452"/>
      <c r="LLZ1452"/>
      <c r="LMA1452"/>
      <c r="LMB1452"/>
      <c r="LMC1452"/>
      <c r="LMD1452"/>
      <c r="LME1452"/>
      <c r="LMF1452"/>
      <c r="LMG1452"/>
      <c r="LMH1452"/>
      <c r="LMI1452"/>
      <c r="LMJ1452"/>
      <c r="LMK1452"/>
      <c r="LML1452"/>
      <c r="LMM1452"/>
      <c r="LMN1452"/>
      <c r="LMO1452"/>
      <c r="LMP1452"/>
      <c r="LMQ1452"/>
      <c r="LMR1452"/>
      <c r="LMS1452"/>
      <c r="LMT1452"/>
      <c r="LMU1452"/>
      <c r="LMV1452"/>
      <c r="LMW1452"/>
      <c r="LMX1452"/>
      <c r="LMY1452"/>
      <c r="LMZ1452"/>
      <c r="LNA1452"/>
      <c r="LNB1452"/>
      <c r="LNC1452"/>
      <c r="LND1452"/>
      <c r="LNE1452"/>
      <c r="LNF1452"/>
      <c r="LNG1452"/>
      <c r="LNH1452"/>
      <c r="LNI1452"/>
      <c r="LNJ1452"/>
      <c r="LNK1452"/>
      <c r="LNL1452"/>
      <c r="LNM1452"/>
      <c r="LNN1452"/>
      <c r="LNO1452"/>
      <c r="LNP1452"/>
      <c r="LNQ1452"/>
      <c r="LNR1452"/>
      <c r="LNS1452"/>
      <c r="LNT1452"/>
      <c r="LNU1452"/>
      <c r="LNV1452"/>
      <c r="LNW1452"/>
      <c r="LNX1452"/>
      <c r="LNY1452"/>
      <c r="LNZ1452"/>
      <c r="LOA1452"/>
      <c r="LOB1452"/>
      <c r="LOC1452"/>
      <c r="LOD1452"/>
      <c r="LOE1452"/>
      <c r="LOF1452"/>
      <c r="LOG1452"/>
      <c r="LOH1452"/>
      <c r="LOI1452"/>
      <c r="LOJ1452"/>
      <c r="LOK1452"/>
      <c r="LOL1452"/>
      <c r="LOM1452"/>
      <c r="LON1452"/>
      <c r="LOO1452"/>
      <c r="LOP1452"/>
      <c r="LOQ1452"/>
      <c r="LOR1452"/>
      <c r="LOS1452"/>
      <c r="LOT1452"/>
      <c r="LOU1452"/>
      <c r="LOV1452"/>
      <c r="LOW1452"/>
      <c r="LOX1452"/>
      <c r="LOY1452"/>
      <c r="LOZ1452"/>
      <c r="LPA1452"/>
      <c r="LPB1452"/>
      <c r="LPC1452"/>
      <c r="LPD1452"/>
      <c r="LPE1452"/>
      <c r="LPF1452"/>
      <c r="LPG1452"/>
      <c r="LPH1452"/>
      <c r="LPI1452"/>
      <c r="LPJ1452"/>
      <c r="LPK1452"/>
      <c r="LPL1452"/>
      <c r="LPM1452"/>
      <c r="LPN1452"/>
      <c r="LPO1452"/>
      <c r="LPP1452"/>
      <c r="LPQ1452"/>
      <c r="LPR1452"/>
      <c r="LPS1452"/>
      <c r="LPT1452"/>
      <c r="LPU1452"/>
      <c r="LPV1452"/>
      <c r="LPW1452"/>
      <c r="LPX1452"/>
      <c r="LPY1452"/>
      <c r="LPZ1452"/>
      <c r="LQA1452"/>
      <c r="LQB1452"/>
      <c r="LQC1452"/>
      <c r="LQD1452"/>
      <c r="LQE1452"/>
      <c r="LQF1452"/>
      <c r="LQG1452"/>
      <c r="LQH1452"/>
      <c r="LQI1452"/>
      <c r="LQJ1452"/>
      <c r="LQK1452"/>
      <c r="LQL1452"/>
      <c r="LQM1452"/>
      <c r="LQN1452"/>
      <c r="LQO1452"/>
      <c r="LQP1452"/>
      <c r="LQQ1452"/>
      <c r="LQR1452"/>
      <c r="LQS1452"/>
      <c r="LQT1452"/>
      <c r="LQU1452"/>
      <c r="LQV1452"/>
      <c r="LQW1452"/>
      <c r="LQX1452"/>
      <c r="LQY1452"/>
      <c r="LQZ1452"/>
      <c r="LRA1452"/>
      <c r="LRB1452"/>
      <c r="LRC1452"/>
      <c r="LRD1452"/>
      <c r="LRE1452"/>
      <c r="LRF1452"/>
      <c r="LRG1452"/>
      <c r="LRH1452"/>
      <c r="LRI1452"/>
      <c r="LRJ1452"/>
      <c r="LRK1452"/>
      <c r="LRL1452"/>
      <c r="LRM1452"/>
      <c r="LRN1452"/>
      <c r="LRO1452"/>
      <c r="LRP1452"/>
      <c r="LRQ1452"/>
      <c r="LRR1452"/>
      <c r="LRS1452"/>
      <c r="LRT1452"/>
      <c r="LRU1452"/>
      <c r="LRV1452"/>
      <c r="LRW1452"/>
      <c r="LRX1452"/>
      <c r="LRY1452"/>
      <c r="LRZ1452"/>
      <c r="LSA1452"/>
      <c r="LSB1452"/>
      <c r="LSC1452"/>
      <c r="LSD1452"/>
      <c r="LSE1452"/>
      <c r="LSF1452"/>
      <c r="LSG1452"/>
      <c r="LSH1452"/>
      <c r="LSI1452"/>
      <c r="LSJ1452"/>
      <c r="LSK1452"/>
      <c r="LSL1452"/>
      <c r="LSM1452"/>
      <c r="LSN1452"/>
      <c r="LSO1452"/>
      <c r="LSP1452"/>
      <c r="LSQ1452"/>
      <c r="LSR1452"/>
      <c r="LSS1452"/>
      <c r="LST1452"/>
      <c r="LSU1452"/>
      <c r="LSV1452"/>
      <c r="LSW1452"/>
      <c r="LSX1452"/>
      <c r="LSY1452"/>
      <c r="LSZ1452"/>
      <c r="LTA1452"/>
      <c r="LTB1452"/>
      <c r="LTC1452"/>
      <c r="LTD1452"/>
      <c r="LTE1452"/>
      <c r="LTF1452"/>
      <c r="LTG1452"/>
      <c r="LTH1452"/>
      <c r="LTI1452"/>
      <c r="LTJ1452"/>
      <c r="LTK1452"/>
      <c r="LTL1452"/>
      <c r="LTM1452"/>
      <c r="LTN1452"/>
      <c r="LTO1452"/>
      <c r="LTP1452"/>
      <c r="LTQ1452"/>
      <c r="LTR1452"/>
      <c r="LTS1452"/>
      <c r="LTT1452"/>
      <c r="LTU1452"/>
      <c r="LTV1452"/>
      <c r="LTW1452"/>
      <c r="LTX1452"/>
      <c r="LTY1452"/>
      <c r="LTZ1452"/>
      <c r="LUA1452"/>
      <c r="LUB1452"/>
      <c r="LUC1452"/>
      <c r="LUD1452"/>
      <c r="LUE1452"/>
      <c r="LUF1452"/>
      <c r="LUG1452"/>
      <c r="LUH1452"/>
      <c r="LUI1452"/>
      <c r="LUJ1452"/>
      <c r="LUK1452"/>
      <c r="LUL1452"/>
      <c r="LUM1452"/>
      <c r="LUN1452"/>
      <c r="LUO1452"/>
      <c r="LUP1452"/>
      <c r="LUQ1452"/>
      <c r="LUR1452"/>
      <c r="LUS1452"/>
      <c r="LUT1452"/>
      <c r="LUU1452"/>
      <c r="LUV1452"/>
      <c r="LUW1452"/>
      <c r="LUX1452"/>
      <c r="LUY1452"/>
      <c r="LUZ1452"/>
      <c r="LVA1452"/>
      <c r="LVB1452"/>
      <c r="LVC1452"/>
      <c r="LVD1452"/>
      <c r="LVE1452"/>
      <c r="LVF1452"/>
      <c r="LVG1452"/>
      <c r="LVH1452"/>
      <c r="LVI1452"/>
      <c r="LVJ1452"/>
      <c r="LVK1452"/>
      <c r="LVL1452"/>
      <c r="LVM1452"/>
      <c r="LVN1452"/>
      <c r="LVO1452"/>
      <c r="LVP1452"/>
      <c r="LVQ1452"/>
      <c r="LVR1452"/>
      <c r="LVS1452"/>
      <c r="LVT1452"/>
      <c r="LVU1452"/>
      <c r="LVV1452"/>
      <c r="LVW1452"/>
      <c r="LVX1452"/>
      <c r="LVY1452"/>
      <c r="LVZ1452"/>
      <c r="LWA1452"/>
      <c r="LWB1452"/>
      <c r="LWC1452"/>
      <c r="LWD1452"/>
      <c r="LWE1452"/>
      <c r="LWF1452"/>
      <c r="LWG1452"/>
      <c r="LWH1452"/>
      <c r="LWI1452"/>
      <c r="LWJ1452"/>
      <c r="LWK1452"/>
      <c r="LWL1452"/>
      <c r="LWM1452"/>
      <c r="LWN1452"/>
      <c r="LWO1452"/>
      <c r="LWP1452"/>
      <c r="LWQ1452"/>
      <c r="LWR1452"/>
      <c r="LWS1452"/>
      <c r="LWT1452"/>
      <c r="LWU1452"/>
      <c r="LWV1452"/>
      <c r="LWW1452"/>
      <c r="LWX1452"/>
      <c r="LWY1452"/>
      <c r="LWZ1452"/>
      <c r="LXA1452"/>
      <c r="LXB1452"/>
      <c r="LXC1452"/>
      <c r="LXD1452"/>
      <c r="LXE1452"/>
      <c r="LXF1452"/>
      <c r="LXG1452"/>
      <c r="LXH1452"/>
      <c r="LXI1452"/>
      <c r="LXJ1452"/>
      <c r="LXK1452"/>
      <c r="LXL1452"/>
      <c r="LXM1452"/>
      <c r="LXN1452"/>
      <c r="LXO1452"/>
      <c r="LXP1452"/>
      <c r="LXQ1452"/>
      <c r="LXR1452"/>
      <c r="LXS1452"/>
      <c r="LXT1452"/>
      <c r="LXU1452"/>
      <c r="LXV1452"/>
      <c r="LXW1452"/>
      <c r="LXX1452"/>
      <c r="LXY1452"/>
      <c r="LXZ1452"/>
      <c r="LYA1452"/>
      <c r="LYB1452"/>
      <c r="LYC1452"/>
      <c r="LYD1452"/>
      <c r="LYE1452"/>
      <c r="LYF1452"/>
      <c r="LYG1452"/>
      <c r="LYH1452"/>
      <c r="LYI1452"/>
      <c r="LYJ1452"/>
      <c r="LYK1452"/>
      <c r="LYL1452"/>
      <c r="LYM1452"/>
      <c r="LYN1452"/>
      <c r="LYO1452"/>
      <c r="LYP1452"/>
      <c r="LYQ1452"/>
      <c r="LYR1452"/>
      <c r="LYS1452"/>
      <c r="LYT1452"/>
      <c r="LYU1452"/>
      <c r="LYV1452"/>
      <c r="LYW1452"/>
      <c r="LYX1452"/>
      <c r="LYY1452"/>
      <c r="LYZ1452"/>
      <c r="LZA1452"/>
      <c r="LZB1452"/>
      <c r="LZC1452"/>
      <c r="LZD1452"/>
      <c r="LZE1452"/>
      <c r="LZF1452"/>
      <c r="LZG1452"/>
      <c r="LZH1452"/>
      <c r="LZI1452"/>
      <c r="LZJ1452"/>
      <c r="LZK1452"/>
      <c r="LZL1452"/>
      <c r="LZM1452"/>
      <c r="LZN1452"/>
      <c r="LZO1452"/>
      <c r="LZP1452"/>
      <c r="LZQ1452"/>
      <c r="LZR1452"/>
      <c r="LZS1452"/>
      <c r="LZT1452"/>
      <c r="LZU1452"/>
      <c r="LZV1452"/>
      <c r="LZW1452"/>
      <c r="LZX1452"/>
      <c r="LZY1452"/>
      <c r="LZZ1452"/>
      <c r="MAA1452"/>
      <c r="MAB1452"/>
      <c r="MAC1452"/>
      <c r="MAD1452"/>
      <c r="MAE1452"/>
      <c r="MAF1452"/>
      <c r="MAG1452"/>
      <c r="MAH1452"/>
      <c r="MAI1452"/>
      <c r="MAJ1452"/>
      <c r="MAK1452"/>
      <c r="MAL1452"/>
      <c r="MAM1452"/>
      <c r="MAN1452"/>
      <c r="MAO1452"/>
      <c r="MAP1452"/>
      <c r="MAQ1452"/>
      <c r="MAR1452"/>
      <c r="MAS1452"/>
      <c r="MAT1452"/>
      <c r="MAU1452"/>
      <c r="MAV1452"/>
      <c r="MAW1452"/>
      <c r="MAX1452"/>
      <c r="MAY1452"/>
      <c r="MAZ1452"/>
      <c r="MBA1452"/>
      <c r="MBB1452"/>
      <c r="MBC1452"/>
      <c r="MBD1452"/>
      <c r="MBE1452"/>
      <c r="MBF1452"/>
      <c r="MBG1452"/>
      <c r="MBH1452"/>
      <c r="MBI1452"/>
      <c r="MBJ1452"/>
      <c r="MBK1452"/>
      <c r="MBL1452"/>
      <c r="MBM1452"/>
      <c r="MBN1452"/>
      <c r="MBO1452"/>
      <c r="MBP1452"/>
      <c r="MBQ1452"/>
      <c r="MBR1452"/>
      <c r="MBS1452"/>
      <c r="MBT1452"/>
      <c r="MBU1452"/>
      <c r="MBV1452"/>
      <c r="MBW1452"/>
      <c r="MBX1452"/>
      <c r="MBY1452"/>
      <c r="MBZ1452"/>
      <c r="MCA1452"/>
      <c r="MCB1452"/>
      <c r="MCC1452"/>
      <c r="MCD1452"/>
      <c r="MCE1452"/>
      <c r="MCF1452"/>
      <c r="MCG1452"/>
      <c r="MCH1452"/>
      <c r="MCI1452"/>
      <c r="MCJ1452"/>
      <c r="MCK1452"/>
      <c r="MCL1452"/>
      <c r="MCM1452"/>
      <c r="MCN1452"/>
      <c r="MCO1452"/>
      <c r="MCP1452"/>
      <c r="MCQ1452"/>
      <c r="MCR1452"/>
      <c r="MCS1452"/>
      <c r="MCT1452"/>
      <c r="MCU1452"/>
      <c r="MCV1452"/>
      <c r="MCW1452"/>
      <c r="MCX1452"/>
      <c r="MCY1452"/>
      <c r="MCZ1452"/>
      <c r="MDA1452"/>
      <c r="MDB1452"/>
      <c r="MDC1452"/>
      <c r="MDD1452"/>
      <c r="MDE1452"/>
      <c r="MDF1452"/>
      <c r="MDG1452"/>
      <c r="MDH1452"/>
      <c r="MDI1452"/>
      <c r="MDJ1452"/>
      <c r="MDK1452"/>
      <c r="MDL1452"/>
      <c r="MDM1452"/>
      <c r="MDN1452"/>
      <c r="MDO1452"/>
      <c r="MDP1452"/>
      <c r="MDQ1452"/>
      <c r="MDR1452"/>
      <c r="MDS1452"/>
      <c r="MDT1452"/>
      <c r="MDU1452"/>
      <c r="MDV1452"/>
      <c r="MDW1452"/>
      <c r="MDX1452"/>
      <c r="MDY1452"/>
      <c r="MDZ1452"/>
      <c r="MEA1452"/>
      <c r="MEB1452"/>
      <c r="MEC1452"/>
      <c r="MED1452"/>
      <c r="MEE1452"/>
      <c r="MEF1452"/>
      <c r="MEG1452"/>
      <c r="MEH1452"/>
      <c r="MEI1452"/>
      <c r="MEJ1452"/>
      <c r="MEK1452"/>
      <c r="MEL1452"/>
      <c r="MEM1452"/>
      <c r="MEN1452"/>
      <c r="MEO1452"/>
      <c r="MEP1452"/>
      <c r="MEQ1452"/>
      <c r="MER1452"/>
      <c r="MES1452"/>
      <c r="MET1452"/>
      <c r="MEU1452"/>
      <c r="MEV1452"/>
      <c r="MEW1452"/>
      <c r="MEX1452"/>
      <c r="MEY1452"/>
      <c r="MEZ1452"/>
      <c r="MFA1452"/>
      <c r="MFB1452"/>
      <c r="MFC1452"/>
      <c r="MFD1452"/>
      <c r="MFE1452"/>
      <c r="MFF1452"/>
      <c r="MFG1452"/>
      <c r="MFH1452"/>
      <c r="MFI1452"/>
      <c r="MFJ1452"/>
      <c r="MFK1452"/>
      <c r="MFL1452"/>
      <c r="MFM1452"/>
      <c r="MFN1452"/>
      <c r="MFO1452"/>
      <c r="MFP1452"/>
      <c r="MFQ1452"/>
      <c r="MFR1452"/>
      <c r="MFS1452"/>
      <c r="MFT1452"/>
      <c r="MFU1452"/>
      <c r="MFV1452"/>
      <c r="MFW1452"/>
      <c r="MFX1452"/>
      <c r="MFY1452"/>
      <c r="MFZ1452"/>
      <c r="MGA1452"/>
      <c r="MGB1452"/>
      <c r="MGC1452"/>
      <c r="MGD1452"/>
      <c r="MGE1452"/>
      <c r="MGF1452"/>
      <c r="MGG1452"/>
      <c r="MGH1452"/>
      <c r="MGI1452"/>
      <c r="MGJ1452"/>
      <c r="MGK1452"/>
      <c r="MGL1452"/>
      <c r="MGM1452"/>
      <c r="MGN1452"/>
      <c r="MGO1452"/>
      <c r="MGP1452"/>
      <c r="MGQ1452"/>
      <c r="MGR1452"/>
      <c r="MGS1452"/>
      <c r="MGT1452"/>
      <c r="MGU1452"/>
      <c r="MGV1452"/>
      <c r="MGW1452"/>
      <c r="MGX1452"/>
      <c r="MGY1452"/>
      <c r="MGZ1452"/>
      <c r="MHA1452"/>
      <c r="MHB1452"/>
      <c r="MHC1452"/>
      <c r="MHD1452"/>
      <c r="MHE1452"/>
      <c r="MHF1452"/>
      <c r="MHG1452"/>
      <c r="MHH1452"/>
      <c r="MHI1452"/>
      <c r="MHJ1452"/>
      <c r="MHK1452"/>
      <c r="MHL1452"/>
      <c r="MHM1452"/>
      <c r="MHN1452"/>
      <c r="MHO1452"/>
      <c r="MHP1452"/>
      <c r="MHQ1452"/>
      <c r="MHR1452"/>
      <c r="MHS1452"/>
      <c r="MHT1452"/>
      <c r="MHU1452"/>
      <c r="MHV1452"/>
      <c r="MHW1452"/>
      <c r="MHX1452"/>
      <c r="MHY1452"/>
      <c r="MHZ1452"/>
      <c r="MIA1452"/>
      <c r="MIB1452"/>
      <c r="MIC1452"/>
      <c r="MID1452"/>
      <c r="MIE1452"/>
      <c r="MIF1452"/>
      <c r="MIG1452"/>
      <c r="MIH1452"/>
      <c r="MII1452"/>
      <c r="MIJ1452"/>
      <c r="MIK1452"/>
      <c r="MIL1452"/>
      <c r="MIM1452"/>
      <c r="MIN1452"/>
      <c r="MIO1452"/>
      <c r="MIP1452"/>
      <c r="MIQ1452"/>
      <c r="MIR1452"/>
      <c r="MIS1452"/>
      <c r="MIT1452"/>
      <c r="MIU1452"/>
      <c r="MIV1452"/>
      <c r="MIW1452"/>
      <c r="MIX1452"/>
      <c r="MIY1452"/>
      <c r="MIZ1452"/>
      <c r="MJA1452"/>
      <c r="MJB1452"/>
      <c r="MJC1452"/>
      <c r="MJD1452"/>
      <c r="MJE1452"/>
      <c r="MJF1452"/>
      <c r="MJG1452"/>
      <c r="MJH1452"/>
      <c r="MJI1452"/>
      <c r="MJJ1452"/>
      <c r="MJK1452"/>
      <c r="MJL1452"/>
      <c r="MJM1452"/>
      <c r="MJN1452"/>
      <c r="MJO1452"/>
      <c r="MJP1452"/>
      <c r="MJQ1452"/>
      <c r="MJR1452"/>
      <c r="MJS1452"/>
      <c r="MJT1452"/>
      <c r="MJU1452"/>
      <c r="MJV1452"/>
      <c r="MJW1452"/>
      <c r="MJX1452"/>
      <c r="MJY1452"/>
      <c r="MJZ1452"/>
      <c r="MKA1452"/>
      <c r="MKB1452"/>
      <c r="MKC1452"/>
      <c r="MKD1452"/>
      <c r="MKE1452"/>
      <c r="MKF1452"/>
      <c r="MKG1452"/>
      <c r="MKH1452"/>
      <c r="MKI1452"/>
      <c r="MKJ1452"/>
      <c r="MKK1452"/>
      <c r="MKL1452"/>
      <c r="MKM1452"/>
      <c r="MKN1452"/>
      <c r="MKO1452"/>
      <c r="MKP1452"/>
      <c r="MKQ1452"/>
      <c r="MKR1452"/>
      <c r="MKS1452"/>
      <c r="MKT1452"/>
      <c r="MKU1452"/>
      <c r="MKV1452"/>
      <c r="MKW1452"/>
      <c r="MKX1452"/>
      <c r="MKY1452"/>
      <c r="MKZ1452"/>
      <c r="MLA1452"/>
      <c r="MLB1452"/>
      <c r="MLC1452"/>
      <c r="MLD1452"/>
      <c r="MLE1452"/>
      <c r="MLF1452"/>
      <c r="MLG1452"/>
      <c r="MLH1452"/>
      <c r="MLI1452"/>
      <c r="MLJ1452"/>
      <c r="MLK1452"/>
      <c r="MLL1452"/>
      <c r="MLM1452"/>
      <c r="MLN1452"/>
      <c r="MLO1452"/>
      <c r="MLP1452"/>
      <c r="MLQ1452"/>
      <c r="MLR1452"/>
      <c r="MLS1452"/>
      <c r="MLT1452"/>
      <c r="MLU1452"/>
      <c r="MLV1452"/>
      <c r="MLW1452"/>
      <c r="MLX1452"/>
      <c r="MLY1452"/>
      <c r="MLZ1452"/>
      <c r="MMA1452"/>
      <c r="MMB1452"/>
      <c r="MMC1452"/>
      <c r="MMD1452"/>
      <c r="MME1452"/>
      <c r="MMF1452"/>
      <c r="MMG1452"/>
      <c r="MMH1452"/>
      <c r="MMI1452"/>
      <c r="MMJ1452"/>
      <c r="MMK1452"/>
      <c r="MML1452"/>
      <c r="MMM1452"/>
      <c r="MMN1452"/>
      <c r="MMO1452"/>
      <c r="MMP1452"/>
      <c r="MMQ1452"/>
      <c r="MMR1452"/>
      <c r="MMS1452"/>
      <c r="MMT1452"/>
      <c r="MMU1452"/>
      <c r="MMV1452"/>
      <c r="MMW1452"/>
      <c r="MMX1452"/>
      <c r="MMY1452"/>
      <c r="MMZ1452"/>
      <c r="MNA1452"/>
      <c r="MNB1452"/>
      <c r="MNC1452"/>
      <c r="MND1452"/>
      <c r="MNE1452"/>
      <c r="MNF1452"/>
      <c r="MNG1452"/>
      <c r="MNH1452"/>
      <c r="MNI1452"/>
      <c r="MNJ1452"/>
      <c r="MNK1452"/>
      <c r="MNL1452"/>
      <c r="MNM1452"/>
      <c r="MNN1452"/>
      <c r="MNO1452"/>
      <c r="MNP1452"/>
      <c r="MNQ1452"/>
      <c r="MNR1452"/>
      <c r="MNS1452"/>
      <c r="MNT1452"/>
      <c r="MNU1452"/>
      <c r="MNV1452"/>
      <c r="MNW1452"/>
      <c r="MNX1452"/>
      <c r="MNY1452"/>
      <c r="MNZ1452"/>
      <c r="MOA1452"/>
      <c r="MOB1452"/>
      <c r="MOC1452"/>
      <c r="MOD1452"/>
      <c r="MOE1452"/>
      <c r="MOF1452"/>
      <c r="MOG1452"/>
      <c r="MOH1452"/>
      <c r="MOI1452"/>
      <c r="MOJ1452"/>
      <c r="MOK1452"/>
      <c r="MOL1452"/>
      <c r="MOM1452"/>
      <c r="MON1452"/>
      <c r="MOO1452"/>
      <c r="MOP1452"/>
      <c r="MOQ1452"/>
      <c r="MOR1452"/>
      <c r="MOS1452"/>
      <c r="MOT1452"/>
      <c r="MOU1452"/>
      <c r="MOV1452"/>
      <c r="MOW1452"/>
      <c r="MOX1452"/>
      <c r="MOY1452"/>
      <c r="MOZ1452"/>
      <c r="MPA1452"/>
      <c r="MPB1452"/>
      <c r="MPC1452"/>
      <c r="MPD1452"/>
      <c r="MPE1452"/>
      <c r="MPF1452"/>
      <c r="MPG1452"/>
      <c r="MPH1452"/>
      <c r="MPI1452"/>
      <c r="MPJ1452"/>
      <c r="MPK1452"/>
      <c r="MPL1452"/>
      <c r="MPM1452"/>
      <c r="MPN1452"/>
      <c r="MPO1452"/>
      <c r="MPP1452"/>
      <c r="MPQ1452"/>
      <c r="MPR1452"/>
      <c r="MPS1452"/>
      <c r="MPT1452"/>
      <c r="MPU1452"/>
      <c r="MPV1452"/>
      <c r="MPW1452"/>
      <c r="MPX1452"/>
      <c r="MPY1452"/>
      <c r="MPZ1452"/>
      <c r="MQA1452"/>
      <c r="MQB1452"/>
      <c r="MQC1452"/>
      <c r="MQD1452"/>
      <c r="MQE1452"/>
      <c r="MQF1452"/>
      <c r="MQG1452"/>
      <c r="MQH1452"/>
      <c r="MQI1452"/>
      <c r="MQJ1452"/>
      <c r="MQK1452"/>
      <c r="MQL1452"/>
      <c r="MQM1452"/>
      <c r="MQN1452"/>
      <c r="MQO1452"/>
      <c r="MQP1452"/>
      <c r="MQQ1452"/>
      <c r="MQR1452"/>
      <c r="MQS1452"/>
      <c r="MQT1452"/>
      <c r="MQU1452"/>
      <c r="MQV1452"/>
      <c r="MQW1452"/>
      <c r="MQX1452"/>
      <c r="MQY1452"/>
      <c r="MQZ1452"/>
      <c r="MRA1452"/>
      <c r="MRB1452"/>
      <c r="MRC1452"/>
      <c r="MRD1452"/>
      <c r="MRE1452"/>
      <c r="MRF1452"/>
      <c r="MRG1452"/>
      <c r="MRH1452"/>
      <c r="MRI1452"/>
      <c r="MRJ1452"/>
      <c r="MRK1452"/>
      <c r="MRL1452"/>
      <c r="MRM1452"/>
      <c r="MRN1452"/>
      <c r="MRO1452"/>
      <c r="MRP1452"/>
      <c r="MRQ1452"/>
      <c r="MRR1452"/>
      <c r="MRS1452"/>
      <c r="MRT1452"/>
      <c r="MRU1452"/>
      <c r="MRV1452"/>
      <c r="MRW1452"/>
      <c r="MRX1452"/>
      <c r="MRY1452"/>
      <c r="MRZ1452"/>
      <c r="MSA1452"/>
      <c r="MSB1452"/>
      <c r="MSC1452"/>
      <c r="MSD1452"/>
      <c r="MSE1452"/>
      <c r="MSF1452"/>
      <c r="MSG1452"/>
      <c r="MSH1452"/>
      <c r="MSI1452"/>
      <c r="MSJ1452"/>
      <c r="MSK1452"/>
      <c r="MSL1452"/>
      <c r="MSM1452"/>
      <c r="MSN1452"/>
      <c r="MSO1452"/>
      <c r="MSP1452"/>
      <c r="MSQ1452"/>
      <c r="MSR1452"/>
      <c r="MSS1452"/>
      <c r="MST1452"/>
      <c r="MSU1452"/>
      <c r="MSV1452"/>
      <c r="MSW1452"/>
      <c r="MSX1452"/>
      <c r="MSY1452"/>
      <c r="MSZ1452"/>
      <c r="MTA1452"/>
      <c r="MTB1452"/>
      <c r="MTC1452"/>
      <c r="MTD1452"/>
      <c r="MTE1452"/>
      <c r="MTF1452"/>
      <c r="MTG1452"/>
      <c r="MTH1452"/>
      <c r="MTI1452"/>
      <c r="MTJ1452"/>
      <c r="MTK1452"/>
      <c r="MTL1452"/>
      <c r="MTM1452"/>
      <c r="MTN1452"/>
      <c r="MTO1452"/>
      <c r="MTP1452"/>
      <c r="MTQ1452"/>
      <c r="MTR1452"/>
      <c r="MTS1452"/>
      <c r="MTT1452"/>
      <c r="MTU1452"/>
      <c r="MTV1452"/>
      <c r="MTW1452"/>
      <c r="MTX1452"/>
      <c r="MTY1452"/>
      <c r="MTZ1452"/>
      <c r="MUA1452"/>
      <c r="MUB1452"/>
      <c r="MUC1452"/>
      <c r="MUD1452"/>
      <c r="MUE1452"/>
      <c r="MUF1452"/>
      <c r="MUG1452"/>
      <c r="MUH1452"/>
      <c r="MUI1452"/>
      <c r="MUJ1452"/>
      <c r="MUK1452"/>
      <c r="MUL1452"/>
      <c r="MUM1452"/>
      <c r="MUN1452"/>
      <c r="MUO1452"/>
      <c r="MUP1452"/>
      <c r="MUQ1452"/>
      <c r="MUR1452"/>
      <c r="MUS1452"/>
      <c r="MUT1452"/>
      <c r="MUU1452"/>
      <c r="MUV1452"/>
      <c r="MUW1452"/>
      <c r="MUX1452"/>
      <c r="MUY1452"/>
      <c r="MUZ1452"/>
      <c r="MVA1452"/>
      <c r="MVB1452"/>
      <c r="MVC1452"/>
      <c r="MVD1452"/>
      <c r="MVE1452"/>
      <c r="MVF1452"/>
      <c r="MVG1452"/>
      <c r="MVH1452"/>
      <c r="MVI1452"/>
      <c r="MVJ1452"/>
      <c r="MVK1452"/>
      <c r="MVL1452"/>
      <c r="MVM1452"/>
      <c r="MVN1452"/>
      <c r="MVO1452"/>
      <c r="MVP1452"/>
      <c r="MVQ1452"/>
      <c r="MVR1452"/>
      <c r="MVS1452"/>
      <c r="MVT1452"/>
      <c r="MVU1452"/>
      <c r="MVV1452"/>
      <c r="MVW1452"/>
      <c r="MVX1452"/>
      <c r="MVY1452"/>
      <c r="MVZ1452"/>
      <c r="MWA1452"/>
      <c r="MWB1452"/>
      <c r="MWC1452"/>
      <c r="MWD1452"/>
      <c r="MWE1452"/>
      <c r="MWF1452"/>
      <c r="MWG1452"/>
      <c r="MWH1452"/>
      <c r="MWI1452"/>
      <c r="MWJ1452"/>
      <c r="MWK1452"/>
      <c r="MWL1452"/>
      <c r="MWM1452"/>
      <c r="MWN1452"/>
      <c r="MWO1452"/>
      <c r="MWP1452"/>
      <c r="MWQ1452"/>
      <c r="MWR1452"/>
      <c r="MWS1452"/>
      <c r="MWT1452"/>
      <c r="MWU1452"/>
      <c r="MWV1452"/>
      <c r="MWW1452"/>
      <c r="MWX1452"/>
      <c r="MWY1452"/>
      <c r="MWZ1452"/>
      <c r="MXA1452"/>
      <c r="MXB1452"/>
      <c r="MXC1452"/>
      <c r="MXD1452"/>
      <c r="MXE1452"/>
      <c r="MXF1452"/>
      <c r="MXG1452"/>
      <c r="MXH1452"/>
      <c r="MXI1452"/>
      <c r="MXJ1452"/>
      <c r="MXK1452"/>
      <c r="MXL1452"/>
      <c r="MXM1452"/>
      <c r="MXN1452"/>
      <c r="MXO1452"/>
      <c r="MXP1452"/>
      <c r="MXQ1452"/>
      <c r="MXR1452"/>
      <c r="MXS1452"/>
      <c r="MXT1452"/>
      <c r="MXU1452"/>
      <c r="MXV1452"/>
      <c r="MXW1452"/>
      <c r="MXX1452"/>
      <c r="MXY1452"/>
      <c r="MXZ1452"/>
      <c r="MYA1452"/>
      <c r="MYB1452"/>
      <c r="MYC1452"/>
      <c r="MYD1452"/>
      <c r="MYE1452"/>
      <c r="MYF1452"/>
      <c r="MYG1452"/>
      <c r="MYH1452"/>
      <c r="MYI1452"/>
      <c r="MYJ1452"/>
      <c r="MYK1452"/>
      <c r="MYL1452"/>
      <c r="MYM1452"/>
      <c r="MYN1452"/>
      <c r="MYO1452"/>
      <c r="MYP1452"/>
      <c r="MYQ1452"/>
      <c r="MYR1452"/>
      <c r="MYS1452"/>
      <c r="MYT1452"/>
      <c r="MYU1452"/>
      <c r="MYV1452"/>
      <c r="MYW1452"/>
      <c r="MYX1452"/>
      <c r="MYY1452"/>
      <c r="MYZ1452"/>
      <c r="MZA1452"/>
      <c r="MZB1452"/>
      <c r="MZC1452"/>
      <c r="MZD1452"/>
      <c r="MZE1452"/>
      <c r="MZF1452"/>
      <c r="MZG1452"/>
      <c r="MZH1452"/>
      <c r="MZI1452"/>
      <c r="MZJ1452"/>
      <c r="MZK1452"/>
      <c r="MZL1452"/>
      <c r="MZM1452"/>
      <c r="MZN1452"/>
      <c r="MZO1452"/>
      <c r="MZP1452"/>
      <c r="MZQ1452"/>
      <c r="MZR1452"/>
      <c r="MZS1452"/>
      <c r="MZT1452"/>
      <c r="MZU1452"/>
      <c r="MZV1452"/>
      <c r="MZW1452"/>
      <c r="MZX1452"/>
      <c r="MZY1452"/>
      <c r="MZZ1452"/>
      <c r="NAA1452"/>
      <c r="NAB1452"/>
      <c r="NAC1452"/>
      <c r="NAD1452"/>
      <c r="NAE1452"/>
      <c r="NAF1452"/>
      <c r="NAG1452"/>
      <c r="NAH1452"/>
      <c r="NAI1452"/>
      <c r="NAJ1452"/>
      <c r="NAK1452"/>
      <c r="NAL1452"/>
      <c r="NAM1452"/>
      <c r="NAN1452"/>
      <c r="NAO1452"/>
      <c r="NAP1452"/>
      <c r="NAQ1452"/>
      <c r="NAR1452"/>
      <c r="NAS1452"/>
      <c r="NAT1452"/>
      <c r="NAU1452"/>
      <c r="NAV1452"/>
      <c r="NAW1452"/>
      <c r="NAX1452"/>
      <c r="NAY1452"/>
      <c r="NAZ1452"/>
      <c r="NBA1452"/>
      <c r="NBB1452"/>
      <c r="NBC1452"/>
      <c r="NBD1452"/>
      <c r="NBE1452"/>
      <c r="NBF1452"/>
      <c r="NBG1452"/>
      <c r="NBH1452"/>
      <c r="NBI1452"/>
      <c r="NBJ1452"/>
      <c r="NBK1452"/>
      <c r="NBL1452"/>
      <c r="NBM1452"/>
      <c r="NBN1452"/>
      <c r="NBO1452"/>
      <c r="NBP1452"/>
      <c r="NBQ1452"/>
      <c r="NBR1452"/>
      <c r="NBS1452"/>
      <c r="NBT1452"/>
      <c r="NBU1452"/>
      <c r="NBV1452"/>
      <c r="NBW1452"/>
      <c r="NBX1452"/>
      <c r="NBY1452"/>
      <c r="NBZ1452"/>
      <c r="NCA1452"/>
      <c r="NCB1452"/>
      <c r="NCC1452"/>
      <c r="NCD1452"/>
      <c r="NCE1452"/>
      <c r="NCF1452"/>
      <c r="NCG1452"/>
      <c r="NCH1452"/>
      <c r="NCI1452"/>
      <c r="NCJ1452"/>
      <c r="NCK1452"/>
      <c r="NCL1452"/>
      <c r="NCM1452"/>
      <c r="NCN1452"/>
      <c r="NCO1452"/>
      <c r="NCP1452"/>
      <c r="NCQ1452"/>
      <c r="NCR1452"/>
      <c r="NCS1452"/>
      <c r="NCT1452"/>
      <c r="NCU1452"/>
      <c r="NCV1452"/>
      <c r="NCW1452"/>
      <c r="NCX1452"/>
      <c r="NCY1452"/>
      <c r="NCZ1452"/>
      <c r="NDA1452"/>
      <c r="NDB1452"/>
      <c r="NDC1452"/>
      <c r="NDD1452"/>
      <c r="NDE1452"/>
      <c r="NDF1452"/>
      <c r="NDG1452"/>
      <c r="NDH1452"/>
      <c r="NDI1452"/>
      <c r="NDJ1452"/>
      <c r="NDK1452"/>
      <c r="NDL1452"/>
      <c r="NDM1452"/>
      <c r="NDN1452"/>
      <c r="NDO1452"/>
      <c r="NDP1452"/>
      <c r="NDQ1452"/>
      <c r="NDR1452"/>
      <c r="NDS1452"/>
      <c r="NDT1452"/>
      <c r="NDU1452"/>
      <c r="NDV1452"/>
      <c r="NDW1452"/>
      <c r="NDX1452"/>
      <c r="NDY1452"/>
      <c r="NDZ1452"/>
      <c r="NEA1452"/>
      <c r="NEB1452"/>
      <c r="NEC1452"/>
      <c r="NED1452"/>
      <c r="NEE1452"/>
      <c r="NEF1452"/>
      <c r="NEG1452"/>
      <c r="NEH1452"/>
      <c r="NEI1452"/>
      <c r="NEJ1452"/>
      <c r="NEK1452"/>
      <c r="NEL1452"/>
      <c r="NEM1452"/>
      <c r="NEN1452"/>
      <c r="NEO1452"/>
      <c r="NEP1452"/>
      <c r="NEQ1452"/>
      <c r="NER1452"/>
      <c r="NES1452"/>
      <c r="NET1452"/>
      <c r="NEU1452"/>
      <c r="NEV1452"/>
      <c r="NEW1452"/>
      <c r="NEX1452"/>
      <c r="NEY1452"/>
      <c r="NEZ1452"/>
      <c r="NFA1452"/>
      <c r="NFB1452"/>
      <c r="NFC1452"/>
      <c r="NFD1452"/>
      <c r="NFE1452"/>
      <c r="NFF1452"/>
      <c r="NFG1452"/>
      <c r="NFH1452"/>
      <c r="NFI1452"/>
      <c r="NFJ1452"/>
      <c r="NFK1452"/>
      <c r="NFL1452"/>
      <c r="NFM1452"/>
      <c r="NFN1452"/>
      <c r="NFO1452"/>
      <c r="NFP1452"/>
      <c r="NFQ1452"/>
      <c r="NFR1452"/>
      <c r="NFS1452"/>
      <c r="NFT1452"/>
      <c r="NFU1452"/>
      <c r="NFV1452"/>
      <c r="NFW1452"/>
      <c r="NFX1452"/>
      <c r="NFY1452"/>
      <c r="NFZ1452"/>
      <c r="NGA1452"/>
      <c r="NGB1452"/>
      <c r="NGC1452"/>
      <c r="NGD1452"/>
      <c r="NGE1452"/>
      <c r="NGF1452"/>
      <c r="NGG1452"/>
      <c r="NGH1452"/>
      <c r="NGI1452"/>
      <c r="NGJ1452"/>
      <c r="NGK1452"/>
      <c r="NGL1452"/>
      <c r="NGM1452"/>
      <c r="NGN1452"/>
      <c r="NGO1452"/>
      <c r="NGP1452"/>
      <c r="NGQ1452"/>
      <c r="NGR1452"/>
      <c r="NGS1452"/>
      <c r="NGT1452"/>
      <c r="NGU1452"/>
      <c r="NGV1452"/>
      <c r="NGW1452"/>
      <c r="NGX1452"/>
      <c r="NGY1452"/>
      <c r="NGZ1452"/>
      <c r="NHA1452"/>
      <c r="NHB1452"/>
      <c r="NHC1452"/>
      <c r="NHD1452"/>
      <c r="NHE1452"/>
      <c r="NHF1452"/>
      <c r="NHG1452"/>
      <c r="NHH1452"/>
      <c r="NHI1452"/>
      <c r="NHJ1452"/>
      <c r="NHK1452"/>
      <c r="NHL1452"/>
      <c r="NHM1452"/>
      <c r="NHN1452"/>
      <c r="NHO1452"/>
      <c r="NHP1452"/>
      <c r="NHQ1452"/>
      <c r="NHR1452"/>
      <c r="NHS1452"/>
      <c r="NHT1452"/>
      <c r="NHU1452"/>
      <c r="NHV1452"/>
      <c r="NHW1452"/>
      <c r="NHX1452"/>
      <c r="NHY1452"/>
      <c r="NHZ1452"/>
      <c r="NIA1452"/>
      <c r="NIB1452"/>
      <c r="NIC1452"/>
      <c r="NID1452"/>
      <c r="NIE1452"/>
      <c r="NIF1452"/>
      <c r="NIG1452"/>
      <c r="NIH1452"/>
      <c r="NII1452"/>
      <c r="NIJ1452"/>
      <c r="NIK1452"/>
      <c r="NIL1452"/>
      <c r="NIM1452"/>
      <c r="NIN1452"/>
      <c r="NIO1452"/>
      <c r="NIP1452"/>
      <c r="NIQ1452"/>
      <c r="NIR1452"/>
      <c r="NIS1452"/>
      <c r="NIT1452"/>
      <c r="NIU1452"/>
      <c r="NIV1452"/>
      <c r="NIW1452"/>
      <c r="NIX1452"/>
      <c r="NIY1452"/>
      <c r="NIZ1452"/>
      <c r="NJA1452"/>
      <c r="NJB1452"/>
      <c r="NJC1452"/>
      <c r="NJD1452"/>
      <c r="NJE1452"/>
      <c r="NJF1452"/>
      <c r="NJG1452"/>
      <c r="NJH1452"/>
      <c r="NJI1452"/>
      <c r="NJJ1452"/>
      <c r="NJK1452"/>
      <c r="NJL1452"/>
      <c r="NJM1452"/>
      <c r="NJN1452"/>
      <c r="NJO1452"/>
      <c r="NJP1452"/>
      <c r="NJQ1452"/>
      <c r="NJR1452"/>
      <c r="NJS1452"/>
      <c r="NJT1452"/>
      <c r="NJU1452"/>
      <c r="NJV1452"/>
      <c r="NJW1452"/>
      <c r="NJX1452"/>
      <c r="NJY1452"/>
      <c r="NJZ1452"/>
      <c r="NKA1452"/>
      <c r="NKB1452"/>
      <c r="NKC1452"/>
      <c r="NKD1452"/>
      <c r="NKE1452"/>
      <c r="NKF1452"/>
      <c r="NKG1452"/>
      <c r="NKH1452"/>
      <c r="NKI1452"/>
      <c r="NKJ1452"/>
      <c r="NKK1452"/>
      <c r="NKL1452"/>
      <c r="NKM1452"/>
      <c r="NKN1452"/>
      <c r="NKO1452"/>
      <c r="NKP1452"/>
      <c r="NKQ1452"/>
      <c r="NKR1452"/>
      <c r="NKS1452"/>
      <c r="NKT1452"/>
      <c r="NKU1452"/>
      <c r="NKV1452"/>
      <c r="NKW1452"/>
      <c r="NKX1452"/>
      <c r="NKY1452"/>
      <c r="NKZ1452"/>
      <c r="NLA1452"/>
      <c r="NLB1452"/>
      <c r="NLC1452"/>
      <c r="NLD1452"/>
      <c r="NLE1452"/>
      <c r="NLF1452"/>
      <c r="NLG1452"/>
      <c r="NLH1452"/>
      <c r="NLI1452"/>
      <c r="NLJ1452"/>
      <c r="NLK1452"/>
      <c r="NLL1452"/>
      <c r="NLM1452"/>
      <c r="NLN1452"/>
      <c r="NLO1452"/>
      <c r="NLP1452"/>
      <c r="NLQ1452"/>
      <c r="NLR1452"/>
      <c r="NLS1452"/>
      <c r="NLT1452"/>
      <c r="NLU1452"/>
      <c r="NLV1452"/>
      <c r="NLW1452"/>
      <c r="NLX1452"/>
      <c r="NLY1452"/>
      <c r="NLZ1452"/>
      <c r="NMA1452"/>
      <c r="NMB1452"/>
      <c r="NMC1452"/>
      <c r="NMD1452"/>
      <c r="NME1452"/>
      <c r="NMF1452"/>
      <c r="NMG1452"/>
      <c r="NMH1452"/>
      <c r="NMI1452"/>
      <c r="NMJ1452"/>
      <c r="NMK1452"/>
      <c r="NML1452"/>
      <c r="NMM1452"/>
      <c r="NMN1452"/>
      <c r="NMO1452"/>
      <c r="NMP1452"/>
      <c r="NMQ1452"/>
      <c r="NMR1452"/>
      <c r="NMS1452"/>
      <c r="NMT1452"/>
      <c r="NMU1452"/>
      <c r="NMV1452"/>
      <c r="NMW1452"/>
      <c r="NMX1452"/>
      <c r="NMY1452"/>
      <c r="NMZ1452"/>
      <c r="NNA1452"/>
      <c r="NNB1452"/>
      <c r="NNC1452"/>
      <c r="NND1452"/>
      <c r="NNE1452"/>
      <c r="NNF1452"/>
      <c r="NNG1452"/>
      <c r="NNH1452"/>
      <c r="NNI1452"/>
      <c r="NNJ1452"/>
      <c r="NNK1452"/>
      <c r="NNL1452"/>
      <c r="NNM1452"/>
      <c r="NNN1452"/>
      <c r="NNO1452"/>
      <c r="NNP1452"/>
      <c r="NNQ1452"/>
      <c r="NNR1452"/>
      <c r="NNS1452"/>
      <c r="NNT1452"/>
      <c r="NNU1452"/>
      <c r="NNV1452"/>
      <c r="NNW1452"/>
      <c r="NNX1452"/>
      <c r="NNY1452"/>
      <c r="NNZ1452"/>
      <c r="NOA1452"/>
      <c r="NOB1452"/>
      <c r="NOC1452"/>
      <c r="NOD1452"/>
      <c r="NOE1452"/>
      <c r="NOF1452"/>
      <c r="NOG1452"/>
      <c r="NOH1452"/>
      <c r="NOI1452"/>
      <c r="NOJ1452"/>
      <c r="NOK1452"/>
      <c r="NOL1452"/>
      <c r="NOM1452"/>
      <c r="NON1452"/>
      <c r="NOO1452"/>
      <c r="NOP1452"/>
      <c r="NOQ1452"/>
      <c r="NOR1452"/>
      <c r="NOS1452"/>
      <c r="NOT1452"/>
      <c r="NOU1452"/>
      <c r="NOV1452"/>
      <c r="NOW1452"/>
      <c r="NOX1452"/>
      <c r="NOY1452"/>
      <c r="NOZ1452"/>
      <c r="NPA1452"/>
      <c r="NPB1452"/>
      <c r="NPC1452"/>
      <c r="NPD1452"/>
      <c r="NPE1452"/>
      <c r="NPF1452"/>
      <c r="NPG1452"/>
      <c r="NPH1452"/>
      <c r="NPI1452"/>
      <c r="NPJ1452"/>
      <c r="NPK1452"/>
      <c r="NPL1452"/>
      <c r="NPM1452"/>
      <c r="NPN1452"/>
      <c r="NPO1452"/>
      <c r="NPP1452"/>
      <c r="NPQ1452"/>
      <c r="NPR1452"/>
      <c r="NPS1452"/>
      <c r="NPT1452"/>
      <c r="NPU1452"/>
      <c r="NPV1452"/>
      <c r="NPW1452"/>
      <c r="NPX1452"/>
      <c r="NPY1452"/>
      <c r="NPZ1452"/>
      <c r="NQA1452"/>
      <c r="NQB1452"/>
      <c r="NQC1452"/>
      <c r="NQD1452"/>
      <c r="NQE1452"/>
      <c r="NQF1452"/>
      <c r="NQG1452"/>
      <c r="NQH1452"/>
      <c r="NQI1452"/>
      <c r="NQJ1452"/>
      <c r="NQK1452"/>
      <c r="NQL1452"/>
      <c r="NQM1452"/>
      <c r="NQN1452"/>
      <c r="NQO1452"/>
      <c r="NQP1452"/>
      <c r="NQQ1452"/>
      <c r="NQR1452"/>
      <c r="NQS1452"/>
      <c r="NQT1452"/>
      <c r="NQU1452"/>
      <c r="NQV1452"/>
      <c r="NQW1452"/>
      <c r="NQX1452"/>
      <c r="NQY1452"/>
      <c r="NQZ1452"/>
      <c r="NRA1452"/>
      <c r="NRB1452"/>
      <c r="NRC1452"/>
      <c r="NRD1452"/>
      <c r="NRE1452"/>
      <c r="NRF1452"/>
      <c r="NRG1452"/>
      <c r="NRH1452"/>
      <c r="NRI1452"/>
      <c r="NRJ1452"/>
      <c r="NRK1452"/>
      <c r="NRL1452"/>
      <c r="NRM1452"/>
      <c r="NRN1452"/>
      <c r="NRO1452"/>
      <c r="NRP1452"/>
      <c r="NRQ1452"/>
      <c r="NRR1452"/>
      <c r="NRS1452"/>
      <c r="NRT1452"/>
      <c r="NRU1452"/>
      <c r="NRV1452"/>
      <c r="NRW1452"/>
      <c r="NRX1452"/>
      <c r="NRY1452"/>
      <c r="NRZ1452"/>
      <c r="NSA1452"/>
      <c r="NSB1452"/>
      <c r="NSC1452"/>
      <c r="NSD1452"/>
      <c r="NSE1452"/>
      <c r="NSF1452"/>
      <c r="NSG1452"/>
      <c r="NSH1452"/>
      <c r="NSI1452"/>
      <c r="NSJ1452"/>
      <c r="NSK1452"/>
      <c r="NSL1452"/>
      <c r="NSM1452"/>
      <c r="NSN1452"/>
      <c r="NSO1452"/>
      <c r="NSP1452"/>
      <c r="NSQ1452"/>
      <c r="NSR1452"/>
      <c r="NSS1452"/>
      <c r="NST1452"/>
      <c r="NSU1452"/>
      <c r="NSV1452"/>
      <c r="NSW1452"/>
      <c r="NSX1452"/>
      <c r="NSY1452"/>
      <c r="NSZ1452"/>
      <c r="NTA1452"/>
      <c r="NTB1452"/>
      <c r="NTC1452"/>
      <c r="NTD1452"/>
      <c r="NTE1452"/>
      <c r="NTF1452"/>
      <c r="NTG1452"/>
      <c r="NTH1452"/>
      <c r="NTI1452"/>
      <c r="NTJ1452"/>
      <c r="NTK1452"/>
      <c r="NTL1452"/>
      <c r="NTM1452"/>
      <c r="NTN1452"/>
      <c r="NTO1452"/>
      <c r="NTP1452"/>
      <c r="NTQ1452"/>
      <c r="NTR1452"/>
      <c r="NTS1452"/>
      <c r="NTT1452"/>
      <c r="NTU1452"/>
      <c r="NTV1452"/>
      <c r="NTW1452"/>
      <c r="NTX1452"/>
      <c r="NTY1452"/>
      <c r="NTZ1452"/>
      <c r="NUA1452"/>
      <c r="NUB1452"/>
      <c r="NUC1452"/>
      <c r="NUD1452"/>
      <c r="NUE1452"/>
      <c r="NUF1452"/>
      <c r="NUG1452"/>
      <c r="NUH1452"/>
      <c r="NUI1452"/>
      <c r="NUJ1452"/>
      <c r="NUK1452"/>
      <c r="NUL1452"/>
      <c r="NUM1452"/>
      <c r="NUN1452"/>
      <c r="NUO1452"/>
      <c r="NUP1452"/>
      <c r="NUQ1452"/>
      <c r="NUR1452"/>
      <c r="NUS1452"/>
      <c r="NUT1452"/>
      <c r="NUU1452"/>
      <c r="NUV1452"/>
      <c r="NUW1452"/>
      <c r="NUX1452"/>
      <c r="NUY1452"/>
      <c r="NUZ1452"/>
      <c r="NVA1452"/>
      <c r="NVB1452"/>
      <c r="NVC1452"/>
      <c r="NVD1452"/>
      <c r="NVE1452"/>
      <c r="NVF1452"/>
      <c r="NVG1452"/>
      <c r="NVH1452"/>
      <c r="NVI1452"/>
      <c r="NVJ1452"/>
      <c r="NVK1452"/>
      <c r="NVL1452"/>
      <c r="NVM1452"/>
      <c r="NVN1452"/>
      <c r="NVO1452"/>
      <c r="NVP1452"/>
      <c r="NVQ1452"/>
      <c r="NVR1452"/>
      <c r="NVS1452"/>
      <c r="NVT1452"/>
      <c r="NVU1452"/>
      <c r="NVV1452"/>
      <c r="NVW1452"/>
      <c r="NVX1452"/>
      <c r="NVY1452"/>
      <c r="NVZ1452"/>
      <c r="NWA1452"/>
      <c r="NWB1452"/>
      <c r="NWC1452"/>
      <c r="NWD1452"/>
      <c r="NWE1452"/>
      <c r="NWF1452"/>
      <c r="NWG1452"/>
      <c r="NWH1452"/>
      <c r="NWI1452"/>
      <c r="NWJ1452"/>
      <c r="NWK1452"/>
      <c r="NWL1452"/>
      <c r="NWM1452"/>
      <c r="NWN1452"/>
      <c r="NWO1452"/>
      <c r="NWP1452"/>
      <c r="NWQ1452"/>
      <c r="NWR1452"/>
      <c r="NWS1452"/>
      <c r="NWT1452"/>
      <c r="NWU1452"/>
      <c r="NWV1452"/>
      <c r="NWW1452"/>
      <c r="NWX1452"/>
      <c r="NWY1452"/>
      <c r="NWZ1452"/>
      <c r="NXA1452"/>
      <c r="NXB1452"/>
      <c r="NXC1452"/>
      <c r="NXD1452"/>
      <c r="NXE1452"/>
      <c r="NXF1452"/>
      <c r="NXG1452"/>
      <c r="NXH1452"/>
      <c r="NXI1452"/>
      <c r="NXJ1452"/>
      <c r="NXK1452"/>
      <c r="NXL1452"/>
      <c r="NXM1452"/>
      <c r="NXN1452"/>
      <c r="NXO1452"/>
      <c r="NXP1452"/>
      <c r="NXQ1452"/>
      <c r="NXR1452"/>
      <c r="NXS1452"/>
      <c r="NXT1452"/>
      <c r="NXU1452"/>
      <c r="NXV1452"/>
      <c r="NXW1452"/>
      <c r="NXX1452"/>
      <c r="NXY1452"/>
      <c r="NXZ1452"/>
      <c r="NYA1452"/>
      <c r="NYB1452"/>
      <c r="NYC1452"/>
      <c r="NYD1452"/>
      <c r="NYE1452"/>
      <c r="NYF1452"/>
      <c r="NYG1452"/>
      <c r="NYH1452"/>
      <c r="NYI1452"/>
      <c r="NYJ1452"/>
      <c r="NYK1452"/>
      <c r="NYL1452"/>
      <c r="NYM1452"/>
      <c r="NYN1452"/>
      <c r="NYO1452"/>
      <c r="NYP1452"/>
      <c r="NYQ1452"/>
      <c r="NYR1452"/>
      <c r="NYS1452"/>
      <c r="NYT1452"/>
      <c r="NYU1452"/>
      <c r="NYV1452"/>
      <c r="NYW1452"/>
      <c r="NYX1452"/>
      <c r="NYY1452"/>
      <c r="NYZ1452"/>
      <c r="NZA1452"/>
      <c r="NZB1452"/>
      <c r="NZC1452"/>
      <c r="NZD1452"/>
      <c r="NZE1452"/>
      <c r="NZF1452"/>
      <c r="NZG1452"/>
      <c r="NZH1452"/>
      <c r="NZI1452"/>
      <c r="NZJ1452"/>
      <c r="NZK1452"/>
      <c r="NZL1452"/>
      <c r="NZM1452"/>
      <c r="NZN1452"/>
      <c r="NZO1452"/>
      <c r="NZP1452"/>
      <c r="NZQ1452"/>
      <c r="NZR1452"/>
      <c r="NZS1452"/>
      <c r="NZT1452"/>
      <c r="NZU1452"/>
      <c r="NZV1452"/>
      <c r="NZW1452"/>
      <c r="NZX1452"/>
      <c r="NZY1452"/>
      <c r="NZZ1452"/>
      <c r="OAA1452"/>
      <c r="OAB1452"/>
      <c r="OAC1452"/>
      <c r="OAD1452"/>
      <c r="OAE1452"/>
      <c r="OAF1452"/>
      <c r="OAG1452"/>
      <c r="OAH1452"/>
      <c r="OAI1452"/>
      <c r="OAJ1452"/>
      <c r="OAK1452"/>
      <c r="OAL1452"/>
      <c r="OAM1452"/>
      <c r="OAN1452"/>
      <c r="OAO1452"/>
      <c r="OAP1452"/>
      <c r="OAQ1452"/>
      <c r="OAR1452"/>
      <c r="OAS1452"/>
      <c r="OAT1452"/>
      <c r="OAU1452"/>
      <c r="OAV1452"/>
      <c r="OAW1452"/>
      <c r="OAX1452"/>
      <c r="OAY1452"/>
      <c r="OAZ1452"/>
      <c r="OBA1452"/>
      <c r="OBB1452"/>
      <c r="OBC1452"/>
      <c r="OBD1452"/>
      <c r="OBE1452"/>
      <c r="OBF1452"/>
      <c r="OBG1452"/>
      <c r="OBH1452"/>
      <c r="OBI1452"/>
      <c r="OBJ1452"/>
      <c r="OBK1452"/>
      <c r="OBL1452"/>
      <c r="OBM1452"/>
      <c r="OBN1452"/>
      <c r="OBO1452"/>
      <c r="OBP1452"/>
      <c r="OBQ1452"/>
      <c r="OBR1452"/>
      <c r="OBS1452"/>
      <c r="OBT1452"/>
      <c r="OBU1452"/>
      <c r="OBV1452"/>
      <c r="OBW1452"/>
      <c r="OBX1452"/>
      <c r="OBY1452"/>
      <c r="OBZ1452"/>
      <c r="OCA1452"/>
      <c r="OCB1452"/>
      <c r="OCC1452"/>
      <c r="OCD1452"/>
      <c r="OCE1452"/>
      <c r="OCF1452"/>
      <c r="OCG1452"/>
      <c r="OCH1452"/>
      <c r="OCI1452"/>
      <c r="OCJ1452"/>
      <c r="OCK1452"/>
      <c r="OCL1452"/>
      <c r="OCM1452"/>
      <c r="OCN1452"/>
      <c r="OCO1452"/>
      <c r="OCP1452"/>
      <c r="OCQ1452"/>
      <c r="OCR1452"/>
      <c r="OCS1452"/>
      <c r="OCT1452"/>
      <c r="OCU1452"/>
      <c r="OCV1452"/>
      <c r="OCW1452"/>
      <c r="OCX1452"/>
      <c r="OCY1452"/>
      <c r="OCZ1452"/>
      <c r="ODA1452"/>
      <c r="ODB1452"/>
      <c r="ODC1452"/>
      <c r="ODD1452"/>
      <c r="ODE1452"/>
      <c r="ODF1452"/>
      <c r="ODG1452"/>
      <c r="ODH1452"/>
      <c r="ODI1452"/>
      <c r="ODJ1452"/>
      <c r="ODK1452"/>
      <c r="ODL1452"/>
      <c r="ODM1452"/>
      <c r="ODN1452"/>
      <c r="ODO1452"/>
      <c r="ODP1452"/>
      <c r="ODQ1452"/>
      <c r="ODR1452"/>
      <c r="ODS1452"/>
      <c r="ODT1452"/>
      <c r="ODU1452"/>
      <c r="ODV1452"/>
      <c r="ODW1452"/>
      <c r="ODX1452"/>
      <c r="ODY1452"/>
      <c r="ODZ1452"/>
      <c r="OEA1452"/>
      <c r="OEB1452"/>
      <c r="OEC1452"/>
      <c r="OED1452"/>
      <c r="OEE1452"/>
      <c r="OEF1452"/>
      <c r="OEG1452"/>
      <c r="OEH1452"/>
      <c r="OEI1452"/>
      <c r="OEJ1452"/>
      <c r="OEK1452"/>
      <c r="OEL1452"/>
      <c r="OEM1452"/>
      <c r="OEN1452"/>
      <c r="OEO1452"/>
      <c r="OEP1452"/>
      <c r="OEQ1452"/>
      <c r="OER1452"/>
      <c r="OES1452"/>
      <c r="OET1452"/>
      <c r="OEU1452"/>
      <c r="OEV1452"/>
      <c r="OEW1452"/>
      <c r="OEX1452"/>
      <c r="OEY1452"/>
      <c r="OEZ1452"/>
      <c r="OFA1452"/>
      <c r="OFB1452"/>
      <c r="OFC1452"/>
      <c r="OFD1452"/>
      <c r="OFE1452"/>
      <c r="OFF1452"/>
      <c r="OFG1452"/>
      <c r="OFH1452"/>
      <c r="OFI1452"/>
      <c r="OFJ1452"/>
      <c r="OFK1452"/>
      <c r="OFL1452"/>
      <c r="OFM1452"/>
      <c r="OFN1452"/>
      <c r="OFO1452"/>
      <c r="OFP1452"/>
      <c r="OFQ1452"/>
      <c r="OFR1452"/>
      <c r="OFS1452"/>
      <c r="OFT1452"/>
      <c r="OFU1452"/>
      <c r="OFV1452"/>
      <c r="OFW1452"/>
      <c r="OFX1452"/>
      <c r="OFY1452"/>
      <c r="OFZ1452"/>
      <c r="OGA1452"/>
      <c r="OGB1452"/>
      <c r="OGC1452"/>
      <c r="OGD1452"/>
      <c r="OGE1452"/>
      <c r="OGF1452"/>
      <c r="OGG1452"/>
      <c r="OGH1452"/>
      <c r="OGI1452"/>
      <c r="OGJ1452"/>
      <c r="OGK1452"/>
      <c r="OGL1452"/>
      <c r="OGM1452"/>
      <c r="OGN1452"/>
      <c r="OGO1452"/>
      <c r="OGP1452"/>
      <c r="OGQ1452"/>
      <c r="OGR1452"/>
      <c r="OGS1452"/>
      <c r="OGT1452"/>
      <c r="OGU1452"/>
      <c r="OGV1452"/>
      <c r="OGW1452"/>
      <c r="OGX1452"/>
      <c r="OGY1452"/>
      <c r="OGZ1452"/>
      <c r="OHA1452"/>
      <c r="OHB1452"/>
      <c r="OHC1452"/>
      <c r="OHD1452"/>
      <c r="OHE1452"/>
      <c r="OHF1452"/>
      <c r="OHG1452"/>
      <c r="OHH1452"/>
      <c r="OHI1452"/>
      <c r="OHJ1452"/>
      <c r="OHK1452"/>
      <c r="OHL1452"/>
      <c r="OHM1452"/>
      <c r="OHN1452"/>
      <c r="OHO1452"/>
      <c r="OHP1452"/>
      <c r="OHQ1452"/>
      <c r="OHR1452"/>
      <c r="OHS1452"/>
      <c r="OHT1452"/>
      <c r="OHU1452"/>
      <c r="OHV1452"/>
      <c r="OHW1452"/>
      <c r="OHX1452"/>
      <c r="OHY1452"/>
      <c r="OHZ1452"/>
      <c r="OIA1452"/>
      <c r="OIB1452"/>
      <c r="OIC1452"/>
      <c r="OID1452"/>
      <c r="OIE1452"/>
      <c r="OIF1452"/>
      <c r="OIG1452"/>
      <c r="OIH1452"/>
      <c r="OII1452"/>
      <c r="OIJ1452"/>
      <c r="OIK1452"/>
      <c r="OIL1452"/>
      <c r="OIM1452"/>
      <c r="OIN1452"/>
      <c r="OIO1452"/>
      <c r="OIP1452"/>
      <c r="OIQ1452"/>
      <c r="OIR1452"/>
      <c r="OIS1452"/>
      <c r="OIT1452"/>
      <c r="OIU1452"/>
      <c r="OIV1452"/>
      <c r="OIW1452"/>
      <c r="OIX1452"/>
      <c r="OIY1452"/>
      <c r="OIZ1452"/>
      <c r="OJA1452"/>
      <c r="OJB1452"/>
      <c r="OJC1452"/>
      <c r="OJD1452"/>
      <c r="OJE1452"/>
      <c r="OJF1452"/>
      <c r="OJG1452"/>
      <c r="OJH1452"/>
      <c r="OJI1452"/>
      <c r="OJJ1452"/>
      <c r="OJK1452"/>
      <c r="OJL1452"/>
      <c r="OJM1452"/>
      <c r="OJN1452"/>
      <c r="OJO1452"/>
      <c r="OJP1452"/>
      <c r="OJQ1452"/>
      <c r="OJR1452"/>
      <c r="OJS1452"/>
      <c r="OJT1452"/>
      <c r="OJU1452"/>
      <c r="OJV1452"/>
      <c r="OJW1452"/>
      <c r="OJX1452"/>
      <c r="OJY1452"/>
      <c r="OJZ1452"/>
      <c r="OKA1452"/>
      <c r="OKB1452"/>
      <c r="OKC1452"/>
      <c r="OKD1452"/>
      <c r="OKE1452"/>
      <c r="OKF1452"/>
      <c r="OKG1452"/>
      <c r="OKH1452"/>
      <c r="OKI1452"/>
      <c r="OKJ1452"/>
      <c r="OKK1452"/>
      <c r="OKL1452"/>
      <c r="OKM1452"/>
      <c r="OKN1452"/>
      <c r="OKO1452"/>
      <c r="OKP1452"/>
      <c r="OKQ1452"/>
      <c r="OKR1452"/>
      <c r="OKS1452"/>
      <c r="OKT1452"/>
      <c r="OKU1452"/>
      <c r="OKV1452"/>
      <c r="OKW1452"/>
      <c r="OKX1452"/>
      <c r="OKY1452"/>
      <c r="OKZ1452"/>
      <c r="OLA1452"/>
      <c r="OLB1452"/>
      <c r="OLC1452"/>
      <c r="OLD1452"/>
      <c r="OLE1452"/>
      <c r="OLF1452"/>
      <c r="OLG1452"/>
      <c r="OLH1452"/>
      <c r="OLI1452"/>
      <c r="OLJ1452"/>
      <c r="OLK1452"/>
      <c r="OLL1452"/>
      <c r="OLM1452"/>
      <c r="OLN1452"/>
      <c r="OLO1452"/>
      <c r="OLP1452"/>
      <c r="OLQ1452"/>
      <c r="OLR1452"/>
      <c r="OLS1452"/>
      <c r="OLT1452"/>
      <c r="OLU1452"/>
      <c r="OLV1452"/>
      <c r="OLW1452"/>
      <c r="OLX1452"/>
      <c r="OLY1452"/>
      <c r="OLZ1452"/>
      <c r="OMA1452"/>
      <c r="OMB1452"/>
      <c r="OMC1452"/>
      <c r="OMD1452"/>
      <c r="OME1452"/>
      <c r="OMF1452"/>
      <c r="OMG1452"/>
      <c r="OMH1452"/>
      <c r="OMI1452"/>
      <c r="OMJ1452"/>
      <c r="OMK1452"/>
      <c r="OML1452"/>
      <c r="OMM1452"/>
      <c r="OMN1452"/>
      <c r="OMO1452"/>
      <c r="OMP1452"/>
      <c r="OMQ1452"/>
      <c r="OMR1452"/>
      <c r="OMS1452"/>
      <c r="OMT1452"/>
      <c r="OMU1452"/>
      <c r="OMV1452"/>
      <c r="OMW1452"/>
      <c r="OMX1452"/>
      <c r="OMY1452"/>
      <c r="OMZ1452"/>
      <c r="ONA1452"/>
      <c r="ONB1452"/>
      <c r="ONC1452"/>
      <c r="OND1452"/>
      <c r="ONE1452"/>
      <c r="ONF1452"/>
      <c r="ONG1452"/>
      <c r="ONH1452"/>
      <c r="ONI1452"/>
      <c r="ONJ1452"/>
      <c r="ONK1452"/>
      <c r="ONL1452"/>
      <c r="ONM1452"/>
      <c r="ONN1452"/>
      <c r="ONO1452"/>
      <c r="ONP1452"/>
      <c r="ONQ1452"/>
      <c r="ONR1452"/>
      <c r="ONS1452"/>
      <c r="ONT1452"/>
      <c r="ONU1452"/>
      <c r="ONV1452"/>
      <c r="ONW1452"/>
      <c r="ONX1452"/>
      <c r="ONY1452"/>
      <c r="ONZ1452"/>
      <c r="OOA1452"/>
      <c r="OOB1452"/>
      <c r="OOC1452"/>
      <c r="OOD1452"/>
      <c r="OOE1452"/>
      <c r="OOF1452"/>
      <c r="OOG1452"/>
      <c r="OOH1452"/>
      <c r="OOI1452"/>
      <c r="OOJ1452"/>
      <c r="OOK1452"/>
      <c r="OOL1452"/>
      <c r="OOM1452"/>
      <c r="OON1452"/>
      <c r="OOO1452"/>
      <c r="OOP1452"/>
      <c r="OOQ1452"/>
      <c r="OOR1452"/>
      <c r="OOS1452"/>
      <c r="OOT1452"/>
      <c r="OOU1452"/>
      <c r="OOV1452"/>
      <c r="OOW1452"/>
      <c r="OOX1452"/>
      <c r="OOY1452"/>
      <c r="OOZ1452"/>
      <c r="OPA1452"/>
      <c r="OPB1452"/>
      <c r="OPC1452"/>
      <c r="OPD1452"/>
      <c r="OPE1452"/>
      <c r="OPF1452"/>
      <c r="OPG1452"/>
      <c r="OPH1452"/>
      <c r="OPI1452"/>
      <c r="OPJ1452"/>
      <c r="OPK1452"/>
      <c r="OPL1452"/>
      <c r="OPM1452"/>
      <c r="OPN1452"/>
      <c r="OPO1452"/>
      <c r="OPP1452"/>
      <c r="OPQ1452"/>
      <c r="OPR1452"/>
      <c r="OPS1452"/>
      <c r="OPT1452"/>
      <c r="OPU1452"/>
      <c r="OPV1452"/>
      <c r="OPW1452"/>
      <c r="OPX1452"/>
      <c r="OPY1452"/>
      <c r="OPZ1452"/>
      <c r="OQA1452"/>
      <c r="OQB1452"/>
      <c r="OQC1452"/>
      <c r="OQD1452"/>
      <c r="OQE1452"/>
      <c r="OQF1452"/>
      <c r="OQG1452"/>
      <c r="OQH1452"/>
      <c r="OQI1452"/>
      <c r="OQJ1452"/>
      <c r="OQK1452"/>
      <c r="OQL1452"/>
      <c r="OQM1452"/>
      <c r="OQN1452"/>
      <c r="OQO1452"/>
      <c r="OQP1452"/>
      <c r="OQQ1452"/>
      <c r="OQR1452"/>
      <c r="OQS1452"/>
      <c r="OQT1452"/>
      <c r="OQU1452"/>
      <c r="OQV1452"/>
      <c r="OQW1452"/>
      <c r="OQX1452"/>
      <c r="OQY1452"/>
      <c r="OQZ1452"/>
      <c r="ORA1452"/>
      <c r="ORB1452"/>
      <c r="ORC1452"/>
      <c r="ORD1452"/>
      <c r="ORE1452"/>
      <c r="ORF1452"/>
      <c r="ORG1452"/>
      <c r="ORH1452"/>
      <c r="ORI1452"/>
      <c r="ORJ1452"/>
      <c r="ORK1452"/>
      <c r="ORL1452"/>
      <c r="ORM1452"/>
      <c r="ORN1452"/>
      <c r="ORO1452"/>
      <c r="ORP1452"/>
      <c r="ORQ1452"/>
      <c r="ORR1452"/>
      <c r="ORS1452"/>
      <c r="ORT1452"/>
      <c r="ORU1452"/>
      <c r="ORV1452"/>
      <c r="ORW1452"/>
      <c r="ORX1452"/>
      <c r="ORY1452"/>
      <c r="ORZ1452"/>
      <c r="OSA1452"/>
      <c r="OSB1452"/>
      <c r="OSC1452"/>
      <c r="OSD1452"/>
      <c r="OSE1452"/>
      <c r="OSF1452"/>
      <c r="OSG1452"/>
      <c r="OSH1452"/>
      <c r="OSI1452"/>
      <c r="OSJ1452"/>
      <c r="OSK1452"/>
      <c r="OSL1452"/>
      <c r="OSM1452"/>
      <c r="OSN1452"/>
      <c r="OSO1452"/>
      <c r="OSP1452"/>
      <c r="OSQ1452"/>
      <c r="OSR1452"/>
      <c r="OSS1452"/>
      <c r="OST1452"/>
      <c r="OSU1452"/>
      <c r="OSV1452"/>
      <c r="OSW1452"/>
      <c r="OSX1452"/>
      <c r="OSY1452"/>
      <c r="OSZ1452"/>
      <c r="OTA1452"/>
      <c r="OTB1452"/>
      <c r="OTC1452"/>
      <c r="OTD1452"/>
      <c r="OTE1452"/>
      <c r="OTF1452"/>
      <c r="OTG1452"/>
      <c r="OTH1452"/>
      <c r="OTI1452"/>
      <c r="OTJ1452"/>
      <c r="OTK1452"/>
      <c r="OTL1452"/>
      <c r="OTM1452"/>
      <c r="OTN1452"/>
      <c r="OTO1452"/>
      <c r="OTP1452"/>
      <c r="OTQ1452"/>
      <c r="OTR1452"/>
      <c r="OTS1452"/>
      <c r="OTT1452"/>
      <c r="OTU1452"/>
      <c r="OTV1452"/>
      <c r="OTW1452"/>
      <c r="OTX1452"/>
      <c r="OTY1452"/>
      <c r="OTZ1452"/>
      <c r="OUA1452"/>
      <c r="OUB1452"/>
      <c r="OUC1452"/>
      <c r="OUD1452"/>
      <c r="OUE1452"/>
      <c r="OUF1452"/>
      <c r="OUG1452"/>
      <c r="OUH1452"/>
      <c r="OUI1452"/>
      <c r="OUJ1452"/>
      <c r="OUK1452"/>
      <c r="OUL1452"/>
      <c r="OUM1452"/>
      <c r="OUN1452"/>
      <c r="OUO1452"/>
      <c r="OUP1452"/>
      <c r="OUQ1452"/>
      <c r="OUR1452"/>
      <c r="OUS1452"/>
      <c r="OUT1452"/>
      <c r="OUU1452"/>
      <c r="OUV1452"/>
      <c r="OUW1452"/>
      <c r="OUX1452"/>
      <c r="OUY1452"/>
      <c r="OUZ1452"/>
      <c r="OVA1452"/>
      <c r="OVB1452"/>
      <c r="OVC1452"/>
      <c r="OVD1452"/>
      <c r="OVE1452"/>
      <c r="OVF1452"/>
      <c r="OVG1452"/>
      <c r="OVH1452"/>
      <c r="OVI1452"/>
      <c r="OVJ1452"/>
      <c r="OVK1452"/>
      <c r="OVL1452"/>
      <c r="OVM1452"/>
      <c r="OVN1452"/>
      <c r="OVO1452"/>
      <c r="OVP1452"/>
      <c r="OVQ1452"/>
      <c r="OVR1452"/>
      <c r="OVS1452"/>
      <c r="OVT1452"/>
      <c r="OVU1452"/>
      <c r="OVV1452"/>
      <c r="OVW1452"/>
      <c r="OVX1452"/>
      <c r="OVY1452"/>
      <c r="OVZ1452"/>
      <c r="OWA1452"/>
      <c r="OWB1452"/>
      <c r="OWC1452"/>
      <c r="OWD1452"/>
      <c r="OWE1452"/>
      <c r="OWF1452"/>
      <c r="OWG1452"/>
      <c r="OWH1452"/>
      <c r="OWI1452"/>
      <c r="OWJ1452"/>
      <c r="OWK1452"/>
      <c r="OWL1452"/>
      <c r="OWM1452"/>
      <c r="OWN1452"/>
      <c r="OWO1452"/>
      <c r="OWP1452"/>
      <c r="OWQ1452"/>
      <c r="OWR1452"/>
      <c r="OWS1452"/>
      <c r="OWT1452"/>
      <c r="OWU1452"/>
      <c r="OWV1452"/>
      <c r="OWW1452"/>
      <c r="OWX1452"/>
      <c r="OWY1452"/>
      <c r="OWZ1452"/>
      <c r="OXA1452"/>
      <c r="OXB1452"/>
      <c r="OXC1452"/>
      <c r="OXD1452"/>
      <c r="OXE1452"/>
      <c r="OXF1452"/>
      <c r="OXG1452"/>
      <c r="OXH1452"/>
      <c r="OXI1452"/>
      <c r="OXJ1452"/>
      <c r="OXK1452"/>
      <c r="OXL1452"/>
      <c r="OXM1452"/>
      <c r="OXN1452"/>
      <c r="OXO1452"/>
      <c r="OXP1452"/>
      <c r="OXQ1452"/>
      <c r="OXR1452"/>
      <c r="OXS1452"/>
      <c r="OXT1452"/>
      <c r="OXU1452"/>
      <c r="OXV1452"/>
      <c r="OXW1452"/>
      <c r="OXX1452"/>
      <c r="OXY1452"/>
      <c r="OXZ1452"/>
      <c r="OYA1452"/>
      <c r="OYB1452"/>
      <c r="OYC1452"/>
      <c r="OYD1452"/>
      <c r="OYE1452"/>
      <c r="OYF1452"/>
      <c r="OYG1452"/>
      <c r="OYH1452"/>
      <c r="OYI1452"/>
      <c r="OYJ1452"/>
      <c r="OYK1452"/>
      <c r="OYL1452"/>
      <c r="OYM1452"/>
      <c r="OYN1452"/>
      <c r="OYO1452"/>
      <c r="OYP1452"/>
      <c r="OYQ1452"/>
      <c r="OYR1452"/>
      <c r="OYS1452"/>
      <c r="OYT1452"/>
      <c r="OYU1452"/>
      <c r="OYV1452"/>
      <c r="OYW1452"/>
      <c r="OYX1452"/>
      <c r="OYY1452"/>
      <c r="OYZ1452"/>
      <c r="OZA1452"/>
      <c r="OZB1452"/>
      <c r="OZC1452"/>
      <c r="OZD1452"/>
      <c r="OZE1452"/>
      <c r="OZF1452"/>
      <c r="OZG1452"/>
      <c r="OZH1452"/>
      <c r="OZI1452"/>
      <c r="OZJ1452"/>
      <c r="OZK1452"/>
      <c r="OZL1452"/>
      <c r="OZM1452"/>
      <c r="OZN1452"/>
      <c r="OZO1452"/>
      <c r="OZP1452"/>
      <c r="OZQ1452"/>
      <c r="OZR1452"/>
      <c r="OZS1452"/>
      <c r="OZT1452"/>
      <c r="OZU1452"/>
      <c r="OZV1452"/>
      <c r="OZW1452"/>
      <c r="OZX1452"/>
      <c r="OZY1452"/>
      <c r="OZZ1452"/>
      <c r="PAA1452"/>
      <c r="PAB1452"/>
      <c r="PAC1452"/>
      <c r="PAD1452"/>
      <c r="PAE1452"/>
      <c r="PAF1452"/>
      <c r="PAG1452"/>
      <c r="PAH1452"/>
      <c r="PAI1452"/>
      <c r="PAJ1452"/>
      <c r="PAK1452"/>
      <c r="PAL1452"/>
      <c r="PAM1452"/>
      <c r="PAN1452"/>
      <c r="PAO1452"/>
      <c r="PAP1452"/>
      <c r="PAQ1452"/>
      <c r="PAR1452"/>
      <c r="PAS1452"/>
      <c r="PAT1452"/>
      <c r="PAU1452"/>
      <c r="PAV1452"/>
      <c r="PAW1452"/>
      <c r="PAX1452"/>
      <c r="PAY1452"/>
      <c r="PAZ1452"/>
      <c r="PBA1452"/>
      <c r="PBB1452"/>
      <c r="PBC1452"/>
      <c r="PBD1452"/>
      <c r="PBE1452"/>
      <c r="PBF1452"/>
      <c r="PBG1452"/>
      <c r="PBH1452"/>
      <c r="PBI1452"/>
      <c r="PBJ1452"/>
      <c r="PBK1452"/>
      <c r="PBL1452"/>
      <c r="PBM1452"/>
      <c r="PBN1452"/>
      <c r="PBO1452"/>
      <c r="PBP1452"/>
      <c r="PBQ1452"/>
      <c r="PBR1452"/>
      <c r="PBS1452"/>
      <c r="PBT1452"/>
      <c r="PBU1452"/>
      <c r="PBV1452"/>
      <c r="PBW1452"/>
      <c r="PBX1452"/>
      <c r="PBY1452"/>
      <c r="PBZ1452"/>
      <c r="PCA1452"/>
      <c r="PCB1452"/>
      <c r="PCC1452"/>
      <c r="PCD1452"/>
      <c r="PCE1452"/>
      <c r="PCF1452"/>
      <c r="PCG1452"/>
      <c r="PCH1452"/>
      <c r="PCI1452"/>
      <c r="PCJ1452"/>
      <c r="PCK1452"/>
      <c r="PCL1452"/>
      <c r="PCM1452"/>
      <c r="PCN1452"/>
      <c r="PCO1452"/>
      <c r="PCP1452"/>
      <c r="PCQ1452"/>
      <c r="PCR1452"/>
      <c r="PCS1452"/>
      <c r="PCT1452"/>
      <c r="PCU1452"/>
      <c r="PCV1452"/>
      <c r="PCW1452"/>
      <c r="PCX1452"/>
      <c r="PCY1452"/>
      <c r="PCZ1452"/>
      <c r="PDA1452"/>
      <c r="PDB1452"/>
      <c r="PDC1452"/>
      <c r="PDD1452"/>
      <c r="PDE1452"/>
      <c r="PDF1452"/>
      <c r="PDG1452"/>
      <c r="PDH1452"/>
      <c r="PDI1452"/>
      <c r="PDJ1452"/>
      <c r="PDK1452"/>
      <c r="PDL1452"/>
      <c r="PDM1452"/>
      <c r="PDN1452"/>
      <c r="PDO1452"/>
      <c r="PDP1452"/>
      <c r="PDQ1452"/>
      <c r="PDR1452"/>
      <c r="PDS1452"/>
      <c r="PDT1452"/>
      <c r="PDU1452"/>
      <c r="PDV1452"/>
      <c r="PDW1452"/>
      <c r="PDX1452"/>
      <c r="PDY1452"/>
      <c r="PDZ1452"/>
      <c r="PEA1452"/>
      <c r="PEB1452"/>
      <c r="PEC1452"/>
      <c r="PED1452"/>
      <c r="PEE1452"/>
      <c r="PEF1452"/>
      <c r="PEG1452"/>
      <c r="PEH1452"/>
      <c r="PEI1452"/>
      <c r="PEJ1452"/>
      <c r="PEK1452"/>
      <c r="PEL1452"/>
      <c r="PEM1452"/>
      <c r="PEN1452"/>
      <c r="PEO1452"/>
      <c r="PEP1452"/>
      <c r="PEQ1452"/>
      <c r="PER1452"/>
      <c r="PES1452"/>
      <c r="PET1452"/>
      <c r="PEU1452"/>
      <c r="PEV1452"/>
      <c r="PEW1452"/>
      <c r="PEX1452"/>
      <c r="PEY1452"/>
      <c r="PEZ1452"/>
      <c r="PFA1452"/>
      <c r="PFB1452"/>
      <c r="PFC1452"/>
      <c r="PFD1452"/>
      <c r="PFE1452"/>
      <c r="PFF1452"/>
      <c r="PFG1452"/>
      <c r="PFH1452"/>
      <c r="PFI1452"/>
      <c r="PFJ1452"/>
      <c r="PFK1452"/>
      <c r="PFL1452"/>
      <c r="PFM1452"/>
      <c r="PFN1452"/>
      <c r="PFO1452"/>
      <c r="PFP1452"/>
      <c r="PFQ1452"/>
      <c r="PFR1452"/>
      <c r="PFS1452"/>
      <c r="PFT1452"/>
      <c r="PFU1452"/>
      <c r="PFV1452"/>
      <c r="PFW1452"/>
      <c r="PFX1452"/>
      <c r="PFY1452"/>
      <c r="PFZ1452"/>
      <c r="PGA1452"/>
      <c r="PGB1452"/>
      <c r="PGC1452"/>
      <c r="PGD1452"/>
      <c r="PGE1452"/>
      <c r="PGF1452"/>
      <c r="PGG1452"/>
      <c r="PGH1452"/>
      <c r="PGI1452"/>
      <c r="PGJ1452"/>
      <c r="PGK1452"/>
      <c r="PGL1452"/>
      <c r="PGM1452"/>
      <c r="PGN1452"/>
      <c r="PGO1452"/>
      <c r="PGP1452"/>
      <c r="PGQ1452"/>
      <c r="PGR1452"/>
      <c r="PGS1452"/>
      <c r="PGT1452"/>
      <c r="PGU1452"/>
      <c r="PGV1452"/>
      <c r="PGW1452"/>
      <c r="PGX1452"/>
      <c r="PGY1452"/>
      <c r="PGZ1452"/>
      <c r="PHA1452"/>
      <c r="PHB1452"/>
      <c r="PHC1452"/>
      <c r="PHD1452"/>
      <c r="PHE1452"/>
      <c r="PHF1452"/>
      <c r="PHG1452"/>
      <c r="PHH1452"/>
      <c r="PHI1452"/>
      <c r="PHJ1452"/>
      <c r="PHK1452"/>
      <c r="PHL1452"/>
      <c r="PHM1452"/>
      <c r="PHN1452"/>
      <c r="PHO1452"/>
      <c r="PHP1452"/>
      <c r="PHQ1452"/>
      <c r="PHR1452"/>
      <c r="PHS1452"/>
      <c r="PHT1452"/>
      <c r="PHU1452"/>
      <c r="PHV1452"/>
      <c r="PHW1452"/>
      <c r="PHX1452"/>
      <c r="PHY1452"/>
      <c r="PHZ1452"/>
      <c r="PIA1452"/>
      <c r="PIB1452"/>
      <c r="PIC1452"/>
      <c r="PID1452"/>
      <c r="PIE1452"/>
      <c r="PIF1452"/>
      <c r="PIG1452"/>
      <c r="PIH1452"/>
      <c r="PII1452"/>
      <c r="PIJ1452"/>
      <c r="PIK1452"/>
      <c r="PIL1452"/>
      <c r="PIM1452"/>
      <c r="PIN1452"/>
      <c r="PIO1452"/>
      <c r="PIP1452"/>
      <c r="PIQ1452"/>
      <c r="PIR1452"/>
      <c r="PIS1452"/>
      <c r="PIT1452"/>
      <c r="PIU1452"/>
      <c r="PIV1452"/>
      <c r="PIW1452"/>
      <c r="PIX1452"/>
      <c r="PIY1452"/>
      <c r="PIZ1452"/>
      <c r="PJA1452"/>
      <c r="PJB1452"/>
      <c r="PJC1452"/>
      <c r="PJD1452"/>
      <c r="PJE1452"/>
      <c r="PJF1452"/>
      <c r="PJG1452"/>
      <c r="PJH1452"/>
      <c r="PJI1452"/>
      <c r="PJJ1452"/>
      <c r="PJK1452"/>
      <c r="PJL1452"/>
      <c r="PJM1452"/>
      <c r="PJN1452"/>
      <c r="PJO1452"/>
      <c r="PJP1452"/>
      <c r="PJQ1452"/>
      <c r="PJR1452"/>
      <c r="PJS1452"/>
      <c r="PJT1452"/>
      <c r="PJU1452"/>
      <c r="PJV1452"/>
      <c r="PJW1452"/>
      <c r="PJX1452"/>
      <c r="PJY1452"/>
      <c r="PJZ1452"/>
      <c r="PKA1452"/>
      <c r="PKB1452"/>
      <c r="PKC1452"/>
      <c r="PKD1452"/>
      <c r="PKE1452"/>
      <c r="PKF1452"/>
      <c r="PKG1452"/>
      <c r="PKH1452"/>
      <c r="PKI1452"/>
      <c r="PKJ1452"/>
      <c r="PKK1452"/>
      <c r="PKL1452"/>
      <c r="PKM1452"/>
      <c r="PKN1452"/>
      <c r="PKO1452"/>
      <c r="PKP1452"/>
      <c r="PKQ1452"/>
      <c r="PKR1452"/>
      <c r="PKS1452"/>
      <c r="PKT1452"/>
      <c r="PKU1452"/>
      <c r="PKV1452"/>
      <c r="PKW1452"/>
      <c r="PKX1452"/>
      <c r="PKY1452"/>
      <c r="PKZ1452"/>
      <c r="PLA1452"/>
      <c r="PLB1452"/>
      <c r="PLC1452"/>
      <c r="PLD1452"/>
      <c r="PLE1452"/>
      <c r="PLF1452"/>
      <c r="PLG1452"/>
      <c r="PLH1452"/>
      <c r="PLI1452"/>
      <c r="PLJ1452"/>
      <c r="PLK1452"/>
      <c r="PLL1452"/>
      <c r="PLM1452"/>
      <c r="PLN1452"/>
      <c r="PLO1452"/>
      <c r="PLP1452"/>
      <c r="PLQ1452"/>
      <c r="PLR1452"/>
      <c r="PLS1452"/>
      <c r="PLT1452"/>
      <c r="PLU1452"/>
      <c r="PLV1452"/>
      <c r="PLW1452"/>
      <c r="PLX1452"/>
      <c r="PLY1452"/>
      <c r="PLZ1452"/>
      <c r="PMA1452"/>
      <c r="PMB1452"/>
      <c r="PMC1452"/>
      <c r="PMD1452"/>
      <c r="PME1452"/>
      <c r="PMF1452"/>
      <c r="PMG1452"/>
      <c r="PMH1452"/>
      <c r="PMI1452"/>
      <c r="PMJ1452"/>
      <c r="PMK1452"/>
      <c r="PML1452"/>
      <c r="PMM1452"/>
      <c r="PMN1452"/>
      <c r="PMO1452"/>
      <c r="PMP1452"/>
      <c r="PMQ1452"/>
      <c r="PMR1452"/>
      <c r="PMS1452"/>
      <c r="PMT1452"/>
      <c r="PMU1452"/>
      <c r="PMV1452"/>
      <c r="PMW1452"/>
      <c r="PMX1452"/>
      <c r="PMY1452"/>
      <c r="PMZ1452"/>
      <c r="PNA1452"/>
      <c r="PNB1452"/>
      <c r="PNC1452"/>
      <c r="PND1452"/>
      <c r="PNE1452"/>
      <c r="PNF1452"/>
      <c r="PNG1452"/>
      <c r="PNH1452"/>
      <c r="PNI1452"/>
      <c r="PNJ1452"/>
      <c r="PNK1452"/>
      <c r="PNL1452"/>
      <c r="PNM1452"/>
      <c r="PNN1452"/>
      <c r="PNO1452"/>
      <c r="PNP1452"/>
      <c r="PNQ1452"/>
      <c r="PNR1452"/>
      <c r="PNS1452"/>
      <c r="PNT1452"/>
      <c r="PNU1452"/>
      <c r="PNV1452"/>
      <c r="PNW1452"/>
      <c r="PNX1452"/>
      <c r="PNY1452"/>
      <c r="PNZ1452"/>
      <c r="POA1452"/>
      <c r="POB1452"/>
      <c r="POC1452"/>
      <c r="POD1452"/>
      <c r="POE1452"/>
      <c r="POF1452"/>
      <c r="POG1452"/>
      <c r="POH1452"/>
      <c r="POI1452"/>
      <c r="POJ1452"/>
      <c r="POK1452"/>
      <c r="POL1452"/>
      <c r="POM1452"/>
      <c r="PON1452"/>
      <c r="POO1452"/>
      <c r="POP1452"/>
      <c r="POQ1452"/>
      <c r="POR1452"/>
      <c r="POS1452"/>
      <c r="POT1452"/>
      <c r="POU1452"/>
      <c r="POV1452"/>
      <c r="POW1452"/>
      <c r="POX1452"/>
      <c r="POY1452"/>
      <c r="POZ1452"/>
      <c r="PPA1452"/>
      <c r="PPB1452"/>
      <c r="PPC1452"/>
      <c r="PPD1452"/>
      <c r="PPE1452"/>
      <c r="PPF1452"/>
      <c r="PPG1452"/>
      <c r="PPH1452"/>
      <c r="PPI1452"/>
      <c r="PPJ1452"/>
      <c r="PPK1452"/>
      <c r="PPL1452"/>
      <c r="PPM1452"/>
      <c r="PPN1452"/>
      <c r="PPO1452"/>
      <c r="PPP1452"/>
      <c r="PPQ1452"/>
      <c r="PPR1452"/>
      <c r="PPS1452"/>
      <c r="PPT1452"/>
      <c r="PPU1452"/>
      <c r="PPV1452"/>
      <c r="PPW1452"/>
      <c r="PPX1452"/>
      <c r="PPY1452"/>
      <c r="PPZ1452"/>
      <c r="PQA1452"/>
      <c r="PQB1452"/>
      <c r="PQC1452"/>
      <c r="PQD1452"/>
      <c r="PQE1452"/>
      <c r="PQF1452"/>
      <c r="PQG1452"/>
      <c r="PQH1452"/>
      <c r="PQI1452"/>
      <c r="PQJ1452"/>
      <c r="PQK1452"/>
      <c r="PQL1452"/>
      <c r="PQM1452"/>
      <c r="PQN1452"/>
      <c r="PQO1452"/>
      <c r="PQP1452"/>
      <c r="PQQ1452"/>
      <c r="PQR1452"/>
      <c r="PQS1452"/>
      <c r="PQT1452"/>
      <c r="PQU1452"/>
      <c r="PQV1452"/>
      <c r="PQW1452"/>
      <c r="PQX1452"/>
      <c r="PQY1452"/>
      <c r="PQZ1452"/>
      <c r="PRA1452"/>
      <c r="PRB1452"/>
      <c r="PRC1452"/>
      <c r="PRD1452"/>
      <c r="PRE1452"/>
      <c r="PRF1452"/>
      <c r="PRG1452"/>
      <c r="PRH1452"/>
      <c r="PRI1452"/>
      <c r="PRJ1452"/>
      <c r="PRK1452"/>
      <c r="PRL1452"/>
      <c r="PRM1452"/>
      <c r="PRN1452"/>
      <c r="PRO1452"/>
      <c r="PRP1452"/>
      <c r="PRQ1452"/>
      <c r="PRR1452"/>
      <c r="PRS1452"/>
      <c r="PRT1452"/>
      <c r="PRU1452"/>
      <c r="PRV1452"/>
      <c r="PRW1452"/>
      <c r="PRX1452"/>
      <c r="PRY1452"/>
      <c r="PRZ1452"/>
      <c r="PSA1452"/>
      <c r="PSB1452"/>
      <c r="PSC1452"/>
      <c r="PSD1452"/>
      <c r="PSE1452"/>
      <c r="PSF1452"/>
      <c r="PSG1452"/>
      <c r="PSH1452"/>
      <c r="PSI1452"/>
      <c r="PSJ1452"/>
      <c r="PSK1452"/>
      <c r="PSL1452"/>
      <c r="PSM1452"/>
      <c r="PSN1452"/>
      <c r="PSO1452"/>
      <c r="PSP1452"/>
      <c r="PSQ1452"/>
      <c r="PSR1452"/>
      <c r="PSS1452"/>
      <c r="PST1452"/>
      <c r="PSU1452"/>
      <c r="PSV1452"/>
      <c r="PSW1452"/>
      <c r="PSX1452"/>
      <c r="PSY1452"/>
      <c r="PSZ1452"/>
      <c r="PTA1452"/>
      <c r="PTB1452"/>
      <c r="PTC1452"/>
      <c r="PTD1452"/>
      <c r="PTE1452"/>
      <c r="PTF1452"/>
      <c r="PTG1452"/>
      <c r="PTH1452"/>
      <c r="PTI1452"/>
      <c r="PTJ1452"/>
      <c r="PTK1452"/>
      <c r="PTL1452"/>
      <c r="PTM1452"/>
      <c r="PTN1452"/>
      <c r="PTO1452"/>
      <c r="PTP1452"/>
      <c r="PTQ1452"/>
      <c r="PTR1452"/>
      <c r="PTS1452"/>
      <c r="PTT1452"/>
      <c r="PTU1452"/>
      <c r="PTV1452"/>
      <c r="PTW1452"/>
      <c r="PTX1452"/>
      <c r="PTY1452"/>
      <c r="PTZ1452"/>
      <c r="PUA1452"/>
      <c r="PUB1452"/>
      <c r="PUC1452"/>
      <c r="PUD1452"/>
      <c r="PUE1452"/>
      <c r="PUF1452"/>
      <c r="PUG1452"/>
      <c r="PUH1452"/>
      <c r="PUI1452"/>
      <c r="PUJ1452"/>
      <c r="PUK1452"/>
      <c r="PUL1452"/>
      <c r="PUM1452"/>
      <c r="PUN1452"/>
      <c r="PUO1452"/>
      <c r="PUP1452"/>
      <c r="PUQ1452"/>
      <c r="PUR1452"/>
      <c r="PUS1452"/>
      <c r="PUT1452"/>
      <c r="PUU1452"/>
      <c r="PUV1452"/>
      <c r="PUW1452"/>
      <c r="PUX1452"/>
      <c r="PUY1452"/>
      <c r="PUZ1452"/>
      <c r="PVA1452"/>
      <c r="PVB1452"/>
      <c r="PVC1452"/>
      <c r="PVD1452"/>
      <c r="PVE1452"/>
      <c r="PVF1452"/>
      <c r="PVG1452"/>
      <c r="PVH1452"/>
      <c r="PVI1452"/>
      <c r="PVJ1452"/>
      <c r="PVK1452"/>
      <c r="PVL1452"/>
      <c r="PVM1452"/>
      <c r="PVN1452"/>
      <c r="PVO1452"/>
      <c r="PVP1452"/>
      <c r="PVQ1452"/>
      <c r="PVR1452"/>
      <c r="PVS1452"/>
      <c r="PVT1452"/>
      <c r="PVU1452"/>
      <c r="PVV1452"/>
      <c r="PVW1452"/>
      <c r="PVX1452"/>
      <c r="PVY1452"/>
      <c r="PVZ1452"/>
      <c r="PWA1452"/>
      <c r="PWB1452"/>
      <c r="PWC1452"/>
      <c r="PWD1452"/>
      <c r="PWE1452"/>
      <c r="PWF1452"/>
      <c r="PWG1452"/>
      <c r="PWH1452"/>
      <c r="PWI1452"/>
      <c r="PWJ1452"/>
      <c r="PWK1452"/>
      <c r="PWL1452"/>
      <c r="PWM1452"/>
      <c r="PWN1452"/>
      <c r="PWO1452"/>
      <c r="PWP1452"/>
      <c r="PWQ1452"/>
      <c r="PWR1452"/>
      <c r="PWS1452"/>
      <c r="PWT1452"/>
      <c r="PWU1452"/>
      <c r="PWV1452"/>
      <c r="PWW1452"/>
      <c r="PWX1452"/>
      <c r="PWY1452"/>
      <c r="PWZ1452"/>
      <c r="PXA1452"/>
      <c r="PXB1452"/>
      <c r="PXC1452"/>
      <c r="PXD1452"/>
      <c r="PXE1452"/>
      <c r="PXF1452"/>
      <c r="PXG1452"/>
      <c r="PXH1452"/>
      <c r="PXI1452"/>
      <c r="PXJ1452"/>
      <c r="PXK1452"/>
      <c r="PXL1452"/>
      <c r="PXM1452"/>
      <c r="PXN1452"/>
      <c r="PXO1452"/>
      <c r="PXP1452"/>
      <c r="PXQ1452"/>
      <c r="PXR1452"/>
      <c r="PXS1452"/>
      <c r="PXT1452"/>
      <c r="PXU1452"/>
      <c r="PXV1452"/>
      <c r="PXW1452"/>
      <c r="PXX1452"/>
      <c r="PXY1452"/>
      <c r="PXZ1452"/>
      <c r="PYA1452"/>
      <c r="PYB1452"/>
      <c r="PYC1452"/>
      <c r="PYD1452"/>
      <c r="PYE1452"/>
      <c r="PYF1452"/>
      <c r="PYG1452"/>
      <c r="PYH1452"/>
      <c r="PYI1452"/>
      <c r="PYJ1452"/>
      <c r="PYK1452"/>
      <c r="PYL1452"/>
      <c r="PYM1452"/>
      <c r="PYN1452"/>
      <c r="PYO1452"/>
      <c r="PYP1452"/>
      <c r="PYQ1452"/>
      <c r="PYR1452"/>
      <c r="PYS1452"/>
      <c r="PYT1452"/>
      <c r="PYU1452"/>
      <c r="PYV1452"/>
      <c r="PYW1452"/>
      <c r="PYX1452"/>
      <c r="PYY1452"/>
      <c r="PYZ1452"/>
      <c r="PZA1452"/>
      <c r="PZB1452"/>
      <c r="PZC1452"/>
      <c r="PZD1452"/>
      <c r="PZE1452"/>
      <c r="PZF1452"/>
      <c r="PZG1452"/>
      <c r="PZH1452"/>
      <c r="PZI1452"/>
      <c r="PZJ1452"/>
      <c r="PZK1452"/>
      <c r="PZL1452"/>
      <c r="PZM1452"/>
      <c r="PZN1452"/>
      <c r="PZO1452"/>
      <c r="PZP1452"/>
      <c r="PZQ1452"/>
      <c r="PZR1452"/>
      <c r="PZS1452"/>
      <c r="PZT1452"/>
      <c r="PZU1452"/>
      <c r="PZV1452"/>
      <c r="PZW1452"/>
      <c r="PZX1452"/>
      <c r="PZY1452"/>
      <c r="PZZ1452"/>
      <c r="QAA1452"/>
      <c r="QAB1452"/>
      <c r="QAC1452"/>
      <c r="QAD1452"/>
      <c r="QAE1452"/>
      <c r="QAF1452"/>
      <c r="QAG1452"/>
      <c r="QAH1452"/>
      <c r="QAI1452"/>
      <c r="QAJ1452"/>
      <c r="QAK1452"/>
      <c r="QAL1452"/>
      <c r="QAM1452"/>
      <c r="QAN1452"/>
      <c r="QAO1452"/>
      <c r="QAP1452"/>
      <c r="QAQ1452"/>
      <c r="QAR1452"/>
      <c r="QAS1452"/>
      <c r="QAT1452"/>
      <c r="QAU1452"/>
      <c r="QAV1452"/>
      <c r="QAW1452"/>
      <c r="QAX1452"/>
      <c r="QAY1452"/>
      <c r="QAZ1452"/>
      <c r="QBA1452"/>
      <c r="QBB1452"/>
      <c r="QBC1452"/>
      <c r="QBD1452"/>
      <c r="QBE1452"/>
      <c r="QBF1452"/>
      <c r="QBG1452"/>
      <c r="QBH1452"/>
      <c r="QBI1452"/>
      <c r="QBJ1452"/>
      <c r="QBK1452"/>
      <c r="QBL1452"/>
      <c r="QBM1452"/>
      <c r="QBN1452"/>
      <c r="QBO1452"/>
      <c r="QBP1452"/>
      <c r="QBQ1452"/>
      <c r="QBR1452"/>
      <c r="QBS1452"/>
      <c r="QBT1452"/>
      <c r="QBU1452"/>
      <c r="QBV1452"/>
      <c r="QBW1452"/>
      <c r="QBX1452"/>
      <c r="QBY1452"/>
      <c r="QBZ1452"/>
      <c r="QCA1452"/>
      <c r="QCB1452"/>
      <c r="QCC1452"/>
      <c r="QCD1452"/>
      <c r="QCE1452"/>
      <c r="QCF1452"/>
      <c r="QCG1452"/>
      <c r="QCH1452"/>
      <c r="QCI1452"/>
      <c r="QCJ1452"/>
      <c r="QCK1452"/>
      <c r="QCL1452"/>
      <c r="QCM1452"/>
      <c r="QCN1452"/>
      <c r="QCO1452"/>
      <c r="QCP1452"/>
      <c r="QCQ1452"/>
      <c r="QCR1452"/>
      <c r="QCS1452"/>
      <c r="QCT1452"/>
      <c r="QCU1452"/>
      <c r="QCV1452"/>
      <c r="QCW1452"/>
      <c r="QCX1452"/>
      <c r="QCY1452"/>
      <c r="QCZ1452"/>
      <c r="QDA1452"/>
      <c r="QDB1452"/>
      <c r="QDC1452"/>
      <c r="QDD1452"/>
      <c r="QDE1452"/>
      <c r="QDF1452"/>
      <c r="QDG1452"/>
      <c r="QDH1452"/>
      <c r="QDI1452"/>
      <c r="QDJ1452"/>
      <c r="QDK1452"/>
      <c r="QDL1452"/>
      <c r="QDM1452"/>
      <c r="QDN1452"/>
      <c r="QDO1452"/>
      <c r="QDP1452"/>
      <c r="QDQ1452"/>
      <c r="QDR1452"/>
      <c r="QDS1452"/>
      <c r="QDT1452"/>
      <c r="QDU1452"/>
      <c r="QDV1452"/>
      <c r="QDW1452"/>
      <c r="QDX1452"/>
      <c r="QDY1452"/>
      <c r="QDZ1452"/>
      <c r="QEA1452"/>
      <c r="QEB1452"/>
      <c r="QEC1452"/>
      <c r="QED1452"/>
      <c r="QEE1452"/>
      <c r="QEF1452"/>
      <c r="QEG1452"/>
      <c r="QEH1452"/>
      <c r="QEI1452"/>
      <c r="QEJ1452"/>
      <c r="QEK1452"/>
      <c r="QEL1452"/>
      <c r="QEM1452"/>
      <c r="QEN1452"/>
      <c r="QEO1452"/>
      <c r="QEP1452"/>
      <c r="QEQ1452"/>
      <c r="QER1452"/>
      <c r="QES1452"/>
      <c r="QET1452"/>
      <c r="QEU1452"/>
      <c r="QEV1452"/>
      <c r="QEW1452"/>
      <c r="QEX1452"/>
      <c r="QEY1452"/>
      <c r="QEZ1452"/>
      <c r="QFA1452"/>
      <c r="QFB1452"/>
      <c r="QFC1452"/>
      <c r="QFD1452"/>
      <c r="QFE1452"/>
      <c r="QFF1452"/>
      <c r="QFG1452"/>
      <c r="QFH1452"/>
      <c r="QFI1452"/>
      <c r="QFJ1452"/>
      <c r="QFK1452"/>
      <c r="QFL1452"/>
      <c r="QFM1452"/>
      <c r="QFN1452"/>
      <c r="QFO1452"/>
      <c r="QFP1452"/>
      <c r="QFQ1452"/>
      <c r="QFR1452"/>
      <c r="QFS1452"/>
      <c r="QFT1452"/>
      <c r="QFU1452"/>
      <c r="QFV1452"/>
      <c r="QFW1452"/>
      <c r="QFX1452"/>
      <c r="QFY1452"/>
      <c r="QFZ1452"/>
      <c r="QGA1452"/>
      <c r="QGB1452"/>
      <c r="QGC1452"/>
      <c r="QGD1452"/>
      <c r="QGE1452"/>
      <c r="QGF1452"/>
      <c r="QGG1452"/>
      <c r="QGH1452"/>
      <c r="QGI1452"/>
      <c r="QGJ1452"/>
      <c r="QGK1452"/>
      <c r="QGL1452"/>
      <c r="QGM1452"/>
      <c r="QGN1452"/>
      <c r="QGO1452"/>
      <c r="QGP1452"/>
      <c r="QGQ1452"/>
      <c r="QGR1452"/>
      <c r="QGS1452"/>
      <c r="QGT1452"/>
      <c r="QGU1452"/>
      <c r="QGV1452"/>
      <c r="QGW1452"/>
      <c r="QGX1452"/>
      <c r="QGY1452"/>
      <c r="QGZ1452"/>
      <c r="QHA1452"/>
      <c r="QHB1452"/>
      <c r="QHC1452"/>
      <c r="QHD1452"/>
      <c r="QHE1452"/>
      <c r="QHF1452"/>
      <c r="QHG1452"/>
      <c r="QHH1452"/>
      <c r="QHI1452"/>
      <c r="QHJ1452"/>
      <c r="QHK1452"/>
      <c r="QHL1452"/>
      <c r="QHM1452"/>
      <c r="QHN1452"/>
      <c r="QHO1452"/>
      <c r="QHP1452"/>
      <c r="QHQ1452"/>
      <c r="QHR1452"/>
      <c r="QHS1452"/>
      <c r="QHT1452"/>
      <c r="QHU1452"/>
      <c r="QHV1452"/>
      <c r="QHW1452"/>
      <c r="QHX1452"/>
      <c r="QHY1452"/>
      <c r="QHZ1452"/>
      <c r="QIA1452"/>
      <c r="QIB1452"/>
      <c r="QIC1452"/>
      <c r="QID1452"/>
      <c r="QIE1452"/>
      <c r="QIF1452"/>
      <c r="QIG1452"/>
      <c r="QIH1452"/>
      <c r="QII1452"/>
      <c r="QIJ1452"/>
      <c r="QIK1452"/>
      <c r="QIL1452"/>
      <c r="QIM1452"/>
      <c r="QIN1452"/>
      <c r="QIO1452"/>
      <c r="QIP1452"/>
      <c r="QIQ1452"/>
      <c r="QIR1452"/>
      <c r="QIS1452"/>
      <c r="QIT1452"/>
      <c r="QIU1452"/>
      <c r="QIV1452"/>
      <c r="QIW1452"/>
      <c r="QIX1452"/>
      <c r="QIY1452"/>
      <c r="QIZ1452"/>
      <c r="QJA1452"/>
      <c r="QJB1452"/>
      <c r="QJC1452"/>
      <c r="QJD1452"/>
      <c r="QJE1452"/>
      <c r="QJF1452"/>
      <c r="QJG1452"/>
      <c r="QJH1452"/>
      <c r="QJI1452"/>
      <c r="QJJ1452"/>
      <c r="QJK1452"/>
      <c r="QJL1452"/>
      <c r="QJM1452"/>
      <c r="QJN1452"/>
      <c r="QJO1452"/>
      <c r="QJP1452"/>
      <c r="QJQ1452"/>
      <c r="QJR1452"/>
      <c r="QJS1452"/>
      <c r="QJT1452"/>
      <c r="QJU1452"/>
      <c r="QJV1452"/>
      <c r="QJW1452"/>
      <c r="QJX1452"/>
      <c r="QJY1452"/>
      <c r="QJZ1452"/>
      <c r="QKA1452"/>
      <c r="QKB1452"/>
      <c r="QKC1452"/>
      <c r="QKD1452"/>
      <c r="QKE1452"/>
      <c r="QKF1452"/>
      <c r="QKG1452"/>
      <c r="QKH1452"/>
      <c r="QKI1452"/>
      <c r="QKJ1452"/>
      <c r="QKK1452"/>
      <c r="QKL1452"/>
      <c r="QKM1452"/>
      <c r="QKN1452"/>
      <c r="QKO1452"/>
      <c r="QKP1452"/>
      <c r="QKQ1452"/>
      <c r="QKR1452"/>
      <c r="QKS1452"/>
      <c r="QKT1452"/>
      <c r="QKU1452"/>
      <c r="QKV1452"/>
      <c r="QKW1452"/>
      <c r="QKX1452"/>
      <c r="QKY1452"/>
      <c r="QKZ1452"/>
      <c r="QLA1452"/>
      <c r="QLB1452"/>
      <c r="QLC1452"/>
      <c r="QLD1452"/>
      <c r="QLE1452"/>
      <c r="QLF1452"/>
      <c r="QLG1452"/>
      <c r="QLH1452"/>
      <c r="QLI1452"/>
      <c r="QLJ1452"/>
      <c r="QLK1452"/>
      <c r="QLL1452"/>
      <c r="QLM1452"/>
      <c r="QLN1452"/>
      <c r="QLO1452"/>
      <c r="QLP1452"/>
      <c r="QLQ1452"/>
      <c r="QLR1452"/>
      <c r="QLS1452"/>
      <c r="QLT1452"/>
      <c r="QLU1452"/>
      <c r="QLV1452"/>
      <c r="QLW1452"/>
      <c r="QLX1452"/>
      <c r="QLY1452"/>
      <c r="QLZ1452"/>
      <c r="QMA1452"/>
      <c r="QMB1452"/>
      <c r="QMC1452"/>
      <c r="QMD1452"/>
      <c r="QME1452"/>
      <c r="QMF1452"/>
      <c r="QMG1452"/>
      <c r="QMH1452"/>
      <c r="QMI1452"/>
      <c r="QMJ1452"/>
      <c r="QMK1452"/>
      <c r="QML1452"/>
      <c r="QMM1452"/>
      <c r="QMN1452"/>
      <c r="QMO1452"/>
      <c r="QMP1452"/>
      <c r="QMQ1452"/>
      <c r="QMR1452"/>
      <c r="QMS1452"/>
      <c r="QMT1452"/>
      <c r="QMU1452"/>
      <c r="QMV1452"/>
      <c r="QMW1452"/>
      <c r="QMX1452"/>
      <c r="QMY1452"/>
      <c r="QMZ1452"/>
      <c r="QNA1452"/>
      <c r="QNB1452"/>
      <c r="QNC1452"/>
      <c r="QND1452"/>
      <c r="QNE1452"/>
      <c r="QNF1452"/>
      <c r="QNG1452"/>
      <c r="QNH1452"/>
      <c r="QNI1452"/>
      <c r="QNJ1452"/>
      <c r="QNK1452"/>
      <c r="QNL1452"/>
      <c r="QNM1452"/>
      <c r="QNN1452"/>
      <c r="QNO1452"/>
      <c r="QNP1452"/>
      <c r="QNQ1452"/>
      <c r="QNR1452"/>
      <c r="QNS1452"/>
      <c r="QNT1452"/>
      <c r="QNU1452"/>
      <c r="QNV1452"/>
      <c r="QNW1452"/>
      <c r="QNX1452"/>
      <c r="QNY1452"/>
      <c r="QNZ1452"/>
      <c r="QOA1452"/>
      <c r="QOB1452"/>
      <c r="QOC1452"/>
      <c r="QOD1452"/>
      <c r="QOE1452"/>
      <c r="QOF1452"/>
      <c r="QOG1452"/>
      <c r="QOH1452"/>
      <c r="QOI1452"/>
      <c r="QOJ1452"/>
      <c r="QOK1452"/>
      <c r="QOL1452"/>
      <c r="QOM1452"/>
      <c r="QON1452"/>
      <c r="QOO1452"/>
      <c r="QOP1452"/>
      <c r="QOQ1452"/>
      <c r="QOR1452"/>
      <c r="QOS1452"/>
      <c r="QOT1452"/>
      <c r="QOU1452"/>
      <c r="QOV1452"/>
      <c r="QOW1452"/>
      <c r="QOX1452"/>
      <c r="QOY1452"/>
      <c r="QOZ1452"/>
      <c r="QPA1452"/>
      <c r="QPB1452"/>
      <c r="QPC1452"/>
      <c r="QPD1452"/>
      <c r="QPE1452"/>
      <c r="QPF1452"/>
      <c r="QPG1452"/>
      <c r="QPH1452"/>
      <c r="QPI1452"/>
      <c r="QPJ1452"/>
      <c r="QPK1452"/>
      <c r="QPL1452"/>
      <c r="QPM1452"/>
      <c r="QPN1452"/>
      <c r="QPO1452"/>
      <c r="QPP1452"/>
      <c r="QPQ1452"/>
      <c r="QPR1452"/>
      <c r="QPS1452"/>
      <c r="QPT1452"/>
      <c r="QPU1452"/>
      <c r="QPV1452"/>
      <c r="QPW1452"/>
      <c r="QPX1452"/>
      <c r="QPY1452"/>
      <c r="QPZ1452"/>
      <c r="QQA1452"/>
      <c r="QQB1452"/>
      <c r="QQC1452"/>
      <c r="QQD1452"/>
      <c r="QQE1452"/>
      <c r="QQF1452"/>
      <c r="QQG1452"/>
      <c r="QQH1452"/>
      <c r="QQI1452"/>
      <c r="QQJ1452"/>
      <c r="QQK1452"/>
      <c r="QQL1452"/>
      <c r="QQM1452"/>
      <c r="QQN1452"/>
      <c r="QQO1452"/>
      <c r="QQP1452"/>
      <c r="QQQ1452"/>
      <c r="QQR1452"/>
      <c r="QQS1452"/>
      <c r="QQT1452"/>
      <c r="QQU1452"/>
      <c r="QQV1452"/>
      <c r="QQW1452"/>
      <c r="QQX1452"/>
      <c r="QQY1452"/>
      <c r="QQZ1452"/>
      <c r="QRA1452"/>
      <c r="QRB1452"/>
      <c r="QRC1452"/>
      <c r="QRD1452"/>
      <c r="QRE1452"/>
      <c r="QRF1452"/>
      <c r="QRG1452"/>
      <c r="QRH1452"/>
      <c r="QRI1452"/>
      <c r="QRJ1452"/>
      <c r="QRK1452"/>
      <c r="QRL1452"/>
      <c r="QRM1452"/>
      <c r="QRN1452"/>
      <c r="QRO1452"/>
      <c r="QRP1452"/>
      <c r="QRQ1452"/>
      <c r="QRR1452"/>
      <c r="QRS1452"/>
      <c r="QRT1452"/>
      <c r="QRU1452"/>
      <c r="QRV1452"/>
      <c r="QRW1452"/>
      <c r="QRX1452"/>
      <c r="QRY1452"/>
      <c r="QRZ1452"/>
      <c r="QSA1452"/>
      <c r="QSB1452"/>
      <c r="QSC1452"/>
      <c r="QSD1452"/>
      <c r="QSE1452"/>
      <c r="QSF1452"/>
      <c r="QSG1452"/>
      <c r="QSH1452"/>
      <c r="QSI1452"/>
      <c r="QSJ1452"/>
      <c r="QSK1452"/>
      <c r="QSL1452"/>
      <c r="QSM1452"/>
      <c r="QSN1452"/>
      <c r="QSO1452"/>
      <c r="QSP1452"/>
      <c r="QSQ1452"/>
      <c r="QSR1452"/>
      <c r="QSS1452"/>
      <c r="QST1452"/>
      <c r="QSU1452"/>
      <c r="QSV1452"/>
      <c r="QSW1452"/>
      <c r="QSX1452"/>
      <c r="QSY1452"/>
      <c r="QSZ1452"/>
      <c r="QTA1452"/>
      <c r="QTB1452"/>
      <c r="QTC1452"/>
      <c r="QTD1452"/>
      <c r="QTE1452"/>
      <c r="QTF1452"/>
      <c r="QTG1452"/>
      <c r="QTH1452"/>
      <c r="QTI1452"/>
      <c r="QTJ1452"/>
      <c r="QTK1452"/>
      <c r="QTL1452"/>
      <c r="QTM1452"/>
      <c r="QTN1452"/>
      <c r="QTO1452"/>
      <c r="QTP1452"/>
      <c r="QTQ1452"/>
      <c r="QTR1452"/>
      <c r="QTS1452"/>
      <c r="QTT1452"/>
      <c r="QTU1452"/>
      <c r="QTV1452"/>
      <c r="QTW1452"/>
      <c r="QTX1452"/>
      <c r="QTY1452"/>
      <c r="QTZ1452"/>
      <c r="QUA1452"/>
      <c r="QUB1452"/>
      <c r="QUC1452"/>
      <c r="QUD1452"/>
      <c r="QUE1452"/>
      <c r="QUF1452"/>
      <c r="QUG1452"/>
      <c r="QUH1452"/>
      <c r="QUI1452"/>
      <c r="QUJ1452"/>
      <c r="QUK1452"/>
      <c r="QUL1452"/>
      <c r="QUM1452"/>
      <c r="QUN1452"/>
      <c r="QUO1452"/>
      <c r="QUP1452"/>
      <c r="QUQ1452"/>
      <c r="QUR1452"/>
      <c r="QUS1452"/>
      <c r="QUT1452"/>
      <c r="QUU1452"/>
      <c r="QUV1452"/>
      <c r="QUW1452"/>
      <c r="QUX1452"/>
      <c r="QUY1452"/>
      <c r="QUZ1452"/>
      <c r="QVA1452"/>
      <c r="QVB1452"/>
      <c r="QVC1452"/>
      <c r="QVD1452"/>
      <c r="QVE1452"/>
      <c r="QVF1452"/>
      <c r="QVG1452"/>
      <c r="QVH1452"/>
      <c r="QVI1452"/>
      <c r="QVJ1452"/>
      <c r="QVK1452"/>
      <c r="QVL1452"/>
      <c r="QVM1452"/>
      <c r="QVN1452"/>
      <c r="QVO1452"/>
      <c r="QVP1452"/>
      <c r="QVQ1452"/>
      <c r="QVR1452"/>
      <c r="QVS1452"/>
      <c r="QVT1452"/>
      <c r="QVU1452"/>
      <c r="QVV1452"/>
      <c r="QVW1452"/>
      <c r="QVX1452"/>
      <c r="QVY1452"/>
      <c r="QVZ1452"/>
      <c r="QWA1452"/>
      <c r="QWB1452"/>
      <c r="QWC1452"/>
      <c r="QWD1452"/>
      <c r="QWE1452"/>
      <c r="QWF1452"/>
      <c r="QWG1452"/>
      <c r="QWH1452"/>
      <c r="QWI1452"/>
      <c r="QWJ1452"/>
      <c r="QWK1452"/>
      <c r="QWL1452"/>
      <c r="QWM1452"/>
      <c r="QWN1452"/>
      <c r="QWO1452"/>
      <c r="QWP1452"/>
      <c r="QWQ1452"/>
      <c r="QWR1452"/>
      <c r="QWS1452"/>
      <c r="QWT1452"/>
      <c r="QWU1452"/>
      <c r="QWV1452"/>
      <c r="QWW1452"/>
      <c r="QWX1452"/>
      <c r="QWY1452"/>
      <c r="QWZ1452"/>
      <c r="QXA1452"/>
      <c r="QXB1452"/>
      <c r="QXC1452"/>
      <c r="QXD1452"/>
      <c r="QXE1452"/>
      <c r="QXF1452"/>
      <c r="QXG1452"/>
      <c r="QXH1452"/>
      <c r="QXI1452"/>
      <c r="QXJ1452"/>
      <c r="QXK1452"/>
      <c r="QXL1452"/>
      <c r="QXM1452"/>
      <c r="QXN1452"/>
      <c r="QXO1452"/>
      <c r="QXP1452"/>
      <c r="QXQ1452"/>
      <c r="QXR1452"/>
      <c r="QXS1452"/>
      <c r="QXT1452"/>
      <c r="QXU1452"/>
      <c r="QXV1452"/>
      <c r="QXW1452"/>
      <c r="QXX1452"/>
      <c r="QXY1452"/>
      <c r="QXZ1452"/>
      <c r="QYA1452"/>
      <c r="QYB1452"/>
      <c r="QYC1452"/>
      <c r="QYD1452"/>
      <c r="QYE1452"/>
      <c r="QYF1452"/>
      <c r="QYG1452"/>
      <c r="QYH1452"/>
      <c r="QYI1452"/>
      <c r="QYJ1452"/>
      <c r="QYK1452"/>
      <c r="QYL1452"/>
      <c r="QYM1452"/>
      <c r="QYN1452"/>
      <c r="QYO1452"/>
      <c r="QYP1452"/>
      <c r="QYQ1452"/>
      <c r="QYR1452"/>
      <c r="QYS1452"/>
      <c r="QYT1452"/>
      <c r="QYU1452"/>
      <c r="QYV1452"/>
      <c r="QYW1452"/>
      <c r="QYX1452"/>
      <c r="QYY1452"/>
      <c r="QYZ1452"/>
      <c r="QZA1452"/>
      <c r="QZB1452"/>
      <c r="QZC1452"/>
      <c r="QZD1452"/>
      <c r="QZE1452"/>
      <c r="QZF1452"/>
      <c r="QZG1452"/>
      <c r="QZH1452"/>
      <c r="QZI1452"/>
      <c r="QZJ1452"/>
      <c r="QZK1452"/>
      <c r="QZL1452"/>
      <c r="QZM1452"/>
      <c r="QZN1452"/>
      <c r="QZO1452"/>
      <c r="QZP1452"/>
      <c r="QZQ1452"/>
      <c r="QZR1452"/>
      <c r="QZS1452"/>
      <c r="QZT1452"/>
      <c r="QZU1452"/>
      <c r="QZV1452"/>
      <c r="QZW1452"/>
      <c r="QZX1452"/>
      <c r="QZY1452"/>
      <c r="QZZ1452"/>
      <c r="RAA1452"/>
      <c r="RAB1452"/>
      <c r="RAC1452"/>
      <c r="RAD1452"/>
      <c r="RAE1452"/>
      <c r="RAF1452"/>
      <c r="RAG1452"/>
      <c r="RAH1452"/>
      <c r="RAI1452"/>
      <c r="RAJ1452"/>
      <c r="RAK1452"/>
      <c r="RAL1452"/>
      <c r="RAM1452"/>
      <c r="RAN1452"/>
      <c r="RAO1452"/>
      <c r="RAP1452"/>
      <c r="RAQ1452"/>
      <c r="RAR1452"/>
      <c r="RAS1452"/>
      <c r="RAT1452"/>
      <c r="RAU1452"/>
      <c r="RAV1452"/>
      <c r="RAW1452"/>
      <c r="RAX1452"/>
      <c r="RAY1452"/>
      <c r="RAZ1452"/>
      <c r="RBA1452"/>
      <c r="RBB1452"/>
      <c r="RBC1452"/>
      <c r="RBD1452"/>
      <c r="RBE1452"/>
      <c r="RBF1452"/>
      <c r="RBG1452"/>
      <c r="RBH1452"/>
      <c r="RBI1452"/>
      <c r="RBJ1452"/>
      <c r="RBK1452"/>
      <c r="RBL1452"/>
      <c r="RBM1452"/>
      <c r="RBN1452"/>
      <c r="RBO1452"/>
      <c r="RBP1452"/>
      <c r="RBQ1452"/>
      <c r="RBR1452"/>
      <c r="RBS1452"/>
      <c r="RBT1452"/>
      <c r="RBU1452"/>
      <c r="RBV1452"/>
      <c r="RBW1452"/>
      <c r="RBX1452"/>
      <c r="RBY1452"/>
      <c r="RBZ1452"/>
      <c r="RCA1452"/>
      <c r="RCB1452"/>
      <c r="RCC1452"/>
      <c r="RCD1452"/>
      <c r="RCE1452"/>
      <c r="RCF1452"/>
      <c r="RCG1452"/>
      <c r="RCH1452"/>
      <c r="RCI1452"/>
      <c r="RCJ1452"/>
      <c r="RCK1452"/>
      <c r="RCL1452"/>
      <c r="RCM1452"/>
      <c r="RCN1452"/>
      <c r="RCO1452"/>
      <c r="RCP1452"/>
      <c r="RCQ1452"/>
      <c r="RCR1452"/>
      <c r="RCS1452"/>
      <c r="RCT1452"/>
      <c r="RCU1452"/>
      <c r="RCV1452"/>
      <c r="RCW1452"/>
      <c r="RCX1452"/>
      <c r="RCY1452"/>
      <c r="RCZ1452"/>
      <c r="RDA1452"/>
      <c r="RDB1452"/>
      <c r="RDC1452"/>
      <c r="RDD1452"/>
      <c r="RDE1452"/>
      <c r="RDF1452"/>
      <c r="RDG1452"/>
      <c r="RDH1452"/>
      <c r="RDI1452"/>
      <c r="RDJ1452"/>
      <c r="RDK1452"/>
      <c r="RDL1452"/>
      <c r="RDM1452"/>
      <c r="RDN1452"/>
      <c r="RDO1452"/>
      <c r="RDP1452"/>
      <c r="RDQ1452"/>
      <c r="RDR1452"/>
      <c r="RDS1452"/>
      <c r="RDT1452"/>
      <c r="RDU1452"/>
      <c r="RDV1452"/>
      <c r="RDW1452"/>
      <c r="RDX1452"/>
      <c r="RDY1452"/>
      <c r="RDZ1452"/>
      <c r="REA1452"/>
      <c r="REB1452"/>
      <c r="REC1452"/>
      <c r="RED1452"/>
      <c r="REE1452"/>
      <c r="REF1452"/>
      <c r="REG1452"/>
      <c r="REH1452"/>
      <c r="REI1452"/>
      <c r="REJ1452"/>
      <c r="REK1452"/>
      <c r="REL1452"/>
      <c r="REM1452"/>
      <c r="REN1452"/>
      <c r="REO1452"/>
      <c r="REP1452"/>
      <c r="REQ1452"/>
      <c r="RER1452"/>
      <c r="RES1452"/>
      <c r="RET1452"/>
      <c r="REU1452"/>
      <c r="REV1452"/>
      <c r="REW1452"/>
      <c r="REX1452"/>
      <c r="REY1452"/>
      <c r="REZ1452"/>
      <c r="RFA1452"/>
      <c r="RFB1452"/>
      <c r="RFC1452"/>
      <c r="RFD1452"/>
      <c r="RFE1452"/>
      <c r="RFF1452"/>
      <c r="RFG1452"/>
      <c r="RFH1452"/>
      <c r="RFI1452"/>
      <c r="RFJ1452"/>
      <c r="RFK1452"/>
      <c r="RFL1452"/>
      <c r="RFM1452"/>
      <c r="RFN1452"/>
      <c r="RFO1452"/>
      <c r="RFP1452"/>
      <c r="RFQ1452"/>
      <c r="RFR1452"/>
      <c r="RFS1452"/>
      <c r="RFT1452"/>
      <c r="RFU1452"/>
      <c r="RFV1452"/>
      <c r="RFW1452"/>
      <c r="RFX1452"/>
      <c r="RFY1452"/>
      <c r="RFZ1452"/>
      <c r="RGA1452"/>
      <c r="RGB1452"/>
      <c r="RGC1452"/>
      <c r="RGD1452"/>
      <c r="RGE1452"/>
      <c r="RGF1452"/>
      <c r="RGG1452"/>
      <c r="RGH1452"/>
      <c r="RGI1452"/>
      <c r="RGJ1452"/>
      <c r="RGK1452"/>
      <c r="RGL1452"/>
      <c r="RGM1452"/>
      <c r="RGN1452"/>
      <c r="RGO1452"/>
      <c r="RGP1452"/>
      <c r="RGQ1452"/>
      <c r="RGR1452"/>
      <c r="RGS1452"/>
      <c r="RGT1452"/>
      <c r="RGU1452"/>
      <c r="RGV1452"/>
      <c r="RGW1452"/>
      <c r="RGX1452"/>
      <c r="RGY1452"/>
      <c r="RGZ1452"/>
      <c r="RHA1452"/>
      <c r="RHB1452"/>
      <c r="RHC1452"/>
      <c r="RHD1452"/>
      <c r="RHE1452"/>
      <c r="RHF1452"/>
      <c r="RHG1452"/>
      <c r="RHH1452"/>
      <c r="RHI1452"/>
      <c r="RHJ1452"/>
      <c r="RHK1452"/>
      <c r="RHL1452"/>
      <c r="RHM1452"/>
      <c r="RHN1452"/>
      <c r="RHO1452"/>
      <c r="RHP1452"/>
      <c r="RHQ1452"/>
      <c r="RHR1452"/>
      <c r="RHS1452"/>
      <c r="RHT1452"/>
      <c r="RHU1452"/>
      <c r="RHV1452"/>
      <c r="RHW1452"/>
      <c r="RHX1452"/>
      <c r="RHY1452"/>
      <c r="RHZ1452"/>
      <c r="RIA1452"/>
      <c r="RIB1452"/>
      <c r="RIC1452"/>
      <c r="RID1452"/>
      <c r="RIE1452"/>
      <c r="RIF1452"/>
      <c r="RIG1452"/>
      <c r="RIH1452"/>
      <c r="RII1452"/>
      <c r="RIJ1452"/>
      <c r="RIK1452"/>
      <c r="RIL1452"/>
      <c r="RIM1452"/>
      <c r="RIN1452"/>
      <c r="RIO1452"/>
      <c r="RIP1452"/>
      <c r="RIQ1452"/>
      <c r="RIR1452"/>
      <c r="RIS1452"/>
      <c r="RIT1452"/>
      <c r="RIU1452"/>
      <c r="RIV1452"/>
      <c r="RIW1452"/>
      <c r="RIX1452"/>
      <c r="RIY1452"/>
      <c r="RIZ1452"/>
      <c r="RJA1452"/>
      <c r="RJB1452"/>
      <c r="RJC1452"/>
      <c r="RJD1452"/>
      <c r="RJE1452"/>
      <c r="RJF1452"/>
      <c r="RJG1452"/>
      <c r="RJH1452"/>
      <c r="RJI1452"/>
      <c r="RJJ1452"/>
      <c r="RJK1452"/>
      <c r="RJL1452"/>
      <c r="RJM1452"/>
      <c r="RJN1452"/>
      <c r="RJO1452"/>
      <c r="RJP1452"/>
      <c r="RJQ1452"/>
      <c r="RJR1452"/>
      <c r="RJS1452"/>
      <c r="RJT1452"/>
      <c r="RJU1452"/>
      <c r="RJV1452"/>
      <c r="RJW1452"/>
      <c r="RJX1452"/>
      <c r="RJY1452"/>
      <c r="RJZ1452"/>
      <c r="RKA1452"/>
      <c r="RKB1452"/>
      <c r="RKC1452"/>
      <c r="RKD1452"/>
      <c r="RKE1452"/>
      <c r="RKF1452"/>
      <c r="RKG1452"/>
      <c r="RKH1452"/>
      <c r="RKI1452"/>
      <c r="RKJ1452"/>
      <c r="RKK1452"/>
      <c r="RKL1452"/>
      <c r="RKM1452"/>
      <c r="RKN1452"/>
      <c r="RKO1452"/>
      <c r="RKP1452"/>
      <c r="RKQ1452"/>
      <c r="RKR1452"/>
      <c r="RKS1452"/>
      <c r="RKT1452"/>
      <c r="RKU1452"/>
      <c r="RKV1452"/>
      <c r="RKW1452"/>
      <c r="RKX1452"/>
      <c r="RKY1452"/>
      <c r="RKZ1452"/>
      <c r="RLA1452"/>
      <c r="RLB1452"/>
      <c r="RLC1452"/>
      <c r="RLD1452"/>
      <c r="RLE1452"/>
      <c r="RLF1452"/>
      <c r="RLG1452"/>
      <c r="RLH1452"/>
      <c r="RLI1452"/>
      <c r="RLJ1452"/>
      <c r="RLK1452"/>
      <c r="RLL1452"/>
      <c r="RLM1452"/>
      <c r="RLN1452"/>
      <c r="RLO1452"/>
      <c r="RLP1452"/>
      <c r="RLQ1452"/>
      <c r="RLR1452"/>
      <c r="RLS1452"/>
      <c r="RLT1452"/>
      <c r="RLU1452"/>
      <c r="RLV1452"/>
      <c r="RLW1452"/>
      <c r="RLX1452"/>
      <c r="RLY1452"/>
      <c r="RLZ1452"/>
      <c r="RMA1452"/>
      <c r="RMB1452"/>
      <c r="RMC1452"/>
      <c r="RMD1452"/>
      <c r="RME1452"/>
      <c r="RMF1452"/>
      <c r="RMG1452"/>
      <c r="RMH1452"/>
      <c r="RMI1452"/>
      <c r="RMJ1452"/>
      <c r="RMK1452"/>
      <c r="RML1452"/>
      <c r="RMM1452"/>
      <c r="RMN1452"/>
      <c r="RMO1452"/>
      <c r="RMP1452"/>
      <c r="RMQ1452"/>
      <c r="RMR1452"/>
      <c r="RMS1452"/>
      <c r="RMT1452"/>
      <c r="RMU1452"/>
      <c r="RMV1452"/>
      <c r="RMW1452"/>
      <c r="RMX1452"/>
      <c r="RMY1452"/>
      <c r="RMZ1452"/>
      <c r="RNA1452"/>
      <c r="RNB1452"/>
      <c r="RNC1452"/>
      <c r="RND1452"/>
      <c r="RNE1452"/>
      <c r="RNF1452"/>
      <c r="RNG1452"/>
      <c r="RNH1452"/>
      <c r="RNI1452"/>
      <c r="RNJ1452"/>
      <c r="RNK1452"/>
      <c r="RNL1452"/>
      <c r="RNM1452"/>
      <c r="RNN1452"/>
      <c r="RNO1452"/>
      <c r="RNP1452"/>
      <c r="RNQ1452"/>
      <c r="RNR1452"/>
      <c r="RNS1452"/>
      <c r="RNT1452"/>
      <c r="RNU1452"/>
      <c r="RNV1452"/>
      <c r="RNW1452"/>
      <c r="RNX1452"/>
      <c r="RNY1452"/>
      <c r="RNZ1452"/>
      <c r="ROA1452"/>
      <c r="ROB1452"/>
      <c r="ROC1452"/>
      <c r="ROD1452"/>
      <c r="ROE1452"/>
      <c r="ROF1452"/>
      <c r="ROG1452"/>
      <c r="ROH1452"/>
      <c r="ROI1452"/>
      <c r="ROJ1452"/>
      <c r="ROK1452"/>
      <c r="ROL1452"/>
      <c r="ROM1452"/>
      <c r="RON1452"/>
      <c r="ROO1452"/>
      <c r="ROP1452"/>
      <c r="ROQ1452"/>
      <c r="ROR1452"/>
      <c r="ROS1452"/>
      <c r="ROT1452"/>
      <c r="ROU1452"/>
      <c r="ROV1452"/>
      <c r="ROW1452"/>
      <c r="ROX1452"/>
      <c r="ROY1452"/>
      <c r="ROZ1452"/>
      <c r="RPA1452"/>
      <c r="RPB1452"/>
      <c r="RPC1452"/>
      <c r="RPD1452"/>
      <c r="RPE1452"/>
      <c r="RPF1452"/>
      <c r="RPG1452"/>
      <c r="RPH1452"/>
      <c r="RPI1452"/>
      <c r="RPJ1452"/>
      <c r="RPK1452"/>
      <c r="RPL1452"/>
      <c r="RPM1452"/>
      <c r="RPN1452"/>
      <c r="RPO1452"/>
      <c r="RPP1452"/>
      <c r="RPQ1452"/>
      <c r="RPR1452"/>
      <c r="RPS1452"/>
      <c r="RPT1452"/>
      <c r="RPU1452"/>
      <c r="RPV1452"/>
      <c r="RPW1452"/>
      <c r="RPX1452"/>
      <c r="RPY1452"/>
      <c r="RPZ1452"/>
      <c r="RQA1452"/>
      <c r="RQB1452"/>
      <c r="RQC1452"/>
      <c r="RQD1452"/>
      <c r="RQE1452"/>
      <c r="RQF1452"/>
      <c r="RQG1452"/>
      <c r="RQH1452"/>
      <c r="RQI1452"/>
      <c r="RQJ1452"/>
      <c r="RQK1452"/>
      <c r="RQL1452"/>
      <c r="RQM1452"/>
      <c r="RQN1452"/>
      <c r="RQO1452"/>
      <c r="RQP1452"/>
      <c r="RQQ1452"/>
      <c r="RQR1452"/>
      <c r="RQS1452"/>
      <c r="RQT1452"/>
      <c r="RQU1452"/>
      <c r="RQV1452"/>
      <c r="RQW1452"/>
      <c r="RQX1452"/>
      <c r="RQY1452"/>
      <c r="RQZ1452"/>
      <c r="RRA1452"/>
      <c r="RRB1452"/>
      <c r="RRC1452"/>
      <c r="RRD1452"/>
      <c r="RRE1452"/>
      <c r="RRF1452"/>
      <c r="RRG1452"/>
      <c r="RRH1452"/>
      <c r="RRI1452"/>
      <c r="RRJ1452"/>
      <c r="RRK1452"/>
      <c r="RRL1452"/>
      <c r="RRM1452"/>
      <c r="RRN1452"/>
      <c r="RRO1452"/>
      <c r="RRP1452"/>
      <c r="RRQ1452"/>
      <c r="RRR1452"/>
      <c r="RRS1452"/>
      <c r="RRT1452"/>
      <c r="RRU1452"/>
      <c r="RRV1452"/>
      <c r="RRW1452"/>
      <c r="RRX1452"/>
      <c r="RRY1452"/>
      <c r="RRZ1452"/>
      <c r="RSA1452"/>
      <c r="RSB1452"/>
      <c r="RSC1452"/>
      <c r="RSD1452"/>
      <c r="RSE1452"/>
      <c r="RSF1452"/>
      <c r="RSG1452"/>
      <c r="RSH1452"/>
      <c r="RSI1452"/>
      <c r="RSJ1452"/>
      <c r="RSK1452"/>
      <c r="RSL1452"/>
      <c r="RSM1452"/>
      <c r="RSN1452"/>
      <c r="RSO1452"/>
      <c r="RSP1452"/>
      <c r="RSQ1452"/>
      <c r="RSR1452"/>
      <c r="RSS1452"/>
      <c r="RST1452"/>
      <c r="RSU1452"/>
      <c r="RSV1452"/>
      <c r="RSW1452"/>
      <c r="RSX1452"/>
      <c r="RSY1452"/>
      <c r="RSZ1452"/>
      <c r="RTA1452"/>
      <c r="RTB1452"/>
      <c r="RTC1452"/>
      <c r="RTD1452"/>
      <c r="RTE1452"/>
      <c r="RTF1452"/>
      <c r="RTG1452"/>
      <c r="RTH1452"/>
      <c r="RTI1452"/>
      <c r="RTJ1452"/>
      <c r="RTK1452"/>
      <c r="RTL1452"/>
      <c r="RTM1452"/>
      <c r="RTN1452"/>
      <c r="RTO1452"/>
      <c r="RTP1452"/>
      <c r="RTQ1452"/>
      <c r="RTR1452"/>
      <c r="RTS1452"/>
      <c r="RTT1452"/>
      <c r="RTU1452"/>
      <c r="RTV1452"/>
      <c r="RTW1452"/>
      <c r="RTX1452"/>
      <c r="RTY1452"/>
      <c r="RTZ1452"/>
      <c r="RUA1452"/>
      <c r="RUB1452"/>
      <c r="RUC1452"/>
      <c r="RUD1452"/>
      <c r="RUE1452"/>
      <c r="RUF1452"/>
      <c r="RUG1452"/>
      <c r="RUH1452"/>
      <c r="RUI1452"/>
      <c r="RUJ1452"/>
      <c r="RUK1452"/>
      <c r="RUL1452"/>
      <c r="RUM1452"/>
      <c r="RUN1452"/>
      <c r="RUO1452"/>
      <c r="RUP1452"/>
      <c r="RUQ1452"/>
      <c r="RUR1452"/>
      <c r="RUS1452"/>
      <c r="RUT1452"/>
      <c r="RUU1452"/>
      <c r="RUV1452"/>
      <c r="RUW1452"/>
      <c r="RUX1452"/>
      <c r="RUY1452"/>
      <c r="RUZ1452"/>
      <c r="RVA1452"/>
      <c r="RVB1452"/>
      <c r="RVC1452"/>
      <c r="RVD1452"/>
      <c r="RVE1452"/>
      <c r="RVF1452"/>
      <c r="RVG1452"/>
      <c r="RVH1452"/>
      <c r="RVI1452"/>
      <c r="RVJ1452"/>
      <c r="RVK1452"/>
      <c r="RVL1452"/>
      <c r="RVM1452"/>
      <c r="RVN1452"/>
      <c r="RVO1452"/>
      <c r="RVP1452"/>
      <c r="RVQ1452"/>
      <c r="RVR1452"/>
      <c r="RVS1452"/>
      <c r="RVT1452"/>
      <c r="RVU1452"/>
      <c r="RVV1452"/>
      <c r="RVW1452"/>
      <c r="RVX1452"/>
      <c r="RVY1452"/>
      <c r="RVZ1452"/>
      <c r="RWA1452"/>
      <c r="RWB1452"/>
      <c r="RWC1452"/>
      <c r="RWD1452"/>
      <c r="RWE1452"/>
      <c r="RWF1452"/>
      <c r="RWG1452"/>
      <c r="RWH1452"/>
      <c r="RWI1452"/>
      <c r="RWJ1452"/>
      <c r="RWK1452"/>
      <c r="RWL1452"/>
      <c r="RWM1452"/>
      <c r="RWN1452"/>
      <c r="RWO1452"/>
      <c r="RWP1452"/>
      <c r="RWQ1452"/>
      <c r="RWR1452"/>
      <c r="RWS1452"/>
      <c r="RWT1452"/>
      <c r="RWU1452"/>
      <c r="RWV1452"/>
      <c r="RWW1452"/>
      <c r="RWX1452"/>
      <c r="RWY1452"/>
      <c r="RWZ1452"/>
      <c r="RXA1452"/>
      <c r="RXB1452"/>
      <c r="RXC1452"/>
      <c r="RXD1452"/>
      <c r="RXE1452"/>
      <c r="RXF1452"/>
      <c r="RXG1452"/>
      <c r="RXH1452"/>
      <c r="RXI1452"/>
      <c r="RXJ1452"/>
      <c r="RXK1452"/>
      <c r="RXL1452"/>
      <c r="RXM1452"/>
      <c r="RXN1452"/>
      <c r="RXO1452"/>
      <c r="RXP1452"/>
      <c r="RXQ1452"/>
      <c r="RXR1452"/>
      <c r="RXS1452"/>
      <c r="RXT1452"/>
      <c r="RXU1452"/>
      <c r="RXV1452"/>
      <c r="RXW1452"/>
      <c r="RXX1452"/>
      <c r="RXY1452"/>
      <c r="RXZ1452"/>
      <c r="RYA1452"/>
      <c r="RYB1452"/>
      <c r="RYC1452"/>
      <c r="RYD1452"/>
      <c r="RYE1452"/>
      <c r="RYF1452"/>
      <c r="RYG1452"/>
      <c r="RYH1452"/>
      <c r="RYI1452"/>
      <c r="RYJ1452"/>
      <c r="RYK1452"/>
      <c r="RYL1452"/>
      <c r="RYM1452"/>
      <c r="RYN1452"/>
      <c r="RYO1452"/>
      <c r="RYP1452"/>
      <c r="RYQ1452"/>
      <c r="RYR1452"/>
      <c r="RYS1452"/>
      <c r="RYT1452"/>
      <c r="RYU1452"/>
      <c r="RYV1452"/>
      <c r="RYW1452"/>
      <c r="RYX1452"/>
      <c r="RYY1452"/>
      <c r="RYZ1452"/>
      <c r="RZA1452"/>
      <c r="RZB1452"/>
      <c r="RZC1452"/>
      <c r="RZD1452"/>
      <c r="RZE1452"/>
      <c r="RZF1452"/>
      <c r="RZG1452"/>
      <c r="RZH1452"/>
      <c r="RZI1452"/>
      <c r="RZJ1452"/>
      <c r="RZK1452"/>
      <c r="RZL1452"/>
      <c r="RZM1452"/>
      <c r="RZN1452"/>
      <c r="RZO1452"/>
      <c r="RZP1452"/>
      <c r="RZQ1452"/>
      <c r="RZR1452"/>
      <c r="RZS1452"/>
      <c r="RZT1452"/>
      <c r="RZU1452"/>
      <c r="RZV1452"/>
      <c r="RZW1452"/>
      <c r="RZX1452"/>
      <c r="RZY1452"/>
      <c r="RZZ1452"/>
      <c r="SAA1452"/>
      <c r="SAB1452"/>
      <c r="SAC1452"/>
      <c r="SAD1452"/>
      <c r="SAE1452"/>
      <c r="SAF1452"/>
      <c r="SAG1452"/>
      <c r="SAH1452"/>
      <c r="SAI1452"/>
      <c r="SAJ1452"/>
      <c r="SAK1452"/>
      <c r="SAL1452"/>
      <c r="SAM1452"/>
      <c r="SAN1452"/>
      <c r="SAO1452"/>
      <c r="SAP1452"/>
      <c r="SAQ1452"/>
      <c r="SAR1452"/>
      <c r="SAS1452"/>
      <c r="SAT1452"/>
      <c r="SAU1452"/>
      <c r="SAV1452"/>
      <c r="SAW1452"/>
      <c r="SAX1452"/>
      <c r="SAY1452"/>
      <c r="SAZ1452"/>
      <c r="SBA1452"/>
      <c r="SBB1452"/>
      <c r="SBC1452"/>
      <c r="SBD1452"/>
      <c r="SBE1452"/>
      <c r="SBF1452"/>
      <c r="SBG1452"/>
      <c r="SBH1452"/>
      <c r="SBI1452"/>
      <c r="SBJ1452"/>
      <c r="SBK1452"/>
      <c r="SBL1452"/>
      <c r="SBM1452"/>
      <c r="SBN1452"/>
      <c r="SBO1452"/>
      <c r="SBP1452"/>
      <c r="SBQ1452"/>
      <c r="SBR1452"/>
      <c r="SBS1452"/>
      <c r="SBT1452"/>
      <c r="SBU1452"/>
      <c r="SBV1452"/>
      <c r="SBW1452"/>
      <c r="SBX1452"/>
      <c r="SBY1452"/>
      <c r="SBZ1452"/>
      <c r="SCA1452"/>
      <c r="SCB1452"/>
      <c r="SCC1452"/>
      <c r="SCD1452"/>
      <c r="SCE1452"/>
      <c r="SCF1452"/>
      <c r="SCG1452"/>
      <c r="SCH1452"/>
      <c r="SCI1452"/>
      <c r="SCJ1452"/>
      <c r="SCK1452"/>
      <c r="SCL1452"/>
      <c r="SCM1452"/>
      <c r="SCN1452"/>
      <c r="SCO1452"/>
      <c r="SCP1452"/>
      <c r="SCQ1452"/>
      <c r="SCR1452"/>
      <c r="SCS1452"/>
      <c r="SCT1452"/>
      <c r="SCU1452"/>
      <c r="SCV1452"/>
      <c r="SCW1452"/>
      <c r="SCX1452"/>
      <c r="SCY1452"/>
      <c r="SCZ1452"/>
      <c r="SDA1452"/>
      <c r="SDB1452"/>
      <c r="SDC1452"/>
      <c r="SDD1452"/>
      <c r="SDE1452"/>
      <c r="SDF1452"/>
      <c r="SDG1452"/>
      <c r="SDH1452"/>
      <c r="SDI1452"/>
      <c r="SDJ1452"/>
      <c r="SDK1452"/>
      <c r="SDL1452"/>
      <c r="SDM1452"/>
      <c r="SDN1452"/>
      <c r="SDO1452"/>
      <c r="SDP1452"/>
      <c r="SDQ1452"/>
      <c r="SDR1452"/>
      <c r="SDS1452"/>
      <c r="SDT1452"/>
      <c r="SDU1452"/>
      <c r="SDV1452"/>
      <c r="SDW1452"/>
      <c r="SDX1452"/>
      <c r="SDY1452"/>
      <c r="SDZ1452"/>
      <c r="SEA1452"/>
      <c r="SEB1452"/>
      <c r="SEC1452"/>
      <c r="SED1452"/>
      <c r="SEE1452"/>
      <c r="SEF1452"/>
      <c r="SEG1452"/>
      <c r="SEH1452"/>
      <c r="SEI1452"/>
      <c r="SEJ1452"/>
      <c r="SEK1452"/>
      <c r="SEL1452"/>
      <c r="SEM1452"/>
      <c r="SEN1452"/>
      <c r="SEO1452"/>
      <c r="SEP1452"/>
      <c r="SEQ1452"/>
      <c r="SER1452"/>
      <c r="SES1452"/>
      <c r="SET1452"/>
      <c r="SEU1452"/>
      <c r="SEV1452"/>
      <c r="SEW1452"/>
      <c r="SEX1452"/>
      <c r="SEY1452"/>
      <c r="SEZ1452"/>
      <c r="SFA1452"/>
      <c r="SFB1452"/>
      <c r="SFC1452"/>
      <c r="SFD1452"/>
      <c r="SFE1452"/>
      <c r="SFF1452"/>
      <c r="SFG1452"/>
      <c r="SFH1452"/>
      <c r="SFI1452"/>
      <c r="SFJ1452"/>
      <c r="SFK1452"/>
      <c r="SFL1452"/>
      <c r="SFM1452"/>
      <c r="SFN1452"/>
      <c r="SFO1452"/>
      <c r="SFP1452"/>
      <c r="SFQ1452"/>
      <c r="SFR1452"/>
      <c r="SFS1452"/>
      <c r="SFT1452"/>
      <c r="SFU1452"/>
      <c r="SFV1452"/>
      <c r="SFW1452"/>
      <c r="SFX1452"/>
      <c r="SFY1452"/>
      <c r="SFZ1452"/>
      <c r="SGA1452"/>
      <c r="SGB1452"/>
      <c r="SGC1452"/>
      <c r="SGD1452"/>
      <c r="SGE1452"/>
      <c r="SGF1452"/>
      <c r="SGG1452"/>
      <c r="SGH1452"/>
      <c r="SGI1452"/>
      <c r="SGJ1452"/>
      <c r="SGK1452"/>
      <c r="SGL1452"/>
      <c r="SGM1452"/>
      <c r="SGN1452"/>
      <c r="SGO1452"/>
      <c r="SGP1452"/>
      <c r="SGQ1452"/>
      <c r="SGR1452"/>
      <c r="SGS1452"/>
      <c r="SGT1452"/>
      <c r="SGU1452"/>
      <c r="SGV1452"/>
      <c r="SGW1452"/>
      <c r="SGX1452"/>
      <c r="SGY1452"/>
      <c r="SGZ1452"/>
      <c r="SHA1452"/>
      <c r="SHB1452"/>
      <c r="SHC1452"/>
      <c r="SHD1452"/>
      <c r="SHE1452"/>
      <c r="SHF1452"/>
      <c r="SHG1452"/>
      <c r="SHH1452"/>
      <c r="SHI1452"/>
      <c r="SHJ1452"/>
      <c r="SHK1452"/>
      <c r="SHL1452"/>
      <c r="SHM1452"/>
      <c r="SHN1452"/>
      <c r="SHO1452"/>
      <c r="SHP1452"/>
      <c r="SHQ1452"/>
      <c r="SHR1452"/>
      <c r="SHS1452"/>
      <c r="SHT1452"/>
      <c r="SHU1452"/>
      <c r="SHV1452"/>
      <c r="SHW1452"/>
      <c r="SHX1452"/>
      <c r="SHY1452"/>
      <c r="SHZ1452"/>
      <c r="SIA1452"/>
      <c r="SIB1452"/>
      <c r="SIC1452"/>
      <c r="SID1452"/>
      <c r="SIE1452"/>
      <c r="SIF1452"/>
      <c r="SIG1452"/>
      <c r="SIH1452"/>
      <c r="SII1452"/>
      <c r="SIJ1452"/>
      <c r="SIK1452"/>
      <c r="SIL1452"/>
      <c r="SIM1452"/>
      <c r="SIN1452"/>
      <c r="SIO1452"/>
      <c r="SIP1452"/>
      <c r="SIQ1452"/>
      <c r="SIR1452"/>
      <c r="SIS1452"/>
      <c r="SIT1452"/>
      <c r="SIU1452"/>
      <c r="SIV1452"/>
      <c r="SIW1452"/>
      <c r="SIX1452"/>
      <c r="SIY1452"/>
      <c r="SIZ1452"/>
      <c r="SJA1452"/>
      <c r="SJB1452"/>
      <c r="SJC1452"/>
      <c r="SJD1452"/>
      <c r="SJE1452"/>
      <c r="SJF1452"/>
      <c r="SJG1452"/>
      <c r="SJH1452"/>
      <c r="SJI1452"/>
      <c r="SJJ1452"/>
      <c r="SJK1452"/>
      <c r="SJL1452"/>
      <c r="SJM1452"/>
      <c r="SJN1452"/>
      <c r="SJO1452"/>
      <c r="SJP1452"/>
      <c r="SJQ1452"/>
      <c r="SJR1452"/>
      <c r="SJS1452"/>
      <c r="SJT1452"/>
      <c r="SJU1452"/>
      <c r="SJV1452"/>
      <c r="SJW1452"/>
      <c r="SJX1452"/>
      <c r="SJY1452"/>
      <c r="SJZ1452"/>
      <c r="SKA1452"/>
      <c r="SKB1452"/>
      <c r="SKC1452"/>
      <c r="SKD1452"/>
      <c r="SKE1452"/>
      <c r="SKF1452"/>
      <c r="SKG1452"/>
      <c r="SKH1452"/>
      <c r="SKI1452"/>
      <c r="SKJ1452"/>
      <c r="SKK1452"/>
      <c r="SKL1452"/>
      <c r="SKM1452"/>
      <c r="SKN1452"/>
      <c r="SKO1452"/>
      <c r="SKP1452"/>
      <c r="SKQ1452"/>
      <c r="SKR1452"/>
      <c r="SKS1452"/>
      <c r="SKT1452"/>
      <c r="SKU1452"/>
      <c r="SKV1452"/>
      <c r="SKW1452"/>
      <c r="SKX1452"/>
      <c r="SKY1452"/>
      <c r="SKZ1452"/>
      <c r="SLA1452"/>
      <c r="SLB1452"/>
      <c r="SLC1452"/>
      <c r="SLD1452"/>
      <c r="SLE1452"/>
      <c r="SLF1452"/>
      <c r="SLG1452"/>
      <c r="SLH1452"/>
      <c r="SLI1452"/>
      <c r="SLJ1452"/>
      <c r="SLK1452"/>
      <c r="SLL1452"/>
      <c r="SLM1452"/>
      <c r="SLN1452"/>
      <c r="SLO1452"/>
      <c r="SLP1452"/>
      <c r="SLQ1452"/>
      <c r="SLR1452"/>
      <c r="SLS1452"/>
      <c r="SLT1452"/>
      <c r="SLU1452"/>
      <c r="SLV1452"/>
      <c r="SLW1452"/>
      <c r="SLX1452"/>
      <c r="SLY1452"/>
      <c r="SLZ1452"/>
      <c r="SMA1452"/>
      <c r="SMB1452"/>
      <c r="SMC1452"/>
      <c r="SMD1452"/>
      <c r="SME1452"/>
      <c r="SMF1452"/>
      <c r="SMG1452"/>
      <c r="SMH1452"/>
      <c r="SMI1452"/>
      <c r="SMJ1452"/>
      <c r="SMK1452"/>
      <c r="SML1452"/>
      <c r="SMM1452"/>
      <c r="SMN1452"/>
      <c r="SMO1452"/>
      <c r="SMP1452"/>
      <c r="SMQ1452"/>
      <c r="SMR1452"/>
      <c r="SMS1452"/>
      <c r="SMT1452"/>
      <c r="SMU1452"/>
      <c r="SMV1452"/>
      <c r="SMW1452"/>
      <c r="SMX1452"/>
      <c r="SMY1452"/>
      <c r="SMZ1452"/>
      <c r="SNA1452"/>
      <c r="SNB1452"/>
      <c r="SNC1452"/>
      <c r="SND1452"/>
      <c r="SNE1452"/>
      <c r="SNF1452"/>
      <c r="SNG1452"/>
      <c r="SNH1452"/>
      <c r="SNI1452"/>
      <c r="SNJ1452"/>
      <c r="SNK1452"/>
      <c r="SNL1452"/>
      <c r="SNM1452"/>
      <c r="SNN1452"/>
      <c r="SNO1452"/>
      <c r="SNP1452"/>
      <c r="SNQ1452"/>
      <c r="SNR1452"/>
      <c r="SNS1452"/>
      <c r="SNT1452"/>
      <c r="SNU1452"/>
      <c r="SNV1452"/>
      <c r="SNW1452"/>
      <c r="SNX1452"/>
      <c r="SNY1452"/>
      <c r="SNZ1452"/>
      <c r="SOA1452"/>
      <c r="SOB1452"/>
      <c r="SOC1452"/>
      <c r="SOD1452"/>
      <c r="SOE1452"/>
      <c r="SOF1452"/>
      <c r="SOG1452"/>
      <c r="SOH1452"/>
      <c r="SOI1452"/>
      <c r="SOJ1452"/>
      <c r="SOK1452"/>
      <c r="SOL1452"/>
      <c r="SOM1452"/>
      <c r="SON1452"/>
      <c r="SOO1452"/>
      <c r="SOP1452"/>
      <c r="SOQ1452"/>
      <c r="SOR1452"/>
      <c r="SOS1452"/>
      <c r="SOT1452"/>
      <c r="SOU1452"/>
      <c r="SOV1452"/>
      <c r="SOW1452"/>
      <c r="SOX1452"/>
      <c r="SOY1452"/>
      <c r="SOZ1452"/>
      <c r="SPA1452"/>
      <c r="SPB1452"/>
      <c r="SPC1452"/>
      <c r="SPD1452"/>
      <c r="SPE1452"/>
      <c r="SPF1452"/>
      <c r="SPG1452"/>
      <c r="SPH1452"/>
      <c r="SPI1452"/>
      <c r="SPJ1452"/>
      <c r="SPK1452"/>
      <c r="SPL1452"/>
      <c r="SPM1452"/>
      <c r="SPN1452"/>
      <c r="SPO1452"/>
      <c r="SPP1452"/>
      <c r="SPQ1452"/>
      <c r="SPR1452"/>
      <c r="SPS1452"/>
      <c r="SPT1452"/>
      <c r="SPU1452"/>
      <c r="SPV1452"/>
      <c r="SPW1452"/>
      <c r="SPX1452"/>
      <c r="SPY1452"/>
      <c r="SPZ1452"/>
      <c r="SQA1452"/>
      <c r="SQB1452"/>
      <c r="SQC1452"/>
      <c r="SQD1452"/>
      <c r="SQE1452"/>
      <c r="SQF1452"/>
      <c r="SQG1452"/>
      <c r="SQH1452"/>
      <c r="SQI1452"/>
      <c r="SQJ1452"/>
      <c r="SQK1452"/>
      <c r="SQL1452"/>
      <c r="SQM1452"/>
      <c r="SQN1452"/>
      <c r="SQO1452"/>
      <c r="SQP1452"/>
      <c r="SQQ1452"/>
      <c r="SQR1452"/>
      <c r="SQS1452"/>
      <c r="SQT1452"/>
      <c r="SQU1452"/>
      <c r="SQV1452"/>
      <c r="SQW1452"/>
      <c r="SQX1452"/>
      <c r="SQY1452"/>
      <c r="SQZ1452"/>
      <c r="SRA1452"/>
      <c r="SRB1452"/>
      <c r="SRC1452"/>
      <c r="SRD1452"/>
      <c r="SRE1452"/>
      <c r="SRF1452"/>
      <c r="SRG1452"/>
      <c r="SRH1452"/>
      <c r="SRI1452"/>
      <c r="SRJ1452"/>
      <c r="SRK1452"/>
      <c r="SRL1452"/>
      <c r="SRM1452"/>
      <c r="SRN1452"/>
      <c r="SRO1452"/>
      <c r="SRP1452"/>
      <c r="SRQ1452"/>
      <c r="SRR1452"/>
      <c r="SRS1452"/>
      <c r="SRT1452"/>
      <c r="SRU1452"/>
      <c r="SRV1452"/>
      <c r="SRW1452"/>
      <c r="SRX1452"/>
      <c r="SRY1452"/>
      <c r="SRZ1452"/>
      <c r="SSA1452"/>
      <c r="SSB1452"/>
      <c r="SSC1452"/>
      <c r="SSD1452"/>
      <c r="SSE1452"/>
      <c r="SSF1452"/>
      <c r="SSG1452"/>
      <c r="SSH1452"/>
      <c r="SSI1452"/>
      <c r="SSJ1452"/>
      <c r="SSK1452"/>
      <c r="SSL1452"/>
      <c r="SSM1452"/>
      <c r="SSN1452"/>
      <c r="SSO1452"/>
      <c r="SSP1452"/>
      <c r="SSQ1452"/>
      <c r="SSR1452"/>
      <c r="SSS1452"/>
      <c r="SST1452"/>
      <c r="SSU1452"/>
      <c r="SSV1452"/>
      <c r="SSW1452"/>
      <c r="SSX1452"/>
      <c r="SSY1452"/>
      <c r="SSZ1452"/>
      <c r="STA1452"/>
      <c r="STB1452"/>
      <c r="STC1452"/>
      <c r="STD1452"/>
      <c r="STE1452"/>
      <c r="STF1452"/>
      <c r="STG1452"/>
      <c r="STH1452"/>
      <c r="STI1452"/>
      <c r="STJ1452"/>
      <c r="STK1452"/>
      <c r="STL1452"/>
      <c r="STM1452"/>
      <c r="STN1452"/>
      <c r="STO1452"/>
      <c r="STP1452"/>
      <c r="STQ1452"/>
      <c r="STR1452"/>
      <c r="STS1452"/>
      <c r="STT1452"/>
      <c r="STU1452"/>
      <c r="STV1452"/>
      <c r="STW1452"/>
      <c r="STX1452"/>
      <c r="STY1452"/>
      <c r="STZ1452"/>
      <c r="SUA1452"/>
      <c r="SUB1452"/>
      <c r="SUC1452"/>
      <c r="SUD1452"/>
      <c r="SUE1452"/>
      <c r="SUF1452"/>
      <c r="SUG1452"/>
      <c r="SUH1452"/>
      <c r="SUI1452"/>
      <c r="SUJ1452"/>
      <c r="SUK1452"/>
      <c r="SUL1452"/>
      <c r="SUM1452"/>
      <c r="SUN1452"/>
      <c r="SUO1452"/>
      <c r="SUP1452"/>
      <c r="SUQ1452"/>
      <c r="SUR1452"/>
      <c r="SUS1452"/>
      <c r="SUT1452"/>
      <c r="SUU1452"/>
      <c r="SUV1452"/>
      <c r="SUW1452"/>
      <c r="SUX1452"/>
      <c r="SUY1452"/>
      <c r="SUZ1452"/>
      <c r="SVA1452"/>
      <c r="SVB1452"/>
      <c r="SVC1452"/>
      <c r="SVD1452"/>
      <c r="SVE1452"/>
      <c r="SVF1452"/>
      <c r="SVG1452"/>
      <c r="SVH1452"/>
      <c r="SVI1452"/>
      <c r="SVJ1452"/>
      <c r="SVK1452"/>
      <c r="SVL1452"/>
      <c r="SVM1452"/>
      <c r="SVN1452"/>
      <c r="SVO1452"/>
      <c r="SVP1452"/>
      <c r="SVQ1452"/>
      <c r="SVR1452"/>
      <c r="SVS1452"/>
      <c r="SVT1452"/>
      <c r="SVU1452"/>
      <c r="SVV1452"/>
      <c r="SVW1452"/>
      <c r="SVX1452"/>
      <c r="SVY1452"/>
      <c r="SVZ1452"/>
      <c r="SWA1452"/>
      <c r="SWB1452"/>
      <c r="SWC1452"/>
      <c r="SWD1452"/>
      <c r="SWE1452"/>
      <c r="SWF1452"/>
      <c r="SWG1452"/>
      <c r="SWH1452"/>
      <c r="SWI1452"/>
      <c r="SWJ1452"/>
      <c r="SWK1452"/>
      <c r="SWL1452"/>
      <c r="SWM1452"/>
      <c r="SWN1452"/>
      <c r="SWO1452"/>
      <c r="SWP1452"/>
      <c r="SWQ1452"/>
      <c r="SWR1452"/>
      <c r="SWS1452"/>
      <c r="SWT1452"/>
      <c r="SWU1452"/>
      <c r="SWV1452"/>
      <c r="SWW1452"/>
      <c r="SWX1452"/>
      <c r="SWY1452"/>
      <c r="SWZ1452"/>
      <c r="SXA1452"/>
      <c r="SXB1452"/>
      <c r="SXC1452"/>
      <c r="SXD1452"/>
      <c r="SXE1452"/>
      <c r="SXF1452"/>
      <c r="SXG1452"/>
      <c r="SXH1452"/>
      <c r="SXI1452"/>
      <c r="SXJ1452"/>
      <c r="SXK1452"/>
      <c r="SXL1452"/>
      <c r="SXM1452"/>
      <c r="SXN1452"/>
      <c r="SXO1452"/>
      <c r="SXP1452"/>
      <c r="SXQ1452"/>
      <c r="SXR1452"/>
      <c r="SXS1452"/>
      <c r="SXT1452"/>
      <c r="SXU1452"/>
      <c r="SXV1452"/>
      <c r="SXW1452"/>
      <c r="SXX1452"/>
      <c r="SXY1452"/>
      <c r="SXZ1452"/>
      <c r="SYA1452"/>
      <c r="SYB1452"/>
      <c r="SYC1452"/>
      <c r="SYD1452"/>
      <c r="SYE1452"/>
      <c r="SYF1452"/>
      <c r="SYG1452"/>
      <c r="SYH1452"/>
      <c r="SYI1452"/>
      <c r="SYJ1452"/>
      <c r="SYK1452"/>
      <c r="SYL1452"/>
      <c r="SYM1452"/>
      <c r="SYN1452"/>
      <c r="SYO1452"/>
      <c r="SYP1452"/>
      <c r="SYQ1452"/>
      <c r="SYR1452"/>
      <c r="SYS1452"/>
      <c r="SYT1452"/>
      <c r="SYU1452"/>
      <c r="SYV1452"/>
      <c r="SYW1452"/>
      <c r="SYX1452"/>
      <c r="SYY1452"/>
      <c r="SYZ1452"/>
      <c r="SZA1452"/>
      <c r="SZB1452"/>
      <c r="SZC1452"/>
      <c r="SZD1452"/>
      <c r="SZE1452"/>
      <c r="SZF1452"/>
      <c r="SZG1452"/>
      <c r="SZH1452"/>
      <c r="SZI1452"/>
      <c r="SZJ1452"/>
      <c r="SZK1452"/>
      <c r="SZL1452"/>
      <c r="SZM1452"/>
      <c r="SZN1452"/>
      <c r="SZO1452"/>
      <c r="SZP1452"/>
      <c r="SZQ1452"/>
      <c r="SZR1452"/>
      <c r="SZS1452"/>
      <c r="SZT1452"/>
      <c r="SZU1452"/>
      <c r="SZV1452"/>
      <c r="SZW1452"/>
      <c r="SZX1452"/>
      <c r="SZY1452"/>
      <c r="SZZ1452"/>
      <c r="TAA1452"/>
      <c r="TAB1452"/>
      <c r="TAC1452"/>
      <c r="TAD1452"/>
      <c r="TAE1452"/>
      <c r="TAF1452"/>
      <c r="TAG1452"/>
      <c r="TAH1452"/>
      <c r="TAI1452"/>
      <c r="TAJ1452"/>
      <c r="TAK1452"/>
      <c r="TAL1452"/>
      <c r="TAM1452"/>
      <c r="TAN1452"/>
      <c r="TAO1452"/>
      <c r="TAP1452"/>
      <c r="TAQ1452"/>
      <c r="TAR1452"/>
      <c r="TAS1452"/>
      <c r="TAT1452"/>
      <c r="TAU1452"/>
      <c r="TAV1452"/>
      <c r="TAW1452"/>
      <c r="TAX1452"/>
      <c r="TAY1452"/>
      <c r="TAZ1452"/>
      <c r="TBA1452"/>
      <c r="TBB1452"/>
      <c r="TBC1452"/>
      <c r="TBD1452"/>
      <c r="TBE1452"/>
      <c r="TBF1452"/>
      <c r="TBG1452"/>
      <c r="TBH1452"/>
      <c r="TBI1452"/>
      <c r="TBJ1452"/>
      <c r="TBK1452"/>
      <c r="TBL1452"/>
      <c r="TBM1452"/>
      <c r="TBN1452"/>
      <c r="TBO1452"/>
      <c r="TBP1452"/>
      <c r="TBQ1452"/>
      <c r="TBR1452"/>
      <c r="TBS1452"/>
      <c r="TBT1452"/>
      <c r="TBU1452"/>
      <c r="TBV1452"/>
      <c r="TBW1452"/>
      <c r="TBX1452"/>
      <c r="TBY1452"/>
      <c r="TBZ1452"/>
      <c r="TCA1452"/>
      <c r="TCB1452"/>
      <c r="TCC1452"/>
      <c r="TCD1452"/>
      <c r="TCE1452"/>
      <c r="TCF1452"/>
      <c r="TCG1452"/>
      <c r="TCH1452"/>
      <c r="TCI1452"/>
      <c r="TCJ1452"/>
      <c r="TCK1452"/>
      <c r="TCL1452"/>
      <c r="TCM1452"/>
      <c r="TCN1452"/>
      <c r="TCO1452"/>
      <c r="TCP1452"/>
      <c r="TCQ1452"/>
      <c r="TCR1452"/>
      <c r="TCS1452"/>
      <c r="TCT1452"/>
      <c r="TCU1452"/>
      <c r="TCV1452"/>
      <c r="TCW1452"/>
      <c r="TCX1452"/>
      <c r="TCY1452"/>
      <c r="TCZ1452"/>
      <c r="TDA1452"/>
      <c r="TDB1452"/>
      <c r="TDC1452"/>
      <c r="TDD1452"/>
      <c r="TDE1452"/>
      <c r="TDF1452"/>
      <c r="TDG1452"/>
      <c r="TDH1452"/>
      <c r="TDI1452"/>
      <c r="TDJ1452"/>
      <c r="TDK1452"/>
      <c r="TDL1452"/>
      <c r="TDM1452"/>
      <c r="TDN1452"/>
      <c r="TDO1452"/>
      <c r="TDP1452"/>
      <c r="TDQ1452"/>
      <c r="TDR1452"/>
      <c r="TDS1452"/>
      <c r="TDT1452"/>
      <c r="TDU1452"/>
      <c r="TDV1452"/>
      <c r="TDW1452"/>
      <c r="TDX1452"/>
      <c r="TDY1452"/>
      <c r="TDZ1452"/>
      <c r="TEA1452"/>
      <c r="TEB1452"/>
      <c r="TEC1452"/>
      <c r="TED1452"/>
      <c r="TEE1452"/>
      <c r="TEF1452"/>
      <c r="TEG1452"/>
      <c r="TEH1452"/>
      <c r="TEI1452"/>
      <c r="TEJ1452"/>
      <c r="TEK1452"/>
      <c r="TEL1452"/>
      <c r="TEM1452"/>
      <c r="TEN1452"/>
      <c r="TEO1452"/>
      <c r="TEP1452"/>
      <c r="TEQ1452"/>
      <c r="TER1452"/>
      <c r="TES1452"/>
      <c r="TET1452"/>
      <c r="TEU1452"/>
      <c r="TEV1452"/>
      <c r="TEW1452"/>
      <c r="TEX1452"/>
      <c r="TEY1452"/>
      <c r="TEZ1452"/>
      <c r="TFA1452"/>
      <c r="TFB1452"/>
      <c r="TFC1452"/>
      <c r="TFD1452"/>
      <c r="TFE1452"/>
      <c r="TFF1452"/>
      <c r="TFG1452"/>
      <c r="TFH1452"/>
      <c r="TFI1452"/>
      <c r="TFJ1452"/>
      <c r="TFK1452"/>
      <c r="TFL1452"/>
      <c r="TFM1452"/>
      <c r="TFN1452"/>
      <c r="TFO1452"/>
      <c r="TFP1452"/>
      <c r="TFQ1452"/>
      <c r="TFR1452"/>
      <c r="TFS1452"/>
      <c r="TFT1452"/>
      <c r="TFU1452"/>
      <c r="TFV1452"/>
      <c r="TFW1452"/>
      <c r="TFX1452"/>
      <c r="TFY1452"/>
      <c r="TFZ1452"/>
      <c r="TGA1452"/>
      <c r="TGB1452"/>
      <c r="TGC1452"/>
      <c r="TGD1452"/>
      <c r="TGE1452"/>
      <c r="TGF1452"/>
      <c r="TGG1452"/>
      <c r="TGH1452"/>
      <c r="TGI1452"/>
      <c r="TGJ1452"/>
      <c r="TGK1452"/>
      <c r="TGL1452"/>
      <c r="TGM1452"/>
      <c r="TGN1452"/>
      <c r="TGO1452"/>
      <c r="TGP1452"/>
      <c r="TGQ1452"/>
      <c r="TGR1452"/>
      <c r="TGS1452"/>
      <c r="TGT1452"/>
      <c r="TGU1452"/>
      <c r="TGV1452"/>
      <c r="TGW1452"/>
      <c r="TGX1452"/>
      <c r="TGY1452"/>
      <c r="TGZ1452"/>
      <c r="THA1452"/>
      <c r="THB1452"/>
      <c r="THC1452"/>
      <c r="THD1452"/>
      <c r="THE1452"/>
      <c r="THF1452"/>
      <c r="THG1452"/>
      <c r="THH1452"/>
      <c r="THI1452"/>
      <c r="THJ1452"/>
      <c r="THK1452"/>
      <c r="THL1452"/>
      <c r="THM1452"/>
      <c r="THN1452"/>
      <c r="THO1452"/>
      <c r="THP1452"/>
      <c r="THQ1452"/>
      <c r="THR1452"/>
      <c r="THS1452"/>
      <c r="THT1452"/>
      <c r="THU1452"/>
      <c r="THV1452"/>
      <c r="THW1452"/>
      <c r="THX1452"/>
      <c r="THY1452"/>
      <c r="THZ1452"/>
      <c r="TIA1452"/>
      <c r="TIB1452"/>
      <c r="TIC1452"/>
      <c r="TID1452"/>
      <c r="TIE1452"/>
      <c r="TIF1452"/>
      <c r="TIG1452"/>
      <c r="TIH1452"/>
      <c r="TII1452"/>
      <c r="TIJ1452"/>
      <c r="TIK1452"/>
      <c r="TIL1452"/>
      <c r="TIM1452"/>
      <c r="TIN1452"/>
      <c r="TIO1452"/>
      <c r="TIP1452"/>
      <c r="TIQ1452"/>
      <c r="TIR1452"/>
      <c r="TIS1452"/>
      <c r="TIT1452"/>
      <c r="TIU1452"/>
      <c r="TIV1452"/>
      <c r="TIW1452"/>
      <c r="TIX1452"/>
      <c r="TIY1452"/>
      <c r="TIZ1452"/>
      <c r="TJA1452"/>
      <c r="TJB1452"/>
      <c r="TJC1452"/>
      <c r="TJD1452"/>
      <c r="TJE1452"/>
      <c r="TJF1452"/>
      <c r="TJG1452"/>
      <c r="TJH1452"/>
      <c r="TJI1452"/>
      <c r="TJJ1452"/>
      <c r="TJK1452"/>
      <c r="TJL1452"/>
      <c r="TJM1452"/>
      <c r="TJN1452"/>
      <c r="TJO1452"/>
      <c r="TJP1452"/>
      <c r="TJQ1452"/>
      <c r="TJR1452"/>
      <c r="TJS1452"/>
      <c r="TJT1452"/>
      <c r="TJU1452"/>
      <c r="TJV1452"/>
      <c r="TJW1452"/>
      <c r="TJX1452"/>
      <c r="TJY1452"/>
      <c r="TJZ1452"/>
      <c r="TKA1452"/>
      <c r="TKB1452"/>
      <c r="TKC1452"/>
      <c r="TKD1452"/>
      <c r="TKE1452"/>
      <c r="TKF1452"/>
      <c r="TKG1452"/>
      <c r="TKH1452"/>
      <c r="TKI1452"/>
      <c r="TKJ1452"/>
      <c r="TKK1452"/>
      <c r="TKL1452"/>
      <c r="TKM1452"/>
      <c r="TKN1452"/>
      <c r="TKO1452"/>
      <c r="TKP1452"/>
      <c r="TKQ1452"/>
      <c r="TKR1452"/>
      <c r="TKS1452"/>
      <c r="TKT1452"/>
      <c r="TKU1452"/>
      <c r="TKV1452"/>
      <c r="TKW1452"/>
      <c r="TKX1452"/>
      <c r="TKY1452"/>
      <c r="TKZ1452"/>
      <c r="TLA1452"/>
      <c r="TLB1452"/>
      <c r="TLC1452"/>
      <c r="TLD1452"/>
      <c r="TLE1452"/>
      <c r="TLF1452"/>
      <c r="TLG1452"/>
      <c r="TLH1452"/>
      <c r="TLI1452"/>
      <c r="TLJ1452"/>
      <c r="TLK1452"/>
      <c r="TLL1452"/>
      <c r="TLM1452"/>
      <c r="TLN1452"/>
      <c r="TLO1452"/>
      <c r="TLP1452"/>
      <c r="TLQ1452"/>
      <c r="TLR1452"/>
      <c r="TLS1452"/>
      <c r="TLT1452"/>
      <c r="TLU1452"/>
      <c r="TLV1452"/>
      <c r="TLW1452"/>
      <c r="TLX1452"/>
      <c r="TLY1452"/>
      <c r="TLZ1452"/>
      <c r="TMA1452"/>
      <c r="TMB1452"/>
      <c r="TMC1452"/>
      <c r="TMD1452"/>
      <c r="TME1452"/>
      <c r="TMF1452"/>
      <c r="TMG1452"/>
      <c r="TMH1452"/>
      <c r="TMI1452"/>
      <c r="TMJ1452"/>
      <c r="TMK1452"/>
      <c r="TML1452"/>
      <c r="TMM1452"/>
      <c r="TMN1452"/>
      <c r="TMO1452"/>
      <c r="TMP1452"/>
      <c r="TMQ1452"/>
      <c r="TMR1452"/>
      <c r="TMS1452"/>
      <c r="TMT1452"/>
      <c r="TMU1452"/>
      <c r="TMV1452"/>
      <c r="TMW1452"/>
      <c r="TMX1452"/>
      <c r="TMY1452"/>
      <c r="TMZ1452"/>
      <c r="TNA1452"/>
      <c r="TNB1452"/>
      <c r="TNC1452"/>
      <c r="TND1452"/>
      <c r="TNE1452"/>
      <c r="TNF1452"/>
      <c r="TNG1452"/>
      <c r="TNH1452"/>
      <c r="TNI1452"/>
      <c r="TNJ1452"/>
      <c r="TNK1452"/>
      <c r="TNL1452"/>
      <c r="TNM1452"/>
      <c r="TNN1452"/>
      <c r="TNO1452"/>
      <c r="TNP1452"/>
      <c r="TNQ1452"/>
      <c r="TNR1452"/>
      <c r="TNS1452"/>
      <c r="TNT1452"/>
      <c r="TNU1452"/>
      <c r="TNV1452"/>
      <c r="TNW1452"/>
      <c r="TNX1452"/>
      <c r="TNY1452"/>
      <c r="TNZ1452"/>
      <c r="TOA1452"/>
      <c r="TOB1452"/>
      <c r="TOC1452"/>
      <c r="TOD1452"/>
      <c r="TOE1452"/>
      <c r="TOF1452"/>
      <c r="TOG1452"/>
      <c r="TOH1452"/>
      <c r="TOI1452"/>
      <c r="TOJ1452"/>
      <c r="TOK1452"/>
      <c r="TOL1452"/>
      <c r="TOM1452"/>
      <c r="TON1452"/>
      <c r="TOO1452"/>
      <c r="TOP1452"/>
      <c r="TOQ1452"/>
      <c r="TOR1452"/>
      <c r="TOS1452"/>
      <c r="TOT1452"/>
      <c r="TOU1452"/>
      <c r="TOV1452"/>
      <c r="TOW1452"/>
      <c r="TOX1452"/>
      <c r="TOY1452"/>
      <c r="TOZ1452"/>
      <c r="TPA1452"/>
      <c r="TPB1452"/>
      <c r="TPC1452"/>
      <c r="TPD1452"/>
      <c r="TPE1452"/>
      <c r="TPF1452"/>
      <c r="TPG1452"/>
      <c r="TPH1452"/>
      <c r="TPI1452"/>
      <c r="TPJ1452"/>
      <c r="TPK1452"/>
      <c r="TPL1452"/>
      <c r="TPM1452"/>
      <c r="TPN1452"/>
      <c r="TPO1452"/>
      <c r="TPP1452"/>
      <c r="TPQ1452"/>
      <c r="TPR1452"/>
      <c r="TPS1452"/>
      <c r="TPT1452"/>
      <c r="TPU1452"/>
      <c r="TPV1452"/>
      <c r="TPW1452"/>
      <c r="TPX1452"/>
      <c r="TPY1452"/>
      <c r="TPZ1452"/>
      <c r="TQA1452"/>
      <c r="TQB1452"/>
      <c r="TQC1452"/>
      <c r="TQD1452"/>
      <c r="TQE1452"/>
      <c r="TQF1452"/>
      <c r="TQG1452"/>
      <c r="TQH1452"/>
      <c r="TQI1452"/>
      <c r="TQJ1452"/>
      <c r="TQK1452"/>
      <c r="TQL1452"/>
      <c r="TQM1452"/>
      <c r="TQN1452"/>
      <c r="TQO1452"/>
      <c r="TQP1452"/>
      <c r="TQQ1452"/>
      <c r="TQR1452"/>
      <c r="TQS1452"/>
      <c r="TQT1452"/>
      <c r="TQU1452"/>
      <c r="TQV1452"/>
      <c r="TQW1452"/>
      <c r="TQX1452"/>
      <c r="TQY1452"/>
      <c r="TQZ1452"/>
      <c r="TRA1452"/>
      <c r="TRB1452"/>
      <c r="TRC1452"/>
      <c r="TRD1452"/>
      <c r="TRE1452"/>
      <c r="TRF1452"/>
      <c r="TRG1452"/>
      <c r="TRH1452"/>
      <c r="TRI1452"/>
      <c r="TRJ1452"/>
      <c r="TRK1452"/>
      <c r="TRL1452"/>
      <c r="TRM1452"/>
      <c r="TRN1452"/>
      <c r="TRO1452"/>
      <c r="TRP1452"/>
      <c r="TRQ1452"/>
      <c r="TRR1452"/>
      <c r="TRS1452"/>
      <c r="TRT1452"/>
      <c r="TRU1452"/>
      <c r="TRV1452"/>
      <c r="TRW1452"/>
      <c r="TRX1452"/>
      <c r="TRY1452"/>
      <c r="TRZ1452"/>
      <c r="TSA1452"/>
      <c r="TSB1452"/>
      <c r="TSC1452"/>
      <c r="TSD1452"/>
      <c r="TSE1452"/>
      <c r="TSF1452"/>
      <c r="TSG1452"/>
      <c r="TSH1452"/>
      <c r="TSI1452"/>
      <c r="TSJ1452"/>
      <c r="TSK1452"/>
      <c r="TSL1452"/>
      <c r="TSM1452"/>
      <c r="TSN1452"/>
      <c r="TSO1452"/>
      <c r="TSP1452"/>
      <c r="TSQ1452"/>
      <c r="TSR1452"/>
      <c r="TSS1452"/>
      <c r="TST1452"/>
      <c r="TSU1452"/>
      <c r="TSV1452"/>
      <c r="TSW1452"/>
      <c r="TSX1452"/>
      <c r="TSY1452"/>
      <c r="TSZ1452"/>
      <c r="TTA1452"/>
      <c r="TTB1452"/>
      <c r="TTC1452"/>
      <c r="TTD1452"/>
      <c r="TTE1452"/>
      <c r="TTF1452"/>
      <c r="TTG1452"/>
      <c r="TTH1452"/>
      <c r="TTI1452"/>
      <c r="TTJ1452"/>
      <c r="TTK1452"/>
      <c r="TTL1452"/>
      <c r="TTM1452"/>
      <c r="TTN1452"/>
      <c r="TTO1452"/>
      <c r="TTP1452"/>
      <c r="TTQ1452"/>
      <c r="TTR1452"/>
      <c r="TTS1452"/>
      <c r="TTT1452"/>
      <c r="TTU1452"/>
      <c r="TTV1452"/>
      <c r="TTW1452"/>
      <c r="TTX1452"/>
      <c r="TTY1452"/>
      <c r="TTZ1452"/>
      <c r="TUA1452"/>
      <c r="TUB1452"/>
      <c r="TUC1452"/>
      <c r="TUD1452"/>
      <c r="TUE1452"/>
      <c r="TUF1452"/>
      <c r="TUG1452"/>
      <c r="TUH1452"/>
      <c r="TUI1452"/>
      <c r="TUJ1452"/>
      <c r="TUK1452"/>
      <c r="TUL1452"/>
      <c r="TUM1452"/>
      <c r="TUN1452"/>
      <c r="TUO1452"/>
      <c r="TUP1452"/>
      <c r="TUQ1452"/>
      <c r="TUR1452"/>
      <c r="TUS1452"/>
      <c r="TUT1452"/>
      <c r="TUU1452"/>
      <c r="TUV1452"/>
      <c r="TUW1452"/>
      <c r="TUX1452"/>
      <c r="TUY1452"/>
      <c r="TUZ1452"/>
      <c r="TVA1452"/>
      <c r="TVB1452"/>
      <c r="TVC1452"/>
      <c r="TVD1452"/>
      <c r="TVE1452"/>
      <c r="TVF1452"/>
      <c r="TVG1452"/>
      <c r="TVH1452"/>
      <c r="TVI1452"/>
      <c r="TVJ1452"/>
      <c r="TVK1452"/>
      <c r="TVL1452"/>
      <c r="TVM1452"/>
      <c r="TVN1452"/>
      <c r="TVO1452"/>
      <c r="TVP1452"/>
      <c r="TVQ1452"/>
      <c r="TVR1452"/>
      <c r="TVS1452"/>
      <c r="TVT1452"/>
      <c r="TVU1452"/>
      <c r="TVV1452"/>
      <c r="TVW1452"/>
      <c r="TVX1452"/>
      <c r="TVY1452"/>
      <c r="TVZ1452"/>
      <c r="TWA1452"/>
      <c r="TWB1452"/>
      <c r="TWC1452"/>
      <c r="TWD1452"/>
      <c r="TWE1452"/>
      <c r="TWF1452"/>
      <c r="TWG1452"/>
      <c r="TWH1452"/>
      <c r="TWI1452"/>
      <c r="TWJ1452"/>
      <c r="TWK1452"/>
      <c r="TWL1452"/>
      <c r="TWM1452"/>
      <c r="TWN1452"/>
      <c r="TWO1452"/>
      <c r="TWP1452"/>
      <c r="TWQ1452"/>
      <c r="TWR1452"/>
      <c r="TWS1452"/>
      <c r="TWT1452"/>
      <c r="TWU1452"/>
      <c r="TWV1452"/>
      <c r="TWW1452"/>
      <c r="TWX1452"/>
      <c r="TWY1452"/>
      <c r="TWZ1452"/>
      <c r="TXA1452"/>
      <c r="TXB1452"/>
      <c r="TXC1452"/>
      <c r="TXD1452"/>
      <c r="TXE1452"/>
      <c r="TXF1452"/>
      <c r="TXG1452"/>
      <c r="TXH1452"/>
      <c r="TXI1452"/>
      <c r="TXJ1452"/>
      <c r="TXK1452"/>
      <c r="TXL1452"/>
      <c r="TXM1452"/>
      <c r="TXN1452"/>
      <c r="TXO1452"/>
      <c r="TXP1452"/>
      <c r="TXQ1452"/>
      <c r="TXR1452"/>
      <c r="TXS1452"/>
      <c r="TXT1452"/>
      <c r="TXU1452"/>
      <c r="TXV1452"/>
      <c r="TXW1452"/>
      <c r="TXX1452"/>
      <c r="TXY1452"/>
      <c r="TXZ1452"/>
      <c r="TYA1452"/>
      <c r="TYB1452"/>
      <c r="TYC1452"/>
      <c r="TYD1452"/>
      <c r="TYE1452"/>
      <c r="TYF1452"/>
      <c r="TYG1452"/>
      <c r="TYH1452"/>
      <c r="TYI1452"/>
      <c r="TYJ1452"/>
      <c r="TYK1452"/>
      <c r="TYL1452"/>
      <c r="TYM1452"/>
      <c r="TYN1452"/>
      <c r="TYO1452"/>
      <c r="TYP1452"/>
      <c r="TYQ1452"/>
      <c r="TYR1452"/>
      <c r="TYS1452"/>
      <c r="TYT1452"/>
      <c r="TYU1452"/>
      <c r="TYV1452"/>
      <c r="TYW1452"/>
      <c r="TYX1452"/>
      <c r="TYY1452"/>
      <c r="TYZ1452"/>
      <c r="TZA1452"/>
      <c r="TZB1452"/>
      <c r="TZC1452"/>
      <c r="TZD1452"/>
      <c r="TZE1452"/>
      <c r="TZF1452"/>
      <c r="TZG1452"/>
      <c r="TZH1452"/>
      <c r="TZI1452"/>
      <c r="TZJ1452"/>
      <c r="TZK1452"/>
      <c r="TZL1452"/>
      <c r="TZM1452"/>
      <c r="TZN1452"/>
      <c r="TZO1452"/>
      <c r="TZP1452"/>
      <c r="TZQ1452"/>
      <c r="TZR1452"/>
      <c r="TZS1452"/>
      <c r="TZT1452"/>
      <c r="TZU1452"/>
      <c r="TZV1452"/>
      <c r="TZW1452"/>
      <c r="TZX1452"/>
      <c r="TZY1452"/>
      <c r="TZZ1452"/>
      <c r="UAA1452"/>
      <c r="UAB1452"/>
      <c r="UAC1452"/>
      <c r="UAD1452"/>
      <c r="UAE1452"/>
      <c r="UAF1452"/>
      <c r="UAG1452"/>
      <c r="UAH1452"/>
      <c r="UAI1452"/>
      <c r="UAJ1452"/>
      <c r="UAK1452"/>
      <c r="UAL1452"/>
      <c r="UAM1452"/>
      <c r="UAN1452"/>
      <c r="UAO1452"/>
      <c r="UAP1452"/>
      <c r="UAQ1452"/>
      <c r="UAR1452"/>
      <c r="UAS1452"/>
      <c r="UAT1452"/>
      <c r="UAU1452"/>
      <c r="UAV1452"/>
      <c r="UAW1452"/>
      <c r="UAX1452"/>
      <c r="UAY1452"/>
      <c r="UAZ1452"/>
      <c r="UBA1452"/>
      <c r="UBB1452"/>
      <c r="UBC1452"/>
      <c r="UBD1452"/>
      <c r="UBE1452"/>
      <c r="UBF1452"/>
      <c r="UBG1452"/>
      <c r="UBH1452"/>
      <c r="UBI1452"/>
      <c r="UBJ1452"/>
      <c r="UBK1452"/>
      <c r="UBL1452"/>
      <c r="UBM1452"/>
      <c r="UBN1452"/>
      <c r="UBO1452"/>
      <c r="UBP1452"/>
      <c r="UBQ1452"/>
      <c r="UBR1452"/>
      <c r="UBS1452"/>
      <c r="UBT1452"/>
      <c r="UBU1452"/>
      <c r="UBV1452"/>
      <c r="UBW1452"/>
      <c r="UBX1452"/>
      <c r="UBY1452"/>
      <c r="UBZ1452"/>
      <c r="UCA1452"/>
      <c r="UCB1452"/>
      <c r="UCC1452"/>
      <c r="UCD1452"/>
      <c r="UCE1452"/>
      <c r="UCF1452"/>
      <c r="UCG1452"/>
      <c r="UCH1452"/>
      <c r="UCI1452"/>
      <c r="UCJ1452"/>
      <c r="UCK1452"/>
      <c r="UCL1452"/>
      <c r="UCM1452"/>
      <c r="UCN1452"/>
      <c r="UCO1452"/>
      <c r="UCP1452"/>
      <c r="UCQ1452"/>
      <c r="UCR1452"/>
      <c r="UCS1452"/>
      <c r="UCT1452"/>
      <c r="UCU1452"/>
      <c r="UCV1452"/>
      <c r="UCW1452"/>
      <c r="UCX1452"/>
      <c r="UCY1452"/>
      <c r="UCZ1452"/>
      <c r="UDA1452"/>
      <c r="UDB1452"/>
      <c r="UDC1452"/>
      <c r="UDD1452"/>
      <c r="UDE1452"/>
      <c r="UDF1452"/>
      <c r="UDG1452"/>
      <c r="UDH1452"/>
      <c r="UDI1452"/>
      <c r="UDJ1452"/>
      <c r="UDK1452"/>
      <c r="UDL1452"/>
      <c r="UDM1452"/>
      <c r="UDN1452"/>
      <c r="UDO1452"/>
      <c r="UDP1452"/>
      <c r="UDQ1452"/>
      <c r="UDR1452"/>
      <c r="UDS1452"/>
      <c r="UDT1452"/>
      <c r="UDU1452"/>
      <c r="UDV1452"/>
      <c r="UDW1452"/>
      <c r="UDX1452"/>
      <c r="UDY1452"/>
      <c r="UDZ1452"/>
      <c r="UEA1452"/>
      <c r="UEB1452"/>
      <c r="UEC1452"/>
      <c r="UED1452"/>
      <c r="UEE1452"/>
      <c r="UEF1452"/>
      <c r="UEG1452"/>
      <c r="UEH1452"/>
      <c r="UEI1452"/>
      <c r="UEJ1452"/>
      <c r="UEK1452"/>
      <c r="UEL1452"/>
      <c r="UEM1452"/>
      <c r="UEN1452"/>
      <c r="UEO1452"/>
      <c r="UEP1452"/>
      <c r="UEQ1452"/>
      <c r="UER1452"/>
      <c r="UES1452"/>
      <c r="UET1452"/>
      <c r="UEU1452"/>
      <c r="UEV1452"/>
      <c r="UEW1452"/>
      <c r="UEX1452"/>
      <c r="UEY1452"/>
      <c r="UEZ1452"/>
      <c r="UFA1452"/>
      <c r="UFB1452"/>
      <c r="UFC1452"/>
      <c r="UFD1452"/>
      <c r="UFE1452"/>
      <c r="UFF1452"/>
      <c r="UFG1452"/>
      <c r="UFH1452"/>
      <c r="UFI1452"/>
      <c r="UFJ1452"/>
      <c r="UFK1452"/>
      <c r="UFL1452"/>
      <c r="UFM1452"/>
      <c r="UFN1452"/>
      <c r="UFO1452"/>
      <c r="UFP1452"/>
      <c r="UFQ1452"/>
      <c r="UFR1452"/>
      <c r="UFS1452"/>
      <c r="UFT1452"/>
      <c r="UFU1452"/>
      <c r="UFV1452"/>
      <c r="UFW1452"/>
      <c r="UFX1452"/>
      <c r="UFY1452"/>
      <c r="UFZ1452"/>
      <c r="UGA1452"/>
      <c r="UGB1452"/>
      <c r="UGC1452"/>
      <c r="UGD1452"/>
      <c r="UGE1452"/>
      <c r="UGF1452"/>
      <c r="UGG1452"/>
      <c r="UGH1452"/>
      <c r="UGI1452"/>
      <c r="UGJ1452"/>
      <c r="UGK1452"/>
      <c r="UGL1452"/>
      <c r="UGM1452"/>
      <c r="UGN1452"/>
      <c r="UGO1452"/>
      <c r="UGP1452"/>
      <c r="UGQ1452"/>
      <c r="UGR1452"/>
      <c r="UGS1452"/>
      <c r="UGT1452"/>
      <c r="UGU1452"/>
      <c r="UGV1452"/>
      <c r="UGW1452"/>
      <c r="UGX1452"/>
      <c r="UGY1452"/>
      <c r="UGZ1452"/>
      <c r="UHA1452"/>
      <c r="UHB1452"/>
      <c r="UHC1452"/>
      <c r="UHD1452"/>
      <c r="UHE1452"/>
      <c r="UHF1452"/>
      <c r="UHG1452"/>
      <c r="UHH1452"/>
      <c r="UHI1452"/>
      <c r="UHJ1452"/>
      <c r="UHK1452"/>
      <c r="UHL1452"/>
      <c r="UHM1452"/>
      <c r="UHN1452"/>
      <c r="UHO1452"/>
      <c r="UHP1452"/>
      <c r="UHQ1452"/>
      <c r="UHR1452"/>
      <c r="UHS1452"/>
      <c r="UHT1452"/>
      <c r="UHU1452"/>
      <c r="UHV1452"/>
      <c r="UHW1452"/>
      <c r="UHX1452"/>
      <c r="UHY1452"/>
      <c r="UHZ1452"/>
      <c r="UIA1452"/>
      <c r="UIB1452"/>
      <c r="UIC1452"/>
      <c r="UID1452"/>
      <c r="UIE1452"/>
      <c r="UIF1452"/>
      <c r="UIG1452"/>
      <c r="UIH1452"/>
      <c r="UII1452"/>
      <c r="UIJ1452"/>
      <c r="UIK1452"/>
      <c r="UIL1452"/>
      <c r="UIM1452"/>
      <c r="UIN1452"/>
      <c r="UIO1452"/>
      <c r="UIP1452"/>
      <c r="UIQ1452"/>
      <c r="UIR1452"/>
      <c r="UIS1452"/>
      <c r="UIT1452"/>
      <c r="UIU1452"/>
      <c r="UIV1452"/>
      <c r="UIW1452"/>
      <c r="UIX1452"/>
      <c r="UIY1452"/>
      <c r="UIZ1452"/>
      <c r="UJA1452"/>
      <c r="UJB1452"/>
      <c r="UJC1452"/>
      <c r="UJD1452"/>
      <c r="UJE1452"/>
      <c r="UJF1452"/>
      <c r="UJG1452"/>
      <c r="UJH1452"/>
      <c r="UJI1452"/>
      <c r="UJJ1452"/>
      <c r="UJK1452"/>
      <c r="UJL1452"/>
      <c r="UJM1452"/>
      <c r="UJN1452"/>
      <c r="UJO1452"/>
      <c r="UJP1452"/>
      <c r="UJQ1452"/>
      <c r="UJR1452"/>
      <c r="UJS1452"/>
      <c r="UJT1452"/>
      <c r="UJU1452"/>
      <c r="UJV1452"/>
      <c r="UJW1452"/>
      <c r="UJX1452"/>
      <c r="UJY1452"/>
      <c r="UJZ1452"/>
      <c r="UKA1452"/>
      <c r="UKB1452"/>
      <c r="UKC1452"/>
      <c r="UKD1452"/>
      <c r="UKE1452"/>
      <c r="UKF1452"/>
      <c r="UKG1452"/>
      <c r="UKH1452"/>
      <c r="UKI1452"/>
      <c r="UKJ1452"/>
      <c r="UKK1452"/>
      <c r="UKL1452"/>
      <c r="UKM1452"/>
      <c r="UKN1452"/>
      <c r="UKO1452"/>
      <c r="UKP1452"/>
      <c r="UKQ1452"/>
      <c r="UKR1452"/>
      <c r="UKS1452"/>
      <c r="UKT1452"/>
      <c r="UKU1452"/>
      <c r="UKV1452"/>
      <c r="UKW1452"/>
      <c r="UKX1452"/>
      <c r="UKY1452"/>
      <c r="UKZ1452"/>
      <c r="ULA1452"/>
      <c r="ULB1452"/>
      <c r="ULC1452"/>
      <c r="ULD1452"/>
      <c r="ULE1452"/>
      <c r="ULF1452"/>
      <c r="ULG1452"/>
      <c r="ULH1452"/>
      <c r="ULI1452"/>
      <c r="ULJ1452"/>
      <c r="ULK1452"/>
      <c r="ULL1452"/>
      <c r="ULM1452"/>
      <c r="ULN1452"/>
      <c r="ULO1452"/>
      <c r="ULP1452"/>
      <c r="ULQ1452"/>
      <c r="ULR1452"/>
      <c r="ULS1452"/>
      <c r="ULT1452"/>
      <c r="ULU1452"/>
      <c r="ULV1452"/>
      <c r="ULW1452"/>
      <c r="ULX1452"/>
      <c r="ULY1452"/>
      <c r="ULZ1452"/>
      <c r="UMA1452"/>
      <c r="UMB1452"/>
      <c r="UMC1452"/>
      <c r="UMD1452"/>
      <c r="UME1452"/>
      <c r="UMF1452"/>
      <c r="UMG1452"/>
      <c r="UMH1452"/>
      <c r="UMI1452"/>
      <c r="UMJ1452"/>
      <c r="UMK1452"/>
      <c r="UML1452"/>
      <c r="UMM1452"/>
      <c r="UMN1452"/>
      <c r="UMO1452"/>
      <c r="UMP1452"/>
      <c r="UMQ1452"/>
      <c r="UMR1452"/>
      <c r="UMS1452"/>
      <c r="UMT1452"/>
      <c r="UMU1452"/>
      <c r="UMV1452"/>
      <c r="UMW1452"/>
      <c r="UMX1452"/>
      <c r="UMY1452"/>
      <c r="UMZ1452"/>
      <c r="UNA1452"/>
      <c r="UNB1452"/>
      <c r="UNC1452"/>
      <c r="UND1452"/>
      <c r="UNE1452"/>
      <c r="UNF1452"/>
      <c r="UNG1452"/>
      <c r="UNH1452"/>
      <c r="UNI1452"/>
      <c r="UNJ1452"/>
      <c r="UNK1452"/>
      <c r="UNL1452"/>
      <c r="UNM1452"/>
      <c r="UNN1452"/>
      <c r="UNO1452"/>
      <c r="UNP1452"/>
      <c r="UNQ1452"/>
      <c r="UNR1452"/>
      <c r="UNS1452"/>
      <c r="UNT1452"/>
      <c r="UNU1452"/>
      <c r="UNV1452"/>
      <c r="UNW1452"/>
      <c r="UNX1452"/>
      <c r="UNY1452"/>
      <c r="UNZ1452"/>
      <c r="UOA1452"/>
      <c r="UOB1452"/>
      <c r="UOC1452"/>
      <c r="UOD1452"/>
      <c r="UOE1452"/>
      <c r="UOF1452"/>
      <c r="UOG1452"/>
      <c r="UOH1452"/>
      <c r="UOI1452"/>
      <c r="UOJ1452"/>
      <c r="UOK1452"/>
      <c r="UOL1452"/>
      <c r="UOM1452"/>
      <c r="UON1452"/>
      <c r="UOO1452"/>
      <c r="UOP1452"/>
      <c r="UOQ1452"/>
      <c r="UOR1452"/>
      <c r="UOS1452"/>
      <c r="UOT1452"/>
      <c r="UOU1452"/>
      <c r="UOV1452"/>
      <c r="UOW1452"/>
      <c r="UOX1452"/>
      <c r="UOY1452"/>
      <c r="UOZ1452"/>
      <c r="UPA1452"/>
      <c r="UPB1452"/>
      <c r="UPC1452"/>
      <c r="UPD1452"/>
      <c r="UPE1452"/>
      <c r="UPF1452"/>
      <c r="UPG1452"/>
      <c r="UPH1452"/>
      <c r="UPI1452"/>
      <c r="UPJ1452"/>
      <c r="UPK1452"/>
      <c r="UPL1452"/>
      <c r="UPM1452"/>
      <c r="UPN1452"/>
      <c r="UPO1452"/>
      <c r="UPP1452"/>
      <c r="UPQ1452"/>
      <c r="UPR1452"/>
      <c r="UPS1452"/>
      <c r="UPT1452"/>
      <c r="UPU1452"/>
      <c r="UPV1452"/>
      <c r="UPW1452"/>
      <c r="UPX1452"/>
      <c r="UPY1452"/>
      <c r="UPZ1452"/>
      <c r="UQA1452"/>
      <c r="UQB1452"/>
      <c r="UQC1452"/>
      <c r="UQD1452"/>
      <c r="UQE1452"/>
      <c r="UQF1452"/>
      <c r="UQG1452"/>
      <c r="UQH1452"/>
      <c r="UQI1452"/>
      <c r="UQJ1452"/>
      <c r="UQK1452"/>
      <c r="UQL1452"/>
      <c r="UQM1452"/>
      <c r="UQN1452"/>
      <c r="UQO1452"/>
      <c r="UQP1452"/>
      <c r="UQQ1452"/>
      <c r="UQR1452"/>
      <c r="UQS1452"/>
      <c r="UQT1452"/>
      <c r="UQU1452"/>
      <c r="UQV1452"/>
      <c r="UQW1452"/>
      <c r="UQX1452"/>
      <c r="UQY1452"/>
      <c r="UQZ1452"/>
      <c r="URA1452"/>
      <c r="URB1452"/>
      <c r="URC1452"/>
      <c r="URD1452"/>
      <c r="URE1452"/>
      <c r="URF1452"/>
      <c r="URG1452"/>
      <c r="URH1452"/>
      <c r="URI1452"/>
      <c r="URJ1452"/>
      <c r="URK1452"/>
      <c r="URL1452"/>
      <c r="URM1452"/>
      <c r="URN1452"/>
      <c r="URO1452"/>
      <c r="URP1452"/>
      <c r="URQ1452"/>
      <c r="URR1452"/>
      <c r="URS1452"/>
      <c r="URT1452"/>
      <c r="URU1452"/>
      <c r="URV1452"/>
      <c r="URW1452"/>
      <c r="URX1452"/>
      <c r="URY1452"/>
      <c r="URZ1452"/>
      <c r="USA1452"/>
      <c r="USB1452"/>
      <c r="USC1452"/>
      <c r="USD1452"/>
      <c r="USE1452"/>
      <c r="USF1452"/>
      <c r="USG1452"/>
      <c r="USH1452"/>
      <c r="USI1452"/>
      <c r="USJ1452"/>
      <c r="USK1452"/>
      <c r="USL1452"/>
      <c r="USM1452"/>
      <c r="USN1452"/>
      <c r="USO1452"/>
      <c r="USP1452"/>
      <c r="USQ1452"/>
      <c r="USR1452"/>
      <c r="USS1452"/>
      <c r="UST1452"/>
      <c r="USU1452"/>
      <c r="USV1452"/>
      <c r="USW1452"/>
      <c r="USX1452"/>
      <c r="USY1452"/>
      <c r="USZ1452"/>
      <c r="UTA1452"/>
      <c r="UTB1452"/>
      <c r="UTC1452"/>
      <c r="UTD1452"/>
      <c r="UTE1452"/>
      <c r="UTF1452"/>
      <c r="UTG1452"/>
      <c r="UTH1452"/>
      <c r="UTI1452"/>
      <c r="UTJ1452"/>
      <c r="UTK1452"/>
      <c r="UTL1452"/>
      <c r="UTM1452"/>
      <c r="UTN1452"/>
      <c r="UTO1452"/>
      <c r="UTP1452"/>
      <c r="UTQ1452"/>
      <c r="UTR1452"/>
      <c r="UTS1452"/>
      <c r="UTT1452"/>
      <c r="UTU1452"/>
      <c r="UTV1452"/>
      <c r="UTW1452"/>
      <c r="UTX1452"/>
      <c r="UTY1452"/>
      <c r="UTZ1452"/>
      <c r="UUA1452"/>
      <c r="UUB1452"/>
      <c r="UUC1452"/>
      <c r="UUD1452"/>
      <c r="UUE1452"/>
      <c r="UUF1452"/>
      <c r="UUG1452"/>
      <c r="UUH1452"/>
      <c r="UUI1452"/>
      <c r="UUJ1452"/>
      <c r="UUK1452"/>
      <c r="UUL1452"/>
      <c r="UUM1452"/>
      <c r="UUN1452"/>
      <c r="UUO1452"/>
      <c r="UUP1452"/>
      <c r="UUQ1452"/>
      <c r="UUR1452"/>
      <c r="UUS1452"/>
      <c r="UUT1452"/>
      <c r="UUU1452"/>
      <c r="UUV1452"/>
      <c r="UUW1452"/>
      <c r="UUX1452"/>
      <c r="UUY1452"/>
      <c r="UUZ1452"/>
      <c r="UVA1452"/>
      <c r="UVB1452"/>
      <c r="UVC1452"/>
      <c r="UVD1452"/>
      <c r="UVE1452"/>
      <c r="UVF1452"/>
      <c r="UVG1452"/>
      <c r="UVH1452"/>
      <c r="UVI1452"/>
      <c r="UVJ1452"/>
      <c r="UVK1452"/>
      <c r="UVL1452"/>
      <c r="UVM1452"/>
      <c r="UVN1452"/>
      <c r="UVO1452"/>
      <c r="UVP1452"/>
      <c r="UVQ1452"/>
      <c r="UVR1452"/>
      <c r="UVS1452"/>
      <c r="UVT1452"/>
      <c r="UVU1452"/>
      <c r="UVV1452"/>
      <c r="UVW1452"/>
      <c r="UVX1452"/>
      <c r="UVY1452"/>
      <c r="UVZ1452"/>
      <c r="UWA1452"/>
      <c r="UWB1452"/>
      <c r="UWC1452"/>
      <c r="UWD1452"/>
      <c r="UWE1452"/>
      <c r="UWF1452"/>
      <c r="UWG1452"/>
      <c r="UWH1452"/>
      <c r="UWI1452"/>
      <c r="UWJ1452"/>
      <c r="UWK1452"/>
      <c r="UWL1452"/>
      <c r="UWM1452"/>
      <c r="UWN1452"/>
      <c r="UWO1452"/>
      <c r="UWP1452"/>
      <c r="UWQ1452"/>
      <c r="UWR1452"/>
      <c r="UWS1452"/>
      <c r="UWT1452"/>
      <c r="UWU1452"/>
      <c r="UWV1452"/>
      <c r="UWW1452"/>
      <c r="UWX1452"/>
      <c r="UWY1452"/>
      <c r="UWZ1452"/>
      <c r="UXA1452"/>
      <c r="UXB1452"/>
      <c r="UXC1452"/>
      <c r="UXD1452"/>
      <c r="UXE1452"/>
      <c r="UXF1452"/>
      <c r="UXG1452"/>
      <c r="UXH1452"/>
      <c r="UXI1452"/>
      <c r="UXJ1452"/>
      <c r="UXK1452"/>
      <c r="UXL1452"/>
      <c r="UXM1452"/>
      <c r="UXN1452"/>
      <c r="UXO1452"/>
      <c r="UXP1452"/>
      <c r="UXQ1452"/>
      <c r="UXR1452"/>
      <c r="UXS1452"/>
      <c r="UXT1452"/>
      <c r="UXU1452"/>
      <c r="UXV1452"/>
      <c r="UXW1452"/>
      <c r="UXX1452"/>
      <c r="UXY1452"/>
      <c r="UXZ1452"/>
      <c r="UYA1452"/>
      <c r="UYB1452"/>
      <c r="UYC1452"/>
      <c r="UYD1452"/>
      <c r="UYE1452"/>
      <c r="UYF1452"/>
      <c r="UYG1452"/>
      <c r="UYH1452"/>
      <c r="UYI1452"/>
      <c r="UYJ1452"/>
      <c r="UYK1452"/>
      <c r="UYL1452"/>
      <c r="UYM1452"/>
      <c r="UYN1452"/>
      <c r="UYO1452"/>
      <c r="UYP1452"/>
      <c r="UYQ1452"/>
      <c r="UYR1452"/>
      <c r="UYS1452"/>
      <c r="UYT1452"/>
      <c r="UYU1452"/>
      <c r="UYV1452"/>
      <c r="UYW1452"/>
      <c r="UYX1452"/>
      <c r="UYY1452"/>
      <c r="UYZ1452"/>
      <c r="UZA1452"/>
      <c r="UZB1452"/>
      <c r="UZC1452"/>
      <c r="UZD1452"/>
      <c r="UZE1452"/>
      <c r="UZF1452"/>
      <c r="UZG1452"/>
      <c r="UZH1452"/>
      <c r="UZI1452"/>
      <c r="UZJ1452"/>
      <c r="UZK1452"/>
      <c r="UZL1452"/>
      <c r="UZM1452"/>
      <c r="UZN1452"/>
      <c r="UZO1452"/>
      <c r="UZP1452"/>
      <c r="UZQ1452"/>
      <c r="UZR1452"/>
      <c r="UZS1452"/>
      <c r="UZT1452"/>
      <c r="UZU1452"/>
      <c r="UZV1452"/>
      <c r="UZW1452"/>
      <c r="UZX1452"/>
      <c r="UZY1452"/>
      <c r="UZZ1452"/>
      <c r="VAA1452"/>
      <c r="VAB1452"/>
      <c r="VAC1452"/>
      <c r="VAD1452"/>
      <c r="VAE1452"/>
      <c r="VAF1452"/>
      <c r="VAG1452"/>
      <c r="VAH1452"/>
      <c r="VAI1452"/>
      <c r="VAJ1452"/>
      <c r="VAK1452"/>
      <c r="VAL1452"/>
      <c r="VAM1452"/>
      <c r="VAN1452"/>
      <c r="VAO1452"/>
      <c r="VAP1452"/>
      <c r="VAQ1452"/>
      <c r="VAR1452"/>
      <c r="VAS1452"/>
      <c r="VAT1452"/>
      <c r="VAU1452"/>
      <c r="VAV1452"/>
      <c r="VAW1452"/>
      <c r="VAX1452"/>
      <c r="VAY1452"/>
      <c r="VAZ1452"/>
      <c r="VBA1452"/>
      <c r="VBB1452"/>
      <c r="VBC1452"/>
      <c r="VBD1452"/>
      <c r="VBE1452"/>
      <c r="VBF1452"/>
      <c r="VBG1452"/>
      <c r="VBH1452"/>
      <c r="VBI1452"/>
      <c r="VBJ1452"/>
      <c r="VBK1452"/>
      <c r="VBL1452"/>
      <c r="VBM1452"/>
      <c r="VBN1452"/>
      <c r="VBO1452"/>
      <c r="VBP1452"/>
      <c r="VBQ1452"/>
      <c r="VBR1452"/>
      <c r="VBS1452"/>
      <c r="VBT1452"/>
      <c r="VBU1452"/>
      <c r="VBV1452"/>
      <c r="VBW1452"/>
      <c r="VBX1452"/>
      <c r="VBY1452"/>
      <c r="VBZ1452"/>
      <c r="VCA1452"/>
      <c r="VCB1452"/>
      <c r="VCC1452"/>
      <c r="VCD1452"/>
      <c r="VCE1452"/>
      <c r="VCF1452"/>
      <c r="VCG1452"/>
      <c r="VCH1452"/>
      <c r="VCI1452"/>
      <c r="VCJ1452"/>
      <c r="VCK1452"/>
      <c r="VCL1452"/>
      <c r="VCM1452"/>
      <c r="VCN1452"/>
      <c r="VCO1452"/>
      <c r="VCP1452"/>
      <c r="VCQ1452"/>
      <c r="VCR1452"/>
      <c r="VCS1452"/>
      <c r="VCT1452"/>
      <c r="VCU1452"/>
      <c r="VCV1452"/>
      <c r="VCW1452"/>
      <c r="VCX1452"/>
      <c r="VCY1452"/>
      <c r="VCZ1452"/>
      <c r="VDA1452"/>
      <c r="VDB1452"/>
      <c r="VDC1452"/>
      <c r="VDD1452"/>
      <c r="VDE1452"/>
      <c r="VDF1452"/>
      <c r="VDG1452"/>
      <c r="VDH1452"/>
      <c r="VDI1452"/>
      <c r="VDJ1452"/>
      <c r="VDK1452"/>
      <c r="VDL1452"/>
      <c r="VDM1452"/>
      <c r="VDN1452"/>
      <c r="VDO1452"/>
      <c r="VDP1452"/>
      <c r="VDQ1452"/>
      <c r="VDR1452"/>
      <c r="VDS1452"/>
      <c r="VDT1452"/>
      <c r="VDU1452"/>
      <c r="VDV1452"/>
      <c r="VDW1452"/>
      <c r="VDX1452"/>
      <c r="VDY1452"/>
      <c r="VDZ1452"/>
      <c r="VEA1452"/>
      <c r="VEB1452"/>
      <c r="VEC1452"/>
      <c r="VED1452"/>
      <c r="VEE1452"/>
      <c r="VEF1452"/>
      <c r="VEG1452"/>
      <c r="VEH1452"/>
      <c r="VEI1452"/>
      <c r="VEJ1452"/>
      <c r="VEK1452"/>
      <c r="VEL1452"/>
      <c r="VEM1452"/>
      <c r="VEN1452"/>
      <c r="VEO1452"/>
      <c r="VEP1452"/>
      <c r="VEQ1452"/>
      <c r="VER1452"/>
      <c r="VES1452"/>
      <c r="VET1452"/>
      <c r="VEU1452"/>
      <c r="VEV1452"/>
      <c r="VEW1452"/>
      <c r="VEX1452"/>
      <c r="VEY1452"/>
      <c r="VEZ1452"/>
      <c r="VFA1452"/>
      <c r="VFB1452"/>
      <c r="VFC1452"/>
      <c r="VFD1452"/>
      <c r="VFE1452"/>
      <c r="VFF1452"/>
      <c r="VFG1452"/>
      <c r="VFH1452"/>
      <c r="VFI1452"/>
      <c r="VFJ1452"/>
      <c r="VFK1452"/>
      <c r="VFL1452"/>
      <c r="VFM1452"/>
      <c r="VFN1452"/>
      <c r="VFO1452"/>
      <c r="VFP1452"/>
      <c r="VFQ1452"/>
      <c r="VFR1452"/>
      <c r="VFS1452"/>
      <c r="VFT1452"/>
      <c r="VFU1452"/>
      <c r="VFV1452"/>
      <c r="VFW1452"/>
      <c r="VFX1452"/>
      <c r="VFY1452"/>
      <c r="VFZ1452"/>
      <c r="VGA1452"/>
      <c r="VGB1452"/>
      <c r="VGC1452"/>
      <c r="VGD1452"/>
      <c r="VGE1452"/>
      <c r="VGF1452"/>
      <c r="VGG1452"/>
      <c r="VGH1452"/>
      <c r="VGI1452"/>
      <c r="VGJ1452"/>
      <c r="VGK1452"/>
      <c r="VGL1452"/>
      <c r="VGM1452"/>
      <c r="VGN1452"/>
      <c r="VGO1452"/>
      <c r="VGP1452"/>
      <c r="VGQ1452"/>
      <c r="VGR1452"/>
      <c r="VGS1452"/>
      <c r="VGT1452"/>
      <c r="VGU1452"/>
      <c r="VGV1452"/>
      <c r="VGW1452"/>
      <c r="VGX1452"/>
      <c r="VGY1452"/>
      <c r="VGZ1452"/>
      <c r="VHA1452"/>
      <c r="VHB1452"/>
      <c r="VHC1452"/>
      <c r="VHD1452"/>
      <c r="VHE1452"/>
      <c r="VHF1452"/>
      <c r="VHG1452"/>
      <c r="VHH1452"/>
      <c r="VHI1452"/>
      <c r="VHJ1452"/>
      <c r="VHK1452"/>
      <c r="VHL1452"/>
      <c r="VHM1452"/>
      <c r="VHN1452"/>
      <c r="VHO1452"/>
      <c r="VHP1452"/>
      <c r="VHQ1452"/>
      <c r="VHR1452"/>
      <c r="VHS1452"/>
      <c r="VHT1452"/>
      <c r="VHU1452"/>
      <c r="VHV1452"/>
      <c r="VHW1452"/>
      <c r="VHX1452"/>
      <c r="VHY1452"/>
      <c r="VHZ1452"/>
      <c r="VIA1452"/>
      <c r="VIB1452"/>
      <c r="VIC1452"/>
      <c r="VID1452"/>
      <c r="VIE1452"/>
      <c r="VIF1452"/>
      <c r="VIG1452"/>
      <c r="VIH1452"/>
      <c r="VII1452"/>
      <c r="VIJ1452"/>
      <c r="VIK1452"/>
      <c r="VIL1452"/>
      <c r="VIM1452"/>
      <c r="VIN1452"/>
      <c r="VIO1452"/>
      <c r="VIP1452"/>
      <c r="VIQ1452"/>
      <c r="VIR1452"/>
      <c r="VIS1452"/>
      <c r="VIT1452"/>
      <c r="VIU1452"/>
      <c r="VIV1452"/>
      <c r="VIW1452"/>
      <c r="VIX1452"/>
      <c r="VIY1452"/>
      <c r="VIZ1452"/>
      <c r="VJA1452"/>
      <c r="VJB1452"/>
      <c r="VJC1452"/>
      <c r="VJD1452"/>
      <c r="VJE1452"/>
      <c r="VJF1452"/>
      <c r="VJG1452"/>
      <c r="VJH1452"/>
      <c r="VJI1452"/>
      <c r="VJJ1452"/>
      <c r="VJK1452"/>
      <c r="VJL1452"/>
      <c r="VJM1452"/>
      <c r="VJN1452"/>
      <c r="VJO1452"/>
      <c r="VJP1452"/>
      <c r="VJQ1452"/>
      <c r="VJR1452"/>
      <c r="VJS1452"/>
      <c r="VJT1452"/>
      <c r="VJU1452"/>
      <c r="VJV1452"/>
      <c r="VJW1452"/>
      <c r="VJX1452"/>
      <c r="VJY1452"/>
      <c r="VJZ1452"/>
      <c r="VKA1452"/>
      <c r="VKB1452"/>
      <c r="VKC1452"/>
      <c r="VKD1452"/>
      <c r="VKE1452"/>
      <c r="VKF1452"/>
      <c r="VKG1452"/>
      <c r="VKH1452"/>
      <c r="VKI1452"/>
      <c r="VKJ1452"/>
      <c r="VKK1452"/>
      <c r="VKL1452"/>
      <c r="VKM1452"/>
      <c r="VKN1452"/>
      <c r="VKO1452"/>
      <c r="VKP1452"/>
      <c r="VKQ1452"/>
      <c r="VKR1452"/>
      <c r="VKS1452"/>
      <c r="VKT1452"/>
      <c r="VKU1452"/>
      <c r="VKV1452"/>
      <c r="VKW1452"/>
      <c r="VKX1452"/>
      <c r="VKY1452"/>
      <c r="VKZ1452"/>
      <c r="VLA1452"/>
      <c r="VLB1452"/>
      <c r="VLC1452"/>
      <c r="VLD1452"/>
      <c r="VLE1452"/>
      <c r="VLF1452"/>
      <c r="VLG1452"/>
      <c r="VLH1452"/>
      <c r="VLI1452"/>
      <c r="VLJ1452"/>
      <c r="VLK1452"/>
      <c r="VLL1452"/>
      <c r="VLM1452"/>
      <c r="VLN1452"/>
      <c r="VLO1452"/>
      <c r="VLP1452"/>
      <c r="VLQ1452"/>
      <c r="VLR1452"/>
      <c r="VLS1452"/>
      <c r="VLT1452"/>
      <c r="VLU1452"/>
      <c r="VLV1452"/>
      <c r="VLW1452"/>
      <c r="VLX1452"/>
      <c r="VLY1452"/>
      <c r="VLZ1452"/>
      <c r="VMA1452"/>
      <c r="VMB1452"/>
      <c r="VMC1452"/>
      <c r="VMD1452"/>
      <c r="VME1452"/>
      <c r="VMF1452"/>
      <c r="VMG1452"/>
      <c r="VMH1452"/>
      <c r="VMI1452"/>
      <c r="VMJ1452"/>
      <c r="VMK1452"/>
      <c r="VML1452"/>
      <c r="VMM1452"/>
      <c r="VMN1452"/>
      <c r="VMO1452"/>
      <c r="VMP1452"/>
      <c r="VMQ1452"/>
      <c r="VMR1452"/>
      <c r="VMS1452"/>
      <c r="VMT1452"/>
      <c r="VMU1452"/>
      <c r="VMV1452"/>
      <c r="VMW1452"/>
      <c r="VMX1452"/>
      <c r="VMY1452"/>
      <c r="VMZ1452"/>
      <c r="VNA1452"/>
      <c r="VNB1452"/>
      <c r="VNC1452"/>
      <c r="VND1452"/>
      <c r="VNE1452"/>
      <c r="VNF1452"/>
      <c r="VNG1452"/>
      <c r="VNH1452"/>
      <c r="VNI1452"/>
      <c r="VNJ1452"/>
      <c r="VNK1452"/>
      <c r="VNL1452"/>
      <c r="VNM1452"/>
      <c r="VNN1452"/>
      <c r="VNO1452"/>
      <c r="VNP1452"/>
      <c r="VNQ1452"/>
      <c r="VNR1452"/>
      <c r="VNS1452"/>
      <c r="VNT1452"/>
      <c r="VNU1452"/>
      <c r="VNV1452"/>
      <c r="VNW1452"/>
      <c r="VNX1452"/>
      <c r="VNY1452"/>
      <c r="VNZ1452"/>
      <c r="VOA1452"/>
      <c r="VOB1452"/>
      <c r="VOC1452"/>
      <c r="VOD1452"/>
      <c r="VOE1452"/>
      <c r="VOF1452"/>
      <c r="VOG1452"/>
      <c r="VOH1452"/>
      <c r="VOI1452"/>
      <c r="VOJ1452"/>
      <c r="VOK1452"/>
      <c r="VOL1452"/>
      <c r="VOM1452"/>
      <c r="VON1452"/>
      <c r="VOO1452"/>
      <c r="VOP1452"/>
      <c r="VOQ1452"/>
      <c r="VOR1452"/>
      <c r="VOS1452"/>
      <c r="VOT1452"/>
      <c r="VOU1452"/>
      <c r="VOV1452"/>
      <c r="VOW1452"/>
      <c r="VOX1452"/>
      <c r="VOY1452"/>
      <c r="VOZ1452"/>
      <c r="VPA1452"/>
      <c r="VPB1452"/>
      <c r="VPC1452"/>
      <c r="VPD1452"/>
      <c r="VPE1452"/>
      <c r="VPF1452"/>
      <c r="VPG1452"/>
      <c r="VPH1452"/>
      <c r="VPI1452"/>
      <c r="VPJ1452"/>
      <c r="VPK1452"/>
      <c r="VPL1452"/>
      <c r="VPM1452"/>
      <c r="VPN1452"/>
      <c r="VPO1452"/>
      <c r="VPP1452"/>
      <c r="VPQ1452"/>
      <c r="VPR1452"/>
      <c r="VPS1452"/>
      <c r="VPT1452"/>
      <c r="VPU1452"/>
      <c r="VPV1452"/>
      <c r="VPW1452"/>
      <c r="VPX1452"/>
      <c r="VPY1452"/>
      <c r="VPZ1452"/>
      <c r="VQA1452"/>
      <c r="VQB1452"/>
      <c r="VQC1452"/>
      <c r="VQD1452"/>
      <c r="VQE1452"/>
      <c r="VQF1452"/>
      <c r="VQG1452"/>
      <c r="VQH1452"/>
      <c r="VQI1452"/>
      <c r="VQJ1452"/>
      <c r="VQK1452"/>
      <c r="VQL1452"/>
      <c r="VQM1452"/>
      <c r="VQN1452"/>
      <c r="VQO1452"/>
      <c r="VQP1452"/>
      <c r="VQQ1452"/>
      <c r="VQR1452"/>
      <c r="VQS1452"/>
      <c r="VQT1452"/>
      <c r="VQU1452"/>
      <c r="VQV1452"/>
      <c r="VQW1452"/>
      <c r="VQX1452"/>
      <c r="VQY1452"/>
      <c r="VQZ1452"/>
      <c r="VRA1452"/>
      <c r="VRB1452"/>
      <c r="VRC1452"/>
      <c r="VRD1452"/>
      <c r="VRE1452"/>
      <c r="VRF1452"/>
      <c r="VRG1452"/>
      <c r="VRH1452"/>
      <c r="VRI1452"/>
      <c r="VRJ1452"/>
      <c r="VRK1452"/>
      <c r="VRL1452"/>
      <c r="VRM1452"/>
      <c r="VRN1452"/>
      <c r="VRO1452"/>
      <c r="VRP1452"/>
      <c r="VRQ1452"/>
      <c r="VRR1452"/>
      <c r="VRS1452"/>
      <c r="VRT1452"/>
      <c r="VRU1452"/>
      <c r="VRV1452"/>
      <c r="VRW1452"/>
      <c r="VRX1452"/>
      <c r="VRY1452"/>
      <c r="VRZ1452"/>
      <c r="VSA1452"/>
      <c r="VSB1452"/>
      <c r="VSC1452"/>
      <c r="VSD1452"/>
      <c r="VSE1452"/>
      <c r="VSF1452"/>
      <c r="VSG1452"/>
      <c r="VSH1452"/>
      <c r="VSI1452"/>
      <c r="VSJ1452"/>
      <c r="VSK1452"/>
      <c r="VSL1452"/>
      <c r="VSM1452"/>
      <c r="VSN1452"/>
      <c r="VSO1452"/>
      <c r="VSP1452"/>
      <c r="VSQ1452"/>
      <c r="VSR1452"/>
      <c r="VSS1452"/>
      <c r="VST1452"/>
      <c r="VSU1452"/>
      <c r="VSV1452"/>
      <c r="VSW1452"/>
      <c r="VSX1452"/>
      <c r="VSY1452"/>
      <c r="VSZ1452"/>
      <c r="VTA1452"/>
      <c r="VTB1452"/>
      <c r="VTC1452"/>
      <c r="VTD1452"/>
      <c r="VTE1452"/>
      <c r="VTF1452"/>
      <c r="VTG1452"/>
      <c r="VTH1452"/>
      <c r="VTI1452"/>
      <c r="VTJ1452"/>
      <c r="VTK1452"/>
      <c r="VTL1452"/>
      <c r="VTM1452"/>
      <c r="VTN1452"/>
      <c r="VTO1452"/>
      <c r="VTP1452"/>
      <c r="VTQ1452"/>
      <c r="VTR1452"/>
      <c r="VTS1452"/>
      <c r="VTT1452"/>
      <c r="VTU1452"/>
      <c r="VTV1452"/>
      <c r="VTW1452"/>
      <c r="VTX1452"/>
      <c r="VTY1452"/>
      <c r="VTZ1452"/>
      <c r="VUA1452"/>
      <c r="VUB1452"/>
      <c r="VUC1452"/>
      <c r="VUD1452"/>
      <c r="VUE1452"/>
      <c r="VUF1452"/>
      <c r="VUG1452"/>
      <c r="VUH1452"/>
      <c r="VUI1452"/>
      <c r="VUJ1452"/>
      <c r="VUK1452"/>
      <c r="VUL1452"/>
      <c r="VUM1452"/>
      <c r="VUN1452"/>
      <c r="VUO1452"/>
      <c r="VUP1452"/>
      <c r="VUQ1452"/>
      <c r="VUR1452"/>
      <c r="VUS1452"/>
      <c r="VUT1452"/>
      <c r="VUU1452"/>
      <c r="VUV1452"/>
      <c r="VUW1452"/>
      <c r="VUX1452"/>
      <c r="VUY1452"/>
      <c r="VUZ1452"/>
      <c r="VVA1452"/>
      <c r="VVB1452"/>
      <c r="VVC1452"/>
      <c r="VVD1452"/>
      <c r="VVE1452"/>
      <c r="VVF1452"/>
      <c r="VVG1452"/>
      <c r="VVH1452"/>
      <c r="VVI1452"/>
      <c r="VVJ1452"/>
      <c r="VVK1452"/>
      <c r="VVL1452"/>
      <c r="VVM1452"/>
      <c r="VVN1452"/>
      <c r="VVO1452"/>
      <c r="VVP1452"/>
      <c r="VVQ1452"/>
      <c r="VVR1452"/>
      <c r="VVS1452"/>
      <c r="VVT1452"/>
      <c r="VVU1452"/>
      <c r="VVV1452"/>
      <c r="VVW1452"/>
      <c r="VVX1452"/>
      <c r="VVY1452"/>
      <c r="VVZ1452"/>
      <c r="VWA1452"/>
      <c r="VWB1452"/>
      <c r="VWC1452"/>
      <c r="VWD1452"/>
      <c r="VWE1452"/>
      <c r="VWF1452"/>
      <c r="VWG1452"/>
      <c r="VWH1452"/>
      <c r="VWI1452"/>
      <c r="VWJ1452"/>
      <c r="VWK1452"/>
      <c r="VWL1452"/>
      <c r="VWM1452"/>
      <c r="VWN1452"/>
      <c r="VWO1452"/>
      <c r="VWP1452"/>
      <c r="VWQ1452"/>
      <c r="VWR1452"/>
      <c r="VWS1452"/>
      <c r="VWT1452"/>
      <c r="VWU1452"/>
      <c r="VWV1452"/>
      <c r="VWW1452"/>
      <c r="VWX1452"/>
      <c r="VWY1452"/>
      <c r="VWZ1452"/>
      <c r="VXA1452"/>
      <c r="VXB1452"/>
      <c r="VXC1452"/>
      <c r="VXD1452"/>
      <c r="VXE1452"/>
      <c r="VXF1452"/>
      <c r="VXG1452"/>
      <c r="VXH1452"/>
      <c r="VXI1452"/>
      <c r="VXJ1452"/>
      <c r="VXK1452"/>
      <c r="VXL1452"/>
      <c r="VXM1452"/>
      <c r="VXN1452"/>
      <c r="VXO1452"/>
      <c r="VXP1452"/>
      <c r="VXQ1452"/>
      <c r="VXR1452"/>
      <c r="VXS1452"/>
      <c r="VXT1452"/>
      <c r="VXU1452"/>
      <c r="VXV1452"/>
      <c r="VXW1452"/>
      <c r="VXX1452"/>
      <c r="VXY1452"/>
      <c r="VXZ1452"/>
      <c r="VYA1452"/>
      <c r="VYB1452"/>
      <c r="VYC1452"/>
      <c r="VYD1452"/>
      <c r="VYE1452"/>
      <c r="VYF1452"/>
      <c r="VYG1452"/>
      <c r="VYH1452"/>
      <c r="VYI1452"/>
      <c r="VYJ1452"/>
      <c r="VYK1452"/>
      <c r="VYL1452"/>
      <c r="VYM1452"/>
      <c r="VYN1452"/>
      <c r="VYO1452"/>
      <c r="VYP1452"/>
      <c r="VYQ1452"/>
      <c r="VYR1452"/>
      <c r="VYS1452"/>
      <c r="VYT1452"/>
      <c r="VYU1452"/>
      <c r="VYV1452"/>
      <c r="VYW1452"/>
      <c r="VYX1452"/>
      <c r="VYY1452"/>
      <c r="VYZ1452"/>
      <c r="VZA1452"/>
      <c r="VZB1452"/>
      <c r="VZC1452"/>
      <c r="VZD1452"/>
      <c r="VZE1452"/>
      <c r="VZF1452"/>
      <c r="VZG1452"/>
      <c r="VZH1452"/>
      <c r="VZI1452"/>
      <c r="VZJ1452"/>
      <c r="VZK1452"/>
      <c r="VZL1452"/>
      <c r="VZM1452"/>
      <c r="VZN1452"/>
      <c r="VZO1452"/>
      <c r="VZP1452"/>
      <c r="VZQ1452"/>
      <c r="VZR1452"/>
      <c r="VZS1452"/>
      <c r="VZT1452"/>
      <c r="VZU1452"/>
      <c r="VZV1452"/>
      <c r="VZW1452"/>
      <c r="VZX1452"/>
      <c r="VZY1452"/>
      <c r="VZZ1452"/>
      <c r="WAA1452"/>
      <c r="WAB1452"/>
      <c r="WAC1452"/>
      <c r="WAD1452"/>
      <c r="WAE1452"/>
      <c r="WAF1452"/>
      <c r="WAG1452"/>
      <c r="WAH1452"/>
      <c r="WAI1452"/>
      <c r="WAJ1452"/>
      <c r="WAK1452"/>
      <c r="WAL1452"/>
      <c r="WAM1452"/>
      <c r="WAN1452"/>
      <c r="WAO1452"/>
      <c r="WAP1452"/>
      <c r="WAQ1452"/>
      <c r="WAR1452"/>
      <c r="WAS1452"/>
      <c r="WAT1452"/>
      <c r="WAU1452"/>
      <c r="WAV1452"/>
      <c r="WAW1452"/>
      <c r="WAX1452"/>
      <c r="WAY1452"/>
      <c r="WAZ1452"/>
      <c r="WBA1452"/>
      <c r="WBB1452"/>
      <c r="WBC1452"/>
      <c r="WBD1452"/>
      <c r="WBE1452"/>
      <c r="WBF1452"/>
      <c r="WBG1452"/>
      <c r="WBH1452"/>
      <c r="WBI1452"/>
      <c r="WBJ1452"/>
      <c r="WBK1452"/>
      <c r="WBL1452"/>
      <c r="WBM1452"/>
      <c r="WBN1452"/>
      <c r="WBO1452"/>
      <c r="WBP1452"/>
      <c r="WBQ1452"/>
      <c r="WBR1452"/>
      <c r="WBS1452"/>
      <c r="WBT1452"/>
      <c r="WBU1452"/>
      <c r="WBV1452"/>
      <c r="WBW1452"/>
      <c r="WBX1452"/>
      <c r="WBY1452"/>
      <c r="WBZ1452"/>
      <c r="WCA1452"/>
      <c r="WCB1452"/>
      <c r="WCC1452"/>
      <c r="WCD1452"/>
      <c r="WCE1452"/>
      <c r="WCF1452"/>
      <c r="WCG1452"/>
      <c r="WCH1452"/>
      <c r="WCI1452"/>
      <c r="WCJ1452"/>
      <c r="WCK1452"/>
      <c r="WCL1452"/>
      <c r="WCM1452"/>
      <c r="WCN1452"/>
      <c r="WCO1452"/>
      <c r="WCP1452"/>
      <c r="WCQ1452"/>
      <c r="WCR1452"/>
      <c r="WCS1452"/>
      <c r="WCT1452"/>
      <c r="WCU1452"/>
      <c r="WCV1452"/>
      <c r="WCW1452"/>
      <c r="WCX1452"/>
      <c r="WCY1452"/>
      <c r="WCZ1452"/>
      <c r="WDA1452"/>
      <c r="WDB1452"/>
      <c r="WDC1452"/>
      <c r="WDD1452"/>
      <c r="WDE1452"/>
      <c r="WDF1452"/>
      <c r="WDG1452"/>
      <c r="WDH1452"/>
      <c r="WDI1452"/>
      <c r="WDJ1452"/>
      <c r="WDK1452"/>
      <c r="WDL1452"/>
      <c r="WDM1452"/>
      <c r="WDN1452"/>
      <c r="WDO1452"/>
      <c r="WDP1452"/>
      <c r="WDQ1452"/>
      <c r="WDR1452"/>
      <c r="WDS1452"/>
      <c r="WDT1452"/>
      <c r="WDU1452"/>
      <c r="WDV1452"/>
      <c r="WDW1452"/>
      <c r="WDX1452"/>
      <c r="WDY1452"/>
      <c r="WDZ1452"/>
      <c r="WEA1452"/>
      <c r="WEB1452"/>
      <c r="WEC1452"/>
      <c r="WED1452"/>
      <c r="WEE1452"/>
      <c r="WEF1452"/>
      <c r="WEG1452"/>
      <c r="WEH1452"/>
      <c r="WEI1452"/>
      <c r="WEJ1452"/>
      <c r="WEK1452"/>
      <c r="WEL1452"/>
      <c r="WEM1452"/>
      <c r="WEN1452"/>
      <c r="WEO1452"/>
      <c r="WEP1452"/>
      <c r="WEQ1452"/>
      <c r="WER1452"/>
      <c r="WES1452"/>
      <c r="WET1452"/>
      <c r="WEU1452"/>
      <c r="WEV1452"/>
      <c r="WEW1452"/>
      <c r="WEX1452"/>
      <c r="WEY1452"/>
      <c r="WEZ1452"/>
      <c r="WFA1452"/>
      <c r="WFB1452"/>
      <c r="WFC1452"/>
      <c r="WFD1452"/>
      <c r="WFE1452"/>
      <c r="WFF1452"/>
      <c r="WFG1452"/>
      <c r="WFH1452"/>
      <c r="WFI1452"/>
      <c r="WFJ1452"/>
      <c r="WFK1452"/>
      <c r="WFL1452"/>
      <c r="WFM1452"/>
      <c r="WFN1452"/>
      <c r="WFO1452"/>
      <c r="WFP1452"/>
      <c r="WFQ1452"/>
      <c r="WFR1452"/>
      <c r="WFS1452"/>
      <c r="WFT1452"/>
      <c r="WFU1452"/>
      <c r="WFV1452"/>
      <c r="WFW1452"/>
      <c r="WFX1452"/>
      <c r="WFY1452"/>
      <c r="WFZ1452"/>
      <c r="WGA1452"/>
      <c r="WGB1452"/>
      <c r="WGC1452"/>
      <c r="WGD1452"/>
      <c r="WGE1452"/>
      <c r="WGF1452"/>
      <c r="WGG1452"/>
      <c r="WGH1452"/>
      <c r="WGI1452"/>
      <c r="WGJ1452"/>
      <c r="WGK1452"/>
      <c r="WGL1452"/>
      <c r="WGM1452"/>
      <c r="WGN1452"/>
      <c r="WGO1452"/>
      <c r="WGP1452"/>
      <c r="WGQ1452"/>
      <c r="WGR1452"/>
      <c r="WGS1452"/>
      <c r="WGT1452"/>
      <c r="WGU1452"/>
      <c r="WGV1452"/>
      <c r="WGW1452"/>
      <c r="WGX1452"/>
      <c r="WGY1452"/>
      <c r="WGZ1452"/>
      <c r="WHA1452"/>
      <c r="WHB1452"/>
      <c r="WHC1452"/>
      <c r="WHD1452"/>
      <c r="WHE1452"/>
      <c r="WHF1452"/>
      <c r="WHG1452"/>
      <c r="WHH1452"/>
      <c r="WHI1452"/>
      <c r="WHJ1452"/>
      <c r="WHK1452"/>
      <c r="WHL1452"/>
      <c r="WHM1452"/>
      <c r="WHN1452"/>
      <c r="WHO1452"/>
      <c r="WHP1452"/>
      <c r="WHQ1452"/>
      <c r="WHR1452"/>
      <c r="WHS1452"/>
      <c r="WHT1452"/>
      <c r="WHU1452"/>
      <c r="WHV1452"/>
      <c r="WHW1452"/>
      <c r="WHX1452"/>
      <c r="WHY1452"/>
      <c r="WHZ1452"/>
      <c r="WIA1452"/>
      <c r="WIB1452"/>
      <c r="WIC1452"/>
      <c r="WID1452"/>
      <c r="WIE1452"/>
      <c r="WIF1452"/>
      <c r="WIG1452"/>
      <c r="WIH1452"/>
      <c r="WII1452"/>
      <c r="WIJ1452"/>
      <c r="WIK1452"/>
      <c r="WIL1452"/>
      <c r="WIM1452"/>
      <c r="WIN1452"/>
      <c r="WIO1452"/>
      <c r="WIP1452"/>
      <c r="WIQ1452"/>
      <c r="WIR1452"/>
      <c r="WIS1452"/>
      <c r="WIT1452"/>
      <c r="WIU1452"/>
      <c r="WIV1452"/>
      <c r="WIW1452"/>
      <c r="WIX1452"/>
      <c r="WIY1452"/>
      <c r="WIZ1452"/>
      <c r="WJA1452"/>
      <c r="WJB1452"/>
      <c r="WJC1452"/>
      <c r="WJD1452"/>
      <c r="WJE1452"/>
      <c r="WJF1452"/>
      <c r="WJG1452"/>
      <c r="WJH1452"/>
      <c r="WJI1452"/>
      <c r="WJJ1452"/>
      <c r="WJK1452"/>
      <c r="WJL1452"/>
      <c r="WJM1452"/>
      <c r="WJN1452"/>
      <c r="WJO1452"/>
      <c r="WJP1452"/>
      <c r="WJQ1452"/>
      <c r="WJR1452"/>
      <c r="WJS1452"/>
      <c r="WJT1452"/>
      <c r="WJU1452"/>
      <c r="WJV1452"/>
      <c r="WJW1452"/>
      <c r="WJX1452"/>
      <c r="WJY1452"/>
      <c r="WJZ1452"/>
      <c r="WKA1452"/>
      <c r="WKB1452"/>
      <c r="WKC1452"/>
      <c r="WKD1452"/>
      <c r="WKE1452"/>
      <c r="WKF1452"/>
      <c r="WKG1452"/>
      <c r="WKH1452"/>
      <c r="WKI1452"/>
      <c r="WKJ1452"/>
      <c r="WKK1452"/>
      <c r="WKL1452"/>
      <c r="WKM1452"/>
      <c r="WKN1452"/>
      <c r="WKO1452"/>
      <c r="WKP1452"/>
      <c r="WKQ1452"/>
      <c r="WKR1452"/>
      <c r="WKS1452"/>
      <c r="WKT1452"/>
      <c r="WKU1452"/>
      <c r="WKV1452"/>
      <c r="WKW1452"/>
      <c r="WKX1452"/>
      <c r="WKY1452"/>
      <c r="WKZ1452"/>
      <c r="WLA1452"/>
      <c r="WLB1452"/>
      <c r="WLC1452"/>
      <c r="WLD1452"/>
      <c r="WLE1452"/>
      <c r="WLF1452"/>
      <c r="WLG1452"/>
      <c r="WLH1452"/>
      <c r="WLI1452"/>
      <c r="WLJ1452"/>
      <c r="WLK1452"/>
      <c r="WLL1452"/>
      <c r="WLM1452"/>
      <c r="WLN1452"/>
      <c r="WLO1452"/>
      <c r="WLP1452"/>
      <c r="WLQ1452"/>
      <c r="WLR1452"/>
      <c r="WLS1452"/>
      <c r="WLT1452"/>
      <c r="WLU1452"/>
      <c r="WLV1452"/>
      <c r="WLW1452"/>
      <c r="WLX1452"/>
      <c r="WLY1452"/>
      <c r="WLZ1452"/>
      <c r="WMA1452"/>
      <c r="WMB1452"/>
      <c r="WMC1452"/>
      <c r="WMD1452"/>
      <c r="WME1452"/>
      <c r="WMF1452"/>
      <c r="WMG1452"/>
      <c r="WMH1452"/>
      <c r="WMI1452"/>
      <c r="WMJ1452"/>
      <c r="WMK1452"/>
      <c r="WML1452"/>
      <c r="WMM1452"/>
      <c r="WMN1452"/>
      <c r="WMO1452"/>
      <c r="WMP1452"/>
      <c r="WMQ1452"/>
      <c r="WMR1452"/>
      <c r="WMS1452"/>
      <c r="WMT1452"/>
      <c r="WMU1452"/>
      <c r="WMV1452"/>
      <c r="WMW1452"/>
      <c r="WMX1452"/>
      <c r="WMY1452"/>
      <c r="WMZ1452"/>
      <c r="WNA1452"/>
      <c r="WNB1452"/>
      <c r="WNC1452"/>
      <c r="WND1452"/>
      <c r="WNE1452"/>
      <c r="WNF1452"/>
      <c r="WNG1452"/>
      <c r="WNH1452"/>
      <c r="WNI1452"/>
      <c r="WNJ1452"/>
      <c r="WNK1452"/>
      <c r="WNL1452"/>
      <c r="WNM1452"/>
      <c r="WNN1452"/>
      <c r="WNO1452"/>
      <c r="WNP1452"/>
      <c r="WNQ1452"/>
      <c r="WNR1452"/>
      <c r="WNS1452"/>
      <c r="WNT1452"/>
      <c r="WNU1452"/>
      <c r="WNV1452"/>
      <c r="WNW1452"/>
      <c r="WNX1452"/>
      <c r="WNY1452"/>
      <c r="WNZ1452"/>
      <c r="WOA1452"/>
      <c r="WOB1452"/>
      <c r="WOC1452"/>
      <c r="WOD1452"/>
      <c r="WOE1452"/>
      <c r="WOF1452"/>
      <c r="WOG1452"/>
      <c r="WOH1452"/>
      <c r="WOI1452"/>
      <c r="WOJ1452"/>
      <c r="WOK1452"/>
      <c r="WOL1452"/>
      <c r="WOM1452"/>
      <c r="WON1452"/>
      <c r="WOO1452"/>
      <c r="WOP1452"/>
      <c r="WOQ1452"/>
      <c r="WOR1452"/>
      <c r="WOS1452"/>
      <c r="WOT1452"/>
      <c r="WOU1452"/>
      <c r="WOV1452"/>
      <c r="WOW1452"/>
      <c r="WOX1452"/>
      <c r="WOY1452"/>
      <c r="WOZ1452"/>
      <c r="WPA1452"/>
      <c r="WPB1452"/>
      <c r="WPC1452"/>
      <c r="WPD1452"/>
      <c r="WPE1452"/>
      <c r="WPF1452"/>
      <c r="WPG1452"/>
      <c r="WPH1452"/>
      <c r="WPI1452"/>
      <c r="WPJ1452"/>
      <c r="WPK1452"/>
      <c r="WPL1452"/>
      <c r="WPM1452"/>
      <c r="WPN1452"/>
      <c r="WPO1452"/>
      <c r="WPP1452"/>
      <c r="WPQ1452"/>
      <c r="WPR1452"/>
      <c r="WPS1452"/>
      <c r="WPT1452"/>
      <c r="WPU1452"/>
      <c r="WPV1452"/>
      <c r="WPW1452"/>
      <c r="WPX1452"/>
      <c r="WPY1452"/>
      <c r="WPZ1452"/>
      <c r="WQA1452"/>
      <c r="WQB1452"/>
      <c r="WQC1452"/>
      <c r="WQD1452"/>
      <c r="WQE1452"/>
      <c r="WQF1452"/>
      <c r="WQG1452"/>
      <c r="WQH1452"/>
      <c r="WQI1452"/>
      <c r="WQJ1452"/>
      <c r="WQK1452"/>
      <c r="WQL1452"/>
      <c r="WQM1452"/>
      <c r="WQN1452"/>
      <c r="WQO1452"/>
      <c r="WQP1452"/>
      <c r="WQQ1452"/>
      <c r="WQR1452"/>
      <c r="WQS1452"/>
      <c r="WQT1452"/>
      <c r="WQU1452"/>
      <c r="WQV1452"/>
      <c r="WQW1452"/>
      <c r="WQX1452"/>
      <c r="WQY1452"/>
      <c r="WQZ1452"/>
      <c r="WRA1452"/>
      <c r="WRB1452"/>
      <c r="WRC1452"/>
      <c r="WRD1452"/>
      <c r="WRE1452"/>
      <c r="WRF1452"/>
      <c r="WRG1452"/>
      <c r="WRH1452"/>
      <c r="WRI1452"/>
      <c r="WRJ1452"/>
      <c r="WRK1452"/>
      <c r="WRL1452"/>
      <c r="WRM1452"/>
      <c r="WRN1452"/>
      <c r="WRO1452"/>
      <c r="WRP1452"/>
      <c r="WRQ1452"/>
      <c r="WRR1452"/>
      <c r="WRS1452"/>
      <c r="WRT1452"/>
      <c r="WRU1452"/>
      <c r="WRV1452"/>
      <c r="WRW1452"/>
      <c r="WRX1452"/>
      <c r="WRY1452"/>
      <c r="WRZ1452"/>
      <c r="WSA1452"/>
      <c r="WSB1452"/>
      <c r="WSC1452"/>
      <c r="WSD1452"/>
      <c r="WSE1452"/>
      <c r="WSF1452"/>
      <c r="WSG1452"/>
      <c r="WSH1452"/>
      <c r="WSI1452"/>
      <c r="WSJ1452"/>
      <c r="WSK1452"/>
      <c r="WSL1452"/>
      <c r="WSM1452"/>
      <c r="WSN1452"/>
      <c r="WSO1452"/>
      <c r="WSP1452"/>
      <c r="WSQ1452"/>
      <c r="WSR1452"/>
      <c r="WSS1452"/>
      <c r="WST1452"/>
      <c r="WSU1452"/>
      <c r="WSV1452"/>
      <c r="WSW1452"/>
      <c r="WSX1452"/>
      <c r="WSY1452"/>
      <c r="WSZ1452"/>
      <c r="WTA1452"/>
      <c r="WTB1452"/>
      <c r="WTC1452"/>
      <c r="WTD1452"/>
      <c r="WTE1452"/>
      <c r="WTF1452"/>
      <c r="WTG1452"/>
      <c r="WTH1452"/>
      <c r="WTI1452"/>
      <c r="WTJ1452"/>
      <c r="WTK1452"/>
      <c r="WTL1452"/>
      <c r="WTM1452"/>
      <c r="WTN1452"/>
      <c r="WTO1452"/>
      <c r="WTP1452"/>
      <c r="WTQ1452"/>
      <c r="WTR1452"/>
      <c r="WTS1452"/>
      <c r="WTT1452"/>
      <c r="WTU1452"/>
      <c r="WTV1452"/>
      <c r="WTW1452"/>
      <c r="WTX1452"/>
      <c r="WTY1452"/>
      <c r="WTZ1452"/>
      <c r="WUA1452"/>
      <c r="WUB1452"/>
      <c r="WUC1452"/>
      <c r="WUD1452"/>
      <c r="WUE1452"/>
      <c r="WUF1452"/>
      <c r="WUG1452"/>
      <c r="WUH1452"/>
      <c r="WUI1452"/>
      <c r="WUJ1452"/>
      <c r="WUK1452"/>
      <c r="WUL1452"/>
      <c r="WUM1452"/>
      <c r="WUN1452"/>
      <c r="WUO1452"/>
      <c r="WUP1452"/>
      <c r="WUQ1452"/>
      <c r="WUR1452"/>
      <c r="WUS1452"/>
      <c r="WUT1452"/>
      <c r="WUU1452"/>
      <c r="WUV1452"/>
      <c r="WUW1452"/>
      <c r="WUX1452"/>
      <c r="WUY1452"/>
      <c r="WUZ1452"/>
      <c r="WVA1452"/>
      <c r="WVB1452"/>
      <c r="WVC1452"/>
      <c r="WVD1452"/>
      <c r="WVE1452"/>
      <c r="WVF1452"/>
      <c r="WVG1452"/>
      <c r="WVH1452"/>
      <c r="WVI1452"/>
      <c r="WVJ1452"/>
      <c r="WVK1452"/>
      <c r="WVL1452"/>
      <c r="WVM1452"/>
      <c r="WVN1452"/>
      <c r="WVO1452"/>
      <c r="WVP1452"/>
      <c r="WVQ1452"/>
      <c r="WVR1452"/>
      <c r="WVS1452"/>
      <c r="WVT1452"/>
      <c r="WVU1452"/>
      <c r="WVV1452"/>
      <c r="WVW1452"/>
      <c r="WVX1452"/>
      <c r="WVY1452"/>
      <c r="WVZ1452"/>
      <c r="WWA1452"/>
      <c r="WWB1452"/>
      <c r="WWC1452"/>
      <c r="WWD1452"/>
      <c r="WWE1452"/>
      <c r="WWF1452"/>
      <c r="WWG1452"/>
      <c r="WWH1452"/>
      <c r="WWI1452"/>
      <c r="WWJ1452"/>
      <c r="WWK1452"/>
      <c r="WWL1452"/>
      <c r="WWM1452"/>
      <c r="WWN1452"/>
      <c r="WWO1452"/>
      <c r="WWP1452"/>
      <c r="WWQ1452"/>
      <c r="WWR1452"/>
      <c r="WWS1452"/>
      <c r="WWT1452"/>
      <c r="WWU1452"/>
      <c r="WWV1452"/>
      <c r="WWW1452"/>
      <c r="WWX1452"/>
      <c r="WWY1452"/>
      <c r="WWZ1452"/>
      <c r="WXA1452"/>
      <c r="WXB1452"/>
      <c r="WXC1452"/>
      <c r="WXD1452"/>
      <c r="WXE1452"/>
      <c r="WXF1452"/>
      <c r="WXG1452"/>
      <c r="WXH1452"/>
      <c r="WXI1452"/>
      <c r="WXJ1452"/>
      <c r="WXK1452"/>
      <c r="WXL1452"/>
      <c r="WXM1452"/>
      <c r="WXN1452"/>
      <c r="WXO1452"/>
      <c r="WXP1452"/>
      <c r="WXQ1452"/>
      <c r="WXR1452"/>
      <c r="WXS1452"/>
      <c r="WXT1452"/>
      <c r="WXU1452"/>
      <c r="WXV1452"/>
      <c r="WXW1452"/>
      <c r="WXX1452"/>
      <c r="WXY1452"/>
      <c r="WXZ1452"/>
      <c r="WYA1452"/>
      <c r="WYB1452"/>
      <c r="WYC1452"/>
      <c r="WYD1452"/>
      <c r="WYE1452"/>
      <c r="WYF1452"/>
      <c r="WYG1452"/>
      <c r="WYH1452"/>
      <c r="WYI1452"/>
      <c r="WYJ1452"/>
      <c r="WYK1452"/>
      <c r="WYL1452"/>
      <c r="WYM1452"/>
      <c r="WYN1452"/>
      <c r="WYO1452"/>
      <c r="WYP1452"/>
      <c r="WYQ1452"/>
      <c r="WYR1452"/>
      <c r="WYS1452"/>
      <c r="WYT1452"/>
      <c r="WYU1452"/>
      <c r="WYV1452"/>
      <c r="WYW1452"/>
      <c r="WYX1452"/>
      <c r="WYY1452"/>
      <c r="WYZ1452"/>
      <c r="WZA1452"/>
      <c r="WZB1452"/>
      <c r="WZC1452"/>
      <c r="WZD1452"/>
      <c r="WZE1452"/>
      <c r="WZF1452"/>
      <c r="WZG1452"/>
      <c r="WZH1452"/>
      <c r="WZI1452"/>
      <c r="WZJ1452"/>
      <c r="WZK1452"/>
      <c r="WZL1452"/>
      <c r="WZM1452"/>
      <c r="WZN1452"/>
      <c r="WZO1452"/>
      <c r="WZP1452"/>
      <c r="WZQ1452"/>
      <c r="WZR1452"/>
      <c r="WZS1452"/>
      <c r="WZT1452"/>
      <c r="WZU1452"/>
      <c r="WZV1452"/>
      <c r="WZW1452"/>
      <c r="WZX1452"/>
      <c r="WZY1452"/>
      <c r="WZZ1452"/>
      <c r="XAA1452"/>
      <c r="XAB1452"/>
      <c r="XAC1452"/>
      <c r="XAD1452"/>
      <c r="XAE1452"/>
      <c r="XAF1452"/>
      <c r="XAG1452"/>
      <c r="XAH1452"/>
      <c r="XAI1452"/>
      <c r="XAJ1452"/>
      <c r="XAK1452"/>
      <c r="XAL1452"/>
      <c r="XAM1452"/>
      <c r="XAN1452"/>
      <c r="XAO1452"/>
      <c r="XAP1452"/>
      <c r="XAQ1452"/>
      <c r="XAR1452"/>
      <c r="XAS1452"/>
      <c r="XAT1452"/>
      <c r="XAU1452"/>
      <c r="XAV1452"/>
      <c r="XAW1452"/>
      <c r="XAX1452"/>
      <c r="XAY1452"/>
      <c r="XAZ1452"/>
      <c r="XBA1452"/>
      <c r="XBB1452"/>
      <c r="XBC1452"/>
      <c r="XBD1452"/>
      <c r="XBE1452"/>
      <c r="XBF1452"/>
      <c r="XBG1452"/>
      <c r="XBH1452"/>
      <c r="XBI1452"/>
      <c r="XBJ1452"/>
      <c r="XBK1452"/>
      <c r="XBL1452"/>
      <c r="XBM1452"/>
      <c r="XBN1452"/>
      <c r="XBO1452"/>
      <c r="XBP1452"/>
      <c r="XBQ1452"/>
      <c r="XBR1452"/>
      <c r="XBS1452"/>
      <c r="XBT1452"/>
      <c r="XBU1452"/>
      <c r="XBV1452"/>
      <c r="XBW1452"/>
      <c r="XBX1452"/>
      <c r="XBY1452"/>
      <c r="XBZ1452"/>
      <c r="XCA1452"/>
      <c r="XCB1452"/>
      <c r="XCC1452"/>
      <c r="XCD1452"/>
      <c r="XCE1452"/>
      <c r="XCF1452"/>
      <c r="XCG1452"/>
      <c r="XCH1452"/>
      <c r="XCI1452"/>
      <c r="XCJ1452"/>
      <c r="XCK1452"/>
      <c r="XCL1452"/>
      <c r="XCM1452"/>
      <c r="XCN1452"/>
      <c r="XCO1452"/>
      <c r="XCP1452"/>
      <c r="XCQ1452"/>
      <c r="XCR1452"/>
      <c r="XCS1452"/>
      <c r="XCT1452"/>
      <c r="XCU1452"/>
      <c r="XCV1452"/>
      <c r="XCW1452"/>
      <c r="XCX1452"/>
      <c r="XCY1452"/>
      <c r="XCZ1452"/>
      <c r="XDA1452"/>
      <c r="XDB1452"/>
      <c r="XDC1452"/>
      <c r="XDD1452"/>
      <c r="XDE1452"/>
      <c r="XDF1452"/>
      <c r="XDG1452"/>
      <c r="XDH1452"/>
      <c r="XDI1452"/>
      <c r="XDJ1452"/>
      <c r="XDK1452"/>
      <c r="XDL1452"/>
      <c r="XDM1452"/>
      <c r="XDN1452"/>
      <c r="XDO1452"/>
      <c r="XDP1452"/>
      <c r="XDQ1452"/>
      <c r="XDR1452"/>
      <c r="XDS1452"/>
      <c r="XDT1452"/>
      <c r="XDU1452"/>
      <c r="XDV1452"/>
      <c r="XDW1452"/>
      <c r="XDX1452"/>
      <c r="XDY1452"/>
      <c r="XDZ1452"/>
      <c r="XEA1452"/>
      <c r="XEB1452"/>
      <c r="XEC1452"/>
      <c r="XED1452"/>
      <c r="XEE1452"/>
      <c r="XEF1452"/>
      <c r="XEG1452"/>
      <c r="XEH1452"/>
      <c r="XEI1452"/>
      <c r="XEJ1452"/>
      <c r="XEK1452"/>
      <c r="XEL1452"/>
      <c r="XEM1452"/>
      <c r="XEN1452"/>
      <c r="XEO1452"/>
      <c r="XEP1452"/>
      <c r="XEQ1452"/>
      <c r="XER1452"/>
      <c r="XES1452"/>
      <c r="XET1452"/>
      <c r="XEU1452"/>
      <c r="XEV1452"/>
      <c r="XEW1452"/>
      <c r="XEX1452"/>
      <c r="XEY1452"/>
      <c r="XEZ1452"/>
    </row>
    <row r="1453" spans="1:16380" s="103" customFormat="1" ht="15.95" customHeight="1" thickBot="1" x14ac:dyDescent="0.3">
      <c r="A1453" s="166" t="s">
        <v>1719</v>
      </c>
      <c r="B1453" s="166"/>
      <c r="C1453" s="166"/>
      <c r="D1453" s="166" t="s">
        <v>1720</v>
      </c>
      <c r="E1453" s="166" t="s">
        <v>1739</v>
      </c>
      <c r="F1453" s="166">
        <v>2020</v>
      </c>
      <c r="G1453" s="166" t="s">
        <v>1721</v>
      </c>
      <c r="H1453" s="166" t="s">
        <v>1390</v>
      </c>
      <c r="I1453" s="166" t="s">
        <v>1740</v>
      </c>
      <c r="J1453" s="11" t="s">
        <v>1741</v>
      </c>
      <c r="K1453" s="166" t="s">
        <v>184</v>
      </c>
      <c r="L1453" s="166" t="s">
        <v>151</v>
      </c>
      <c r="M1453" s="166" t="s">
        <v>183</v>
      </c>
      <c r="N1453" s="19" t="s">
        <v>66</v>
      </c>
      <c r="O1453" s="166" t="s">
        <v>187</v>
      </c>
      <c r="P1453" s="166" t="s">
        <v>1390</v>
      </c>
      <c r="Q1453" s="166"/>
      <c r="R1453" s="166" t="s">
        <v>163</v>
      </c>
      <c r="S1453" s="166"/>
      <c r="T1453" s="166" t="s">
        <v>44</v>
      </c>
      <c r="U1453" s="166" t="s">
        <v>44</v>
      </c>
      <c r="V1453" s="166">
        <v>1</v>
      </c>
      <c r="W1453" s="166" t="s">
        <v>45</v>
      </c>
      <c r="X1453" s="166" t="s">
        <v>61</v>
      </c>
      <c r="Y1453" s="166"/>
      <c r="Z1453" s="166"/>
      <c r="AA1453" s="166"/>
      <c r="AB1453" s="166">
        <v>52</v>
      </c>
      <c r="AC1453" s="166" t="s">
        <v>214</v>
      </c>
      <c r="AD1453" s="166"/>
      <c r="AE1453" s="170">
        <v>4.3</v>
      </c>
      <c r="AF1453" s="166"/>
      <c r="AG1453" s="166"/>
      <c r="AH1453" s="166"/>
      <c r="AI1453" s="166"/>
      <c r="AJ1453" s="167">
        <v>6.8</v>
      </c>
      <c r="AK1453" s="170">
        <v>6.8</v>
      </c>
      <c r="AL1453" s="170">
        <v>17</v>
      </c>
      <c r="AM1453" s="166"/>
      <c r="AN1453" s="170">
        <v>4</v>
      </c>
      <c r="AO1453" s="166"/>
      <c r="AP1453" s="170">
        <v>1.7</v>
      </c>
      <c r="AQ1453" s="170" t="s">
        <v>1759</v>
      </c>
      <c r="AR1453" s="170" t="s">
        <v>1766</v>
      </c>
      <c r="AS1453" s="166"/>
      <c r="AT1453" s="65" t="str">
        <f t="shared" ref="AT1453" si="526">IF(F1453&lt;1980,"N",IF(AC1453="M","Y",IF(AC1453="SM","Y","N")))</f>
        <v>Y</v>
      </c>
      <c r="AU1453" s="65" t="str">
        <f t="shared" ref="AU1453" si="527">IF(AT1453="N","N",IF(AJ1453&lt;6,"N",IF(AJ1453&gt;8.5,"N","Y")))</f>
        <v>Y</v>
      </c>
      <c r="AV1453" s="65" t="s">
        <v>162</v>
      </c>
      <c r="AW1453" s="99" t="s">
        <v>1742</v>
      </c>
      <c r="AX1453" s="99"/>
      <c r="AY1453" s="20"/>
      <c r="AZ1453" s="96" t="str">
        <f t="shared" ref="AZ1453" si="528">IF(AV1453="N","n",T1453)</f>
        <v>n</v>
      </c>
      <c r="BA1453" s="96" t="str">
        <f>IF(AZ1453="n","n",VLOOKUP(AZ1453,'Conversion factors'!$C$4:$D$24,2,FALSE))</f>
        <v>n</v>
      </c>
      <c r="BB1453" s="96" t="str">
        <f t="shared" ref="BB1453" si="529">IF(BA1453="n","n",AB1453/BA1453)</f>
        <v>n</v>
      </c>
      <c r="BC1453" s="97"/>
      <c r="BD1453" s="96" t="str">
        <f t="shared" ref="BD1453" si="530">IF(AV1453="N","n",X1453)</f>
        <v>n</v>
      </c>
      <c r="BE1453" s="96" t="str">
        <f t="shared" ref="BE1453" si="531">IF(BD1453="chronic","y","n")</f>
        <v>n</v>
      </c>
      <c r="BF1453" s="98" t="str">
        <f t="shared" ref="BF1453" si="532">IF(BE1453="n","",AZ1453)</f>
        <v/>
      </c>
      <c r="BG1453" s="96" t="str">
        <f>IF(BF1453="","",IF(ISNUMBER(VLOOKUP(BF1453,'Conversion factors'!$B$35:$C$52,2,FALSE)),"y","n"))</f>
        <v/>
      </c>
      <c r="BH1453" s="131"/>
      <c r="BI1453" s="126" t="str">
        <f>AW1453</f>
        <v>acute only</v>
      </c>
      <c r="BJ1453" s="126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  <c r="DB1453"/>
      <c r="DC1453"/>
      <c r="DD1453"/>
      <c r="DE1453"/>
      <c r="DF1453"/>
      <c r="DG1453"/>
      <c r="DH1453"/>
      <c r="DI1453"/>
      <c r="DJ1453"/>
      <c r="DK1453"/>
      <c r="DL1453"/>
      <c r="DM1453"/>
      <c r="DN1453"/>
      <c r="DO1453"/>
      <c r="DP1453"/>
      <c r="DQ1453"/>
      <c r="DR1453"/>
      <c r="DS1453"/>
      <c r="DT1453"/>
      <c r="DU1453"/>
      <c r="DV1453"/>
      <c r="DW1453"/>
      <c r="DX1453"/>
      <c r="DY1453"/>
      <c r="DZ1453"/>
      <c r="EA1453"/>
      <c r="EB1453"/>
      <c r="EC1453"/>
      <c r="ED1453"/>
      <c r="EE1453"/>
      <c r="EF1453"/>
      <c r="EG1453"/>
      <c r="EH1453"/>
      <c r="EI1453"/>
      <c r="EJ1453"/>
      <c r="EK1453"/>
      <c r="EL1453"/>
      <c r="EM1453"/>
      <c r="EN1453"/>
      <c r="EO1453"/>
      <c r="EP1453"/>
      <c r="EQ1453"/>
      <c r="ER1453"/>
      <c r="ES1453"/>
      <c r="ET1453"/>
      <c r="EU1453"/>
      <c r="EV1453"/>
      <c r="EW1453"/>
      <c r="EX1453"/>
      <c r="EY1453"/>
      <c r="EZ1453"/>
      <c r="FA1453"/>
      <c r="FB1453"/>
      <c r="FC1453"/>
      <c r="FD1453"/>
      <c r="FE1453"/>
      <c r="FF1453"/>
      <c r="FG1453"/>
      <c r="FH1453"/>
      <c r="FI1453"/>
      <c r="FJ1453"/>
      <c r="FK1453"/>
      <c r="FL1453"/>
      <c r="FM1453"/>
      <c r="FN1453"/>
      <c r="FO1453"/>
      <c r="FP1453"/>
      <c r="FQ1453"/>
      <c r="FR1453"/>
      <c r="FS1453"/>
      <c r="FT1453"/>
      <c r="FU1453"/>
      <c r="FV1453"/>
      <c r="FW1453"/>
      <c r="FX1453"/>
      <c r="FY1453"/>
      <c r="FZ1453"/>
      <c r="GA1453"/>
      <c r="GB1453"/>
      <c r="GC1453"/>
      <c r="GD1453"/>
      <c r="GE1453"/>
      <c r="GF1453"/>
      <c r="GG1453"/>
      <c r="GH1453"/>
      <c r="GI1453"/>
      <c r="GJ1453"/>
      <c r="GK1453"/>
      <c r="GL1453"/>
      <c r="GM1453"/>
      <c r="GN1453"/>
      <c r="GO1453"/>
      <c r="GP1453"/>
      <c r="GQ1453"/>
      <c r="GR1453"/>
      <c r="GS1453"/>
      <c r="GT1453"/>
      <c r="GU1453"/>
      <c r="GV1453"/>
      <c r="GW1453"/>
      <c r="GX1453"/>
      <c r="GY1453"/>
      <c r="GZ1453"/>
      <c r="HA1453"/>
      <c r="HB1453"/>
      <c r="HC1453"/>
      <c r="HD1453"/>
      <c r="HE1453"/>
      <c r="HF1453"/>
      <c r="HG1453"/>
      <c r="HH1453"/>
      <c r="HI1453"/>
      <c r="HJ1453"/>
      <c r="HK1453"/>
      <c r="HL1453"/>
      <c r="HM1453"/>
      <c r="HN1453"/>
      <c r="HO1453"/>
      <c r="HP1453"/>
      <c r="HQ1453"/>
      <c r="HR1453"/>
      <c r="HS1453"/>
      <c r="HT1453"/>
      <c r="HU1453"/>
      <c r="HV1453"/>
      <c r="HW1453"/>
      <c r="HX1453"/>
      <c r="HY1453"/>
      <c r="HZ1453"/>
      <c r="IA1453"/>
      <c r="IB1453"/>
      <c r="IC1453"/>
      <c r="ID1453"/>
      <c r="IE1453"/>
      <c r="IF1453"/>
      <c r="IG1453"/>
      <c r="IH1453"/>
      <c r="II1453"/>
      <c r="IJ1453"/>
      <c r="IK1453"/>
      <c r="IL1453"/>
      <c r="IM1453"/>
      <c r="IN1453"/>
      <c r="IO1453"/>
      <c r="IP1453"/>
      <c r="IQ1453"/>
      <c r="IR1453"/>
      <c r="IS1453"/>
      <c r="IT1453"/>
      <c r="IU1453"/>
      <c r="IV1453"/>
      <c r="IW1453"/>
      <c r="IX1453"/>
      <c r="IY1453"/>
      <c r="IZ1453"/>
      <c r="JA1453"/>
      <c r="JB1453"/>
      <c r="JC1453"/>
      <c r="JD1453"/>
      <c r="JE1453"/>
      <c r="JF1453"/>
      <c r="JG1453"/>
      <c r="JH1453"/>
      <c r="JI1453"/>
      <c r="JJ1453"/>
      <c r="JK1453"/>
      <c r="JL1453"/>
      <c r="JM1453"/>
      <c r="JN1453"/>
      <c r="JO1453"/>
      <c r="JP1453"/>
      <c r="JQ1453"/>
      <c r="JR1453"/>
      <c r="JS1453"/>
      <c r="JT1453"/>
      <c r="JU1453"/>
      <c r="JV1453"/>
      <c r="JW1453"/>
      <c r="JX1453"/>
      <c r="JY1453"/>
      <c r="JZ1453"/>
      <c r="KA1453"/>
      <c r="KB1453"/>
      <c r="KC1453"/>
      <c r="KD1453"/>
      <c r="KE1453"/>
      <c r="KF1453"/>
      <c r="KG1453"/>
      <c r="KH1453"/>
      <c r="KI1453"/>
      <c r="KJ1453"/>
      <c r="KK1453"/>
      <c r="KL1453"/>
      <c r="KM1453"/>
      <c r="KN1453"/>
      <c r="KO1453"/>
      <c r="KP1453"/>
      <c r="KQ1453"/>
      <c r="KR1453"/>
      <c r="KS1453"/>
      <c r="KT1453"/>
      <c r="KU1453"/>
      <c r="KV1453"/>
      <c r="KW1453"/>
      <c r="KX1453"/>
      <c r="KY1453"/>
      <c r="KZ1453"/>
      <c r="LA1453"/>
      <c r="LB1453"/>
      <c r="LC1453"/>
      <c r="LD1453"/>
      <c r="LE1453"/>
      <c r="LF1453"/>
      <c r="LG1453"/>
      <c r="LH1453"/>
      <c r="LI1453"/>
      <c r="LJ1453"/>
      <c r="LK1453"/>
      <c r="LL1453"/>
      <c r="LM1453"/>
      <c r="LN1453"/>
      <c r="LO1453"/>
      <c r="LP1453"/>
      <c r="LQ1453"/>
      <c r="LR1453"/>
      <c r="LS1453"/>
      <c r="LT1453"/>
      <c r="LU1453"/>
      <c r="LV1453"/>
      <c r="LW1453"/>
      <c r="LX1453"/>
      <c r="LY1453"/>
      <c r="LZ1453"/>
      <c r="MA1453"/>
      <c r="MB1453"/>
      <c r="MC1453"/>
      <c r="MD1453"/>
      <c r="ME1453"/>
      <c r="MF1453"/>
      <c r="MG1453"/>
      <c r="MH1453"/>
      <c r="MI1453"/>
      <c r="MJ1453"/>
      <c r="MK1453"/>
      <c r="ML1453"/>
      <c r="MM1453"/>
      <c r="MN1453"/>
      <c r="MO1453"/>
      <c r="MP1453"/>
      <c r="MQ1453"/>
      <c r="MR1453"/>
      <c r="MS1453"/>
      <c r="MT1453"/>
      <c r="MU1453"/>
      <c r="MV1453"/>
      <c r="MW1453"/>
      <c r="MX1453"/>
      <c r="MY1453"/>
      <c r="MZ1453"/>
      <c r="NA1453"/>
      <c r="NB1453"/>
      <c r="NC1453"/>
      <c r="ND1453"/>
      <c r="NE1453"/>
      <c r="NF1453"/>
      <c r="NG1453"/>
      <c r="NH1453"/>
      <c r="NI1453"/>
      <c r="NJ1453"/>
      <c r="NK1453"/>
      <c r="NL1453"/>
      <c r="NM1453"/>
      <c r="NN1453"/>
      <c r="NO1453"/>
      <c r="NP1453"/>
      <c r="NQ1453"/>
      <c r="NR1453"/>
      <c r="NS1453"/>
      <c r="NT1453"/>
      <c r="NU1453"/>
      <c r="NV1453"/>
      <c r="NW1453"/>
      <c r="NX1453"/>
      <c r="NY1453"/>
      <c r="NZ1453"/>
      <c r="OA1453"/>
      <c r="OB1453"/>
      <c r="OC1453"/>
      <c r="OD1453"/>
      <c r="OE1453"/>
      <c r="OF1453"/>
      <c r="OG1453"/>
      <c r="OH1453"/>
      <c r="OI1453"/>
      <c r="OJ1453"/>
      <c r="OK1453"/>
      <c r="OL1453"/>
      <c r="OM1453"/>
      <c r="ON1453"/>
      <c r="OO1453"/>
      <c r="OP1453"/>
      <c r="OQ1453"/>
      <c r="OR1453"/>
      <c r="OS1453"/>
      <c r="OT1453"/>
      <c r="OU1453"/>
      <c r="OV1453"/>
      <c r="OW1453"/>
      <c r="OX1453"/>
      <c r="OY1453"/>
      <c r="OZ1453"/>
      <c r="PA1453"/>
      <c r="PB1453"/>
      <c r="PC1453"/>
      <c r="PD1453"/>
      <c r="PE1453"/>
      <c r="PF1453"/>
      <c r="PG1453"/>
      <c r="PH1453"/>
      <c r="PI1453"/>
      <c r="PJ1453"/>
      <c r="PK1453"/>
      <c r="PL1453"/>
      <c r="PM1453"/>
      <c r="PN1453"/>
      <c r="PO1453"/>
      <c r="PP1453"/>
      <c r="PQ1453"/>
      <c r="PR1453"/>
      <c r="PS1453"/>
      <c r="PT1453"/>
      <c r="PU1453"/>
      <c r="PV1453"/>
      <c r="PW1453"/>
      <c r="PX1453"/>
      <c r="PY1453"/>
      <c r="PZ1453"/>
      <c r="QA1453"/>
      <c r="QB1453"/>
      <c r="QC1453"/>
      <c r="QD1453"/>
      <c r="QE1453"/>
      <c r="QF1453"/>
      <c r="QG1453"/>
      <c r="QH1453"/>
      <c r="QI1453"/>
      <c r="QJ1453"/>
      <c r="QK1453"/>
      <c r="QL1453"/>
      <c r="QM1453"/>
      <c r="QN1453"/>
      <c r="QO1453"/>
      <c r="QP1453"/>
      <c r="QQ1453"/>
      <c r="QR1453"/>
      <c r="QS1453"/>
      <c r="QT1453"/>
      <c r="QU1453"/>
      <c r="QV1453"/>
      <c r="QW1453"/>
      <c r="QX1453"/>
      <c r="QY1453"/>
      <c r="QZ1453"/>
      <c r="RA1453"/>
      <c r="RB1453"/>
      <c r="RC1453"/>
      <c r="RD1453"/>
      <c r="RE1453"/>
      <c r="RF1453"/>
      <c r="RG1453"/>
      <c r="RH1453"/>
      <c r="RI1453"/>
      <c r="RJ1453"/>
      <c r="RK1453"/>
      <c r="RL1453"/>
      <c r="RM1453"/>
      <c r="RN1453"/>
      <c r="RO1453"/>
      <c r="RP1453"/>
      <c r="RQ1453"/>
      <c r="RR1453"/>
      <c r="RS1453"/>
      <c r="RT1453"/>
      <c r="RU1453"/>
      <c r="RV1453"/>
      <c r="RW1453"/>
      <c r="RX1453"/>
      <c r="RY1453"/>
      <c r="RZ1453"/>
      <c r="SA1453"/>
      <c r="SB1453"/>
      <c r="SC1453"/>
      <c r="SD1453"/>
      <c r="SE1453"/>
      <c r="SF1453"/>
      <c r="SG1453"/>
      <c r="SH1453"/>
      <c r="SI1453"/>
      <c r="SJ1453"/>
      <c r="SK1453"/>
      <c r="SL1453"/>
      <c r="SM1453"/>
      <c r="SN1453"/>
      <c r="SO1453"/>
      <c r="SP1453"/>
      <c r="SQ1453"/>
      <c r="SR1453"/>
      <c r="SS1453"/>
      <c r="ST1453"/>
      <c r="SU1453"/>
      <c r="SV1453"/>
      <c r="SW1453"/>
      <c r="SX1453"/>
      <c r="SY1453"/>
      <c r="SZ1453"/>
      <c r="TA1453"/>
      <c r="TB1453"/>
      <c r="TC1453"/>
      <c r="TD1453"/>
      <c r="TE1453"/>
      <c r="TF1453"/>
      <c r="TG1453"/>
      <c r="TH1453"/>
      <c r="TI1453"/>
      <c r="TJ1453"/>
      <c r="TK1453"/>
      <c r="TL1453"/>
      <c r="TM1453"/>
      <c r="TN1453"/>
      <c r="TO1453"/>
      <c r="TP1453"/>
      <c r="TQ1453"/>
      <c r="TR1453"/>
      <c r="TS1453"/>
      <c r="TT1453"/>
      <c r="TU1453"/>
      <c r="TV1453"/>
      <c r="TW1453"/>
      <c r="TX1453"/>
      <c r="TY1453"/>
      <c r="TZ1453"/>
      <c r="UA1453"/>
      <c r="UB1453"/>
      <c r="UC1453"/>
      <c r="UD1453"/>
      <c r="UE1453"/>
      <c r="UF1453"/>
      <c r="UG1453"/>
      <c r="UH1453"/>
      <c r="UI1453"/>
      <c r="UJ1453"/>
      <c r="UK1453"/>
      <c r="UL1453"/>
      <c r="UM1453"/>
      <c r="UN1453"/>
      <c r="UO1453"/>
      <c r="UP1453"/>
      <c r="UQ1453"/>
      <c r="UR1453"/>
      <c r="US1453"/>
      <c r="UT1453"/>
      <c r="UU1453"/>
      <c r="UV1453"/>
      <c r="UW1453"/>
      <c r="UX1453"/>
      <c r="UY1453"/>
      <c r="UZ1453"/>
      <c r="VA1453"/>
      <c r="VB1453"/>
      <c r="VC1453"/>
      <c r="VD1453"/>
      <c r="VE1453"/>
      <c r="VF1453"/>
      <c r="VG1453"/>
      <c r="VH1453"/>
      <c r="VI1453"/>
      <c r="VJ1453"/>
      <c r="VK1453"/>
      <c r="VL1453"/>
      <c r="VM1453"/>
      <c r="VN1453"/>
      <c r="VO1453"/>
      <c r="VP1453"/>
      <c r="VQ1453"/>
      <c r="VR1453"/>
      <c r="VS1453"/>
      <c r="VT1453"/>
      <c r="VU1453"/>
      <c r="VV1453"/>
      <c r="VW1453"/>
      <c r="VX1453"/>
      <c r="VY1453"/>
      <c r="VZ1453"/>
      <c r="WA1453"/>
      <c r="WB1453"/>
      <c r="WC1453"/>
      <c r="WD1453"/>
      <c r="WE1453"/>
      <c r="WF1453"/>
      <c r="WG1453"/>
      <c r="WH1453"/>
      <c r="WI1453"/>
      <c r="WJ1453"/>
      <c r="WK1453"/>
      <c r="WL1453"/>
      <c r="WM1453"/>
      <c r="WN1453"/>
      <c r="WO1453"/>
      <c r="WP1453"/>
      <c r="WQ1453"/>
      <c r="WR1453"/>
      <c r="WS1453"/>
      <c r="WT1453"/>
      <c r="WU1453"/>
      <c r="WV1453"/>
      <c r="WW1453"/>
      <c r="WX1453"/>
      <c r="WY1453"/>
      <c r="WZ1453"/>
      <c r="XA1453"/>
      <c r="XB1453"/>
      <c r="XC1453"/>
      <c r="XD1453"/>
      <c r="XE1453"/>
      <c r="XF1453"/>
      <c r="XG1453"/>
      <c r="XH1453"/>
      <c r="XI1453"/>
      <c r="XJ1453"/>
      <c r="XK1453"/>
      <c r="XL1453"/>
      <c r="XM1453"/>
      <c r="XN1453"/>
      <c r="XO1453"/>
      <c r="XP1453"/>
      <c r="XQ1453"/>
      <c r="XR1453"/>
      <c r="XS1453"/>
      <c r="XT1453"/>
      <c r="XU1453"/>
      <c r="XV1453"/>
      <c r="XW1453"/>
      <c r="XX1453"/>
      <c r="XY1453"/>
      <c r="XZ1453"/>
      <c r="YA1453"/>
      <c r="YB1453"/>
      <c r="YC1453"/>
      <c r="YD1453"/>
      <c r="YE1453"/>
      <c r="YF1453"/>
      <c r="YG1453"/>
      <c r="YH1453"/>
      <c r="YI1453"/>
      <c r="YJ1453"/>
      <c r="YK1453"/>
      <c r="YL1453"/>
      <c r="YM1453"/>
      <c r="YN1453"/>
      <c r="YO1453"/>
      <c r="YP1453"/>
      <c r="YQ1453"/>
      <c r="YR1453"/>
      <c r="YS1453"/>
      <c r="YT1453"/>
      <c r="YU1453"/>
      <c r="YV1453"/>
      <c r="YW1453"/>
      <c r="YX1453"/>
      <c r="YY1453"/>
      <c r="YZ1453"/>
      <c r="ZA1453"/>
      <c r="ZB1453"/>
      <c r="ZC1453"/>
      <c r="ZD1453"/>
      <c r="ZE1453"/>
      <c r="ZF1453"/>
      <c r="ZG1453"/>
      <c r="ZH1453"/>
      <c r="ZI1453"/>
      <c r="ZJ1453"/>
      <c r="ZK1453"/>
      <c r="ZL1453"/>
      <c r="ZM1453"/>
      <c r="ZN1453"/>
      <c r="ZO1453"/>
      <c r="ZP1453"/>
      <c r="ZQ1453"/>
      <c r="ZR1453"/>
      <c r="ZS1453"/>
      <c r="ZT1453"/>
      <c r="ZU1453"/>
      <c r="ZV1453"/>
      <c r="ZW1453"/>
      <c r="ZX1453"/>
      <c r="ZY1453"/>
      <c r="ZZ1453"/>
      <c r="AAA1453"/>
      <c r="AAB1453"/>
      <c r="AAC1453"/>
      <c r="AAD1453"/>
      <c r="AAE1453"/>
      <c r="AAF1453"/>
      <c r="AAG1453"/>
      <c r="AAH1453"/>
      <c r="AAI1453"/>
      <c r="AAJ1453"/>
      <c r="AAK1453"/>
      <c r="AAL1453"/>
      <c r="AAM1453"/>
      <c r="AAN1453"/>
      <c r="AAO1453"/>
      <c r="AAP1453"/>
      <c r="AAQ1453"/>
      <c r="AAR1453"/>
      <c r="AAS1453"/>
      <c r="AAT1453"/>
      <c r="AAU1453"/>
      <c r="AAV1453"/>
      <c r="AAW1453"/>
      <c r="AAX1453"/>
      <c r="AAY1453"/>
      <c r="AAZ1453"/>
      <c r="ABA1453"/>
      <c r="ABB1453"/>
      <c r="ABC1453"/>
      <c r="ABD1453"/>
      <c r="ABE1453"/>
      <c r="ABF1453"/>
      <c r="ABG1453"/>
      <c r="ABH1453"/>
      <c r="ABI1453"/>
      <c r="ABJ1453"/>
      <c r="ABK1453"/>
      <c r="ABL1453"/>
      <c r="ABM1453"/>
      <c r="ABN1453"/>
      <c r="ABO1453"/>
      <c r="ABP1453"/>
      <c r="ABQ1453"/>
      <c r="ABR1453"/>
      <c r="ABS1453"/>
      <c r="ABT1453"/>
      <c r="ABU1453"/>
      <c r="ABV1453"/>
      <c r="ABW1453"/>
      <c r="ABX1453"/>
      <c r="ABY1453"/>
      <c r="ABZ1453"/>
      <c r="ACA1453"/>
      <c r="ACB1453"/>
      <c r="ACC1453"/>
      <c r="ACD1453"/>
      <c r="ACE1453"/>
      <c r="ACF1453"/>
      <c r="ACG1453"/>
      <c r="ACH1453"/>
      <c r="ACI1453"/>
      <c r="ACJ1453"/>
      <c r="ACK1453"/>
      <c r="ACL1453"/>
      <c r="ACM1453"/>
      <c r="ACN1453"/>
      <c r="ACO1453"/>
      <c r="ACP1453"/>
      <c r="ACQ1453"/>
      <c r="ACR1453"/>
      <c r="ACS1453"/>
      <c r="ACT1453"/>
      <c r="ACU1453"/>
      <c r="ACV1453"/>
      <c r="ACW1453"/>
      <c r="ACX1453"/>
      <c r="ACY1453"/>
      <c r="ACZ1453"/>
      <c r="ADA1453"/>
      <c r="ADB1453"/>
      <c r="ADC1453"/>
      <c r="ADD1453"/>
      <c r="ADE1453"/>
      <c r="ADF1453"/>
      <c r="ADG1453"/>
      <c r="ADH1453"/>
      <c r="ADI1453"/>
      <c r="ADJ1453"/>
      <c r="ADK1453"/>
      <c r="ADL1453"/>
      <c r="ADM1453"/>
      <c r="ADN1453"/>
      <c r="ADO1453"/>
      <c r="ADP1453"/>
      <c r="ADQ1453"/>
      <c r="ADR1453"/>
      <c r="ADS1453"/>
      <c r="ADT1453"/>
      <c r="ADU1453"/>
      <c r="ADV1453"/>
      <c r="ADW1453"/>
      <c r="ADX1453"/>
      <c r="ADY1453"/>
      <c r="ADZ1453"/>
      <c r="AEA1453"/>
      <c r="AEB1453"/>
      <c r="AEC1453"/>
      <c r="AED1453"/>
      <c r="AEE1453"/>
      <c r="AEF1453"/>
      <c r="AEG1453"/>
      <c r="AEH1453"/>
      <c r="AEI1453"/>
      <c r="AEJ1453"/>
      <c r="AEK1453"/>
      <c r="AEL1453"/>
      <c r="AEM1453"/>
      <c r="AEN1453"/>
      <c r="AEO1453"/>
      <c r="AEP1453"/>
      <c r="AEQ1453"/>
      <c r="AER1453"/>
      <c r="AES1453"/>
      <c r="AET1453"/>
      <c r="AEU1453"/>
      <c r="AEV1453"/>
      <c r="AEW1453"/>
      <c r="AEX1453"/>
      <c r="AEY1453"/>
      <c r="AEZ1453"/>
      <c r="AFA1453"/>
      <c r="AFB1453"/>
      <c r="AFC1453"/>
      <c r="AFD1453"/>
      <c r="AFE1453"/>
      <c r="AFF1453"/>
      <c r="AFG1453"/>
      <c r="AFH1453"/>
      <c r="AFI1453"/>
      <c r="AFJ1453"/>
      <c r="AFK1453"/>
      <c r="AFL1453"/>
      <c r="AFM1453"/>
      <c r="AFN1453"/>
      <c r="AFO1453"/>
      <c r="AFP1453"/>
      <c r="AFQ1453"/>
      <c r="AFR1453"/>
      <c r="AFS1453"/>
      <c r="AFT1453"/>
      <c r="AFU1453"/>
      <c r="AFV1453"/>
      <c r="AFW1453"/>
      <c r="AFX1453"/>
      <c r="AFY1453"/>
      <c r="AFZ1453"/>
      <c r="AGA1453"/>
      <c r="AGB1453"/>
      <c r="AGC1453"/>
      <c r="AGD1453"/>
      <c r="AGE1453"/>
      <c r="AGF1453"/>
      <c r="AGG1453"/>
      <c r="AGH1453"/>
      <c r="AGI1453"/>
      <c r="AGJ1453"/>
      <c r="AGK1453"/>
      <c r="AGL1453"/>
      <c r="AGM1453"/>
      <c r="AGN1453"/>
      <c r="AGO1453"/>
      <c r="AGP1453"/>
      <c r="AGQ1453"/>
      <c r="AGR1453"/>
      <c r="AGS1453"/>
      <c r="AGT1453"/>
      <c r="AGU1453"/>
      <c r="AGV1453"/>
      <c r="AGW1453"/>
      <c r="AGX1453"/>
      <c r="AGY1453"/>
      <c r="AGZ1453"/>
      <c r="AHA1453"/>
      <c r="AHB1453"/>
      <c r="AHC1453"/>
      <c r="AHD1453"/>
      <c r="AHE1453"/>
      <c r="AHF1453"/>
      <c r="AHG1453"/>
      <c r="AHH1453"/>
      <c r="AHI1453"/>
      <c r="AHJ1453"/>
      <c r="AHK1453"/>
      <c r="AHL1453"/>
      <c r="AHM1453"/>
      <c r="AHN1453"/>
      <c r="AHO1453"/>
      <c r="AHP1453"/>
      <c r="AHQ1453"/>
      <c r="AHR1453"/>
      <c r="AHS1453"/>
      <c r="AHT1453"/>
      <c r="AHU1453"/>
      <c r="AHV1453"/>
      <c r="AHW1453"/>
      <c r="AHX1453"/>
      <c r="AHY1453"/>
      <c r="AHZ1453"/>
      <c r="AIA1453"/>
      <c r="AIB1453"/>
      <c r="AIC1453"/>
      <c r="AID1453"/>
      <c r="AIE1453"/>
      <c r="AIF1453"/>
      <c r="AIG1453"/>
      <c r="AIH1453"/>
      <c r="AII1453"/>
      <c r="AIJ1453"/>
      <c r="AIK1453"/>
      <c r="AIL1453"/>
      <c r="AIM1453"/>
      <c r="AIN1453"/>
      <c r="AIO1453"/>
      <c r="AIP1453"/>
      <c r="AIQ1453"/>
      <c r="AIR1453"/>
      <c r="AIS1453"/>
      <c r="AIT1453"/>
      <c r="AIU1453"/>
      <c r="AIV1453"/>
      <c r="AIW1453"/>
      <c r="AIX1453"/>
      <c r="AIY1453"/>
      <c r="AIZ1453"/>
      <c r="AJA1453"/>
      <c r="AJB1453"/>
      <c r="AJC1453"/>
      <c r="AJD1453"/>
      <c r="AJE1453"/>
      <c r="AJF1453"/>
      <c r="AJG1453"/>
      <c r="AJH1453"/>
      <c r="AJI1453"/>
      <c r="AJJ1453"/>
      <c r="AJK1453"/>
      <c r="AJL1453"/>
      <c r="AJM1453"/>
      <c r="AJN1453"/>
      <c r="AJO1453"/>
      <c r="AJP1453"/>
      <c r="AJQ1453"/>
      <c r="AJR1453"/>
      <c r="AJS1453"/>
      <c r="AJT1453"/>
      <c r="AJU1453"/>
      <c r="AJV1453"/>
      <c r="AJW1453"/>
      <c r="AJX1453"/>
      <c r="AJY1453"/>
      <c r="AJZ1453"/>
      <c r="AKA1453"/>
      <c r="AKB1453"/>
      <c r="AKC1453"/>
      <c r="AKD1453"/>
      <c r="AKE1453"/>
      <c r="AKF1453"/>
      <c r="AKG1453"/>
      <c r="AKH1453"/>
      <c r="AKI1453"/>
      <c r="AKJ1453"/>
      <c r="AKK1453"/>
      <c r="AKL1453"/>
      <c r="AKM1453"/>
      <c r="AKN1453"/>
      <c r="AKO1453"/>
      <c r="AKP1453"/>
      <c r="AKQ1453"/>
      <c r="AKR1453"/>
      <c r="AKS1453"/>
      <c r="AKT1453"/>
      <c r="AKU1453"/>
      <c r="AKV1453"/>
      <c r="AKW1453"/>
      <c r="AKX1453"/>
      <c r="AKY1453"/>
      <c r="AKZ1453"/>
      <c r="ALA1453"/>
      <c r="ALB1453"/>
      <c r="ALC1453"/>
      <c r="ALD1453"/>
      <c r="ALE1453"/>
      <c r="ALF1453"/>
      <c r="ALG1453"/>
      <c r="ALH1453"/>
      <c r="ALI1453"/>
      <c r="ALJ1453"/>
      <c r="ALK1453"/>
      <c r="ALL1453"/>
      <c r="ALM1453"/>
      <c r="ALN1453"/>
      <c r="ALO1453"/>
      <c r="ALP1453"/>
      <c r="ALQ1453"/>
      <c r="ALR1453"/>
      <c r="ALS1453"/>
      <c r="ALT1453"/>
      <c r="ALU1453"/>
      <c r="ALV1453"/>
      <c r="ALW1453"/>
      <c r="ALX1453"/>
      <c r="ALY1453"/>
      <c r="ALZ1453"/>
      <c r="AMA1453"/>
      <c r="AMB1453"/>
      <c r="AMC1453"/>
      <c r="AMD1453"/>
      <c r="AME1453"/>
      <c r="AMF1453"/>
      <c r="AMG1453"/>
      <c r="AMH1453"/>
      <c r="AMI1453"/>
      <c r="AMJ1453"/>
      <c r="AMK1453"/>
      <c r="AML1453"/>
      <c r="AMM1453"/>
      <c r="AMN1453"/>
      <c r="AMO1453"/>
      <c r="AMP1453"/>
      <c r="AMQ1453"/>
      <c r="AMR1453"/>
      <c r="AMS1453"/>
      <c r="AMT1453"/>
      <c r="AMU1453"/>
      <c r="AMV1453"/>
      <c r="AMW1453"/>
      <c r="AMX1453"/>
      <c r="AMY1453"/>
      <c r="AMZ1453"/>
      <c r="ANA1453"/>
      <c r="ANB1453"/>
      <c r="ANC1453"/>
      <c r="AND1453"/>
      <c r="ANE1453"/>
      <c r="ANF1453"/>
      <c r="ANG1453"/>
      <c r="ANH1453"/>
      <c r="ANI1453"/>
      <c r="ANJ1453"/>
      <c r="ANK1453"/>
      <c r="ANL1453"/>
      <c r="ANM1453"/>
      <c r="ANN1453"/>
      <c r="ANO1453"/>
      <c r="ANP1453"/>
      <c r="ANQ1453"/>
      <c r="ANR1453"/>
      <c r="ANS1453"/>
      <c r="ANT1453"/>
      <c r="ANU1453"/>
      <c r="ANV1453"/>
      <c r="ANW1453"/>
      <c r="ANX1453"/>
      <c r="ANY1453"/>
      <c r="ANZ1453"/>
      <c r="AOA1453"/>
      <c r="AOB1453"/>
      <c r="AOC1453"/>
      <c r="AOD1453"/>
      <c r="AOE1453"/>
      <c r="AOF1453"/>
      <c r="AOG1453"/>
      <c r="AOH1453"/>
      <c r="AOI1453"/>
      <c r="AOJ1453"/>
      <c r="AOK1453"/>
      <c r="AOL1453"/>
      <c r="AOM1453"/>
      <c r="AON1453"/>
      <c r="AOO1453"/>
      <c r="AOP1453"/>
      <c r="AOQ1453"/>
      <c r="AOR1453"/>
      <c r="AOS1453"/>
      <c r="AOT1453"/>
      <c r="AOU1453"/>
      <c r="AOV1453"/>
      <c r="AOW1453"/>
      <c r="AOX1453"/>
      <c r="AOY1453"/>
      <c r="AOZ1453"/>
      <c r="APA1453"/>
      <c r="APB1453"/>
      <c r="APC1453"/>
      <c r="APD1453"/>
      <c r="APE1453"/>
      <c r="APF1453"/>
      <c r="APG1453"/>
      <c r="APH1453"/>
      <c r="API1453"/>
      <c r="APJ1453"/>
      <c r="APK1453"/>
      <c r="APL1453"/>
      <c r="APM1453"/>
      <c r="APN1453"/>
      <c r="APO1453"/>
      <c r="APP1453"/>
      <c r="APQ1453"/>
      <c r="APR1453"/>
      <c r="APS1453"/>
      <c r="APT1453"/>
      <c r="APU1453"/>
      <c r="APV1453"/>
      <c r="APW1453"/>
      <c r="APX1453"/>
      <c r="APY1453"/>
      <c r="APZ1453"/>
      <c r="AQA1453"/>
      <c r="AQB1453"/>
      <c r="AQC1453"/>
      <c r="AQD1453"/>
      <c r="AQE1453"/>
      <c r="AQF1453"/>
      <c r="AQG1453"/>
      <c r="AQH1453"/>
      <c r="AQI1453"/>
      <c r="AQJ1453"/>
      <c r="AQK1453"/>
      <c r="AQL1453"/>
      <c r="AQM1453"/>
      <c r="AQN1453"/>
      <c r="AQO1453"/>
      <c r="AQP1453"/>
      <c r="AQQ1453"/>
      <c r="AQR1453"/>
      <c r="AQS1453"/>
      <c r="AQT1453"/>
      <c r="AQU1453"/>
      <c r="AQV1453"/>
      <c r="AQW1453"/>
      <c r="AQX1453"/>
      <c r="AQY1453"/>
      <c r="AQZ1453"/>
      <c r="ARA1453"/>
      <c r="ARB1453"/>
      <c r="ARC1453"/>
      <c r="ARD1453"/>
      <c r="ARE1453"/>
      <c r="ARF1453"/>
      <c r="ARG1453"/>
      <c r="ARH1453"/>
      <c r="ARI1453"/>
      <c r="ARJ1453"/>
      <c r="ARK1453"/>
      <c r="ARL1453"/>
      <c r="ARM1453"/>
      <c r="ARN1453"/>
      <c r="ARO1453"/>
      <c r="ARP1453"/>
      <c r="ARQ1453"/>
      <c r="ARR1453"/>
      <c r="ARS1453"/>
      <c r="ART1453"/>
      <c r="ARU1453"/>
      <c r="ARV1453"/>
      <c r="ARW1453"/>
      <c r="ARX1453"/>
      <c r="ARY1453"/>
      <c r="ARZ1453"/>
      <c r="ASA1453"/>
      <c r="ASB1453"/>
      <c r="ASC1453"/>
      <c r="ASD1453"/>
      <c r="ASE1453"/>
      <c r="ASF1453"/>
      <c r="ASG1453"/>
      <c r="ASH1453"/>
      <c r="ASI1453"/>
      <c r="ASJ1453"/>
      <c r="ASK1453"/>
      <c r="ASL1453"/>
      <c r="ASM1453"/>
      <c r="ASN1453"/>
      <c r="ASO1453"/>
      <c r="ASP1453"/>
      <c r="ASQ1453"/>
      <c r="ASR1453"/>
      <c r="ASS1453"/>
      <c r="AST1453"/>
      <c r="ASU1453"/>
      <c r="ASV1453"/>
      <c r="ASW1453"/>
      <c r="ASX1453"/>
      <c r="ASY1453"/>
      <c r="ASZ1453"/>
      <c r="ATA1453"/>
      <c r="ATB1453"/>
      <c r="ATC1453"/>
      <c r="ATD1453"/>
      <c r="ATE1453"/>
      <c r="ATF1453"/>
      <c r="ATG1453"/>
      <c r="ATH1453"/>
      <c r="ATI1453"/>
      <c r="ATJ1453"/>
      <c r="ATK1453"/>
      <c r="ATL1453"/>
      <c r="ATM1453"/>
      <c r="ATN1453"/>
      <c r="ATO1453"/>
      <c r="ATP1453"/>
      <c r="ATQ1453"/>
      <c r="ATR1453"/>
      <c r="ATS1453"/>
      <c r="ATT1453"/>
      <c r="ATU1453"/>
      <c r="ATV1453"/>
      <c r="ATW1453"/>
      <c r="ATX1453"/>
      <c r="ATY1453"/>
      <c r="ATZ1453"/>
      <c r="AUA1453"/>
      <c r="AUB1453"/>
      <c r="AUC1453"/>
      <c r="AUD1453"/>
      <c r="AUE1453"/>
      <c r="AUF1453"/>
      <c r="AUG1453"/>
      <c r="AUH1453"/>
      <c r="AUI1453"/>
      <c r="AUJ1453"/>
      <c r="AUK1453"/>
      <c r="AUL1453"/>
      <c r="AUM1453"/>
      <c r="AUN1453"/>
      <c r="AUO1453"/>
      <c r="AUP1453"/>
      <c r="AUQ1453"/>
      <c r="AUR1453"/>
      <c r="AUS1453"/>
      <c r="AUT1453"/>
      <c r="AUU1453"/>
      <c r="AUV1453"/>
      <c r="AUW1453"/>
      <c r="AUX1453"/>
      <c r="AUY1453"/>
      <c r="AUZ1453"/>
      <c r="AVA1453"/>
      <c r="AVB1453"/>
      <c r="AVC1453"/>
      <c r="AVD1453"/>
      <c r="AVE1453"/>
      <c r="AVF1453"/>
      <c r="AVG1453"/>
      <c r="AVH1453"/>
      <c r="AVI1453"/>
      <c r="AVJ1453"/>
      <c r="AVK1453"/>
      <c r="AVL1453"/>
      <c r="AVM1453"/>
      <c r="AVN1453"/>
      <c r="AVO1453"/>
      <c r="AVP1453"/>
      <c r="AVQ1453"/>
      <c r="AVR1453"/>
      <c r="AVS1453"/>
      <c r="AVT1453"/>
      <c r="AVU1453"/>
      <c r="AVV1453"/>
      <c r="AVW1453"/>
      <c r="AVX1453"/>
      <c r="AVY1453"/>
      <c r="AVZ1453"/>
      <c r="AWA1453"/>
      <c r="AWB1453"/>
      <c r="AWC1453"/>
      <c r="AWD1453"/>
      <c r="AWE1453"/>
      <c r="AWF1453"/>
      <c r="AWG1453"/>
      <c r="AWH1453"/>
      <c r="AWI1453"/>
      <c r="AWJ1453"/>
      <c r="AWK1453"/>
      <c r="AWL1453"/>
      <c r="AWM1453"/>
      <c r="AWN1453"/>
      <c r="AWO1453"/>
      <c r="AWP1453"/>
      <c r="AWQ1453"/>
      <c r="AWR1453"/>
      <c r="AWS1453"/>
      <c r="AWT1453"/>
      <c r="AWU1453"/>
      <c r="AWV1453"/>
      <c r="AWW1453"/>
      <c r="AWX1453"/>
      <c r="AWY1453"/>
      <c r="AWZ1453"/>
      <c r="AXA1453"/>
      <c r="AXB1453"/>
      <c r="AXC1453"/>
      <c r="AXD1453"/>
      <c r="AXE1453"/>
      <c r="AXF1453"/>
      <c r="AXG1453"/>
      <c r="AXH1453"/>
      <c r="AXI1453"/>
      <c r="AXJ1453"/>
      <c r="AXK1453"/>
      <c r="AXL1453"/>
      <c r="AXM1453"/>
      <c r="AXN1453"/>
      <c r="AXO1453"/>
      <c r="AXP1453"/>
      <c r="AXQ1453"/>
      <c r="AXR1453"/>
      <c r="AXS1453"/>
      <c r="AXT1453"/>
      <c r="AXU1453"/>
      <c r="AXV1453"/>
      <c r="AXW1453"/>
      <c r="AXX1453"/>
      <c r="AXY1453"/>
      <c r="AXZ1453"/>
      <c r="AYA1453"/>
      <c r="AYB1453"/>
      <c r="AYC1453"/>
      <c r="AYD1453"/>
      <c r="AYE1453"/>
      <c r="AYF1453"/>
      <c r="AYG1453"/>
      <c r="AYH1453"/>
      <c r="AYI1453"/>
      <c r="AYJ1453"/>
      <c r="AYK1453"/>
      <c r="AYL1453"/>
      <c r="AYM1453"/>
      <c r="AYN1453"/>
      <c r="AYO1453"/>
      <c r="AYP1453"/>
      <c r="AYQ1453"/>
      <c r="AYR1453"/>
      <c r="AYS1453"/>
      <c r="AYT1453"/>
      <c r="AYU1453"/>
      <c r="AYV1453"/>
      <c r="AYW1453"/>
      <c r="AYX1453"/>
      <c r="AYY1453"/>
      <c r="AYZ1453"/>
      <c r="AZA1453"/>
      <c r="AZB1453"/>
      <c r="AZC1453"/>
      <c r="AZD1453"/>
      <c r="AZE1453"/>
      <c r="AZF1453"/>
      <c r="AZG1453"/>
      <c r="AZH1453"/>
      <c r="AZI1453"/>
      <c r="AZJ1453"/>
      <c r="AZK1453"/>
      <c r="AZL1453"/>
      <c r="AZM1453"/>
      <c r="AZN1453"/>
      <c r="AZO1453"/>
      <c r="AZP1453"/>
      <c r="AZQ1453"/>
      <c r="AZR1453"/>
      <c r="AZS1453"/>
      <c r="AZT1453"/>
      <c r="AZU1453"/>
      <c r="AZV1453"/>
      <c r="AZW1453"/>
      <c r="AZX1453"/>
      <c r="AZY1453"/>
      <c r="AZZ1453"/>
      <c r="BAA1453"/>
      <c r="BAB1453"/>
      <c r="BAC1453"/>
      <c r="BAD1453"/>
      <c r="BAE1453"/>
      <c r="BAF1453"/>
      <c r="BAG1453"/>
      <c r="BAH1453"/>
      <c r="BAI1453"/>
      <c r="BAJ1453"/>
      <c r="BAK1453"/>
      <c r="BAL1453"/>
      <c r="BAM1453"/>
      <c r="BAN1453"/>
      <c r="BAO1453"/>
      <c r="BAP1453"/>
      <c r="BAQ1453"/>
      <c r="BAR1453"/>
      <c r="BAS1453"/>
      <c r="BAT1453"/>
      <c r="BAU1453"/>
      <c r="BAV1453"/>
      <c r="BAW1453"/>
      <c r="BAX1453"/>
      <c r="BAY1453"/>
      <c r="BAZ1453"/>
      <c r="BBA1453"/>
      <c r="BBB1453"/>
      <c r="BBC1453"/>
      <c r="BBD1453"/>
      <c r="BBE1453"/>
      <c r="BBF1453"/>
      <c r="BBG1453"/>
      <c r="BBH1453"/>
      <c r="BBI1453"/>
      <c r="BBJ1453"/>
      <c r="BBK1453"/>
      <c r="BBL1453"/>
      <c r="BBM1453"/>
      <c r="BBN1453"/>
      <c r="BBO1453"/>
      <c r="BBP1453"/>
      <c r="BBQ1453"/>
      <c r="BBR1453"/>
      <c r="BBS1453"/>
      <c r="BBT1453"/>
      <c r="BBU1453"/>
      <c r="BBV1453"/>
      <c r="BBW1453"/>
      <c r="BBX1453"/>
      <c r="BBY1453"/>
      <c r="BBZ1453"/>
      <c r="BCA1453"/>
      <c r="BCB1453"/>
      <c r="BCC1453"/>
      <c r="BCD1453"/>
      <c r="BCE1453"/>
      <c r="BCF1453"/>
      <c r="BCG1453"/>
      <c r="BCH1453"/>
      <c r="BCI1453"/>
      <c r="BCJ1453"/>
      <c r="BCK1453"/>
      <c r="BCL1453"/>
      <c r="BCM1453"/>
      <c r="BCN1453"/>
      <c r="BCO1453"/>
      <c r="BCP1453"/>
      <c r="BCQ1453"/>
      <c r="BCR1453"/>
      <c r="BCS1453"/>
      <c r="BCT1453"/>
      <c r="BCU1453"/>
      <c r="BCV1453"/>
      <c r="BCW1453"/>
      <c r="BCX1453"/>
      <c r="BCY1453"/>
      <c r="BCZ1453"/>
      <c r="BDA1453"/>
      <c r="BDB1453"/>
      <c r="BDC1453"/>
      <c r="BDD1453"/>
      <c r="BDE1453"/>
      <c r="BDF1453"/>
      <c r="BDG1453"/>
      <c r="BDH1453"/>
      <c r="BDI1453"/>
      <c r="BDJ1453"/>
      <c r="BDK1453"/>
      <c r="BDL1453"/>
      <c r="BDM1453"/>
      <c r="BDN1453"/>
      <c r="BDO1453"/>
      <c r="BDP1453"/>
      <c r="BDQ1453"/>
      <c r="BDR1453"/>
      <c r="BDS1453"/>
      <c r="BDT1453"/>
      <c r="BDU1453"/>
      <c r="BDV1453"/>
      <c r="BDW1453"/>
      <c r="BDX1453"/>
      <c r="BDY1453"/>
      <c r="BDZ1453"/>
      <c r="BEA1453"/>
      <c r="BEB1453"/>
      <c r="BEC1453"/>
      <c r="BED1453"/>
      <c r="BEE1453"/>
      <c r="BEF1453"/>
      <c r="BEG1453"/>
      <c r="BEH1453"/>
      <c r="BEI1453"/>
      <c r="BEJ1453"/>
      <c r="BEK1453"/>
      <c r="BEL1453"/>
      <c r="BEM1453"/>
      <c r="BEN1453"/>
      <c r="BEO1453"/>
      <c r="BEP1453"/>
      <c r="BEQ1453"/>
      <c r="BER1453"/>
      <c r="BES1453"/>
      <c r="BET1453"/>
      <c r="BEU1453"/>
      <c r="BEV1453"/>
      <c r="BEW1453"/>
      <c r="BEX1453"/>
      <c r="BEY1453"/>
      <c r="BEZ1453"/>
      <c r="BFA1453"/>
      <c r="BFB1453"/>
      <c r="BFC1453"/>
      <c r="BFD1453"/>
      <c r="BFE1453"/>
      <c r="BFF1453"/>
      <c r="BFG1453"/>
      <c r="BFH1453"/>
      <c r="BFI1453"/>
      <c r="BFJ1453"/>
      <c r="BFK1453"/>
      <c r="BFL1453"/>
      <c r="BFM1453"/>
      <c r="BFN1453"/>
      <c r="BFO1453"/>
      <c r="BFP1453"/>
      <c r="BFQ1453"/>
      <c r="BFR1453"/>
      <c r="BFS1453"/>
      <c r="BFT1453"/>
      <c r="BFU1453"/>
      <c r="BFV1453"/>
      <c r="BFW1453"/>
      <c r="BFX1453"/>
      <c r="BFY1453"/>
      <c r="BFZ1453"/>
      <c r="BGA1453"/>
      <c r="BGB1453"/>
      <c r="BGC1453"/>
      <c r="BGD1453"/>
      <c r="BGE1453"/>
      <c r="BGF1453"/>
      <c r="BGG1453"/>
      <c r="BGH1453"/>
      <c r="BGI1453"/>
      <c r="BGJ1453"/>
      <c r="BGK1453"/>
      <c r="BGL1453"/>
      <c r="BGM1453"/>
      <c r="BGN1453"/>
      <c r="BGO1453"/>
      <c r="BGP1453"/>
      <c r="BGQ1453"/>
      <c r="BGR1453"/>
      <c r="BGS1453"/>
      <c r="BGT1453"/>
      <c r="BGU1453"/>
      <c r="BGV1453"/>
      <c r="BGW1453"/>
      <c r="BGX1453"/>
      <c r="BGY1453"/>
      <c r="BGZ1453"/>
      <c r="BHA1453"/>
      <c r="BHB1453"/>
      <c r="BHC1453"/>
      <c r="BHD1453"/>
      <c r="BHE1453"/>
      <c r="BHF1453"/>
      <c r="BHG1453"/>
      <c r="BHH1453"/>
      <c r="BHI1453"/>
      <c r="BHJ1453"/>
      <c r="BHK1453"/>
      <c r="BHL1453"/>
      <c r="BHM1453"/>
      <c r="BHN1453"/>
      <c r="BHO1453"/>
      <c r="BHP1453"/>
      <c r="BHQ1453"/>
      <c r="BHR1453"/>
      <c r="BHS1453"/>
      <c r="BHT1453"/>
      <c r="BHU1453"/>
      <c r="BHV1453"/>
      <c r="BHW1453"/>
      <c r="BHX1453"/>
      <c r="BHY1453"/>
      <c r="BHZ1453"/>
      <c r="BIA1453"/>
      <c r="BIB1453"/>
      <c r="BIC1453"/>
      <c r="BID1453"/>
      <c r="BIE1453"/>
      <c r="BIF1453"/>
      <c r="BIG1453"/>
      <c r="BIH1453"/>
      <c r="BII1453"/>
      <c r="BIJ1453"/>
      <c r="BIK1453"/>
      <c r="BIL1453"/>
      <c r="BIM1453"/>
      <c r="BIN1453"/>
      <c r="BIO1453"/>
      <c r="BIP1453"/>
      <c r="BIQ1453"/>
      <c r="BIR1453"/>
      <c r="BIS1453"/>
      <c r="BIT1453"/>
      <c r="BIU1453"/>
      <c r="BIV1453"/>
      <c r="BIW1453"/>
      <c r="BIX1453"/>
      <c r="BIY1453"/>
      <c r="BIZ1453"/>
      <c r="BJA1453"/>
      <c r="BJB1453"/>
      <c r="BJC1453"/>
      <c r="BJD1453"/>
      <c r="BJE1453"/>
      <c r="BJF1453"/>
      <c r="BJG1453"/>
      <c r="BJH1453"/>
      <c r="BJI1453"/>
      <c r="BJJ1453"/>
      <c r="BJK1453"/>
      <c r="BJL1453"/>
      <c r="BJM1453"/>
      <c r="BJN1453"/>
      <c r="BJO1453"/>
      <c r="BJP1453"/>
      <c r="BJQ1453"/>
      <c r="BJR1453"/>
      <c r="BJS1453"/>
      <c r="BJT1453"/>
      <c r="BJU1453"/>
      <c r="BJV1453"/>
      <c r="BJW1453"/>
      <c r="BJX1453"/>
      <c r="BJY1453"/>
      <c r="BJZ1453"/>
      <c r="BKA1453"/>
      <c r="BKB1453"/>
      <c r="BKC1453"/>
      <c r="BKD1453"/>
      <c r="BKE1453"/>
      <c r="BKF1453"/>
      <c r="BKG1453"/>
      <c r="BKH1453"/>
      <c r="BKI1453"/>
      <c r="BKJ1453"/>
      <c r="BKK1453"/>
      <c r="BKL1453"/>
      <c r="BKM1453"/>
      <c r="BKN1453"/>
      <c r="BKO1453"/>
      <c r="BKP1453"/>
      <c r="BKQ1453"/>
      <c r="BKR1453"/>
      <c r="BKS1453"/>
      <c r="BKT1453"/>
      <c r="BKU1453"/>
      <c r="BKV1453"/>
      <c r="BKW1453"/>
      <c r="BKX1453"/>
      <c r="BKY1453"/>
      <c r="BKZ1453"/>
      <c r="BLA1453"/>
      <c r="BLB1453"/>
      <c r="BLC1453"/>
      <c r="BLD1453"/>
      <c r="BLE1453"/>
      <c r="BLF1453"/>
      <c r="BLG1453"/>
      <c r="BLH1453"/>
      <c r="BLI1453"/>
      <c r="BLJ1453"/>
      <c r="BLK1453"/>
      <c r="BLL1453"/>
      <c r="BLM1453"/>
      <c r="BLN1453"/>
      <c r="BLO1453"/>
      <c r="BLP1453"/>
      <c r="BLQ1453"/>
      <c r="BLR1453"/>
      <c r="BLS1453"/>
      <c r="BLT1453"/>
      <c r="BLU1453"/>
      <c r="BLV1453"/>
      <c r="BLW1453"/>
      <c r="BLX1453"/>
      <c r="BLY1453"/>
      <c r="BLZ1453"/>
      <c r="BMA1453"/>
      <c r="BMB1453"/>
      <c r="BMC1453"/>
      <c r="BMD1453"/>
      <c r="BME1453"/>
      <c r="BMF1453"/>
      <c r="BMG1453"/>
      <c r="BMH1453"/>
      <c r="BMI1453"/>
      <c r="BMJ1453"/>
      <c r="BMK1453"/>
      <c r="BML1453"/>
      <c r="BMM1453"/>
      <c r="BMN1453"/>
      <c r="BMO1453"/>
      <c r="BMP1453"/>
      <c r="BMQ1453"/>
      <c r="BMR1453"/>
      <c r="BMS1453"/>
      <c r="BMT1453"/>
      <c r="BMU1453"/>
      <c r="BMV1453"/>
      <c r="BMW1453"/>
      <c r="BMX1453"/>
      <c r="BMY1453"/>
      <c r="BMZ1453"/>
      <c r="BNA1453"/>
      <c r="BNB1453"/>
      <c r="BNC1453"/>
      <c r="BND1453"/>
      <c r="BNE1453"/>
      <c r="BNF1453"/>
      <c r="BNG1453"/>
      <c r="BNH1453"/>
      <c r="BNI1453"/>
      <c r="BNJ1453"/>
      <c r="BNK1453"/>
      <c r="BNL1453"/>
      <c r="BNM1453"/>
      <c r="BNN1453"/>
      <c r="BNO1453"/>
      <c r="BNP1453"/>
      <c r="BNQ1453"/>
      <c r="BNR1453"/>
      <c r="BNS1453"/>
      <c r="BNT1453"/>
      <c r="BNU1453"/>
      <c r="BNV1453"/>
      <c r="BNW1453"/>
      <c r="BNX1453"/>
      <c r="BNY1453"/>
      <c r="BNZ1453"/>
      <c r="BOA1453"/>
      <c r="BOB1453"/>
      <c r="BOC1453"/>
      <c r="BOD1453"/>
      <c r="BOE1453"/>
      <c r="BOF1453"/>
      <c r="BOG1453"/>
      <c r="BOH1453"/>
      <c r="BOI1453"/>
      <c r="BOJ1453"/>
      <c r="BOK1453"/>
      <c r="BOL1453"/>
      <c r="BOM1453"/>
      <c r="BON1453"/>
      <c r="BOO1453"/>
      <c r="BOP1453"/>
      <c r="BOQ1453"/>
      <c r="BOR1453"/>
      <c r="BOS1453"/>
      <c r="BOT1453"/>
      <c r="BOU1453"/>
      <c r="BOV1453"/>
      <c r="BOW1453"/>
      <c r="BOX1453"/>
      <c r="BOY1453"/>
      <c r="BOZ1453"/>
      <c r="BPA1453"/>
      <c r="BPB1453"/>
      <c r="BPC1453"/>
      <c r="BPD1453"/>
      <c r="BPE1453"/>
      <c r="BPF1453"/>
      <c r="BPG1453"/>
      <c r="BPH1453"/>
      <c r="BPI1453"/>
      <c r="BPJ1453"/>
      <c r="BPK1453"/>
      <c r="BPL1453"/>
      <c r="BPM1453"/>
      <c r="BPN1453"/>
      <c r="BPO1453"/>
      <c r="BPP1453"/>
      <c r="BPQ1453"/>
      <c r="BPR1453"/>
      <c r="BPS1453"/>
      <c r="BPT1453"/>
      <c r="BPU1453"/>
      <c r="BPV1453"/>
      <c r="BPW1453"/>
      <c r="BPX1453"/>
      <c r="BPY1453"/>
      <c r="BPZ1453"/>
      <c r="BQA1453"/>
      <c r="BQB1453"/>
      <c r="BQC1453"/>
      <c r="BQD1453"/>
      <c r="BQE1453"/>
      <c r="BQF1453"/>
      <c r="BQG1453"/>
      <c r="BQH1453"/>
      <c r="BQI1453"/>
      <c r="BQJ1453"/>
      <c r="BQK1453"/>
      <c r="BQL1453"/>
      <c r="BQM1453"/>
      <c r="BQN1453"/>
      <c r="BQO1453"/>
      <c r="BQP1453"/>
      <c r="BQQ1453"/>
      <c r="BQR1453"/>
      <c r="BQS1453"/>
      <c r="BQT1453"/>
      <c r="BQU1453"/>
      <c r="BQV1453"/>
      <c r="BQW1453"/>
      <c r="BQX1453"/>
      <c r="BQY1453"/>
      <c r="BQZ1453"/>
      <c r="BRA1453"/>
      <c r="BRB1453"/>
      <c r="BRC1453"/>
      <c r="BRD1453"/>
      <c r="BRE1453"/>
      <c r="BRF1453"/>
      <c r="BRG1453"/>
      <c r="BRH1453"/>
      <c r="BRI1453"/>
      <c r="BRJ1453"/>
      <c r="BRK1453"/>
      <c r="BRL1453"/>
      <c r="BRM1453"/>
      <c r="BRN1453"/>
      <c r="BRO1453"/>
      <c r="BRP1453"/>
      <c r="BRQ1453"/>
      <c r="BRR1453"/>
      <c r="BRS1453"/>
      <c r="BRT1453"/>
      <c r="BRU1453"/>
      <c r="BRV1453"/>
      <c r="BRW1453"/>
      <c r="BRX1453"/>
      <c r="BRY1453"/>
      <c r="BRZ1453"/>
      <c r="BSA1453"/>
      <c r="BSB1453"/>
      <c r="BSC1453"/>
      <c r="BSD1453"/>
      <c r="BSE1453"/>
      <c r="BSF1453"/>
      <c r="BSG1453"/>
      <c r="BSH1453"/>
      <c r="BSI1453"/>
      <c r="BSJ1453"/>
      <c r="BSK1453"/>
      <c r="BSL1453"/>
      <c r="BSM1453"/>
      <c r="BSN1453"/>
      <c r="BSO1453"/>
      <c r="BSP1453"/>
      <c r="BSQ1453"/>
      <c r="BSR1453"/>
      <c r="BSS1453"/>
      <c r="BST1453"/>
      <c r="BSU1453"/>
      <c r="BSV1453"/>
      <c r="BSW1453"/>
      <c r="BSX1453"/>
      <c r="BSY1453"/>
      <c r="BSZ1453"/>
      <c r="BTA1453"/>
      <c r="BTB1453"/>
      <c r="BTC1453"/>
      <c r="BTD1453"/>
      <c r="BTE1453"/>
      <c r="BTF1453"/>
      <c r="BTG1453"/>
      <c r="BTH1453"/>
      <c r="BTI1453"/>
      <c r="BTJ1453"/>
      <c r="BTK1453"/>
      <c r="BTL1453"/>
      <c r="BTM1453"/>
      <c r="BTN1453"/>
      <c r="BTO1453"/>
      <c r="BTP1453"/>
      <c r="BTQ1453"/>
      <c r="BTR1453"/>
      <c r="BTS1453"/>
      <c r="BTT1453"/>
      <c r="BTU1453"/>
      <c r="BTV1453"/>
      <c r="BTW1453"/>
      <c r="BTX1453"/>
      <c r="BTY1453"/>
      <c r="BTZ1453"/>
      <c r="BUA1453"/>
      <c r="BUB1453"/>
      <c r="BUC1453"/>
      <c r="BUD1453"/>
      <c r="BUE1453"/>
      <c r="BUF1453"/>
      <c r="BUG1453"/>
      <c r="BUH1453"/>
      <c r="BUI1453"/>
      <c r="BUJ1453"/>
      <c r="BUK1453"/>
      <c r="BUL1453"/>
      <c r="BUM1453"/>
      <c r="BUN1453"/>
      <c r="BUO1453"/>
      <c r="BUP1453"/>
      <c r="BUQ1453"/>
      <c r="BUR1453"/>
      <c r="BUS1453"/>
      <c r="BUT1453"/>
      <c r="BUU1453"/>
      <c r="BUV1453"/>
      <c r="BUW1453"/>
      <c r="BUX1453"/>
      <c r="BUY1453"/>
      <c r="BUZ1453"/>
      <c r="BVA1453"/>
      <c r="BVB1453"/>
      <c r="BVC1453"/>
      <c r="BVD1453"/>
      <c r="BVE1453"/>
      <c r="BVF1453"/>
      <c r="BVG1453"/>
      <c r="BVH1453"/>
      <c r="BVI1453"/>
      <c r="BVJ1453"/>
      <c r="BVK1453"/>
      <c r="BVL1453"/>
      <c r="BVM1453"/>
      <c r="BVN1453"/>
      <c r="BVO1453"/>
      <c r="BVP1453"/>
      <c r="BVQ1453"/>
      <c r="BVR1453"/>
      <c r="BVS1453"/>
      <c r="BVT1453"/>
      <c r="BVU1453"/>
      <c r="BVV1453"/>
      <c r="BVW1453"/>
      <c r="BVX1453"/>
      <c r="BVY1453"/>
      <c r="BVZ1453"/>
      <c r="BWA1453"/>
      <c r="BWB1453"/>
      <c r="BWC1453"/>
      <c r="BWD1453"/>
      <c r="BWE1453"/>
      <c r="BWF1453"/>
      <c r="BWG1453"/>
      <c r="BWH1453"/>
      <c r="BWI1453"/>
      <c r="BWJ1453"/>
      <c r="BWK1453"/>
      <c r="BWL1453"/>
      <c r="BWM1453"/>
      <c r="BWN1453"/>
      <c r="BWO1453"/>
      <c r="BWP1453"/>
      <c r="BWQ1453"/>
      <c r="BWR1453"/>
      <c r="BWS1453"/>
      <c r="BWT1453"/>
      <c r="BWU1453"/>
      <c r="BWV1453"/>
      <c r="BWW1453"/>
      <c r="BWX1453"/>
      <c r="BWY1453"/>
      <c r="BWZ1453"/>
      <c r="BXA1453"/>
      <c r="BXB1453"/>
      <c r="BXC1453"/>
      <c r="BXD1453"/>
      <c r="BXE1453"/>
      <c r="BXF1453"/>
      <c r="BXG1453"/>
      <c r="BXH1453"/>
      <c r="BXI1453"/>
      <c r="BXJ1453"/>
      <c r="BXK1453"/>
      <c r="BXL1453"/>
      <c r="BXM1453"/>
      <c r="BXN1453"/>
      <c r="BXO1453"/>
      <c r="BXP1453"/>
      <c r="BXQ1453"/>
      <c r="BXR1453"/>
      <c r="BXS1453"/>
      <c r="BXT1453"/>
      <c r="BXU1453"/>
      <c r="BXV1453"/>
      <c r="BXW1453"/>
      <c r="BXX1453"/>
      <c r="BXY1453"/>
      <c r="BXZ1453"/>
      <c r="BYA1453"/>
      <c r="BYB1453"/>
      <c r="BYC1453"/>
      <c r="BYD1453"/>
      <c r="BYE1453"/>
      <c r="BYF1453"/>
      <c r="BYG1453"/>
      <c r="BYH1453"/>
      <c r="BYI1453"/>
      <c r="BYJ1453"/>
      <c r="BYK1453"/>
      <c r="BYL1453"/>
      <c r="BYM1453"/>
      <c r="BYN1453"/>
      <c r="BYO1453"/>
      <c r="BYP1453"/>
      <c r="BYQ1453"/>
      <c r="BYR1453"/>
      <c r="BYS1453"/>
      <c r="BYT1453"/>
      <c r="BYU1453"/>
      <c r="BYV1453"/>
      <c r="BYW1453"/>
      <c r="BYX1453"/>
      <c r="BYY1453"/>
      <c r="BYZ1453"/>
      <c r="BZA1453"/>
      <c r="BZB1453"/>
      <c r="BZC1453"/>
      <c r="BZD1453"/>
      <c r="BZE1453"/>
      <c r="BZF1453"/>
      <c r="BZG1453"/>
      <c r="BZH1453"/>
      <c r="BZI1453"/>
      <c r="BZJ1453"/>
      <c r="BZK1453"/>
      <c r="BZL1453"/>
      <c r="BZM1453"/>
      <c r="BZN1453"/>
      <c r="BZO1453"/>
      <c r="BZP1453"/>
      <c r="BZQ1453"/>
      <c r="BZR1453"/>
      <c r="BZS1453"/>
      <c r="BZT1453"/>
      <c r="BZU1453"/>
      <c r="BZV1453"/>
      <c r="BZW1453"/>
      <c r="BZX1453"/>
      <c r="BZY1453"/>
      <c r="BZZ1453"/>
      <c r="CAA1453"/>
      <c r="CAB1453"/>
      <c r="CAC1453"/>
      <c r="CAD1453"/>
      <c r="CAE1453"/>
      <c r="CAF1453"/>
      <c r="CAG1453"/>
      <c r="CAH1453"/>
      <c r="CAI1453"/>
      <c r="CAJ1453"/>
      <c r="CAK1453"/>
      <c r="CAL1453"/>
      <c r="CAM1453"/>
      <c r="CAN1453"/>
      <c r="CAO1453"/>
      <c r="CAP1453"/>
      <c r="CAQ1453"/>
      <c r="CAR1453"/>
      <c r="CAS1453"/>
      <c r="CAT1453"/>
      <c r="CAU1453"/>
      <c r="CAV1453"/>
      <c r="CAW1453"/>
      <c r="CAX1453"/>
      <c r="CAY1453"/>
      <c r="CAZ1453"/>
      <c r="CBA1453"/>
      <c r="CBB1453"/>
      <c r="CBC1453"/>
      <c r="CBD1453"/>
      <c r="CBE1453"/>
      <c r="CBF1453"/>
      <c r="CBG1453"/>
      <c r="CBH1453"/>
      <c r="CBI1453"/>
      <c r="CBJ1453"/>
      <c r="CBK1453"/>
      <c r="CBL1453"/>
      <c r="CBM1453"/>
      <c r="CBN1453"/>
      <c r="CBO1453"/>
      <c r="CBP1453"/>
      <c r="CBQ1453"/>
      <c r="CBR1453"/>
      <c r="CBS1453"/>
      <c r="CBT1453"/>
      <c r="CBU1453"/>
      <c r="CBV1453"/>
      <c r="CBW1453"/>
      <c r="CBX1453"/>
      <c r="CBY1453"/>
      <c r="CBZ1453"/>
      <c r="CCA1453"/>
      <c r="CCB1453"/>
      <c r="CCC1453"/>
      <c r="CCD1453"/>
      <c r="CCE1453"/>
      <c r="CCF1453"/>
      <c r="CCG1453"/>
      <c r="CCH1453"/>
      <c r="CCI1453"/>
      <c r="CCJ1453"/>
      <c r="CCK1453"/>
      <c r="CCL1453"/>
      <c r="CCM1453"/>
      <c r="CCN1453"/>
      <c r="CCO1453"/>
      <c r="CCP1453"/>
      <c r="CCQ1453"/>
      <c r="CCR1453"/>
      <c r="CCS1453"/>
      <c r="CCT1453"/>
      <c r="CCU1453"/>
      <c r="CCV1453"/>
      <c r="CCW1453"/>
      <c r="CCX1453"/>
      <c r="CCY1453"/>
      <c r="CCZ1453"/>
      <c r="CDA1453"/>
      <c r="CDB1453"/>
      <c r="CDC1453"/>
      <c r="CDD1453"/>
      <c r="CDE1453"/>
      <c r="CDF1453"/>
      <c r="CDG1453"/>
      <c r="CDH1453"/>
      <c r="CDI1453"/>
      <c r="CDJ1453"/>
      <c r="CDK1453"/>
      <c r="CDL1453"/>
      <c r="CDM1453"/>
      <c r="CDN1453"/>
      <c r="CDO1453"/>
      <c r="CDP1453"/>
      <c r="CDQ1453"/>
      <c r="CDR1453"/>
      <c r="CDS1453"/>
      <c r="CDT1453"/>
      <c r="CDU1453"/>
      <c r="CDV1453"/>
      <c r="CDW1453"/>
      <c r="CDX1453"/>
      <c r="CDY1453"/>
      <c r="CDZ1453"/>
      <c r="CEA1453"/>
      <c r="CEB1453"/>
      <c r="CEC1453"/>
      <c r="CED1453"/>
      <c r="CEE1453"/>
      <c r="CEF1453"/>
      <c r="CEG1453"/>
      <c r="CEH1453"/>
      <c r="CEI1453"/>
      <c r="CEJ1453"/>
      <c r="CEK1453"/>
      <c r="CEL1453"/>
      <c r="CEM1453"/>
      <c r="CEN1453"/>
      <c r="CEO1453"/>
      <c r="CEP1453"/>
      <c r="CEQ1453"/>
      <c r="CER1453"/>
      <c r="CES1453"/>
      <c r="CET1453"/>
      <c r="CEU1453"/>
      <c r="CEV1453"/>
      <c r="CEW1453"/>
      <c r="CEX1453"/>
      <c r="CEY1453"/>
      <c r="CEZ1453"/>
      <c r="CFA1453"/>
      <c r="CFB1453"/>
      <c r="CFC1453"/>
      <c r="CFD1453"/>
      <c r="CFE1453"/>
      <c r="CFF1453"/>
      <c r="CFG1453"/>
      <c r="CFH1453"/>
      <c r="CFI1453"/>
      <c r="CFJ1453"/>
      <c r="CFK1453"/>
      <c r="CFL1453"/>
      <c r="CFM1453"/>
      <c r="CFN1453"/>
      <c r="CFO1453"/>
      <c r="CFP1453"/>
      <c r="CFQ1453"/>
      <c r="CFR1453"/>
      <c r="CFS1453"/>
      <c r="CFT1453"/>
      <c r="CFU1453"/>
      <c r="CFV1453"/>
      <c r="CFW1453"/>
      <c r="CFX1453"/>
      <c r="CFY1453"/>
      <c r="CFZ1453"/>
      <c r="CGA1453"/>
      <c r="CGB1453"/>
      <c r="CGC1453"/>
      <c r="CGD1453"/>
      <c r="CGE1453"/>
      <c r="CGF1453"/>
      <c r="CGG1453"/>
      <c r="CGH1453"/>
      <c r="CGI1453"/>
      <c r="CGJ1453"/>
      <c r="CGK1453"/>
      <c r="CGL1453"/>
      <c r="CGM1453"/>
      <c r="CGN1453"/>
      <c r="CGO1453"/>
      <c r="CGP1453"/>
      <c r="CGQ1453"/>
      <c r="CGR1453"/>
      <c r="CGS1453"/>
      <c r="CGT1453"/>
      <c r="CGU1453"/>
      <c r="CGV1453"/>
      <c r="CGW1453"/>
      <c r="CGX1453"/>
      <c r="CGY1453"/>
      <c r="CGZ1453"/>
      <c r="CHA1453"/>
      <c r="CHB1453"/>
      <c r="CHC1453"/>
      <c r="CHD1453"/>
      <c r="CHE1453"/>
      <c r="CHF1453"/>
      <c r="CHG1453"/>
      <c r="CHH1453"/>
      <c r="CHI1453"/>
      <c r="CHJ1453"/>
      <c r="CHK1453"/>
      <c r="CHL1453"/>
      <c r="CHM1453"/>
      <c r="CHN1453"/>
      <c r="CHO1453"/>
      <c r="CHP1453"/>
      <c r="CHQ1453"/>
      <c r="CHR1453"/>
      <c r="CHS1453"/>
      <c r="CHT1453"/>
      <c r="CHU1453"/>
      <c r="CHV1453"/>
      <c r="CHW1453"/>
      <c r="CHX1453"/>
      <c r="CHY1453"/>
      <c r="CHZ1453"/>
      <c r="CIA1453"/>
      <c r="CIB1453"/>
      <c r="CIC1453"/>
      <c r="CID1453"/>
      <c r="CIE1453"/>
      <c r="CIF1453"/>
      <c r="CIG1453"/>
      <c r="CIH1453"/>
      <c r="CII1453"/>
      <c r="CIJ1453"/>
      <c r="CIK1453"/>
      <c r="CIL1453"/>
      <c r="CIM1453"/>
      <c r="CIN1453"/>
      <c r="CIO1453"/>
      <c r="CIP1453"/>
      <c r="CIQ1453"/>
      <c r="CIR1453"/>
      <c r="CIS1453"/>
      <c r="CIT1453"/>
      <c r="CIU1453"/>
      <c r="CIV1453"/>
      <c r="CIW1453"/>
      <c r="CIX1453"/>
      <c r="CIY1453"/>
      <c r="CIZ1453"/>
      <c r="CJA1453"/>
      <c r="CJB1453"/>
      <c r="CJC1453"/>
      <c r="CJD1453"/>
      <c r="CJE1453"/>
      <c r="CJF1453"/>
      <c r="CJG1453"/>
      <c r="CJH1453"/>
      <c r="CJI1453"/>
      <c r="CJJ1453"/>
      <c r="CJK1453"/>
      <c r="CJL1453"/>
      <c r="CJM1453"/>
      <c r="CJN1453"/>
      <c r="CJO1453"/>
      <c r="CJP1453"/>
      <c r="CJQ1453"/>
      <c r="CJR1453"/>
      <c r="CJS1453"/>
      <c r="CJT1453"/>
      <c r="CJU1453"/>
      <c r="CJV1453"/>
      <c r="CJW1453"/>
      <c r="CJX1453"/>
      <c r="CJY1453"/>
      <c r="CJZ1453"/>
      <c r="CKA1453"/>
      <c r="CKB1453"/>
      <c r="CKC1453"/>
      <c r="CKD1453"/>
      <c r="CKE1453"/>
      <c r="CKF1453"/>
      <c r="CKG1453"/>
      <c r="CKH1453"/>
      <c r="CKI1453"/>
      <c r="CKJ1453"/>
      <c r="CKK1453"/>
      <c r="CKL1453"/>
      <c r="CKM1453"/>
      <c r="CKN1453"/>
      <c r="CKO1453"/>
      <c r="CKP1453"/>
      <c r="CKQ1453"/>
      <c r="CKR1453"/>
      <c r="CKS1453"/>
      <c r="CKT1453"/>
      <c r="CKU1453"/>
      <c r="CKV1453"/>
      <c r="CKW1453"/>
      <c r="CKX1453"/>
      <c r="CKY1453"/>
      <c r="CKZ1453"/>
      <c r="CLA1453"/>
      <c r="CLB1453"/>
      <c r="CLC1453"/>
      <c r="CLD1453"/>
      <c r="CLE1453"/>
      <c r="CLF1453"/>
      <c r="CLG1453"/>
      <c r="CLH1453"/>
      <c r="CLI1453"/>
      <c r="CLJ1453"/>
      <c r="CLK1453"/>
      <c r="CLL1453"/>
      <c r="CLM1453"/>
      <c r="CLN1453"/>
      <c r="CLO1453"/>
      <c r="CLP1453"/>
      <c r="CLQ1453"/>
      <c r="CLR1453"/>
      <c r="CLS1453"/>
      <c r="CLT1453"/>
      <c r="CLU1453"/>
      <c r="CLV1453"/>
      <c r="CLW1453"/>
      <c r="CLX1453"/>
      <c r="CLY1453"/>
      <c r="CLZ1453"/>
      <c r="CMA1453"/>
      <c r="CMB1453"/>
      <c r="CMC1453"/>
      <c r="CMD1453"/>
      <c r="CME1453"/>
      <c r="CMF1453"/>
      <c r="CMG1453"/>
      <c r="CMH1453"/>
      <c r="CMI1453"/>
      <c r="CMJ1453"/>
      <c r="CMK1453"/>
      <c r="CML1453"/>
      <c r="CMM1453"/>
      <c r="CMN1453"/>
      <c r="CMO1453"/>
      <c r="CMP1453"/>
      <c r="CMQ1453"/>
      <c r="CMR1453"/>
      <c r="CMS1453"/>
      <c r="CMT1453"/>
      <c r="CMU1453"/>
      <c r="CMV1453"/>
      <c r="CMW1453"/>
      <c r="CMX1453"/>
      <c r="CMY1453"/>
      <c r="CMZ1453"/>
      <c r="CNA1453"/>
      <c r="CNB1453"/>
      <c r="CNC1453"/>
      <c r="CND1453"/>
      <c r="CNE1453"/>
      <c r="CNF1453"/>
      <c r="CNG1453"/>
      <c r="CNH1453"/>
      <c r="CNI1453"/>
      <c r="CNJ1453"/>
      <c r="CNK1453"/>
      <c r="CNL1453"/>
      <c r="CNM1453"/>
      <c r="CNN1453"/>
      <c r="CNO1453"/>
      <c r="CNP1453"/>
      <c r="CNQ1453"/>
      <c r="CNR1453"/>
      <c r="CNS1453"/>
      <c r="CNT1453"/>
      <c r="CNU1453"/>
      <c r="CNV1453"/>
      <c r="CNW1453"/>
      <c r="CNX1453"/>
      <c r="CNY1453"/>
      <c r="CNZ1453"/>
      <c r="COA1453"/>
      <c r="COB1453"/>
      <c r="COC1453"/>
      <c r="COD1453"/>
      <c r="COE1453"/>
      <c r="COF1453"/>
      <c r="COG1453"/>
      <c r="COH1453"/>
      <c r="COI1453"/>
      <c r="COJ1453"/>
      <c r="COK1453"/>
      <c r="COL1453"/>
      <c r="COM1453"/>
      <c r="CON1453"/>
      <c r="COO1453"/>
      <c r="COP1453"/>
      <c r="COQ1453"/>
      <c r="COR1453"/>
      <c r="COS1453"/>
      <c r="COT1453"/>
      <c r="COU1453"/>
      <c r="COV1453"/>
      <c r="COW1453"/>
      <c r="COX1453"/>
      <c r="COY1453"/>
      <c r="COZ1453"/>
      <c r="CPA1453"/>
      <c r="CPB1453"/>
      <c r="CPC1453"/>
      <c r="CPD1453"/>
      <c r="CPE1453"/>
      <c r="CPF1453"/>
      <c r="CPG1453"/>
      <c r="CPH1453"/>
      <c r="CPI1453"/>
      <c r="CPJ1453"/>
      <c r="CPK1453"/>
      <c r="CPL1453"/>
      <c r="CPM1453"/>
      <c r="CPN1453"/>
      <c r="CPO1453"/>
      <c r="CPP1453"/>
      <c r="CPQ1453"/>
      <c r="CPR1453"/>
      <c r="CPS1453"/>
      <c r="CPT1453"/>
      <c r="CPU1453"/>
      <c r="CPV1453"/>
      <c r="CPW1453"/>
      <c r="CPX1453"/>
      <c r="CPY1453"/>
      <c r="CPZ1453"/>
      <c r="CQA1453"/>
      <c r="CQB1453"/>
      <c r="CQC1453"/>
      <c r="CQD1453"/>
      <c r="CQE1453"/>
      <c r="CQF1453"/>
      <c r="CQG1453"/>
      <c r="CQH1453"/>
      <c r="CQI1453"/>
      <c r="CQJ1453"/>
      <c r="CQK1453"/>
      <c r="CQL1453"/>
      <c r="CQM1453"/>
      <c r="CQN1453"/>
      <c r="CQO1453"/>
      <c r="CQP1453"/>
      <c r="CQQ1453"/>
      <c r="CQR1453"/>
      <c r="CQS1453"/>
      <c r="CQT1453"/>
      <c r="CQU1453"/>
      <c r="CQV1453"/>
      <c r="CQW1453"/>
      <c r="CQX1453"/>
      <c r="CQY1453"/>
      <c r="CQZ1453"/>
      <c r="CRA1453"/>
      <c r="CRB1453"/>
      <c r="CRC1453"/>
      <c r="CRD1453"/>
      <c r="CRE1453"/>
      <c r="CRF1453"/>
      <c r="CRG1453"/>
      <c r="CRH1453"/>
      <c r="CRI1453"/>
      <c r="CRJ1453"/>
      <c r="CRK1453"/>
      <c r="CRL1453"/>
      <c r="CRM1453"/>
      <c r="CRN1453"/>
      <c r="CRO1453"/>
      <c r="CRP1453"/>
      <c r="CRQ1453"/>
      <c r="CRR1453"/>
      <c r="CRS1453"/>
      <c r="CRT1453"/>
      <c r="CRU1453"/>
      <c r="CRV1453"/>
      <c r="CRW1453"/>
      <c r="CRX1453"/>
      <c r="CRY1453"/>
      <c r="CRZ1453"/>
      <c r="CSA1453"/>
      <c r="CSB1453"/>
      <c r="CSC1453"/>
      <c r="CSD1453"/>
      <c r="CSE1453"/>
      <c r="CSF1453"/>
      <c r="CSG1453"/>
      <c r="CSH1453"/>
      <c r="CSI1453"/>
      <c r="CSJ1453"/>
      <c r="CSK1453"/>
      <c r="CSL1453"/>
      <c r="CSM1453"/>
      <c r="CSN1453"/>
      <c r="CSO1453"/>
      <c r="CSP1453"/>
      <c r="CSQ1453"/>
      <c r="CSR1453"/>
      <c r="CSS1453"/>
      <c r="CST1453"/>
      <c r="CSU1453"/>
      <c r="CSV1453"/>
      <c r="CSW1453"/>
      <c r="CSX1453"/>
      <c r="CSY1453"/>
      <c r="CSZ1453"/>
      <c r="CTA1453"/>
      <c r="CTB1453"/>
      <c r="CTC1453"/>
      <c r="CTD1453"/>
      <c r="CTE1453"/>
      <c r="CTF1453"/>
      <c r="CTG1453"/>
      <c r="CTH1453"/>
      <c r="CTI1453"/>
      <c r="CTJ1453"/>
      <c r="CTK1453"/>
      <c r="CTL1453"/>
      <c r="CTM1453"/>
      <c r="CTN1453"/>
      <c r="CTO1453"/>
      <c r="CTP1453"/>
      <c r="CTQ1453"/>
      <c r="CTR1453"/>
      <c r="CTS1453"/>
      <c r="CTT1453"/>
      <c r="CTU1453"/>
      <c r="CTV1453"/>
      <c r="CTW1453"/>
      <c r="CTX1453"/>
      <c r="CTY1453"/>
      <c r="CTZ1453"/>
      <c r="CUA1453"/>
      <c r="CUB1453"/>
      <c r="CUC1453"/>
      <c r="CUD1453"/>
      <c r="CUE1453"/>
      <c r="CUF1453"/>
      <c r="CUG1453"/>
      <c r="CUH1453"/>
      <c r="CUI1453"/>
      <c r="CUJ1453"/>
      <c r="CUK1453"/>
      <c r="CUL1453"/>
      <c r="CUM1453"/>
      <c r="CUN1453"/>
      <c r="CUO1453"/>
      <c r="CUP1453"/>
      <c r="CUQ1453"/>
      <c r="CUR1453"/>
      <c r="CUS1453"/>
      <c r="CUT1453"/>
      <c r="CUU1453"/>
      <c r="CUV1453"/>
      <c r="CUW1453"/>
      <c r="CUX1453"/>
      <c r="CUY1453"/>
      <c r="CUZ1453"/>
      <c r="CVA1453"/>
      <c r="CVB1453"/>
      <c r="CVC1453"/>
      <c r="CVD1453"/>
      <c r="CVE1453"/>
      <c r="CVF1453"/>
      <c r="CVG1453"/>
      <c r="CVH1453"/>
      <c r="CVI1453"/>
      <c r="CVJ1453"/>
      <c r="CVK1453"/>
      <c r="CVL1453"/>
      <c r="CVM1453"/>
      <c r="CVN1453"/>
      <c r="CVO1453"/>
      <c r="CVP1453"/>
      <c r="CVQ1453"/>
      <c r="CVR1453"/>
      <c r="CVS1453"/>
      <c r="CVT1453"/>
      <c r="CVU1453"/>
      <c r="CVV1453"/>
      <c r="CVW1453"/>
      <c r="CVX1453"/>
      <c r="CVY1453"/>
      <c r="CVZ1453"/>
      <c r="CWA1453"/>
      <c r="CWB1453"/>
      <c r="CWC1453"/>
      <c r="CWD1453"/>
      <c r="CWE1453"/>
      <c r="CWF1453"/>
      <c r="CWG1453"/>
      <c r="CWH1453"/>
      <c r="CWI1453"/>
      <c r="CWJ1453"/>
      <c r="CWK1453"/>
      <c r="CWL1453"/>
      <c r="CWM1453"/>
      <c r="CWN1453"/>
      <c r="CWO1453"/>
      <c r="CWP1453"/>
      <c r="CWQ1453"/>
      <c r="CWR1453"/>
      <c r="CWS1453"/>
      <c r="CWT1453"/>
      <c r="CWU1453"/>
      <c r="CWV1453"/>
      <c r="CWW1453"/>
      <c r="CWX1453"/>
      <c r="CWY1453"/>
      <c r="CWZ1453"/>
      <c r="CXA1453"/>
      <c r="CXB1453"/>
      <c r="CXC1453"/>
      <c r="CXD1453"/>
      <c r="CXE1453"/>
      <c r="CXF1453"/>
      <c r="CXG1453"/>
      <c r="CXH1453"/>
      <c r="CXI1453"/>
      <c r="CXJ1453"/>
      <c r="CXK1453"/>
      <c r="CXL1453"/>
      <c r="CXM1453"/>
      <c r="CXN1453"/>
      <c r="CXO1453"/>
      <c r="CXP1453"/>
      <c r="CXQ1453"/>
      <c r="CXR1453"/>
      <c r="CXS1453"/>
      <c r="CXT1453"/>
      <c r="CXU1453"/>
      <c r="CXV1453"/>
      <c r="CXW1453"/>
      <c r="CXX1453"/>
      <c r="CXY1453"/>
      <c r="CXZ1453"/>
      <c r="CYA1453"/>
      <c r="CYB1453"/>
      <c r="CYC1453"/>
      <c r="CYD1453"/>
      <c r="CYE1453"/>
      <c r="CYF1453"/>
      <c r="CYG1453"/>
      <c r="CYH1453"/>
      <c r="CYI1453"/>
      <c r="CYJ1453"/>
      <c r="CYK1453"/>
      <c r="CYL1453"/>
      <c r="CYM1453"/>
      <c r="CYN1453"/>
      <c r="CYO1453"/>
      <c r="CYP1453"/>
      <c r="CYQ1453"/>
      <c r="CYR1453"/>
      <c r="CYS1453"/>
      <c r="CYT1453"/>
      <c r="CYU1453"/>
      <c r="CYV1453"/>
      <c r="CYW1453"/>
      <c r="CYX1453"/>
      <c r="CYY1453"/>
      <c r="CYZ1453"/>
      <c r="CZA1453"/>
      <c r="CZB1453"/>
      <c r="CZC1453"/>
      <c r="CZD1453"/>
      <c r="CZE1453"/>
      <c r="CZF1453"/>
      <c r="CZG1453"/>
      <c r="CZH1453"/>
      <c r="CZI1453"/>
      <c r="CZJ1453"/>
      <c r="CZK1453"/>
      <c r="CZL1453"/>
      <c r="CZM1453"/>
      <c r="CZN1453"/>
      <c r="CZO1453"/>
      <c r="CZP1453"/>
      <c r="CZQ1453"/>
      <c r="CZR1453"/>
      <c r="CZS1453"/>
      <c r="CZT1453"/>
      <c r="CZU1453"/>
      <c r="CZV1453"/>
      <c r="CZW1453"/>
      <c r="CZX1453"/>
      <c r="CZY1453"/>
      <c r="CZZ1453"/>
      <c r="DAA1453"/>
      <c r="DAB1453"/>
      <c r="DAC1453"/>
      <c r="DAD1453"/>
      <c r="DAE1453"/>
      <c r="DAF1453"/>
      <c r="DAG1453"/>
      <c r="DAH1453"/>
      <c r="DAI1453"/>
      <c r="DAJ1453"/>
      <c r="DAK1453"/>
      <c r="DAL1453"/>
      <c r="DAM1453"/>
      <c r="DAN1453"/>
      <c r="DAO1453"/>
      <c r="DAP1453"/>
      <c r="DAQ1453"/>
      <c r="DAR1453"/>
      <c r="DAS1453"/>
      <c r="DAT1453"/>
      <c r="DAU1453"/>
      <c r="DAV1453"/>
      <c r="DAW1453"/>
      <c r="DAX1453"/>
      <c r="DAY1453"/>
      <c r="DAZ1453"/>
      <c r="DBA1453"/>
      <c r="DBB1453"/>
      <c r="DBC1453"/>
      <c r="DBD1453"/>
      <c r="DBE1453"/>
      <c r="DBF1453"/>
      <c r="DBG1453"/>
      <c r="DBH1453"/>
      <c r="DBI1453"/>
      <c r="DBJ1453"/>
      <c r="DBK1453"/>
      <c r="DBL1453"/>
      <c r="DBM1453"/>
      <c r="DBN1453"/>
      <c r="DBO1453"/>
      <c r="DBP1453"/>
      <c r="DBQ1453"/>
      <c r="DBR1453"/>
      <c r="DBS1453"/>
      <c r="DBT1453"/>
      <c r="DBU1453"/>
      <c r="DBV1453"/>
      <c r="DBW1453"/>
      <c r="DBX1453"/>
      <c r="DBY1453"/>
      <c r="DBZ1453"/>
      <c r="DCA1453"/>
      <c r="DCB1453"/>
      <c r="DCC1453"/>
      <c r="DCD1453"/>
      <c r="DCE1453"/>
      <c r="DCF1453"/>
      <c r="DCG1453"/>
      <c r="DCH1453"/>
      <c r="DCI1453"/>
      <c r="DCJ1453"/>
      <c r="DCK1453"/>
      <c r="DCL1453"/>
      <c r="DCM1453"/>
      <c r="DCN1453"/>
      <c r="DCO1453"/>
      <c r="DCP1453"/>
      <c r="DCQ1453"/>
      <c r="DCR1453"/>
      <c r="DCS1453"/>
      <c r="DCT1453"/>
      <c r="DCU1453"/>
      <c r="DCV1453"/>
      <c r="DCW1453"/>
      <c r="DCX1453"/>
      <c r="DCY1453"/>
      <c r="DCZ1453"/>
      <c r="DDA1453"/>
      <c r="DDB1453"/>
      <c r="DDC1453"/>
      <c r="DDD1453"/>
      <c r="DDE1453"/>
      <c r="DDF1453"/>
      <c r="DDG1453"/>
      <c r="DDH1453"/>
      <c r="DDI1453"/>
      <c r="DDJ1453"/>
      <c r="DDK1453"/>
      <c r="DDL1453"/>
      <c r="DDM1453"/>
      <c r="DDN1453"/>
      <c r="DDO1453"/>
      <c r="DDP1453"/>
      <c r="DDQ1453"/>
      <c r="DDR1453"/>
      <c r="DDS1453"/>
      <c r="DDT1453"/>
      <c r="DDU1453"/>
      <c r="DDV1453"/>
      <c r="DDW1453"/>
      <c r="DDX1453"/>
      <c r="DDY1453"/>
      <c r="DDZ1453"/>
      <c r="DEA1453"/>
      <c r="DEB1453"/>
      <c r="DEC1453"/>
      <c r="DED1453"/>
      <c r="DEE1453"/>
      <c r="DEF1453"/>
      <c r="DEG1453"/>
      <c r="DEH1453"/>
      <c r="DEI1453"/>
      <c r="DEJ1453"/>
      <c r="DEK1453"/>
      <c r="DEL1453"/>
      <c r="DEM1453"/>
      <c r="DEN1453"/>
      <c r="DEO1453"/>
      <c r="DEP1453"/>
      <c r="DEQ1453"/>
      <c r="DER1453"/>
      <c r="DES1453"/>
      <c r="DET1453"/>
      <c r="DEU1453"/>
      <c r="DEV1453"/>
      <c r="DEW1453"/>
      <c r="DEX1453"/>
      <c r="DEY1453"/>
      <c r="DEZ1453"/>
      <c r="DFA1453"/>
      <c r="DFB1453"/>
      <c r="DFC1453"/>
      <c r="DFD1453"/>
      <c r="DFE1453"/>
      <c r="DFF1453"/>
      <c r="DFG1453"/>
      <c r="DFH1453"/>
      <c r="DFI1453"/>
      <c r="DFJ1453"/>
      <c r="DFK1453"/>
      <c r="DFL1453"/>
      <c r="DFM1453"/>
      <c r="DFN1453"/>
      <c r="DFO1453"/>
      <c r="DFP1453"/>
      <c r="DFQ1453"/>
      <c r="DFR1453"/>
      <c r="DFS1453"/>
      <c r="DFT1453"/>
      <c r="DFU1453"/>
      <c r="DFV1453"/>
      <c r="DFW1453"/>
      <c r="DFX1453"/>
      <c r="DFY1453"/>
      <c r="DFZ1453"/>
      <c r="DGA1453"/>
      <c r="DGB1453"/>
      <c r="DGC1453"/>
      <c r="DGD1453"/>
      <c r="DGE1453"/>
      <c r="DGF1453"/>
      <c r="DGG1453"/>
      <c r="DGH1453"/>
      <c r="DGI1453"/>
      <c r="DGJ1453"/>
      <c r="DGK1453"/>
      <c r="DGL1453"/>
      <c r="DGM1453"/>
      <c r="DGN1453"/>
      <c r="DGO1453"/>
      <c r="DGP1453"/>
      <c r="DGQ1453"/>
      <c r="DGR1453"/>
      <c r="DGS1453"/>
      <c r="DGT1453"/>
      <c r="DGU1453"/>
      <c r="DGV1453"/>
      <c r="DGW1453"/>
      <c r="DGX1453"/>
      <c r="DGY1453"/>
      <c r="DGZ1453"/>
      <c r="DHA1453"/>
      <c r="DHB1453"/>
      <c r="DHC1453"/>
      <c r="DHD1453"/>
      <c r="DHE1453"/>
      <c r="DHF1453"/>
      <c r="DHG1453"/>
      <c r="DHH1453"/>
      <c r="DHI1453"/>
      <c r="DHJ1453"/>
      <c r="DHK1453"/>
      <c r="DHL1453"/>
      <c r="DHM1453"/>
      <c r="DHN1453"/>
      <c r="DHO1453"/>
      <c r="DHP1453"/>
      <c r="DHQ1453"/>
      <c r="DHR1453"/>
      <c r="DHS1453"/>
      <c r="DHT1453"/>
      <c r="DHU1453"/>
      <c r="DHV1453"/>
      <c r="DHW1453"/>
      <c r="DHX1453"/>
      <c r="DHY1453"/>
      <c r="DHZ1453"/>
      <c r="DIA1453"/>
      <c r="DIB1453"/>
      <c r="DIC1453"/>
      <c r="DID1453"/>
      <c r="DIE1453"/>
      <c r="DIF1453"/>
      <c r="DIG1453"/>
      <c r="DIH1453"/>
      <c r="DII1453"/>
      <c r="DIJ1453"/>
      <c r="DIK1453"/>
      <c r="DIL1453"/>
      <c r="DIM1453"/>
      <c r="DIN1453"/>
      <c r="DIO1453"/>
      <c r="DIP1453"/>
      <c r="DIQ1453"/>
      <c r="DIR1453"/>
      <c r="DIS1453"/>
      <c r="DIT1453"/>
      <c r="DIU1453"/>
      <c r="DIV1453"/>
      <c r="DIW1453"/>
      <c r="DIX1453"/>
      <c r="DIY1453"/>
      <c r="DIZ1453"/>
      <c r="DJA1453"/>
      <c r="DJB1453"/>
      <c r="DJC1453"/>
      <c r="DJD1453"/>
      <c r="DJE1453"/>
      <c r="DJF1453"/>
      <c r="DJG1453"/>
      <c r="DJH1453"/>
      <c r="DJI1453"/>
      <c r="DJJ1453"/>
      <c r="DJK1453"/>
      <c r="DJL1453"/>
      <c r="DJM1453"/>
      <c r="DJN1453"/>
      <c r="DJO1453"/>
      <c r="DJP1453"/>
      <c r="DJQ1453"/>
      <c r="DJR1453"/>
      <c r="DJS1453"/>
      <c r="DJT1453"/>
      <c r="DJU1453"/>
      <c r="DJV1453"/>
      <c r="DJW1453"/>
      <c r="DJX1453"/>
      <c r="DJY1453"/>
      <c r="DJZ1453"/>
      <c r="DKA1453"/>
      <c r="DKB1453"/>
      <c r="DKC1453"/>
      <c r="DKD1453"/>
      <c r="DKE1453"/>
      <c r="DKF1453"/>
      <c r="DKG1453"/>
      <c r="DKH1453"/>
      <c r="DKI1453"/>
      <c r="DKJ1453"/>
      <c r="DKK1453"/>
      <c r="DKL1453"/>
      <c r="DKM1453"/>
      <c r="DKN1453"/>
      <c r="DKO1453"/>
      <c r="DKP1453"/>
      <c r="DKQ1453"/>
      <c r="DKR1453"/>
      <c r="DKS1453"/>
      <c r="DKT1453"/>
      <c r="DKU1453"/>
      <c r="DKV1453"/>
      <c r="DKW1453"/>
      <c r="DKX1453"/>
      <c r="DKY1453"/>
      <c r="DKZ1453"/>
      <c r="DLA1453"/>
      <c r="DLB1453"/>
      <c r="DLC1453"/>
      <c r="DLD1453"/>
      <c r="DLE1453"/>
      <c r="DLF1453"/>
      <c r="DLG1453"/>
      <c r="DLH1453"/>
      <c r="DLI1453"/>
      <c r="DLJ1453"/>
      <c r="DLK1453"/>
      <c r="DLL1453"/>
      <c r="DLM1453"/>
      <c r="DLN1453"/>
      <c r="DLO1453"/>
      <c r="DLP1453"/>
      <c r="DLQ1453"/>
      <c r="DLR1453"/>
      <c r="DLS1453"/>
      <c r="DLT1453"/>
      <c r="DLU1453"/>
      <c r="DLV1453"/>
      <c r="DLW1453"/>
      <c r="DLX1453"/>
      <c r="DLY1453"/>
      <c r="DLZ1453"/>
      <c r="DMA1453"/>
      <c r="DMB1453"/>
      <c r="DMC1453"/>
      <c r="DMD1453"/>
      <c r="DME1453"/>
      <c r="DMF1453"/>
      <c r="DMG1453"/>
      <c r="DMH1453"/>
      <c r="DMI1453"/>
      <c r="DMJ1453"/>
      <c r="DMK1453"/>
      <c r="DML1453"/>
      <c r="DMM1453"/>
      <c r="DMN1453"/>
      <c r="DMO1453"/>
      <c r="DMP1453"/>
      <c r="DMQ1453"/>
      <c r="DMR1453"/>
      <c r="DMS1453"/>
      <c r="DMT1453"/>
      <c r="DMU1453"/>
      <c r="DMV1453"/>
      <c r="DMW1453"/>
      <c r="DMX1453"/>
      <c r="DMY1453"/>
      <c r="DMZ1453"/>
      <c r="DNA1453"/>
      <c r="DNB1453"/>
      <c r="DNC1453"/>
      <c r="DND1453"/>
      <c r="DNE1453"/>
      <c r="DNF1453"/>
      <c r="DNG1453"/>
      <c r="DNH1453"/>
      <c r="DNI1453"/>
      <c r="DNJ1453"/>
      <c r="DNK1453"/>
      <c r="DNL1453"/>
      <c r="DNM1453"/>
      <c r="DNN1453"/>
      <c r="DNO1453"/>
      <c r="DNP1453"/>
      <c r="DNQ1453"/>
      <c r="DNR1453"/>
      <c r="DNS1453"/>
      <c r="DNT1453"/>
      <c r="DNU1453"/>
      <c r="DNV1453"/>
      <c r="DNW1453"/>
      <c r="DNX1453"/>
      <c r="DNY1453"/>
      <c r="DNZ1453"/>
      <c r="DOA1453"/>
      <c r="DOB1453"/>
      <c r="DOC1453"/>
      <c r="DOD1453"/>
      <c r="DOE1453"/>
      <c r="DOF1453"/>
      <c r="DOG1453"/>
      <c r="DOH1453"/>
      <c r="DOI1453"/>
      <c r="DOJ1453"/>
      <c r="DOK1453"/>
      <c r="DOL1453"/>
      <c r="DOM1453"/>
      <c r="DON1453"/>
      <c r="DOO1453"/>
      <c r="DOP1453"/>
      <c r="DOQ1453"/>
      <c r="DOR1453"/>
      <c r="DOS1453"/>
      <c r="DOT1453"/>
      <c r="DOU1453"/>
      <c r="DOV1453"/>
      <c r="DOW1453"/>
      <c r="DOX1453"/>
      <c r="DOY1453"/>
      <c r="DOZ1453"/>
      <c r="DPA1453"/>
      <c r="DPB1453"/>
      <c r="DPC1453"/>
      <c r="DPD1453"/>
      <c r="DPE1453"/>
      <c r="DPF1453"/>
      <c r="DPG1453"/>
      <c r="DPH1453"/>
      <c r="DPI1453"/>
      <c r="DPJ1453"/>
      <c r="DPK1453"/>
      <c r="DPL1453"/>
      <c r="DPM1453"/>
      <c r="DPN1453"/>
      <c r="DPO1453"/>
      <c r="DPP1453"/>
      <c r="DPQ1453"/>
      <c r="DPR1453"/>
      <c r="DPS1453"/>
      <c r="DPT1453"/>
      <c r="DPU1453"/>
      <c r="DPV1453"/>
      <c r="DPW1453"/>
      <c r="DPX1453"/>
      <c r="DPY1453"/>
      <c r="DPZ1453"/>
      <c r="DQA1453"/>
      <c r="DQB1453"/>
      <c r="DQC1453"/>
      <c r="DQD1453"/>
      <c r="DQE1453"/>
      <c r="DQF1453"/>
      <c r="DQG1453"/>
      <c r="DQH1453"/>
      <c r="DQI1453"/>
      <c r="DQJ1453"/>
      <c r="DQK1453"/>
      <c r="DQL1453"/>
      <c r="DQM1453"/>
      <c r="DQN1453"/>
      <c r="DQO1453"/>
      <c r="DQP1453"/>
      <c r="DQQ1453"/>
      <c r="DQR1453"/>
      <c r="DQS1453"/>
      <c r="DQT1453"/>
      <c r="DQU1453"/>
      <c r="DQV1453"/>
      <c r="DQW1453"/>
      <c r="DQX1453"/>
      <c r="DQY1453"/>
      <c r="DQZ1453"/>
      <c r="DRA1453"/>
      <c r="DRB1453"/>
      <c r="DRC1453"/>
      <c r="DRD1453"/>
      <c r="DRE1453"/>
      <c r="DRF1453"/>
      <c r="DRG1453"/>
      <c r="DRH1453"/>
      <c r="DRI1453"/>
      <c r="DRJ1453"/>
      <c r="DRK1453"/>
      <c r="DRL1453"/>
      <c r="DRM1453"/>
      <c r="DRN1453"/>
      <c r="DRO1453"/>
      <c r="DRP1453"/>
      <c r="DRQ1453"/>
      <c r="DRR1453"/>
      <c r="DRS1453"/>
      <c r="DRT1453"/>
      <c r="DRU1453"/>
      <c r="DRV1453"/>
      <c r="DRW1453"/>
      <c r="DRX1453"/>
      <c r="DRY1453"/>
      <c r="DRZ1453"/>
      <c r="DSA1453"/>
      <c r="DSB1453"/>
      <c r="DSC1453"/>
      <c r="DSD1453"/>
      <c r="DSE1453"/>
      <c r="DSF1453"/>
      <c r="DSG1453"/>
      <c r="DSH1453"/>
      <c r="DSI1453"/>
      <c r="DSJ1453"/>
      <c r="DSK1453"/>
      <c r="DSL1453"/>
      <c r="DSM1453"/>
      <c r="DSN1453"/>
      <c r="DSO1453"/>
      <c r="DSP1453"/>
      <c r="DSQ1453"/>
      <c r="DSR1453"/>
      <c r="DSS1453"/>
      <c r="DST1453"/>
      <c r="DSU1453"/>
      <c r="DSV1453"/>
      <c r="DSW1453"/>
      <c r="DSX1453"/>
      <c r="DSY1453"/>
      <c r="DSZ1453"/>
      <c r="DTA1453"/>
      <c r="DTB1453"/>
      <c r="DTC1453"/>
      <c r="DTD1453"/>
      <c r="DTE1453"/>
      <c r="DTF1453"/>
      <c r="DTG1453"/>
      <c r="DTH1453"/>
      <c r="DTI1453"/>
      <c r="DTJ1453"/>
      <c r="DTK1453"/>
      <c r="DTL1453"/>
      <c r="DTM1453"/>
      <c r="DTN1453"/>
      <c r="DTO1453"/>
      <c r="DTP1453"/>
      <c r="DTQ1453"/>
      <c r="DTR1453"/>
      <c r="DTS1453"/>
      <c r="DTT1453"/>
      <c r="DTU1453"/>
      <c r="DTV1453"/>
      <c r="DTW1453"/>
      <c r="DTX1453"/>
      <c r="DTY1453"/>
      <c r="DTZ1453"/>
      <c r="DUA1453"/>
      <c r="DUB1453"/>
      <c r="DUC1453"/>
      <c r="DUD1453"/>
      <c r="DUE1453"/>
      <c r="DUF1453"/>
      <c r="DUG1453"/>
      <c r="DUH1453"/>
      <c r="DUI1453"/>
      <c r="DUJ1453"/>
      <c r="DUK1453"/>
      <c r="DUL1453"/>
      <c r="DUM1453"/>
      <c r="DUN1453"/>
      <c r="DUO1453"/>
      <c r="DUP1453"/>
      <c r="DUQ1453"/>
      <c r="DUR1453"/>
      <c r="DUS1453"/>
      <c r="DUT1453"/>
      <c r="DUU1453"/>
      <c r="DUV1453"/>
      <c r="DUW1453"/>
      <c r="DUX1453"/>
      <c r="DUY1453"/>
      <c r="DUZ1453"/>
      <c r="DVA1453"/>
      <c r="DVB1453"/>
      <c r="DVC1453"/>
      <c r="DVD1453"/>
      <c r="DVE1453"/>
      <c r="DVF1453"/>
      <c r="DVG1453"/>
      <c r="DVH1453"/>
      <c r="DVI1453"/>
      <c r="DVJ1453"/>
      <c r="DVK1453"/>
      <c r="DVL1453"/>
      <c r="DVM1453"/>
      <c r="DVN1453"/>
      <c r="DVO1453"/>
      <c r="DVP1453"/>
      <c r="DVQ1453"/>
      <c r="DVR1453"/>
      <c r="DVS1453"/>
      <c r="DVT1453"/>
      <c r="DVU1453"/>
      <c r="DVV1453"/>
      <c r="DVW1453"/>
      <c r="DVX1453"/>
      <c r="DVY1453"/>
      <c r="DVZ1453"/>
      <c r="DWA1453"/>
      <c r="DWB1453"/>
      <c r="DWC1453"/>
      <c r="DWD1453"/>
      <c r="DWE1453"/>
      <c r="DWF1453"/>
      <c r="DWG1453"/>
      <c r="DWH1453"/>
      <c r="DWI1453"/>
      <c r="DWJ1453"/>
      <c r="DWK1453"/>
      <c r="DWL1453"/>
      <c r="DWM1453"/>
      <c r="DWN1453"/>
      <c r="DWO1453"/>
      <c r="DWP1453"/>
      <c r="DWQ1453"/>
      <c r="DWR1453"/>
      <c r="DWS1453"/>
      <c r="DWT1453"/>
      <c r="DWU1453"/>
      <c r="DWV1453"/>
      <c r="DWW1453"/>
      <c r="DWX1453"/>
      <c r="DWY1453"/>
      <c r="DWZ1453"/>
      <c r="DXA1453"/>
      <c r="DXB1453"/>
      <c r="DXC1453"/>
      <c r="DXD1453"/>
      <c r="DXE1453"/>
      <c r="DXF1453"/>
      <c r="DXG1453"/>
      <c r="DXH1453"/>
      <c r="DXI1453"/>
      <c r="DXJ1453"/>
      <c r="DXK1453"/>
      <c r="DXL1453"/>
      <c r="DXM1453"/>
      <c r="DXN1453"/>
      <c r="DXO1453"/>
      <c r="DXP1453"/>
      <c r="DXQ1453"/>
      <c r="DXR1453"/>
      <c r="DXS1453"/>
      <c r="DXT1453"/>
      <c r="DXU1453"/>
      <c r="DXV1453"/>
      <c r="DXW1453"/>
      <c r="DXX1453"/>
      <c r="DXY1453"/>
      <c r="DXZ1453"/>
      <c r="DYA1453"/>
      <c r="DYB1453"/>
      <c r="DYC1453"/>
      <c r="DYD1453"/>
      <c r="DYE1453"/>
      <c r="DYF1453"/>
      <c r="DYG1453"/>
      <c r="DYH1453"/>
      <c r="DYI1453"/>
      <c r="DYJ1453"/>
      <c r="DYK1453"/>
      <c r="DYL1453"/>
      <c r="DYM1453"/>
      <c r="DYN1453"/>
      <c r="DYO1453"/>
      <c r="DYP1453"/>
      <c r="DYQ1453"/>
      <c r="DYR1453"/>
      <c r="DYS1453"/>
      <c r="DYT1453"/>
      <c r="DYU1453"/>
      <c r="DYV1453"/>
      <c r="DYW1453"/>
      <c r="DYX1453"/>
      <c r="DYY1453"/>
      <c r="DYZ1453"/>
      <c r="DZA1453"/>
      <c r="DZB1453"/>
      <c r="DZC1453"/>
      <c r="DZD1453"/>
      <c r="DZE1453"/>
      <c r="DZF1453"/>
      <c r="DZG1453"/>
      <c r="DZH1453"/>
      <c r="DZI1453"/>
      <c r="DZJ1453"/>
      <c r="DZK1453"/>
      <c r="DZL1453"/>
      <c r="DZM1453"/>
      <c r="DZN1453"/>
      <c r="DZO1453"/>
      <c r="DZP1453"/>
      <c r="DZQ1453"/>
      <c r="DZR1453"/>
      <c r="DZS1453"/>
      <c r="DZT1453"/>
      <c r="DZU1453"/>
      <c r="DZV1453"/>
      <c r="DZW1453"/>
      <c r="DZX1453"/>
      <c r="DZY1453"/>
      <c r="DZZ1453"/>
      <c r="EAA1453"/>
      <c r="EAB1453"/>
      <c r="EAC1453"/>
      <c r="EAD1453"/>
      <c r="EAE1453"/>
      <c r="EAF1453"/>
      <c r="EAG1453"/>
      <c r="EAH1453"/>
      <c r="EAI1453"/>
      <c r="EAJ1453"/>
      <c r="EAK1453"/>
      <c r="EAL1453"/>
      <c r="EAM1453"/>
      <c r="EAN1453"/>
      <c r="EAO1453"/>
      <c r="EAP1453"/>
      <c r="EAQ1453"/>
      <c r="EAR1453"/>
      <c r="EAS1453"/>
      <c r="EAT1453"/>
      <c r="EAU1453"/>
      <c r="EAV1453"/>
      <c r="EAW1453"/>
      <c r="EAX1453"/>
      <c r="EAY1453"/>
      <c r="EAZ1453"/>
      <c r="EBA1453"/>
      <c r="EBB1453"/>
      <c r="EBC1453"/>
      <c r="EBD1453"/>
      <c r="EBE1453"/>
      <c r="EBF1453"/>
      <c r="EBG1453"/>
      <c r="EBH1453"/>
      <c r="EBI1453"/>
      <c r="EBJ1453"/>
      <c r="EBK1453"/>
      <c r="EBL1453"/>
      <c r="EBM1453"/>
      <c r="EBN1453"/>
      <c r="EBO1453"/>
      <c r="EBP1453"/>
      <c r="EBQ1453"/>
      <c r="EBR1453"/>
      <c r="EBS1453"/>
      <c r="EBT1453"/>
      <c r="EBU1453"/>
      <c r="EBV1453"/>
      <c r="EBW1453"/>
      <c r="EBX1453"/>
      <c r="EBY1453"/>
      <c r="EBZ1453"/>
      <c r="ECA1453"/>
      <c r="ECB1453"/>
      <c r="ECC1453"/>
      <c r="ECD1453"/>
      <c r="ECE1453"/>
      <c r="ECF1453"/>
      <c r="ECG1453"/>
      <c r="ECH1453"/>
      <c r="ECI1453"/>
      <c r="ECJ1453"/>
      <c r="ECK1453"/>
      <c r="ECL1453"/>
      <c r="ECM1453"/>
      <c r="ECN1453"/>
      <c r="ECO1453"/>
      <c r="ECP1453"/>
      <c r="ECQ1453"/>
      <c r="ECR1453"/>
      <c r="ECS1453"/>
      <c r="ECT1453"/>
      <c r="ECU1453"/>
      <c r="ECV1453"/>
      <c r="ECW1453"/>
      <c r="ECX1453"/>
      <c r="ECY1453"/>
      <c r="ECZ1453"/>
      <c r="EDA1453"/>
      <c r="EDB1453"/>
      <c r="EDC1453"/>
      <c r="EDD1453"/>
      <c r="EDE1453"/>
      <c r="EDF1453"/>
      <c r="EDG1453"/>
      <c r="EDH1453"/>
      <c r="EDI1453"/>
      <c r="EDJ1453"/>
      <c r="EDK1453"/>
      <c r="EDL1453"/>
      <c r="EDM1453"/>
      <c r="EDN1453"/>
      <c r="EDO1453"/>
      <c r="EDP1453"/>
      <c r="EDQ1453"/>
      <c r="EDR1453"/>
      <c r="EDS1453"/>
      <c r="EDT1453"/>
      <c r="EDU1453"/>
      <c r="EDV1453"/>
      <c r="EDW1453"/>
      <c r="EDX1453"/>
      <c r="EDY1453"/>
      <c r="EDZ1453"/>
      <c r="EEA1453"/>
      <c r="EEB1453"/>
      <c r="EEC1453"/>
      <c r="EED1453"/>
      <c r="EEE1453"/>
      <c r="EEF1453"/>
      <c r="EEG1453"/>
      <c r="EEH1453"/>
      <c r="EEI1453"/>
      <c r="EEJ1453"/>
      <c r="EEK1453"/>
      <c r="EEL1453"/>
      <c r="EEM1453"/>
      <c r="EEN1453"/>
      <c r="EEO1453"/>
      <c r="EEP1453"/>
      <c r="EEQ1453"/>
      <c r="EER1453"/>
      <c r="EES1453"/>
      <c r="EET1453"/>
      <c r="EEU1453"/>
      <c r="EEV1453"/>
      <c r="EEW1453"/>
      <c r="EEX1453"/>
      <c r="EEY1453"/>
      <c r="EEZ1453"/>
      <c r="EFA1453"/>
      <c r="EFB1453"/>
      <c r="EFC1453"/>
      <c r="EFD1453"/>
      <c r="EFE1453"/>
      <c r="EFF1453"/>
      <c r="EFG1453"/>
      <c r="EFH1453"/>
      <c r="EFI1453"/>
      <c r="EFJ1453"/>
      <c r="EFK1453"/>
      <c r="EFL1453"/>
      <c r="EFM1453"/>
      <c r="EFN1453"/>
      <c r="EFO1453"/>
      <c r="EFP1453"/>
      <c r="EFQ1453"/>
      <c r="EFR1453"/>
      <c r="EFS1453"/>
      <c r="EFT1453"/>
      <c r="EFU1453"/>
      <c r="EFV1453"/>
      <c r="EFW1453"/>
      <c r="EFX1453"/>
      <c r="EFY1453"/>
      <c r="EFZ1453"/>
      <c r="EGA1453"/>
      <c r="EGB1453"/>
      <c r="EGC1453"/>
      <c r="EGD1453"/>
      <c r="EGE1453"/>
      <c r="EGF1453"/>
      <c r="EGG1453"/>
      <c r="EGH1453"/>
      <c r="EGI1453"/>
      <c r="EGJ1453"/>
      <c r="EGK1453"/>
      <c r="EGL1453"/>
      <c r="EGM1453"/>
      <c r="EGN1453"/>
      <c r="EGO1453"/>
      <c r="EGP1453"/>
      <c r="EGQ1453"/>
      <c r="EGR1453"/>
      <c r="EGS1453"/>
      <c r="EGT1453"/>
      <c r="EGU1453"/>
      <c r="EGV1453"/>
      <c r="EGW1453"/>
      <c r="EGX1453"/>
      <c r="EGY1453"/>
      <c r="EGZ1453"/>
      <c r="EHA1453"/>
      <c r="EHB1453"/>
      <c r="EHC1453"/>
      <c r="EHD1453"/>
      <c r="EHE1453"/>
      <c r="EHF1453"/>
      <c r="EHG1453"/>
      <c r="EHH1453"/>
      <c r="EHI1453"/>
      <c r="EHJ1453"/>
      <c r="EHK1453"/>
      <c r="EHL1453"/>
      <c r="EHM1453"/>
      <c r="EHN1453"/>
      <c r="EHO1453"/>
      <c r="EHP1453"/>
      <c r="EHQ1453"/>
      <c r="EHR1453"/>
      <c r="EHS1453"/>
      <c r="EHT1453"/>
      <c r="EHU1453"/>
      <c r="EHV1453"/>
      <c r="EHW1453"/>
      <c r="EHX1453"/>
      <c r="EHY1453"/>
      <c r="EHZ1453"/>
      <c r="EIA1453"/>
      <c r="EIB1453"/>
      <c r="EIC1453"/>
      <c r="EID1453"/>
      <c r="EIE1453"/>
      <c r="EIF1453"/>
      <c r="EIG1453"/>
      <c r="EIH1453"/>
      <c r="EII1453"/>
      <c r="EIJ1453"/>
      <c r="EIK1453"/>
      <c r="EIL1453"/>
      <c r="EIM1453"/>
      <c r="EIN1453"/>
      <c r="EIO1453"/>
      <c r="EIP1453"/>
      <c r="EIQ1453"/>
      <c r="EIR1453"/>
      <c r="EIS1453"/>
      <c r="EIT1453"/>
      <c r="EIU1453"/>
      <c r="EIV1453"/>
      <c r="EIW1453"/>
      <c r="EIX1453"/>
      <c r="EIY1453"/>
      <c r="EIZ1453"/>
      <c r="EJA1453"/>
      <c r="EJB1453"/>
      <c r="EJC1453"/>
      <c r="EJD1453"/>
      <c r="EJE1453"/>
      <c r="EJF1453"/>
      <c r="EJG1453"/>
      <c r="EJH1453"/>
      <c r="EJI1453"/>
      <c r="EJJ1453"/>
      <c r="EJK1453"/>
      <c r="EJL1453"/>
      <c r="EJM1453"/>
      <c r="EJN1453"/>
      <c r="EJO1453"/>
      <c r="EJP1453"/>
      <c r="EJQ1453"/>
      <c r="EJR1453"/>
      <c r="EJS1453"/>
      <c r="EJT1453"/>
      <c r="EJU1453"/>
      <c r="EJV1453"/>
      <c r="EJW1453"/>
      <c r="EJX1453"/>
      <c r="EJY1453"/>
      <c r="EJZ1453"/>
      <c r="EKA1453"/>
      <c r="EKB1453"/>
      <c r="EKC1453"/>
      <c r="EKD1453"/>
      <c r="EKE1453"/>
      <c r="EKF1453"/>
      <c r="EKG1453"/>
      <c r="EKH1453"/>
      <c r="EKI1453"/>
      <c r="EKJ1453"/>
      <c r="EKK1453"/>
      <c r="EKL1453"/>
      <c r="EKM1453"/>
      <c r="EKN1453"/>
      <c r="EKO1453"/>
      <c r="EKP1453"/>
      <c r="EKQ1453"/>
      <c r="EKR1453"/>
      <c r="EKS1453"/>
      <c r="EKT1453"/>
      <c r="EKU1453"/>
      <c r="EKV1453"/>
      <c r="EKW1453"/>
      <c r="EKX1453"/>
      <c r="EKY1453"/>
      <c r="EKZ1453"/>
      <c r="ELA1453"/>
      <c r="ELB1453"/>
      <c r="ELC1453"/>
      <c r="ELD1453"/>
      <c r="ELE1453"/>
      <c r="ELF1453"/>
      <c r="ELG1453"/>
      <c r="ELH1453"/>
      <c r="ELI1453"/>
      <c r="ELJ1453"/>
      <c r="ELK1453"/>
      <c r="ELL1453"/>
      <c r="ELM1453"/>
      <c r="ELN1453"/>
      <c r="ELO1453"/>
      <c r="ELP1453"/>
      <c r="ELQ1453"/>
      <c r="ELR1453"/>
      <c r="ELS1453"/>
      <c r="ELT1453"/>
      <c r="ELU1453"/>
      <c r="ELV1453"/>
      <c r="ELW1453"/>
      <c r="ELX1453"/>
      <c r="ELY1453"/>
      <c r="ELZ1453"/>
      <c r="EMA1453"/>
      <c r="EMB1453"/>
      <c r="EMC1453"/>
      <c r="EMD1453"/>
      <c r="EME1453"/>
      <c r="EMF1453"/>
      <c r="EMG1453"/>
      <c r="EMH1453"/>
      <c r="EMI1453"/>
      <c r="EMJ1453"/>
      <c r="EMK1453"/>
      <c r="EML1453"/>
      <c r="EMM1453"/>
      <c r="EMN1453"/>
      <c r="EMO1453"/>
      <c r="EMP1453"/>
      <c r="EMQ1453"/>
      <c r="EMR1453"/>
      <c r="EMS1453"/>
      <c r="EMT1453"/>
      <c r="EMU1453"/>
      <c r="EMV1453"/>
      <c r="EMW1453"/>
      <c r="EMX1453"/>
      <c r="EMY1453"/>
      <c r="EMZ1453"/>
      <c r="ENA1453"/>
      <c r="ENB1453"/>
      <c r="ENC1453"/>
      <c r="END1453"/>
      <c r="ENE1453"/>
      <c r="ENF1453"/>
      <c r="ENG1453"/>
      <c r="ENH1453"/>
      <c r="ENI1453"/>
      <c r="ENJ1453"/>
      <c r="ENK1453"/>
      <c r="ENL1453"/>
      <c r="ENM1453"/>
      <c r="ENN1453"/>
      <c r="ENO1453"/>
      <c r="ENP1453"/>
      <c r="ENQ1453"/>
      <c r="ENR1453"/>
      <c r="ENS1453"/>
      <c r="ENT1453"/>
      <c r="ENU1453"/>
      <c r="ENV1453"/>
      <c r="ENW1453"/>
      <c r="ENX1453"/>
      <c r="ENY1453"/>
      <c r="ENZ1453"/>
      <c r="EOA1453"/>
      <c r="EOB1453"/>
      <c r="EOC1453"/>
      <c r="EOD1453"/>
      <c r="EOE1453"/>
      <c r="EOF1453"/>
      <c r="EOG1453"/>
      <c r="EOH1453"/>
      <c r="EOI1453"/>
      <c r="EOJ1453"/>
      <c r="EOK1453"/>
      <c r="EOL1453"/>
      <c r="EOM1453"/>
      <c r="EON1453"/>
      <c r="EOO1453"/>
      <c r="EOP1453"/>
      <c r="EOQ1453"/>
      <c r="EOR1453"/>
      <c r="EOS1453"/>
      <c r="EOT1453"/>
      <c r="EOU1453"/>
      <c r="EOV1453"/>
      <c r="EOW1453"/>
      <c r="EOX1453"/>
      <c r="EOY1453"/>
      <c r="EOZ1453"/>
      <c r="EPA1453"/>
      <c r="EPB1453"/>
      <c r="EPC1453"/>
      <c r="EPD1453"/>
      <c r="EPE1453"/>
      <c r="EPF1453"/>
      <c r="EPG1453"/>
      <c r="EPH1453"/>
      <c r="EPI1453"/>
      <c r="EPJ1453"/>
      <c r="EPK1453"/>
      <c r="EPL1453"/>
      <c r="EPM1453"/>
      <c r="EPN1453"/>
      <c r="EPO1453"/>
      <c r="EPP1453"/>
      <c r="EPQ1453"/>
      <c r="EPR1453"/>
      <c r="EPS1453"/>
      <c r="EPT1453"/>
      <c r="EPU1453"/>
      <c r="EPV1453"/>
      <c r="EPW1453"/>
      <c r="EPX1453"/>
      <c r="EPY1453"/>
      <c r="EPZ1453"/>
      <c r="EQA1453"/>
      <c r="EQB1453"/>
      <c r="EQC1453"/>
      <c r="EQD1453"/>
      <c r="EQE1453"/>
      <c r="EQF1453"/>
      <c r="EQG1453"/>
      <c r="EQH1453"/>
      <c r="EQI1453"/>
      <c r="EQJ1453"/>
      <c r="EQK1453"/>
      <c r="EQL1453"/>
      <c r="EQM1453"/>
      <c r="EQN1453"/>
      <c r="EQO1453"/>
      <c r="EQP1453"/>
      <c r="EQQ1453"/>
      <c r="EQR1453"/>
      <c r="EQS1453"/>
      <c r="EQT1453"/>
      <c r="EQU1453"/>
      <c r="EQV1453"/>
      <c r="EQW1453"/>
      <c r="EQX1453"/>
      <c r="EQY1453"/>
      <c r="EQZ1453"/>
      <c r="ERA1453"/>
      <c r="ERB1453"/>
      <c r="ERC1453"/>
      <c r="ERD1453"/>
      <c r="ERE1453"/>
      <c r="ERF1453"/>
      <c r="ERG1453"/>
      <c r="ERH1453"/>
      <c r="ERI1453"/>
      <c r="ERJ1453"/>
      <c r="ERK1453"/>
      <c r="ERL1453"/>
      <c r="ERM1453"/>
      <c r="ERN1453"/>
      <c r="ERO1453"/>
      <c r="ERP1453"/>
      <c r="ERQ1453"/>
      <c r="ERR1453"/>
      <c r="ERS1453"/>
      <c r="ERT1453"/>
      <c r="ERU1453"/>
      <c r="ERV1453"/>
      <c r="ERW1453"/>
      <c r="ERX1453"/>
      <c r="ERY1453"/>
      <c r="ERZ1453"/>
      <c r="ESA1453"/>
      <c r="ESB1453"/>
      <c r="ESC1453"/>
      <c r="ESD1453"/>
      <c r="ESE1453"/>
      <c r="ESF1453"/>
      <c r="ESG1453"/>
      <c r="ESH1453"/>
      <c r="ESI1453"/>
      <c r="ESJ1453"/>
      <c r="ESK1453"/>
      <c r="ESL1453"/>
      <c r="ESM1453"/>
      <c r="ESN1453"/>
      <c r="ESO1453"/>
      <c r="ESP1453"/>
      <c r="ESQ1453"/>
      <c r="ESR1453"/>
      <c r="ESS1453"/>
      <c r="EST1453"/>
      <c r="ESU1453"/>
      <c r="ESV1453"/>
      <c r="ESW1453"/>
      <c r="ESX1453"/>
      <c r="ESY1453"/>
      <c r="ESZ1453"/>
      <c r="ETA1453"/>
      <c r="ETB1453"/>
      <c r="ETC1453"/>
      <c r="ETD1453"/>
      <c r="ETE1453"/>
      <c r="ETF1453"/>
      <c r="ETG1453"/>
      <c r="ETH1453"/>
      <c r="ETI1453"/>
      <c r="ETJ1453"/>
      <c r="ETK1453"/>
      <c r="ETL1453"/>
      <c r="ETM1453"/>
      <c r="ETN1453"/>
      <c r="ETO1453"/>
      <c r="ETP1453"/>
      <c r="ETQ1453"/>
      <c r="ETR1453"/>
      <c r="ETS1453"/>
      <c r="ETT1453"/>
      <c r="ETU1453"/>
      <c r="ETV1453"/>
      <c r="ETW1453"/>
      <c r="ETX1453"/>
      <c r="ETY1453"/>
      <c r="ETZ1453"/>
      <c r="EUA1453"/>
      <c r="EUB1453"/>
      <c r="EUC1453"/>
      <c r="EUD1453"/>
      <c r="EUE1453"/>
      <c r="EUF1453"/>
      <c r="EUG1453"/>
      <c r="EUH1453"/>
      <c r="EUI1453"/>
      <c r="EUJ1453"/>
      <c r="EUK1453"/>
      <c r="EUL1453"/>
      <c r="EUM1453"/>
      <c r="EUN1453"/>
      <c r="EUO1453"/>
      <c r="EUP1453"/>
      <c r="EUQ1453"/>
      <c r="EUR1453"/>
      <c r="EUS1453"/>
      <c r="EUT1453"/>
      <c r="EUU1453"/>
      <c r="EUV1453"/>
      <c r="EUW1453"/>
      <c r="EUX1453"/>
      <c r="EUY1453"/>
      <c r="EUZ1453"/>
      <c r="EVA1453"/>
      <c r="EVB1453"/>
      <c r="EVC1453"/>
      <c r="EVD1453"/>
      <c r="EVE1453"/>
      <c r="EVF1453"/>
      <c r="EVG1453"/>
      <c r="EVH1453"/>
      <c r="EVI1453"/>
      <c r="EVJ1453"/>
      <c r="EVK1453"/>
      <c r="EVL1453"/>
      <c r="EVM1453"/>
      <c r="EVN1453"/>
      <c r="EVO1453"/>
      <c r="EVP1453"/>
      <c r="EVQ1453"/>
      <c r="EVR1453"/>
      <c r="EVS1453"/>
      <c r="EVT1453"/>
      <c r="EVU1453"/>
      <c r="EVV1453"/>
      <c r="EVW1453"/>
      <c r="EVX1453"/>
      <c r="EVY1453"/>
      <c r="EVZ1453"/>
      <c r="EWA1453"/>
      <c r="EWB1453"/>
      <c r="EWC1453"/>
      <c r="EWD1453"/>
      <c r="EWE1453"/>
      <c r="EWF1453"/>
      <c r="EWG1453"/>
      <c r="EWH1453"/>
      <c r="EWI1453"/>
      <c r="EWJ1453"/>
      <c r="EWK1453"/>
      <c r="EWL1453"/>
      <c r="EWM1453"/>
      <c r="EWN1453"/>
      <c r="EWO1453"/>
      <c r="EWP1453"/>
      <c r="EWQ1453"/>
      <c r="EWR1453"/>
      <c r="EWS1453"/>
      <c r="EWT1453"/>
      <c r="EWU1453"/>
      <c r="EWV1453"/>
      <c r="EWW1453"/>
      <c r="EWX1453"/>
      <c r="EWY1453"/>
      <c r="EWZ1453"/>
      <c r="EXA1453"/>
      <c r="EXB1453"/>
      <c r="EXC1453"/>
      <c r="EXD1453"/>
      <c r="EXE1453"/>
      <c r="EXF1453"/>
      <c r="EXG1453"/>
      <c r="EXH1453"/>
      <c r="EXI1453"/>
      <c r="EXJ1453"/>
      <c r="EXK1453"/>
      <c r="EXL1453"/>
      <c r="EXM1453"/>
      <c r="EXN1453"/>
      <c r="EXO1453"/>
      <c r="EXP1453"/>
      <c r="EXQ1453"/>
      <c r="EXR1453"/>
      <c r="EXS1453"/>
      <c r="EXT1453"/>
      <c r="EXU1453"/>
      <c r="EXV1453"/>
      <c r="EXW1453"/>
      <c r="EXX1453"/>
      <c r="EXY1453"/>
      <c r="EXZ1453"/>
      <c r="EYA1453"/>
      <c r="EYB1453"/>
      <c r="EYC1453"/>
      <c r="EYD1453"/>
      <c r="EYE1453"/>
      <c r="EYF1453"/>
      <c r="EYG1453"/>
      <c r="EYH1453"/>
      <c r="EYI1453"/>
      <c r="EYJ1453"/>
      <c r="EYK1453"/>
      <c r="EYL1453"/>
      <c r="EYM1453"/>
      <c r="EYN1453"/>
      <c r="EYO1453"/>
      <c r="EYP1453"/>
      <c r="EYQ1453"/>
      <c r="EYR1453"/>
      <c r="EYS1453"/>
      <c r="EYT1453"/>
      <c r="EYU1453"/>
      <c r="EYV1453"/>
      <c r="EYW1453"/>
      <c r="EYX1453"/>
      <c r="EYY1453"/>
      <c r="EYZ1453"/>
      <c r="EZA1453"/>
      <c r="EZB1453"/>
      <c r="EZC1453"/>
      <c r="EZD1453"/>
      <c r="EZE1453"/>
      <c r="EZF1453"/>
      <c r="EZG1453"/>
      <c r="EZH1453"/>
      <c r="EZI1453"/>
      <c r="EZJ1453"/>
      <c r="EZK1453"/>
      <c r="EZL1453"/>
      <c r="EZM1453"/>
      <c r="EZN1453"/>
      <c r="EZO1453"/>
      <c r="EZP1453"/>
      <c r="EZQ1453"/>
      <c r="EZR1453"/>
      <c r="EZS1453"/>
      <c r="EZT1453"/>
      <c r="EZU1453"/>
      <c r="EZV1453"/>
      <c r="EZW1453"/>
      <c r="EZX1453"/>
      <c r="EZY1453"/>
      <c r="EZZ1453"/>
      <c r="FAA1453"/>
      <c r="FAB1453"/>
      <c r="FAC1453"/>
      <c r="FAD1453"/>
      <c r="FAE1453"/>
      <c r="FAF1453"/>
      <c r="FAG1453"/>
      <c r="FAH1453"/>
      <c r="FAI1453"/>
      <c r="FAJ1453"/>
      <c r="FAK1453"/>
      <c r="FAL1453"/>
      <c r="FAM1453"/>
      <c r="FAN1453"/>
      <c r="FAO1453"/>
      <c r="FAP1453"/>
      <c r="FAQ1453"/>
      <c r="FAR1453"/>
      <c r="FAS1453"/>
      <c r="FAT1453"/>
      <c r="FAU1453"/>
      <c r="FAV1453"/>
      <c r="FAW1453"/>
      <c r="FAX1453"/>
      <c r="FAY1453"/>
      <c r="FAZ1453"/>
      <c r="FBA1453"/>
      <c r="FBB1453"/>
      <c r="FBC1453"/>
      <c r="FBD1453"/>
      <c r="FBE1453"/>
      <c r="FBF1453"/>
      <c r="FBG1453"/>
      <c r="FBH1453"/>
      <c r="FBI1453"/>
      <c r="FBJ1453"/>
      <c r="FBK1453"/>
      <c r="FBL1453"/>
      <c r="FBM1453"/>
      <c r="FBN1453"/>
      <c r="FBO1453"/>
      <c r="FBP1453"/>
      <c r="FBQ1453"/>
      <c r="FBR1453"/>
      <c r="FBS1453"/>
      <c r="FBT1453"/>
      <c r="FBU1453"/>
      <c r="FBV1453"/>
      <c r="FBW1453"/>
      <c r="FBX1453"/>
      <c r="FBY1453"/>
      <c r="FBZ1453"/>
      <c r="FCA1453"/>
      <c r="FCB1453"/>
      <c r="FCC1453"/>
      <c r="FCD1453"/>
      <c r="FCE1453"/>
      <c r="FCF1453"/>
      <c r="FCG1453"/>
      <c r="FCH1453"/>
      <c r="FCI1453"/>
      <c r="FCJ1453"/>
      <c r="FCK1453"/>
      <c r="FCL1453"/>
      <c r="FCM1453"/>
      <c r="FCN1453"/>
      <c r="FCO1453"/>
      <c r="FCP1453"/>
      <c r="FCQ1453"/>
      <c r="FCR1453"/>
      <c r="FCS1453"/>
      <c r="FCT1453"/>
      <c r="FCU1453"/>
      <c r="FCV1453"/>
      <c r="FCW1453"/>
      <c r="FCX1453"/>
      <c r="FCY1453"/>
      <c r="FCZ1453"/>
      <c r="FDA1453"/>
      <c r="FDB1453"/>
      <c r="FDC1453"/>
      <c r="FDD1453"/>
      <c r="FDE1453"/>
      <c r="FDF1453"/>
      <c r="FDG1453"/>
      <c r="FDH1453"/>
      <c r="FDI1453"/>
      <c r="FDJ1453"/>
      <c r="FDK1453"/>
      <c r="FDL1453"/>
      <c r="FDM1453"/>
      <c r="FDN1453"/>
      <c r="FDO1453"/>
      <c r="FDP1453"/>
      <c r="FDQ1453"/>
      <c r="FDR1453"/>
      <c r="FDS1453"/>
      <c r="FDT1453"/>
      <c r="FDU1453"/>
      <c r="FDV1453"/>
      <c r="FDW1453"/>
      <c r="FDX1453"/>
      <c r="FDY1453"/>
      <c r="FDZ1453"/>
      <c r="FEA1453"/>
      <c r="FEB1453"/>
      <c r="FEC1453"/>
      <c r="FED1453"/>
      <c r="FEE1453"/>
      <c r="FEF1453"/>
      <c r="FEG1453"/>
      <c r="FEH1453"/>
      <c r="FEI1453"/>
      <c r="FEJ1453"/>
      <c r="FEK1453"/>
      <c r="FEL1453"/>
      <c r="FEM1453"/>
      <c r="FEN1453"/>
      <c r="FEO1453"/>
      <c r="FEP1453"/>
      <c r="FEQ1453"/>
      <c r="FER1453"/>
      <c r="FES1453"/>
      <c r="FET1453"/>
      <c r="FEU1453"/>
      <c r="FEV1453"/>
      <c r="FEW1453"/>
      <c r="FEX1453"/>
      <c r="FEY1453"/>
      <c r="FEZ1453"/>
      <c r="FFA1453"/>
      <c r="FFB1453"/>
      <c r="FFC1453"/>
      <c r="FFD1453"/>
      <c r="FFE1453"/>
      <c r="FFF1453"/>
      <c r="FFG1453"/>
      <c r="FFH1453"/>
      <c r="FFI1453"/>
      <c r="FFJ1453"/>
      <c r="FFK1453"/>
      <c r="FFL1453"/>
      <c r="FFM1453"/>
      <c r="FFN1453"/>
      <c r="FFO1453"/>
      <c r="FFP1453"/>
      <c r="FFQ1453"/>
      <c r="FFR1453"/>
      <c r="FFS1453"/>
      <c r="FFT1453"/>
      <c r="FFU1453"/>
      <c r="FFV1453"/>
      <c r="FFW1453"/>
      <c r="FFX1453"/>
      <c r="FFY1453"/>
      <c r="FFZ1453"/>
      <c r="FGA1453"/>
      <c r="FGB1453"/>
      <c r="FGC1453"/>
      <c r="FGD1453"/>
      <c r="FGE1453"/>
      <c r="FGF1453"/>
      <c r="FGG1453"/>
      <c r="FGH1453"/>
      <c r="FGI1453"/>
      <c r="FGJ1453"/>
      <c r="FGK1453"/>
      <c r="FGL1453"/>
      <c r="FGM1453"/>
      <c r="FGN1453"/>
      <c r="FGO1453"/>
      <c r="FGP1453"/>
      <c r="FGQ1453"/>
      <c r="FGR1453"/>
      <c r="FGS1453"/>
      <c r="FGT1453"/>
      <c r="FGU1453"/>
      <c r="FGV1453"/>
      <c r="FGW1453"/>
      <c r="FGX1453"/>
      <c r="FGY1453"/>
      <c r="FGZ1453"/>
      <c r="FHA1453"/>
      <c r="FHB1453"/>
      <c r="FHC1453"/>
      <c r="FHD1453"/>
      <c r="FHE1453"/>
      <c r="FHF1453"/>
      <c r="FHG1453"/>
      <c r="FHH1453"/>
      <c r="FHI1453"/>
      <c r="FHJ1453"/>
      <c r="FHK1453"/>
      <c r="FHL1453"/>
      <c r="FHM1453"/>
      <c r="FHN1453"/>
      <c r="FHO1453"/>
      <c r="FHP1453"/>
      <c r="FHQ1453"/>
      <c r="FHR1453"/>
      <c r="FHS1453"/>
      <c r="FHT1453"/>
      <c r="FHU1453"/>
      <c r="FHV1453"/>
      <c r="FHW1453"/>
      <c r="FHX1453"/>
      <c r="FHY1453"/>
      <c r="FHZ1453"/>
      <c r="FIA1453"/>
      <c r="FIB1453"/>
      <c r="FIC1453"/>
      <c r="FID1453"/>
      <c r="FIE1453"/>
      <c r="FIF1453"/>
      <c r="FIG1453"/>
      <c r="FIH1453"/>
      <c r="FII1453"/>
      <c r="FIJ1453"/>
      <c r="FIK1453"/>
      <c r="FIL1453"/>
      <c r="FIM1453"/>
      <c r="FIN1453"/>
      <c r="FIO1453"/>
      <c r="FIP1453"/>
      <c r="FIQ1453"/>
      <c r="FIR1453"/>
      <c r="FIS1453"/>
      <c r="FIT1453"/>
      <c r="FIU1453"/>
      <c r="FIV1453"/>
      <c r="FIW1453"/>
      <c r="FIX1453"/>
      <c r="FIY1453"/>
      <c r="FIZ1453"/>
      <c r="FJA1453"/>
      <c r="FJB1453"/>
      <c r="FJC1453"/>
      <c r="FJD1453"/>
      <c r="FJE1453"/>
      <c r="FJF1453"/>
      <c r="FJG1453"/>
      <c r="FJH1453"/>
      <c r="FJI1453"/>
      <c r="FJJ1453"/>
      <c r="FJK1453"/>
      <c r="FJL1453"/>
      <c r="FJM1453"/>
      <c r="FJN1453"/>
      <c r="FJO1453"/>
      <c r="FJP1453"/>
      <c r="FJQ1453"/>
      <c r="FJR1453"/>
      <c r="FJS1453"/>
      <c r="FJT1453"/>
      <c r="FJU1453"/>
      <c r="FJV1453"/>
      <c r="FJW1453"/>
      <c r="FJX1453"/>
      <c r="FJY1453"/>
      <c r="FJZ1453"/>
      <c r="FKA1453"/>
      <c r="FKB1453"/>
      <c r="FKC1453"/>
      <c r="FKD1453"/>
      <c r="FKE1453"/>
      <c r="FKF1453"/>
      <c r="FKG1453"/>
      <c r="FKH1453"/>
      <c r="FKI1453"/>
      <c r="FKJ1453"/>
      <c r="FKK1453"/>
      <c r="FKL1453"/>
      <c r="FKM1453"/>
      <c r="FKN1453"/>
      <c r="FKO1453"/>
      <c r="FKP1453"/>
      <c r="FKQ1453"/>
      <c r="FKR1453"/>
      <c r="FKS1453"/>
      <c r="FKT1453"/>
      <c r="FKU1453"/>
      <c r="FKV1453"/>
      <c r="FKW1453"/>
      <c r="FKX1453"/>
      <c r="FKY1453"/>
      <c r="FKZ1453"/>
      <c r="FLA1453"/>
      <c r="FLB1453"/>
      <c r="FLC1453"/>
      <c r="FLD1453"/>
      <c r="FLE1453"/>
      <c r="FLF1453"/>
      <c r="FLG1453"/>
      <c r="FLH1453"/>
      <c r="FLI1453"/>
      <c r="FLJ1453"/>
      <c r="FLK1453"/>
      <c r="FLL1453"/>
      <c r="FLM1453"/>
      <c r="FLN1453"/>
      <c r="FLO1453"/>
      <c r="FLP1453"/>
      <c r="FLQ1453"/>
      <c r="FLR1453"/>
      <c r="FLS1453"/>
      <c r="FLT1453"/>
      <c r="FLU1453"/>
      <c r="FLV1453"/>
      <c r="FLW1453"/>
      <c r="FLX1453"/>
      <c r="FLY1453"/>
      <c r="FLZ1453"/>
      <c r="FMA1453"/>
      <c r="FMB1453"/>
      <c r="FMC1453"/>
      <c r="FMD1453"/>
      <c r="FME1453"/>
      <c r="FMF1453"/>
      <c r="FMG1453"/>
      <c r="FMH1453"/>
      <c r="FMI1453"/>
      <c r="FMJ1453"/>
      <c r="FMK1453"/>
      <c r="FML1453"/>
      <c r="FMM1453"/>
      <c r="FMN1453"/>
      <c r="FMO1453"/>
      <c r="FMP1453"/>
      <c r="FMQ1453"/>
      <c r="FMR1453"/>
      <c r="FMS1453"/>
      <c r="FMT1453"/>
      <c r="FMU1453"/>
      <c r="FMV1453"/>
      <c r="FMW1453"/>
      <c r="FMX1453"/>
      <c r="FMY1453"/>
      <c r="FMZ1453"/>
      <c r="FNA1453"/>
      <c r="FNB1453"/>
      <c r="FNC1453"/>
      <c r="FND1453"/>
      <c r="FNE1453"/>
      <c r="FNF1453"/>
      <c r="FNG1453"/>
      <c r="FNH1453"/>
      <c r="FNI1453"/>
      <c r="FNJ1453"/>
      <c r="FNK1453"/>
      <c r="FNL1453"/>
      <c r="FNM1453"/>
      <c r="FNN1453"/>
      <c r="FNO1453"/>
      <c r="FNP1453"/>
      <c r="FNQ1453"/>
      <c r="FNR1453"/>
      <c r="FNS1453"/>
      <c r="FNT1453"/>
      <c r="FNU1453"/>
      <c r="FNV1453"/>
      <c r="FNW1453"/>
      <c r="FNX1453"/>
      <c r="FNY1453"/>
      <c r="FNZ1453"/>
      <c r="FOA1453"/>
      <c r="FOB1453"/>
      <c r="FOC1453"/>
      <c r="FOD1453"/>
      <c r="FOE1453"/>
      <c r="FOF1453"/>
      <c r="FOG1453"/>
      <c r="FOH1453"/>
      <c r="FOI1453"/>
      <c r="FOJ1453"/>
      <c r="FOK1453"/>
      <c r="FOL1453"/>
      <c r="FOM1453"/>
      <c r="FON1453"/>
      <c r="FOO1453"/>
      <c r="FOP1453"/>
      <c r="FOQ1453"/>
      <c r="FOR1453"/>
      <c r="FOS1453"/>
      <c r="FOT1453"/>
      <c r="FOU1453"/>
      <c r="FOV1453"/>
      <c r="FOW1453"/>
      <c r="FOX1453"/>
      <c r="FOY1453"/>
      <c r="FOZ1453"/>
      <c r="FPA1453"/>
      <c r="FPB1453"/>
      <c r="FPC1453"/>
      <c r="FPD1453"/>
      <c r="FPE1453"/>
      <c r="FPF1453"/>
      <c r="FPG1453"/>
      <c r="FPH1453"/>
      <c r="FPI1453"/>
      <c r="FPJ1453"/>
      <c r="FPK1453"/>
      <c r="FPL1453"/>
      <c r="FPM1453"/>
      <c r="FPN1453"/>
      <c r="FPO1453"/>
      <c r="FPP1453"/>
      <c r="FPQ1453"/>
      <c r="FPR1453"/>
      <c r="FPS1453"/>
      <c r="FPT1453"/>
      <c r="FPU1453"/>
      <c r="FPV1453"/>
      <c r="FPW1453"/>
      <c r="FPX1453"/>
      <c r="FPY1453"/>
      <c r="FPZ1453"/>
      <c r="FQA1453"/>
      <c r="FQB1453"/>
      <c r="FQC1453"/>
      <c r="FQD1453"/>
      <c r="FQE1453"/>
      <c r="FQF1453"/>
      <c r="FQG1453"/>
      <c r="FQH1453"/>
      <c r="FQI1453"/>
      <c r="FQJ1453"/>
      <c r="FQK1453"/>
      <c r="FQL1453"/>
      <c r="FQM1453"/>
      <c r="FQN1453"/>
      <c r="FQO1453"/>
      <c r="FQP1453"/>
      <c r="FQQ1453"/>
      <c r="FQR1453"/>
      <c r="FQS1453"/>
      <c r="FQT1453"/>
      <c r="FQU1453"/>
      <c r="FQV1453"/>
      <c r="FQW1453"/>
      <c r="FQX1453"/>
      <c r="FQY1453"/>
      <c r="FQZ1453"/>
      <c r="FRA1453"/>
      <c r="FRB1453"/>
      <c r="FRC1453"/>
      <c r="FRD1453"/>
      <c r="FRE1453"/>
      <c r="FRF1453"/>
      <c r="FRG1453"/>
      <c r="FRH1453"/>
      <c r="FRI1453"/>
      <c r="FRJ1453"/>
      <c r="FRK1453"/>
      <c r="FRL1453"/>
      <c r="FRM1453"/>
      <c r="FRN1453"/>
      <c r="FRO1453"/>
      <c r="FRP1453"/>
      <c r="FRQ1453"/>
      <c r="FRR1453"/>
      <c r="FRS1453"/>
      <c r="FRT1453"/>
      <c r="FRU1453"/>
      <c r="FRV1453"/>
      <c r="FRW1453"/>
      <c r="FRX1453"/>
      <c r="FRY1453"/>
      <c r="FRZ1453"/>
      <c r="FSA1453"/>
      <c r="FSB1453"/>
      <c r="FSC1453"/>
      <c r="FSD1453"/>
      <c r="FSE1453"/>
      <c r="FSF1453"/>
      <c r="FSG1453"/>
      <c r="FSH1453"/>
      <c r="FSI1453"/>
      <c r="FSJ1453"/>
      <c r="FSK1453"/>
      <c r="FSL1453"/>
      <c r="FSM1453"/>
      <c r="FSN1453"/>
      <c r="FSO1453"/>
      <c r="FSP1453"/>
      <c r="FSQ1453"/>
      <c r="FSR1453"/>
      <c r="FSS1453"/>
      <c r="FST1453"/>
      <c r="FSU1453"/>
      <c r="FSV1453"/>
      <c r="FSW1453"/>
      <c r="FSX1453"/>
      <c r="FSY1453"/>
      <c r="FSZ1453"/>
      <c r="FTA1453"/>
      <c r="FTB1453"/>
      <c r="FTC1453"/>
      <c r="FTD1453"/>
      <c r="FTE1453"/>
      <c r="FTF1453"/>
      <c r="FTG1453"/>
      <c r="FTH1453"/>
      <c r="FTI1453"/>
      <c r="FTJ1453"/>
      <c r="FTK1453"/>
      <c r="FTL1453"/>
      <c r="FTM1453"/>
      <c r="FTN1453"/>
      <c r="FTO1453"/>
      <c r="FTP1453"/>
      <c r="FTQ1453"/>
      <c r="FTR1453"/>
      <c r="FTS1453"/>
      <c r="FTT1453"/>
      <c r="FTU1453"/>
      <c r="FTV1453"/>
      <c r="FTW1453"/>
      <c r="FTX1453"/>
      <c r="FTY1453"/>
      <c r="FTZ1453"/>
      <c r="FUA1453"/>
      <c r="FUB1453"/>
      <c r="FUC1453"/>
      <c r="FUD1453"/>
      <c r="FUE1453"/>
      <c r="FUF1453"/>
      <c r="FUG1453"/>
      <c r="FUH1453"/>
      <c r="FUI1453"/>
      <c r="FUJ1453"/>
      <c r="FUK1453"/>
      <c r="FUL1453"/>
      <c r="FUM1453"/>
      <c r="FUN1453"/>
      <c r="FUO1453"/>
      <c r="FUP1453"/>
      <c r="FUQ1453"/>
      <c r="FUR1453"/>
      <c r="FUS1453"/>
      <c r="FUT1453"/>
      <c r="FUU1453"/>
      <c r="FUV1453"/>
      <c r="FUW1453"/>
      <c r="FUX1453"/>
      <c r="FUY1453"/>
      <c r="FUZ1453"/>
      <c r="FVA1453"/>
      <c r="FVB1453"/>
      <c r="FVC1453"/>
      <c r="FVD1453"/>
      <c r="FVE1453"/>
      <c r="FVF1453"/>
      <c r="FVG1453"/>
      <c r="FVH1453"/>
      <c r="FVI1453"/>
      <c r="FVJ1453"/>
      <c r="FVK1453"/>
      <c r="FVL1453"/>
      <c r="FVM1453"/>
      <c r="FVN1453"/>
      <c r="FVO1453"/>
      <c r="FVP1453"/>
      <c r="FVQ1453"/>
      <c r="FVR1453"/>
      <c r="FVS1453"/>
      <c r="FVT1453"/>
      <c r="FVU1453"/>
      <c r="FVV1453"/>
      <c r="FVW1453"/>
      <c r="FVX1453"/>
      <c r="FVY1453"/>
      <c r="FVZ1453"/>
      <c r="FWA1453"/>
      <c r="FWB1453"/>
      <c r="FWC1453"/>
      <c r="FWD1453"/>
      <c r="FWE1453"/>
      <c r="FWF1453"/>
      <c r="FWG1453"/>
      <c r="FWH1453"/>
      <c r="FWI1453"/>
      <c r="FWJ1453"/>
      <c r="FWK1453"/>
      <c r="FWL1453"/>
      <c r="FWM1453"/>
      <c r="FWN1453"/>
      <c r="FWO1453"/>
      <c r="FWP1453"/>
      <c r="FWQ1453"/>
      <c r="FWR1453"/>
      <c r="FWS1453"/>
      <c r="FWT1453"/>
      <c r="FWU1453"/>
      <c r="FWV1453"/>
      <c r="FWW1453"/>
      <c r="FWX1453"/>
      <c r="FWY1453"/>
      <c r="FWZ1453"/>
      <c r="FXA1453"/>
      <c r="FXB1453"/>
      <c r="FXC1453"/>
      <c r="FXD1453"/>
      <c r="FXE1453"/>
      <c r="FXF1453"/>
      <c r="FXG1453"/>
      <c r="FXH1453"/>
      <c r="FXI1453"/>
      <c r="FXJ1453"/>
      <c r="FXK1453"/>
      <c r="FXL1453"/>
      <c r="FXM1453"/>
      <c r="FXN1453"/>
      <c r="FXO1453"/>
      <c r="FXP1453"/>
      <c r="FXQ1453"/>
      <c r="FXR1453"/>
      <c r="FXS1453"/>
      <c r="FXT1453"/>
      <c r="FXU1453"/>
      <c r="FXV1453"/>
      <c r="FXW1453"/>
      <c r="FXX1453"/>
      <c r="FXY1453"/>
      <c r="FXZ1453"/>
      <c r="FYA1453"/>
      <c r="FYB1453"/>
      <c r="FYC1453"/>
      <c r="FYD1453"/>
      <c r="FYE1453"/>
      <c r="FYF1453"/>
      <c r="FYG1453"/>
      <c r="FYH1453"/>
      <c r="FYI1453"/>
      <c r="FYJ1453"/>
      <c r="FYK1453"/>
      <c r="FYL1453"/>
      <c r="FYM1453"/>
      <c r="FYN1453"/>
      <c r="FYO1453"/>
      <c r="FYP1453"/>
      <c r="FYQ1453"/>
      <c r="FYR1453"/>
      <c r="FYS1453"/>
      <c r="FYT1453"/>
      <c r="FYU1453"/>
      <c r="FYV1453"/>
      <c r="FYW1453"/>
      <c r="FYX1453"/>
      <c r="FYY1453"/>
      <c r="FYZ1453"/>
      <c r="FZA1453"/>
      <c r="FZB1453"/>
      <c r="FZC1453"/>
      <c r="FZD1453"/>
      <c r="FZE1453"/>
      <c r="FZF1453"/>
      <c r="FZG1453"/>
      <c r="FZH1453"/>
      <c r="FZI1453"/>
      <c r="FZJ1453"/>
      <c r="FZK1453"/>
      <c r="FZL1453"/>
      <c r="FZM1453"/>
      <c r="FZN1453"/>
      <c r="FZO1453"/>
      <c r="FZP1453"/>
      <c r="FZQ1453"/>
      <c r="FZR1453"/>
      <c r="FZS1453"/>
      <c r="FZT1453"/>
      <c r="FZU1453"/>
      <c r="FZV1453"/>
      <c r="FZW1453"/>
      <c r="FZX1453"/>
      <c r="FZY1453"/>
      <c r="FZZ1453"/>
      <c r="GAA1453"/>
      <c r="GAB1453"/>
      <c r="GAC1453"/>
      <c r="GAD1453"/>
      <c r="GAE1453"/>
      <c r="GAF1453"/>
      <c r="GAG1453"/>
      <c r="GAH1453"/>
      <c r="GAI1453"/>
      <c r="GAJ1453"/>
      <c r="GAK1453"/>
      <c r="GAL1453"/>
      <c r="GAM1453"/>
      <c r="GAN1453"/>
      <c r="GAO1453"/>
      <c r="GAP1453"/>
      <c r="GAQ1453"/>
      <c r="GAR1453"/>
      <c r="GAS1453"/>
      <c r="GAT1453"/>
      <c r="GAU1453"/>
      <c r="GAV1453"/>
      <c r="GAW1453"/>
      <c r="GAX1453"/>
      <c r="GAY1453"/>
      <c r="GAZ1453"/>
      <c r="GBA1453"/>
      <c r="GBB1453"/>
      <c r="GBC1453"/>
      <c r="GBD1453"/>
      <c r="GBE1453"/>
      <c r="GBF1453"/>
      <c r="GBG1453"/>
      <c r="GBH1453"/>
      <c r="GBI1453"/>
      <c r="GBJ1453"/>
      <c r="GBK1453"/>
      <c r="GBL1453"/>
      <c r="GBM1453"/>
      <c r="GBN1453"/>
      <c r="GBO1453"/>
      <c r="GBP1453"/>
      <c r="GBQ1453"/>
      <c r="GBR1453"/>
      <c r="GBS1453"/>
      <c r="GBT1453"/>
      <c r="GBU1453"/>
      <c r="GBV1453"/>
      <c r="GBW1453"/>
      <c r="GBX1453"/>
      <c r="GBY1453"/>
      <c r="GBZ1453"/>
      <c r="GCA1453"/>
      <c r="GCB1453"/>
      <c r="GCC1453"/>
      <c r="GCD1453"/>
      <c r="GCE1453"/>
      <c r="GCF1453"/>
      <c r="GCG1453"/>
      <c r="GCH1453"/>
      <c r="GCI1453"/>
      <c r="GCJ1453"/>
      <c r="GCK1453"/>
      <c r="GCL1453"/>
      <c r="GCM1453"/>
      <c r="GCN1453"/>
      <c r="GCO1453"/>
      <c r="GCP1453"/>
      <c r="GCQ1453"/>
      <c r="GCR1453"/>
      <c r="GCS1453"/>
      <c r="GCT1453"/>
      <c r="GCU1453"/>
      <c r="GCV1453"/>
      <c r="GCW1453"/>
      <c r="GCX1453"/>
      <c r="GCY1453"/>
      <c r="GCZ1453"/>
      <c r="GDA1453"/>
      <c r="GDB1453"/>
      <c r="GDC1453"/>
      <c r="GDD1453"/>
      <c r="GDE1453"/>
      <c r="GDF1453"/>
      <c r="GDG1453"/>
      <c r="GDH1453"/>
      <c r="GDI1453"/>
      <c r="GDJ1453"/>
      <c r="GDK1453"/>
      <c r="GDL1453"/>
      <c r="GDM1453"/>
      <c r="GDN1453"/>
      <c r="GDO1453"/>
      <c r="GDP1453"/>
      <c r="GDQ1453"/>
      <c r="GDR1453"/>
      <c r="GDS1453"/>
      <c r="GDT1453"/>
      <c r="GDU1453"/>
      <c r="GDV1453"/>
      <c r="GDW1453"/>
      <c r="GDX1453"/>
      <c r="GDY1453"/>
      <c r="GDZ1453"/>
      <c r="GEA1453"/>
      <c r="GEB1453"/>
      <c r="GEC1453"/>
      <c r="GED1453"/>
      <c r="GEE1453"/>
      <c r="GEF1453"/>
      <c r="GEG1453"/>
      <c r="GEH1453"/>
      <c r="GEI1453"/>
      <c r="GEJ1453"/>
      <c r="GEK1453"/>
      <c r="GEL1453"/>
      <c r="GEM1453"/>
      <c r="GEN1453"/>
      <c r="GEO1453"/>
      <c r="GEP1453"/>
      <c r="GEQ1453"/>
      <c r="GER1453"/>
      <c r="GES1453"/>
      <c r="GET1453"/>
      <c r="GEU1453"/>
      <c r="GEV1453"/>
      <c r="GEW1453"/>
      <c r="GEX1453"/>
      <c r="GEY1453"/>
      <c r="GEZ1453"/>
      <c r="GFA1453"/>
      <c r="GFB1453"/>
      <c r="GFC1453"/>
      <c r="GFD1453"/>
      <c r="GFE1453"/>
      <c r="GFF1453"/>
      <c r="GFG1453"/>
      <c r="GFH1453"/>
      <c r="GFI1453"/>
      <c r="GFJ1453"/>
      <c r="GFK1453"/>
      <c r="GFL1453"/>
      <c r="GFM1453"/>
      <c r="GFN1453"/>
      <c r="GFO1453"/>
      <c r="GFP1453"/>
      <c r="GFQ1453"/>
      <c r="GFR1453"/>
      <c r="GFS1453"/>
      <c r="GFT1453"/>
      <c r="GFU1453"/>
      <c r="GFV1453"/>
      <c r="GFW1453"/>
      <c r="GFX1453"/>
      <c r="GFY1453"/>
      <c r="GFZ1453"/>
      <c r="GGA1453"/>
      <c r="GGB1453"/>
      <c r="GGC1453"/>
      <c r="GGD1453"/>
      <c r="GGE1453"/>
      <c r="GGF1453"/>
      <c r="GGG1453"/>
      <c r="GGH1453"/>
      <c r="GGI1453"/>
      <c r="GGJ1453"/>
      <c r="GGK1453"/>
      <c r="GGL1453"/>
      <c r="GGM1453"/>
      <c r="GGN1453"/>
      <c r="GGO1453"/>
      <c r="GGP1453"/>
      <c r="GGQ1453"/>
      <c r="GGR1453"/>
      <c r="GGS1453"/>
      <c r="GGT1453"/>
      <c r="GGU1453"/>
      <c r="GGV1453"/>
      <c r="GGW1453"/>
      <c r="GGX1453"/>
      <c r="GGY1453"/>
      <c r="GGZ1453"/>
      <c r="GHA1453"/>
      <c r="GHB1453"/>
      <c r="GHC1453"/>
      <c r="GHD1453"/>
      <c r="GHE1453"/>
      <c r="GHF1453"/>
      <c r="GHG1453"/>
      <c r="GHH1453"/>
      <c r="GHI1453"/>
      <c r="GHJ1453"/>
      <c r="GHK1453"/>
      <c r="GHL1453"/>
      <c r="GHM1453"/>
      <c r="GHN1453"/>
      <c r="GHO1453"/>
      <c r="GHP1453"/>
      <c r="GHQ1453"/>
      <c r="GHR1453"/>
      <c r="GHS1453"/>
      <c r="GHT1453"/>
      <c r="GHU1453"/>
      <c r="GHV1453"/>
      <c r="GHW1453"/>
      <c r="GHX1453"/>
      <c r="GHY1453"/>
      <c r="GHZ1453"/>
      <c r="GIA1453"/>
      <c r="GIB1453"/>
      <c r="GIC1453"/>
      <c r="GID1453"/>
      <c r="GIE1453"/>
      <c r="GIF1453"/>
      <c r="GIG1453"/>
      <c r="GIH1453"/>
      <c r="GII1453"/>
      <c r="GIJ1453"/>
      <c r="GIK1453"/>
      <c r="GIL1453"/>
      <c r="GIM1453"/>
      <c r="GIN1453"/>
      <c r="GIO1453"/>
      <c r="GIP1453"/>
      <c r="GIQ1453"/>
      <c r="GIR1453"/>
      <c r="GIS1453"/>
      <c r="GIT1453"/>
      <c r="GIU1453"/>
      <c r="GIV1453"/>
      <c r="GIW1453"/>
      <c r="GIX1453"/>
      <c r="GIY1453"/>
      <c r="GIZ1453"/>
      <c r="GJA1453"/>
      <c r="GJB1453"/>
      <c r="GJC1453"/>
      <c r="GJD1453"/>
      <c r="GJE1453"/>
      <c r="GJF1453"/>
      <c r="GJG1453"/>
      <c r="GJH1453"/>
      <c r="GJI1453"/>
      <c r="GJJ1453"/>
      <c r="GJK1453"/>
      <c r="GJL1453"/>
      <c r="GJM1453"/>
      <c r="GJN1453"/>
      <c r="GJO1453"/>
      <c r="GJP1453"/>
      <c r="GJQ1453"/>
      <c r="GJR1453"/>
      <c r="GJS1453"/>
      <c r="GJT1453"/>
      <c r="GJU1453"/>
      <c r="GJV1453"/>
      <c r="GJW1453"/>
      <c r="GJX1453"/>
      <c r="GJY1453"/>
      <c r="GJZ1453"/>
      <c r="GKA1453"/>
      <c r="GKB1453"/>
      <c r="GKC1453"/>
      <c r="GKD1453"/>
      <c r="GKE1453"/>
      <c r="GKF1453"/>
      <c r="GKG1453"/>
      <c r="GKH1453"/>
      <c r="GKI1453"/>
      <c r="GKJ1453"/>
      <c r="GKK1453"/>
      <c r="GKL1453"/>
      <c r="GKM1453"/>
      <c r="GKN1453"/>
      <c r="GKO1453"/>
      <c r="GKP1453"/>
      <c r="GKQ1453"/>
      <c r="GKR1453"/>
      <c r="GKS1453"/>
      <c r="GKT1453"/>
      <c r="GKU1453"/>
      <c r="GKV1453"/>
      <c r="GKW1453"/>
      <c r="GKX1453"/>
      <c r="GKY1453"/>
      <c r="GKZ1453"/>
      <c r="GLA1453"/>
      <c r="GLB1453"/>
      <c r="GLC1453"/>
      <c r="GLD1453"/>
      <c r="GLE1453"/>
      <c r="GLF1453"/>
      <c r="GLG1453"/>
      <c r="GLH1453"/>
      <c r="GLI1453"/>
      <c r="GLJ1453"/>
      <c r="GLK1453"/>
      <c r="GLL1453"/>
      <c r="GLM1453"/>
      <c r="GLN1453"/>
      <c r="GLO1453"/>
      <c r="GLP1453"/>
      <c r="GLQ1453"/>
      <c r="GLR1453"/>
      <c r="GLS1453"/>
      <c r="GLT1453"/>
      <c r="GLU1453"/>
      <c r="GLV1453"/>
      <c r="GLW1453"/>
      <c r="GLX1453"/>
      <c r="GLY1453"/>
      <c r="GLZ1453"/>
      <c r="GMA1453"/>
      <c r="GMB1453"/>
      <c r="GMC1453"/>
      <c r="GMD1453"/>
      <c r="GME1453"/>
      <c r="GMF1453"/>
      <c r="GMG1453"/>
      <c r="GMH1453"/>
      <c r="GMI1453"/>
      <c r="GMJ1453"/>
      <c r="GMK1453"/>
      <c r="GML1453"/>
      <c r="GMM1453"/>
      <c r="GMN1453"/>
      <c r="GMO1453"/>
      <c r="GMP1453"/>
      <c r="GMQ1453"/>
      <c r="GMR1453"/>
      <c r="GMS1453"/>
      <c r="GMT1453"/>
      <c r="GMU1453"/>
      <c r="GMV1453"/>
      <c r="GMW1453"/>
      <c r="GMX1453"/>
      <c r="GMY1453"/>
      <c r="GMZ1453"/>
      <c r="GNA1453"/>
      <c r="GNB1453"/>
      <c r="GNC1453"/>
      <c r="GND1453"/>
      <c r="GNE1453"/>
      <c r="GNF1453"/>
      <c r="GNG1453"/>
      <c r="GNH1453"/>
      <c r="GNI1453"/>
      <c r="GNJ1453"/>
      <c r="GNK1453"/>
      <c r="GNL1453"/>
      <c r="GNM1453"/>
      <c r="GNN1453"/>
      <c r="GNO1453"/>
      <c r="GNP1453"/>
      <c r="GNQ1453"/>
      <c r="GNR1453"/>
      <c r="GNS1453"/>
      <c r="GNT1453"/>
      <c r="GNU1453"/>
      <c r="GNV1453"/>
      <c r="GNW1453"/>
      <c r="GNX1453"/>
      <c r="GNY1453"/>
      <c r="GNZ1453"/>
      <c r="GOA1453"/>
      <c r="GOB1453"/>
      <c r="GOC1453"/>
      <c r="GOD1453"/>
      <c r="GOE1453"/>
      <c r="GOF1453"/>
      <c r="GOG1453"/>
      <c r="GOH1453"/>
      <c r="GOI1453"/>
      <c r="GOJ1453"/>
      <c r="GOK1453"/>
      <c r="GOL1453"/>
      <c r="GOM1453"/>
      <c r="GON1453"/>
      <c r="GOO1453"/>
      <c r="GOP1453"/>
      <c r="GOQ1453"/>
      <c r="GOR1453"/>
      <c r="GOS1453"/>
      <c r="GOT1453"/>
      <c r="GOU1453"/>
      <c r="GOV1453"/>
      <c r="GOW1453"/>
      <c r="GOX1453"/>
      <c r="GOY1453"/>
      <c r="GOZ1453"/>
      <c r="GPA1453"/>
      <c r="GPB1453"/>
      <c r="GPC1453"/>
      <c r="GPD1453"/>
      <c r="GPE1453"/>
      <c r="GPF1453"/>
      <c r="GPG1453"/>
      <c r="GPH1453"/>
      <c r="GPI1453"/>
      <c r="GPJ1453"/>
      <c r="GPK1453"/>
      <c r="GPL1453"/>
      <c r="GPM1453"/>
      <c r="GPN1453"/>
      <c r="GPO1453"/>
      <c r="GPP1453"/>
      <c r="GPQ1453"/>
      <c r="GPR1453"/>
      <c r="GPS1453"/>
      <c r="GPT1453"/>
      <c r="GPU1453"/>
      <c r="GPV1453"/>
      <c r="GPW1453"/>
      <c r="GPX1453"/>
      <c r="GPY1453"/>
      <c r="GPZ1453"/>
      <c r="GQA1453"/>
      <c r="GQB1453"/>
      <c r="GQC1453"/>
      <c r="GQD1453"/>
      <c r="GQE1453"/>
      <c r="GQF1453"/>
      <c r="GQG1453"/>
      <c r="GQH1453"/>
      <c r="GQI1453"/>
      <c r="GQJ1453"/>
      <c r="GQK1453"/>
      <c r="GQL1453"/>
      <c r="GQM1453"/>
      <c r="GQN1453"/>
      <c r="GQO1453"/>
      <c r="GQP1453"/>
      <c r="GQQ1453"/>
      <c r="GQR1453"/>
      <c r="GQS1453"/>
      <c r="GQT1453"/>
      <c r="GQU1453"/>
      <c r="GQV1453"/>
      <c r="GQW1453"/>
      <c r="GQX1453"/>
      <c r="GQY1453"/>
      <c r="GQZ1453"/>
      <c r="GRA1453"/>
      <c r="GRB1453"/>
      <c r="GRC1453"/>
      <c r="GRD1453"/>
      <c r="GRE1453"/>
      <c r="GRF1453"/>
      <c r="GRG1453"/>
      <c r="GRH1453"/>
      <c r="GRI1453"/>
      <c r="GRJ1453"/>
      <c r="GRK1453"/>
      <c r="GRL1453"/>
      <c r="GRM1453"/>
      <c r="GRN1453"/>
      <c r="GRO1453"/>
      <c r="GRP1453"/>
      <c r="GRQ1453"/>
      <c r="GRR1453"/>
      <c r="GRS1453"/>
      <c r="GRT1453"/>
      <c r="GRU1453"/>
      <c r="GRV1453"/>
      <c r="GRW1453"/>
      <c r="GRX1453"/>
      <c r="GRY1453"/>
      <c r="GRZ1453"/>
      <c r="GSA1453"/>
      <c r="GSB1453"/>
      <c r="GSC1453"/>
      <c r="GSD1453"/>
      <c r="GSE1453"/>
      <c r="GSF1453"/>
      <c r="GSG1453"/>
      <c r="GSH1453"/>
      <c r="GSI1453"/>
      <c r="GSJ1453"/>
      <c r="GSK1453"/>
      <c r="GSL1453"/>
      <c r="GSM1453"/>
      <c r="GSN1453"/>
      <c r="GSO1453"/>
      <c r="GSP1453"/>
      <c r="GSQ1453"/>
      <c r="GSR1453"/>
      <c r="GSS1453"/>
      <c r="GST1453"/>
      <c r="GSU1453"/>
      <c r="GSV1453"/>
      <c r="GSW1453"/>
      <c r="GSX1453"/>
      <c r="GSY1453"/>
      <c r="GSZ1453"/>
      <c r="GTA1453"/>
      <c r="GTB1453"/>
      <c r="GTC1453"/>
      <c r="GTD1453"/>
      <c r="GTE1453"/>
      <c r="GTF1453"/>
      <c r="GTG1453"/>
      <c r="GTH1453"/>
      <c r="GTI1453"/>
      <c r="GTJ1453"/>
      <c r="GTK1453"/>
      <c r="GTL1453"/>
      <c r="GTM1453"/>
      <c r="GTN1453"/>
      <c r="GTO1453"/>
      <c r="GTP1453"/>
      <c r="GTQ1453"/>
      <c r="GTR1453"/>
      <c r="GTS1453"/>
      <c r="GTT1453"/>
      <c r="GTU1453"/>
      <c r="GTV1453"/>
      <c r="GTW1453"/>
      <c r="GTX1453"/>
      <c r="GTY1453"/>
      <c r="GTZ1453"/>
      <c r="GUA1453"/>
      <c r="GUB1453"/>
      <c r="GUC1453"/>
      <c r="GUD1453"/>
      <c r="GUE1453"/>
      <c r="GUF1453"/>
      <c r="GUG1453"/>
      <c r="GUH1453"/>
      <c r="GUI1453"/>
      <c r="GUJ1453"/>
      <c r="GUK1453"/>
      <c r="GUL1453"/>
      <c r="GUM1453"/>
      <c r="GUN1453"/>
      <c r="GUO1453"/>
      <c r="GUP1453"/>
      <c r="GUQ1453"/>
      <c r="GUR1453"/>
      <c r="GUS1453"/>
      <c r="GUT1453"/>
      <c r="GUU1453"/>
      <c r="GUV1453"/>
      <c r="GUW1453"/>
      <c r="GUX1453"/>
      <c r="GUY1453"/>
      <c r="GUZ1453"/>
      <c r="GVA1453"/>
      <c r="GVB1453"/>
      <c r="GVC1453"/>
      <c r="GVD1453"/>
      <c r="GVE1453"/>
      <c r="GVF1453"/>
      <c r="GVG1453"/>
      <c r="GVH1453"/>
      <c r="GVI1453"/>
      <c r="GVJ1453"/>
      <c r="GVK1453"/>
      <c r="GVL1453"/>
      <c r="GVM1453"/>
      <c r="GVN1453"/>
      <c r="GVO1453"/>
      <c r="GVP1453"/>
      <c r="GVQ1453"/>
      <c r="GVR1453"/>
      <c r="GVS1453"/>
      <c r="GVT1453"/>
      <c r="GVU1453"/>
      <c r="GVV1453"/>
      <c r="GVW1453"/>
      <c r="GVX1453"/>
      <c r="GVY1453"/>
      <c r="GVZ1453"/>
      <c r="GWA1453"/>
      <c r="GWB1453"/>
      <c r="GWC1453"/>
      <c r="GWD1453"/>
      <c r="GWE1453"/>
      <c r="GWF1453"/>
      <c r="GWG1453"/>
      <c r="GWH1453"/>
      <c r="GWI1453"/>
      <c r="GWJ1453"/>
      <c r="GWK1453"/>
      <c r="GWL1453"/>
      <c r="GWM1453"/>
      <c r="GWN1453"/>
      <c r="GWO1453"/>
      <c r="GWP1453"/>
      <c r="GWQ1453"/>
      <c r="GWR1453"/>
      <c r="GWS1453"/>
      <c r="GWT1453"/>
      <c r="GWU1453"/>
      <c r="GWV1453"/>
      <c r="GWW1453"/>
      <c r="GWX1453"/>
      <c r="GWY1453"/>
      <c r="GWZ1453"/>
      <c r="GXA1453"/>
      <c r="GXB1453"/>
      <c r="GXC1453"/>
      <c r="GXD1453"/>
      <c r="GXE1453"/>
      <c r="GXF1453"/>
      <c r="GXG1453"/>
      <c r="GXH1453"/>
      <c r="GXI1453"/>
      <c r="GXJ1453"/>
      <c r="GXK1453"/>
      <c r="GXL1453"/>
      <c r="GXM1453"/>
      <c r="GXN1453"/>
      <c r="GXO1453"/>
      <c r="GXP1453"/>
      <c r="GXQ1453"/>
      <c r="GXR1453"/>
      <c r="GXS1453"/>
      <c r="GXT1453"/>
      <c r="GXU1453"/>
      <c r="GXV1453"/>
      <c r="GXW1453"/>
      <c r="GXX1453"/>
      <c r="GXY1453"/>
      <c r="GXZ1453"/>
      <c r="GYA1453"/>
      <c r="GYB1453"/>
      <c r="GYC1453"/>
      <c r="GYD1453"/>
      <c r="GYE1453"/>
      <c r="GYF1453"/>
      <c r="GYG1453"/>
      <c r="GYH1453"/>
      <c r="GYI1453"/>
      <c r="GYJ1453"/>
      <c r="GYK1453"/>
      <c r="GYL1453"/>
      <c r="GYM1453"/>
      <c r="GYN1453"/>
      <c r="GYO1453"/>
      <c r="GYP1453"/>
      <c r="GYQ1453"/>
      <c r="GYR1453"/>
      <c r="GYS1453"/>
      <c r="GYT1453"/>
      <c r="GYU1453"/>
      <c r="GYV1453"/>
      <c r="GYW1453"/>
      <c r="GYX1453"/>
      <c r="GYY1453"/>
      <c r="GYZ1453"/>
      <c r="GZA1453"/>
      <c r="GZB1453"/>
      <c r="GZC1453"/>
      <c r="GZD1453"/>
      <c r="GZE1453"/>
      <c r="GZF1453"/>
      <c r="GZG1453"/>
      <c r="GZH1453"/>
      <c r="GZI1453"/>
      <c r="GZJ1453"/>
      <c r="GZK1453"/>
      <c r="GZL1453"/>
      <c r="GZM1453"/>
      <c r="GZN1453"/>
      <c r="GZO1453"/>
      <c r="GZP1453"/>
      <c r="GZQ1453"/>
      <c r="GZR1453"/>
      <c r="GZS1453"/>
      <c r="GZT1453"/>
      <c r="GZU1453"/>
      <c r="GZV1453"/>
      <c r="GZW1453"/>
      <c r="GZX1453"/>
      <c r="GZY1453"/>
      <c r="GZZ1453"/>
      <c r="HAA1453"/>
      <c r="HAB1453"/>
      <c r="HAC1453"/>
      <c r="HAD1453"/>
      <c r="HAE1453"/>
      <c r="HAF1453"/>
      <c r="HAG1453"/>
      <c r="HAH1453"/>
      <c r="HAI1453"/>
      <c r="HAJ1453"/>
      <c r="HAK1453"/>
      <c r="HAL1453"/>
      <c r="HAM1453"/>
      <c r="HAN1453"/>
      <c r="HAO1453"/>
      <c r="HAP1453"/>
      <c r="HAQ1453"/>
      <c r="HAR1453"/>
      <c r="HAS1453"/>
      <c r="HAT1453"/>
      <c r="HAU1453"/>
      <c r="HAV1453"/>
      <c r="HAW1453"/>
      <c r="HAX1453"/>
      <c r="HAY1453"/>
      <c r="HAZ1453"/>
      <c r="HBA1453"/>
      <c r="HBB1453"/>
      <c r="HBC1453"/>
      <c r="HBD1453"/>
      <c r="HBE1453"/>
      <c r="HBF1453"/>
      <c r="HBG1453"/>
      <c r="HBH1453"/>
      <c r="HBI1453"/>
      <c r="HBJ1453"/>
      <c r="HBK1453"/>
      <c r="HBL1453"/>
      <c r="HBM1453"/>
      <c r="HBN1453"/>
      <c r="HBO1453"/>
      <c r="HBP1453"/>
      <c r="HBQ1453"/>
      <c r="HBR1453"/>
      <c r="HBS1453"/>
      <c r="HBT1453"/>
      <c r="HBU1453"/>
      <c r="HBV1453"/>
      <c r="HBW1453"/>
      <c r="HBX1453"/>
      <c r="HBY1453"/>
      <c r="HBZ1453"/>
      <c r="HCA1453"/>
      <c r="HCB1453"/>
      <c r="HCC1453"/>
      <c r="HCD1453"/>
      <c r="HCE1453"/>
      <c r="HCF1453"/>
      <c r="HCG1453"/>
      <c r="HCH1453"/>
      <c r="HCI1453"/>
      <c r="HCJ1453"/>
      <c r="HCK1453"/>
      <c r="HCL1453"/>
      <c r="HCM1453"/>
      <c r="HCN1453"/>
      <c r="HCO1453"/>
      <c r="HCP1453"/>
      <c r="HCQ1453"/>
      <c r="HCR1453"/>
      <c r="HCS1453"/>
      <c r="HCT1453"/>
      <c r="HCU1453"/>
      <c r="HCV1453"/>
      <c r="HCW1453"/>
      <c r="HCX1453"/>
      <c r="HCY1453"/>
      <c r="HCZ1453"/>
      <c r="HDA1453"/>
      <c r="HDB1453"/>
      <c r="HDC1453"/>
      <c r="HDD1453"/>
      <c r="HDE1453"/>
      <c r="HDF1453"/>
      <c r="HDG1453"/>
      <c r="HDH1453"/>
      <c r="HDI1453"/>
      <c r="HDJ1453"/>
      <c r="HDK1453"/>
      <c r="HDL1453"/>
      <c r="HDM1453"/>
      <c r="HDN1453"/>
      <c r="HDO1453"/>
      <c r="HDP1453"/>
      <c r="HDQ1453"/>
      <c r="HDR1453"/>
      <c r="HDS1453"/>
      <c r="HDT1453"/>
      <c r="HDU1453"/>
      <c r="HDV1453"/>
      <c r="HDW1453"/>
      <c r="HDX1453"/>
      <c r="HDY1453"/>
      <c r="HDZ1453"/>
      <c r="HEA1453"/>
      <c r="HEB1453"/>
      <c r="HEC1453"/>
      <c r="HED1453"/>
      <c r="HEE1453"/>
      <c r="HEF1453"/>
      <c r="HEG1453"/>
      <c r="HEH1453"/>
      <c r="HEI1453"/>
      <c r="HEJ1453"/>
      <c r="HEK1453"/>
      <c r="HEL1453"/>
      <c r="HEM1453"/>
      <c r="HEN1453"/>
      <c r="HEO1453"/>
      <c r="HEP1453"/>
      <c r="HEQ1453"/>
      <c r="HER1453"/>
      <c r="HES1453"/>
      <c r="HET1453"/>
      <c r="HEU1453"/>
      <c r="HEV1453"/>
      <c r="HEW1453"/>
      <c r="HEX1453"/>
      <c r="HEY1453"/>
      <c r="HEZ1453"/>
      <c r="HFA1453"/>
      <c r="HFB1453"/>
      <c r="HFC1453"/>
      <c r="HFD1453"/>
      <c r="HFE1453"/>
      <c r="HFF1453"/>
      <c r="HFG1453"/>
      <c r="HFH1453"/>
      <c r="HFI1453"/>
      <c r="HFJ1453"/>
      <c r="HFK1453"/>
      <c r="HFL1453"/>
      <c r="HFM1453"/>
      <c r="HFN1453"/>
      <c r="HFO1453"/>
      <c r="HFP1453"/>
      <c r="HFQ1453"/>
      <c r="HFR1453"/>
      <c r="HFS1453"/>
      <c r="HFT1453"/>
      <c r="HFU1453"/>
      <c r="HFV1453"/>
      <c r="HFW1453"/>
      <c r="HFX1453"/>
      <c r="HFY1453"/>
      <c r="HFZ1453"/>
      <c r="HGA1453"/>
      <c r="HGB1453"/>
      <c r="HGC1453"/>
      <c r="HGD1453"/>
      <c r="HGE1453"/>
      <c r="HGF1453"/>
      <c r="HGG1453"/>
      <c r="HGH1453"/>
      <c r="HGI1453"/>
      <c r="HGJ1453"/>
      <c r="HGK1453"/>
      <c r="HGL1453"/>
      <c r="HGM1453"/>
      <c r="HGN1453"/>
      <c r="HGO1453"/>
      <c r="HGP1453"/>
      <c r="HGQ1453"/>
      <c r="HGR1453"/>
      <c r="HGS1453"/>
      <c r="HGT1453"/>
      <c r="HGU1453"/>
      <c r="HGV1453"/>
      <c r="HGW1453"/>
      <c r="HGX1453"/>
      <c r="HGY1453"/>
      <c r="HGZ1453"/>
      <c r="HHA1453"/>
      <c r="HHB1453"/>
      <c r="HHC1453"/>
      <c r="HHD1453"/>
      <c r="HHE1453"/>
      <c r="HHF1453"/>
      <c r="HHG1453"/>
      <c r="HHH1453"/>
      <c r="HHI1453"/>
      <c r="HHJ1453"/>
      <c r="HHK1453"/>
      <c r="HHL1453"/>
      <c r="HHM1453"/>
      <c r="HHN1453"/>
      <c r="HHO1453"/>
      <c r="HHP1453"/>
      <c r="HHQ1453"/>
      <c r="HHR1453"/>
      <c r="HHS1453"/>
      <c r="HHT1453"/>
      <c r="HHU1453"/>
      <c r="HHV1453"/>
      <c r="HHW1453"/>
      <c r="HHX1453"/>
      <c r="HHY1453"/>
      <c r="HHZ1453"/>
      <c r="HIA1453"/>
      <c r="HIB1453"/>
      <c r="HIC1453"/>
      <c r="HID1453"/>
      <c r="HIE1453"/>
      <c r="HIF1453"/>
      <c r="HIG1453"/>
      <c r="HIH1453"/>
      <c r="HII1453"/>
      <c r="HIJ1453"/>
      <c r="HIK1453"/>
      <c r="HIL1453"/>
      <c r="HIM1453"/>
      <c r="HIN1453"/>
      <c r="HIO1453"/>
      <c r="HIP1453"/>
      <c r="HIQ1453"/>
      <c r="HIR1453"/>
      <c r="HIS1453"/>
      <c r="HIT1453"/>
      <c r="HIU1453"/>
      <c r="HIV1453"/>
      <c r="HIW1453"/>
      <c r="HIX1453"/>
      <c r="HIY1453"/>
      <c r="HIZ1453"/>
      <c r="HJA1453"/>
      <c r="HJB1453"/>
      <c r="HJC1453"/>
      <c r="HJD1453"/>
      <c r="HJE1453"/>
      <c r="HJF1453"/>
      <c r="HJG1453"/>
      <c r="HJH1453"/>
      <c r="HJI1453"/>
      <c r="HJJ1453"/>
      <c r="HJK1453"/>
      <c r="HJL1453"/>
      <c r="HJM1453"/>
      <c r="HJN1453"/>
      <c r="HJO1453"/>
      <c r="HJP1453"/>
      <c r="HJQ1453"/>
      <c r="HJR1453"/>
      <c r="HJS1453"/>
      <c r="HJT1453"/>
      <c r="HJU1453"/>
      <c r="HJV1453"/>
      <c r="HJW1453"/>
      <c r="HJX1453"/>
      <c r="HJY1453"/>
      <c r="HJZ1453"/>
      <c r="HKA1453"/>
      <c r="HKB1453"/>
      <c r="HKC1453"/>
      <c r="HKD1453"/>
      <c r="HKE1453"/>
      <c r="HKF1453"/>
      <c r="HKG1453"/>
      <c r="HKH1453"/>
      <c r="HKI1453"/>
      <c r="HKJ1453"/>
      <c r="HKK1453"/>
      <c r="HKL1453"/>
      <c r="HKM1453"/>
      <c r="HKN1453"/>
      <c r="HKO1453"/>
      <c r="HKP1453"/>
      <c r="HKQ1453"/>
      <c r="HKR1453"/>
      <c r="HKS1453"/>
      <c r="HKT1453"/>
      <c r="HKU1453"/>
      <c r="HKV1453"/>
      <c r="HKW1453"/>
      <c r="HKX1453"/>
      <c r="HKY1453"/>
      <c r="HKZ1453"/>
      <c r="HLA1453"/>
      <c r="HLB1453"/>
      <c r="HLC1453"/>
      <c r="HLD1453"/>
      <c r="HLE1453"/>
      <c r="HLF1453"/>
      <c r="HLG1453"/>
      <c r="HLH1453"/>
      <c r="HLI1453"/>
      <c r="HLJ1453"/>
      <c r="HLK1453"/>
      <c r="HLL1453"/>
      <c r="HLM1453"/>
      <c r="HLN1453"/>
      <c r="HLO1453"/>
      <c r="HLP1453"/>
      <c r="HLQ1453"/>
      <c r="HLR1453"/>
      <c r="HLS1453"/>
      <c r="HLT1453"/>
      <c r="HLU1453"/>
      <c r="HLV1453"/>
      <c r="HLW1453"/>
      <c r="HLX1453"/>
      <c r="HLY1453"/>
      <c r="HLZ1453"/>
      <c r="HMA1453"/>
      <c r="HMB1453"/>
      <c r="HMC1453"/>
      <c r="HMD1453"/>
      <c r="HME1453"/>
      <c r="HMF1453"/>
      <c r="HMG1453"/>
      <c r="HMH1453"/>
      <c r="HMI1453"/>
      <c r="HMJ1453"/>
      <c r="HMK1453"/>
      <c r="HML1453"/>
      <c r="HMM1453"/>
      <c r="HMN1453"/>
      <c r="HMO1453"/>
      <c r="HMP1453"/>
      <c r="HMQ1453"/>
      <c r="HMR1453"/>
      <c r="HMS1453"/>
      <c r="HMT1453"/>
      <c r="HMU1453"/>
      <c r="HMV1453"/>
      <c r="HMW1453"/>
      <c r="HMX1453"/>
      <c r="HMY1453"/>
      <c r="HMZ1453"/>
      <c r="HNA1453"/>
      <c r="HNB1453"/>
      <c r="HNC1453"/>
      <c r="HND1453"/>
      <c r="HNE1453"/>
      <c r="HNF1453"/>
      <c r="HNG1453"/>
      <c r="HNH1453"/>
      <c r="HNI1453"/>
      <c r="HNJ1453"/>
      <c r="HNK1453"/>
      <c r="HNL1453"/>
      <c r="HNM1453"/>
      <c r="HNN1453"/>
      <c r="HNO1453"/>
      <c r="HNP1453"/>
      <c r="HNQ1453"/>
      <c r="HNR1453"/>
      <c r="HNS1453"/>
      <c r="HNT1453"/>
      <c r="HNU1453"/>
      <c r="HNV1453"/>
      <c r="HNW1453"/>
      <c r="HNX1453"/>
      <c r="HNY1453"/>
      <c r="HNZ1453"/>
      <c r="HOA1453"/>
      <c r="HOB1453"/>
      <c r="HOC1453"/>
      <c r="HOD1453"/>
      <c r="HOE1453"/>
      <c r="HOF1453"/>
      <c r="HOG1453"/>
      <c r="HOH1453"/>
      <c r="HOI1453"/>
      <c r="HOJ1453"/>
      <c r="HOK1453"/>
      <c r="HOL1453"/>
      <c r="HOM1453"/>
      <c r="HON1453"/>
      <c r="HOO1453"/>
      <c r="HOP1453"/>
      <c r="HOQ1453"/>
      <c r="HOR1453"/>
      <c r="HOS1453"/>
      <c r="HOT1453"/>
      <c r="HOU1453"/>
      <c r="HOV1453"/>
      <c r="HOW1453"/>
      <c r="HOX1453"/>
      <c r="HOY1453"/>
      <c r="HOZ1453"/>
      <c r="HPA1453"/>
      <c r="HPB1453"/>
      <c r="HPC1453"/>
      <c r="HPD1453"/>
      <c r="HPE1453"/>
      <c r="HPF1453"/>
      <c r="HPG1453"/>
      <c r="HPH1453"/>
      <c r="HPI1453"/>
      <c r="HPJ1453"/>
      <c r="HPK1453"/>
      <c r="HPL1453"/>
      <c r="HPM1453"/>
      <c r="HPN1453"/>
      <c r="HPO1453"/>
      <c r="HPP1453"/>
      <c r="HPQ1453"/>
      <c r="HPR1453"/>
      <c r="HPS1453"/>
      <c r="HPT1453"/>
      <c r="HPU1453"/>
      <c r="HPV1453"/>
      <c r="HPW1453"/>
      <c r="HPX1453"/>
      <c r="HPY1453"/>
      <c r="HPZ1453"/>
      <c r="HQA1453"/>
      <c r="HQB1453"/>
      <c r="HQC1453"/>
      <c r="HQD1453"/>
      <c r="HQE1453"/>
      <c r="HQF1453"/>
      <c r="HQG1453"/>
      <c r="HQH1453"/>
      <c r="HQI1453"/>
      <c r="HQJ1453"/>
      <c r="HQK1453"/>
      <c r="HQL1453"/>
      <c r="HQM1453"/>
      <c r="HQN1453"/>
      <c r="HQO1453"/>
      <c r="HQP1453"/>
      <c r="HQQ1453"/>
      <c r="HQR1453"/>
      <c r="HQS1453"/>
      <c r="HQT1453"/>
      <c r="HQU1453"/>
      <c r="HQV1453"/>
      <c r="HQW1453"/>
      <c r="HQX1453"/>
      <c r="HQY1453"/>
      <c r="HQZ1453"/>
      <c r="HRA1453"/>
      <c r="HRB1453"/>
      <c r="HRC1453"/>
      <c r="HRD1453"/>
      <c r="HRE1453"/>
      <c r="HRF1453"/>
      <c r="HRG1453"/>
      <c r="HRH1453"/>
      <c r="HRI1453"/>
      <c r="HRJ1453"/>
      <c r="HRK1453"/>
      <c r="HRL1453"/>
      <c r="HRM1453"/>
      <c r="HRN1453"/>
      <c r="HRO1453"/>
      <c r="HRP1453"/>
      <c r="HRQ1453"/>
      <c r="HRR1453"/>
      <c r="HRS1453"/>
      <c r="HRT1453"/>
      <c r="HRU1453"/>
      <c r="HRV1453"/>
      <c r="HRW1453"/>
      <c r="HRX1453"/>
      <c r="HRY1453"/>
      <c r="HRZ1453"/>
      <c r="HSA1453"/>
      <c r="HSB1453"/>
      <c r="HSC1453"/>
      <c r="HSD1453"/>
      <c r="HSE1453"/>
      <c r="HSF1453"/>
      <c r="HSG1453"/>
      <c r="HSH1453"/>
      <c r="HSI1453"/>
      <c r="HSJ1453"/>
      <c r="HSK1453"/>
      <c r="HSL1453"/>
      <c r="HSM1453"/>
      <c r="HSN1453"/>
      <c r="HSO1453"/>
      <c r="HSP1453"/>
      <c r="HSQ1453"/>
      <c r="HSR1453"/>
      <c r="HSS1453"/>
      <c r="HST1453"/>
      <c r="HSU1453"/>
      <c r="HSV1453"/>
      <c r="HSW1453"/>
      <c r="HSX1453"/>
      <c r="HSY1453"/>
      <c r="HSZ1453"/>
      <c r="HTA1453"/>
      <c r="HTB1453"/>
      <c r="HTC1453"/>
      <c r="HTD1453"/>
      <c r="HTE1453"/>
      <c r="HTF1453"/>
      <c r="HTG1453"/>
      <c r="HTH1453"/>
      <c r="HTI1453"/>
      <c r="HTJ1453"/>
      <c r="HTK1453"/>
      <c r="HTL1453"/>
      <c r="HTM1453"/>
      <c r="HTN1453"/>
      <c r="HTO1453"/>
      <c r="HTP1453"/>
      <c r="HTQ1453"/>
      <c r="HTR1453"/>
      <c r="HTS1453"/>
      <c r="HTT1453"/>
      <c r="HTU1453"/>
      <c r="HTV1453"/>
      <c r="HTW1453"/>
      <c r="HTX1453"/>
      <c r="HTY1453"/>
      <c r="HTZ1453"/>
      <c r="HUA1453"/>
      <c r="HUB1453"/>
      <c r="HUC1453"/>
      <c r="HUD1453"/>
      <c r="HUE1453"/>
      <c r="HUF1453"/>
      <c r="HUG1453"/>
      <c r="HUH1453"/>
      <c r="HUI1453"/>
      <c r="HUJ1453"/>
      <c r="HUK1453"/>
      <c r="HUL1453"/>
      <c r="HUM1453"/>
      <c r="HUN1453"/>
      <c r="HUO1453"/>
      <c r="HUP1453"/>
      <c r="HUQ1453"/>
      <c r="HUR1453"/>
      <c r="HUS1453"/>
      <c r="HUT1453"/>
      <c r="HUU1453"/>
      <c r="HUV1453"/>
      <c r="HUW1453"/>
      <c r="HUX1453"/>
      <c r="HUY1453"/>
      <c r="HUZ1453"/>
      <c r="HVA1453"/>
      <c r="HVB1453"/>
      <c r="HVC1453"/>
      <c r="HVD1453"/>
      <c r="HVE1453"/>
      <c r="HVF1453"/>
      <c r="HVG1453"/>
      <c r="HVH1453"/>
      <c r="HVI1453"/>
      <c r="HVJ1453"/>
      <c r="HVK1453"/>
      <c r="HVL1453"/>
      <c r="HVM1453"/>
      <c r="HVN1453"/>
      <c r="HVO1453"/>
      <c r="HVP1453"/>
      <c r="HVQ1453"/>
      <c r="HVR1453"/>
      <c r="HVS1453"/>
      <c r="HVT1453"/>
      <c r="HVU1453"/>
      <c r="HVV1453"/>
      <c r="HVW1453"/>
      <c r="HVX1453"/>
      <c r="HVY1453"/>
      <c r="HVZ1453"/>
      <c r="HWA1453"/>
      <c r="HWB1453"/>
      <c r="HWC1453"/>
      <c r="HWD1453"/>
      <c r="HWE1453"/>
      <c r="HWF1453"/>
      <c r="HWG1453"/>
      <c r="HWH1453"/>
      <c r="HWI1453"/>
      <c r="HWJ1453"/>
      <c r="HWK1453"/>
      <c r="HWL1453"/>
      <c r="HWM1453"/>
      <c r="HWN1453"/>
      <c r="HWO1453"/>
      <c r="HWP1453"/>
      <c r="HWQ1453"/>
      <c r="HWR1453"/>
      <c r="HWS1453"/>
      <c r="HWT1453"/>
      <c r="HWU1453"/>
      <c r="HWV1453"/>
      <c r="HWW1453"/>
      <c r="HWX1453"/>
      <c r="HWY1453"/>
      <c r="HWZ1453"/>
      <c r="HXA1453"/>
      <c r="HXB1453"/>
      <c r="HXC1453"/>
      <c r="HXD1453"/>
      <c r="HXE1453"/>
      <c r="HXF1453"/>
      <c r="HXG1453"/>
      <c r="HXH1453"/>
      <c r="HXI1453"/>
      <c r="HXJ1453"/>
      <c r="HXK1453"/>
      <c r="HXL1453"/>
      <c r="HXM1453"/>
      <c r="HXN1453"/>
      <c r="HXO1453"/>
      <c r="HXP1453"/>
      <c r="HXQ1453"/>
      <c r="HXR1453"/>
      <c r="HXS1453"/>
      <c r="HXT1453"/>
      <c r="HXU1453"/>
      <c r="HXV1453"/>
      <c r="HXW1453"/>
      <c r="HXX1453"/>
      <c r="HXY1453"/>
      <c r="HXZ1453"/>
      <c r="HYA1453"/>
      <c r="HYB1453"/>
      <c r="HYC1453"/>
      <c r="HYD1453"/>
      <c r="HYE1453"/>
      <c r="HYF1453"/>
      <c r="HYG1453"/>
      <c r="HYH1453"/>
      <c r="HYI1453"/>
      <c r="HYJ1453"/>
      <c r="HYK1453"/>
      <c r="HYL1453"/>
      <c r="HYM1453"/>
      <c r="HYN1453"/>
      <c r="HYO1453"/>
      <c r="HYP1453"/>
      <c r="HYQ1453"/>
      <c r="HYR1453"/>
      <c r="HYS1453"/>
      <c r="HYT1453"/>
      <c r="HYU1453"/>
      <c r="HYV1453"/>
      <c r="HYW1453"/>
      <c r="HYX1453"/>
      <c r="HYY1453"/>
      <c r="HYZ1453"/>
      <c r="HZA1453"/>
      <c r="HZB1453"/>
      <c r="HZC1453"/>
      <c r="HZD1453"/>
      <c r="HZE1453"/>
      <c r="HZF1453"/>
      <c r="HZG1453"/>
      <c r="HZH1453"/>
      <c r="HZI1453"/>
      <c r="HZJ1453"/>
      <c r="HZK1453"/>
      <c r="HZL1453"/>
      <c r="HZM1453"/>
      <c r="HZN1453"/>
      <c r="HZO1453"/>
      <c r="HZP1453"/>
      <c r="HZQ1453"/>
      <c r="HZR1453"/>
      <c r="HZS1453"/>
      <c r="HZT1453"/>
      <c r="HZU1453"/>
      <c r="HZV1453"/>
      <c r="HZW1453"/>
      <c r="HZX1453"/>
      <c r="HZY1453"/>
      <c r="HZZ1453"/>
      <c r="IAA1453"/>
      <c r="IAB1453"/>
      <c r="IAC1453"/>
      <c r="IAD1453"/>
      <c r="IAE1453"/>
      <c r="IAF1453"/>
      <c r="IAG1453"/>
      <c r="IAH1453"/>
      <c r="IAI1453"/>
      <c r="IAJ1453"/>
      <c r="IAK1453"/>
      <c r="IAL1453"/>
      <c r="IAM1453"/>
      <c r="IAN1453"/>
      <c r="IAO1453"/>
      <c r="IAP1453"/>
      <c r="IAQ1453"/>
      <c r="IAR1453"/>
      <c r="IAS1453"/>
      <c r="IAT1453"/>
      <c r="IAU1453"/>
      <c r="IAV1453"/>
      <c r="IAW1453"/>
      <c r="IAX1453"/>
      <c r="IAY1453"/>
      <c r="IAZ1453"/>
      <c r="IBA1453"/>
      <c r="IBB1453"/>
      <c r="IBC1453"/>
      <c r="IBD1453"/>
      <c r="IBE1453"/>
      <c r="IBF1453"/>
      <c r="IBG1453"/>
      <c r="IBH1453"/>
      <c r="IBI1453"/>
      <c r="IBJ1453"/>
      <c r="IBK1453"/>
      <c r="IBL1453"/>
      <c r="IBM1453"/>
      <c r="IBN1453"/>
      <c r="IBO1453"/>
      <c r="IBP1453"/>
      <c r="IBQ1453"/>
      <c r="IBR1453"/>
      <c r="IBS1453"/>
      <c r="IBT1453"/>
      <c r="IBU1453"/>
      <c r="IBV1453"/>
      <c r="IBW1453"/>
      <c r="IBX1453"/>
      <c r="IBY1453"/>
      <c r="IBZ1453"/>
      <c r="ICA1453"/>
      <c r="ICB1453"/>
      <c r="ICC1453"/>
      <c r="ICD1453"/>
      <c r="ICE1453"/>
      <c r="ICF1453"/>
      <c r="ICG1453"/>
      <c r="ICH1453"/>
      <c r="ICI1453"/>
      <c r="ICJ1453"/>
      <c r="ICK1453"/>
      <c r="ICL1453"/>
      <c r="ICM1453"/>
      <c r="ICN1453"/>
      <c r="ICO1453"/>
      <c r="ICP1453"/>
      <c r="ICQ1453"/>
      <c r="ICR1453"/>
      <c r="ICS1453"/>
      <c r="ICT1453"/>
      <c r="ICU1453"/>
      <c r="ICV1453"/>
      <c r="ICW1453"/>
      <c r="ICX1453"/>
      <c r="ICY1453"/>
      <c r="ICZ1453"/>
      <c r="IDA1453"/>
      <c r="IDB1453"/>
      <c r="IDC1453"/>
      <c r="IDD1453"/>
      <c r="IDE1453"/>
      <c r="IDF1453"/>
      <c r="IDG1453"/>
      <c r="IDH1453"/>
      <c r="IDI1453"/>
      <c r="IDJ1453"/>
      <c r="IDK1453"/>
      <c r="IDL1453"/>
      <c r="IDM1453"/>
      <c r="IDN1453"/>
      <c r="IDO1453"/>
      <c r="IDP1453"/>
      <c r="IDQ1453"/>
      <c r="IDR1453"/>
      <c r="IDS1453"/>
      <c r="IDT1453"/>
      <c r="IDU1453"/>
      <c r="IDV1453"/>
      <c r="IDW1453"/>
      <c r="IDX1453"/>
      <c r="IDY1453"/>
      <c r="IDZ1453"/>
      <c r="IEA1453"/>
      <c r="IEB1453"/>
      <c r="IEC1453"/>
      <c r="IED1453"/>
      <c r="IEE1453"/>
      <c r="IEF1453"/>
      <c r="IEG1453"/>
      <c r="IEH1453"/>
      <c r="IEI1453"/>
      <c r="IEJ1453"/>
      <c r="IEK1453"/>
      <c r="IEL1453"/>
      <c r="IEM1453"/>
      <c r="IEN1453"/>
      <c r="IEO1453"/>
      <c r="IEP1453"/>
      <c r="IEQ1453"/>
      <c r="IER1453"/>
      <c r="IES1453"/>
      <c r="IET1453"/>
      <c r="IEU1453"/>
      <c r="IEV1453"/>
      <c r="IEW1453"/>
      <c r="IEX1453"/>
      <c r="IEY1453"/>
      <c r="IEZ1453"/>
      <c r="IFA1453"/>
      <c r="IFB1453"/>
      <c r="IFC1453"/>
      <c r="IFD1453"/>
      <c r="IFE1453"/>
      <c r="IFF1453"/>
      <c r="IFG1453"/>
      <c r="IFH1453"/>
      <c r="IFI1453"/>
      <c r="IFJ1453"/>
      <c r="IFK1453"/>
      <c r="IFL1453"/>
      <c r="IFM1453"/>
      <c r="IFN1453"/>
      <c r="IFO1453"/>
      <c r="IFP1453"/>
      <c r="IFQ1453"/>
      <c r="IFR1453"/>
      <c r="IFS1453"/>
      <c r="IFT1453"/>
      <c r="IFU1453"/>
      <c r="IFV1453"/>
      <c r="IFW1453"/>
      <c r="IFX1453"/>
      <c r="IFY1453"/>
      <c r="IFZ1453"/>
      <c r="IGA1453"/>
      <c r="IGB1453"/>
      <c r="IGC1453"/>
      <c r="IGD1453"/>
      <c r="IGE1453"/>
      <c r="IGF1453"/>
      <c r="IGG1453"/>
      <c r="IGH1453"/>
      <c r="IGI1453"/>
      <c r="IGJ1453"/>
      <c r="IGK1453"/>
      <c r="IGL1453"/>
      <c r="IGM1453"/>
      <c r="IGN1453"/>
      <c r="IGO1453"/>
      <c r="IGP1453"/>
      <c r="IGQ1453"/>
      <c r="IGR1453"/>
      <c r="IGS1453"/>
      <c r="IGT1453"/>
      <c r="IGU1453"/>
      <c r="IGV1453"/>
      <c r="IGW1453"/>
      <c r="IGX1453"/>
      <c r="IGY1453"/>
      <c r="IGZ1453"/>
      <c r="IHA1453"/>
      <c r="IHB1453"/>
      <c r="IHC1453"/>
      <c r="IHD1453"/>
      <c r="IHE1453"/>
      <c r="IHF1453"/>
      <c r="IHG1453"/>
      <c r="IHH1453"/>
      <c r="IHI1453"/>
      <c r="IHJ1453"/>
      <c r="IHK1453"/>
      <c r="IHL1453"/>
      <c r="IHM1453"/>
      <c r="IHN1453"/>
      <c r="IHO1453"/>
      <c r="IHP1453"/>
      <c r="IHQ1453"/>
      <c r="IHR1453"/>
      <c r="IHS1453"/>
      <c r="IHT1453"/>
      <c r="IHU1453"/>
      <c r="IHV1453"/>
      <c r="IHW1453"/>
      <c r="IHX1453"/>
      <c r="IHY1453"/>
      <c r="IHZ1453"/>
      <c r="IIA1453"/>
      <c r="IIB1453"/>
      <c r="IIC1453"/>
      <c r="IID1453"/>
      <c r="IIE1453"/>
      <c r="IIF1453"/>
      <c r="IIG1453"/>
      <c r="IIH1453"/>
      <c r="III1453"/>
      <c r="IIJ1453"/>
      <c r="IIK1453"/>
      <c r="IIL1453"/>
      <c r="IIM1453"/>
      <c r="IIN1453"/>
      <c r="IIO1453"/>
      <c r="IIP1453"/>
      <c r="IIQ1453"/>
      <c r="IIR1453"/>
      <c r="IIS1453"/>
      <c r="IIT1453"/>
      <c r="IIU1453"/>
      <c r="IIV1453"/>
      <c r="IIW1453"/>
      <c r="IIX1453"/>
      <c r="IIY1453"/>
      <c r="IIZ1453"/>
      <c r="IJA1453"/>
      <c r="IJB1453"/>
      <c r="IJC1453"/>
      <c r="IJD1453"/>
      <c r="IJE1453"/>
      <c r="IJF1453"/>
      <c r="IJG1453"/>
      <c r="IJH1453"/>
      <c r="IJI1453"/>
      <c r="IJJ1453"/>
      <c r="IJK1453"/>
      <c r="IJL1453"/>
      <c r="IJM1453"/>
      <c r="IJN1453"/>
      <c r="IJO1453"/>
      <c r="IJP1453"/>
      <c r="IJQ1453"/>
      <c r="IJR1453"/>
      <c r="IJS1453"/>
      <c r="IJT1453"/>
      <c r="IJU1453"/>
      <c r="IJV1453"/>
      <c r="IJW1453"/>
      <c r="IJX1453"/>
      <c r="IJY1453"/>
      <c r="IJZ1453"/>
      <c r="IKA1453"/>
      <c r="IKB1453"/>
      <c r="IKC1453"/>
      <c r="IKD1453"/>
      <c r="IKE1453"/>
      <c r="IKF1453"/>
      <c r="IKG1453"/>
      <c r="IKH1453"/>
      <c r="IKI1453"/>
      <c r="IKJ1453"/>
      <c r="IKK1453"/>
      <c r="IKL1453"/>
      <c r="IKM1453"/>
      <c r="IKN1453"/>
      <c r="IKO1453"/>
      <c r="IKP1453"/>
      <c r="IKQ1453"/>
      <c r="IKR1453"/>
      <c r="IKS1453"/>
      <c r="IKT1453"/>
      <c r="IKU1453"/>
      <c r="IKV1453"/>
      <c r="IKW1453"/>
      <c r="IKX1453"/>
      <c r="IKY1453"/>
      <c r="IKZ1453"/>
      <c r="ILA1453"/>
      <c r="ILB1453"/>
      <c r="ILC1453"/>
      <c r="ILD1453"/>
      <c r="ILE1453"/>
      <c r="ILF1453"/>
      <c r="ILG1453"/>
      <c r="ILH1453"/>
      <c r="ILI1453"/>
      <c r="ILJ1453"/>
      <c r="ILK1453"/>
      <c r="ILL1453"/>
      <c r="ILM1453"/>
      <c r="ILN1453"/>
      <c r="ILO1453"/>
      <c r="ILP1453"/>
      <c r="ILQ1453"/>
      <c r="ILR1453"/>
      <c r="ILS1453"/>
      <c r="ILT1453"/>
      <c r="ILU1453"/>
      <c r="ILV1453"/>
      <c r="ILW1453"/>
      <c r="ILX1453"/>
      <c r="ILY1453"/>
      <c r="ILZ1453"/>
      <c r="IMA1453"/>
      <c r="IMB1453"/>
      <c r="IMC1453"/>
      <c r="IMD1453"/>
      <c r="IME1453"/>
      <c r="IMF1453"/>
      <c r="IMG1453"/>
      <c r="IMH1453"/>
      <c r="IMI1453"/>
      <c r="IMJ1453"/>
      <c r="IMK1453"/>
      <c r="IML1453"/>
      <c r="IMM1453"/>
      <c r="IMN1453"/>
      <c r="IMO1453"/>
      <c r="IMP1453"/>
      <c r="IMQ1453"/>
      <c r="IMR1453"/>
      <c r="IMS1453"/>
      <c r="IMT1453"/>
      <c r="IMU1453"/>
      <c r="IMV1453"/>
      <c r="IMW1453"/>
      <c r="IMX1453"/>
      <c r="IMY1453"/>
      <c r="IMZ1453"/>
      <c r="INA1453"/>
      <c r="INB1453"/>
      <c r="INC1453"/>
      <c r="IND1453"/>
      <c r="INE1453"/>
      <c r="INF1453"/>
      <c r="ING1453"/>
      <c r="INH1453"/>
      <c r="INI1453"/>
      <c r="INJ1453"/>
      <c r="INK1453"/>
      <c r="INL1453"/>
      <c r="INM1453"/>
      <c r="INN1453"/>
      <c r="INO1453"/>
      <c r="INP1453"/>
      <c r="INQ1453"/>
      <c r="INR1453"/>
      <c r="INS1453"/>
      <c r="INT1453"/>
      <c r="INU1453"/>
      <c r="INV1453"/>
      <c r="INW1453"/>
      <c r="INX1453"/>
      <c r="INY1453"/>
      <c r="INZ1453"/>
      <c r="IOA1453"/>
      <c r="IOB1453"/>
      <c r="IOC1453"/>
      <c r="IOD1453"/>
      <c r="IOE1453"/>
      <c r="IOF1453"/>
      <c r="IOG1453"/>
      <c r="IOH1453"/>
      <c r="IOI1453"/>
      <c r="IOJ1453"/>
      <c r="IOK1453"/>
      <c r="IOL1453"/>
      <c r="IOM1453"/>
      <c r="ION1453"/>
      <c r="IOO1453"/>
      <c r="IOP1453"/>
      <c r="IOQ1453"/>
      <c r="IOR1453"/>
      <c r="IOS1453"/>
      <c r="IOT1453"/>
      <c r="IOU1453"/>
      <c r="IOV1453"/>
      <c r="IOW1453"/>
      <c r="IOX1453"/>
      <c r="IOY1453"/>
      <c r="IOZ1453"/>
      <c r="IPA1453"/>
      <c r="IPB1453"/>
      <c r="IPC1453"/>
      <c r="IPD1453"/>
      <c r="IPE1453"/>
      <c r="IPF1453"/>
      <c r="IPG1453"/>
      <c r="IPH1453"/>
      <c r="IPI1453"/>
      <c r="IPJ1453"/>
      <c r="IPK1453"/>
      <c r="IPL1453"/>
      <c r="IPM1453"/>
      <c r="IPN1453"/>
      <c r="IPO1453"/>
      <c r="IPP1453"/>
      <c r="IPQ1453"/>
      <c r="IPR1453"/>
      <c r="IPS1453"/>
      <c r="IPT1453"/>
      <c r="IPU1453"/>
      <c r="IPV1453"/>
      <c r="IPW1453"/>
      <c r="IPX1453"/>
      <c r="IPY1453"/>
      <c r="IPZ1453"/>
      <c r="IQA1453"/>
      <c r="IQB1453"/>
      <c r="IQC1453"/>
      <c r="IQD1453"/>
      <c r="IQE1453"/>
      <c r="IQF1453"/>
      <c r="IQG1453"/>
      <c r="IQH1453"/>
      <c r="IQI1453"/>
      <c r="IQJ1453"/>
      <c r="IQK1453"/>
      <c r="IQL1453"/>
      <c r="IQM1453"/>
      <c r="IQN1453"/>
      <c r="IQO1453"/>
      <c r="IQP1453"/>
      <c r="IQQ1453"/>
      <c r="IQR1453"/>
      <c r="IQS1453"/>
      <c r="IQT1453"/>
      <c r="IQU1453"/>
      <c r="IQV1453"/>
      <c r="IQW1453"/>
      <c r="IQX1453"/>
      <c r="IQY1453"/>
      <c r="IQZ1453"/>
      <c r="IRA1453"/>
      <c r="IRB1453"/>
      <c r="IRC1453"/>
      <c r="IRD1453"/>
      <c r="IRE1453"/>
      <c r="IRF1453"/>
      <c r="IRG1453"/>
      <c r="IRH1453"/>
      <c r="IRI1453"/>
      <c r="IRJ1453"/>
      <c r="IRK1453"/>
      <c r="IRL1453"/>
      <c r="IRM1453"/>
      <c r="IRN1453"/>
      <c r="IRO1453"/>
      <c r="IRP1453"/>
      <c r="IRQ1453"/>
      <c r="IRR1453"/>
      <c r="IRS1453"/>
      <c r="IRT1453"/>
      <c r="IRU1453"/>
      <c r="IRV1453"/>
      <c r="IRW1453"/>
      <c r="IRX1453"/>
      <c r="IRY1453"/>
      <c r="IRZ1453"/>
      <c r="ISA1453"/>
      <c r="ISB1453"/>
      <c r="ISC1453"/>
      <c r="ISD1453"/>
      <c r="ISE1453"/>
      <c r="ISF1453"/>
      <c r="ISG1453"/>
      <c r="ISH1453"/>
      <c r="ISI1453"/>
      <c r="ISJ1453"/>
      <c r="ISK1453"/>
      <c r="ISL1453"/>
      <c r="ISM1453"/>
      <c r="ISN1453"/>
      <c r="ISO1453"/>
      <c r="ISP1453"/>
      <c r="ISQ1453"/>
      <c r="ISR1453"/>
      <c r="ISS1453"/>
      <c r="IST1453"/>
      <c r="ISU1453"/>
      <c r="ISV1453"/>
      <c r="ISW1453"/>
      <c r="ISX1453"/>
      <c r="ISY1453"/>
      <c r="ISZ1453"/>
      <c r="ITA1453"/>
      <c r="ITB1453"/>
      <c r="ITC1453"/>
      <c r="ITD1453"/>
      <c r="ITE1453"/>
      <c r="ITF1453"/>
      <c r="ITG1453"/>
      <c r="ITH1453"/>
      <c r="ITI1453"/>
      <c r="ITJ1453"/>
      <c r="ITK1453"/>
      <c r="ITL1453"/>
      <c r="ITM1453"/>
      <c r="ITN1453"/>
      <c r="ITO1453"/>
      <c r="ITP1453"/>
      <c r="ITQ1453"/>
      <c r="ITR1453"/>
      <c r="ITS1453"/>
      <c r="ITT1453"/>
      <c r="ITU1453"/>
      <c r="ITV1453"/>
      <c r="ITW1453"/>
      <c r="ITX1453"/>
      <c r="ITY1453"/>
      <c r="ITZ1453"/>
      <c r="IUA1453"/>
      <c r="IUB1453"/>
      <c r="IUC1453"/>
      <c r="IUD1453"/>
      <c r="IUE1453"/>
      <c r="IUF1453"/>
      <c r="IUG1453"/>
      <c r="IUH1453"/>
      <c r="IUI1453"/>
      <c r="IUJ1453"/>
      <c r="IUK1453"/>
      <c r="IUL1453"/>
      <c r="IUM1453"/>
      <c r="IUN1453"/>
      <c r="IUO1453"/>
      <c r="IUP1453"/>
      <c r="IUQ1453"/>
      <c r="IUR1453"/>
      <c r="IUS1453"/>
      <c r="IUT1453"/>
      <c r="IUU1453"/>
      <c r="IUV1453"/>
      <c r="IUW1453"/>
      <c r="IUX1453"/>
      <c r="IUY1453"/>
      <c r="IUZ1453"/>
      <c r="IVA1453"/>
      <c r="IVB1453"/>
      <c r="IVC1453"/>
      <c r="IVD1453"/>
      <c r="IVE1453"/>
      <c r="IVF1453"/>
      <c r="IVG1453"/>
      <c r="IVH1453"/>
      <c r="IVI1453"/>
      <c r="IVJ1453"/>
      <c r="IVK1453"/>
      <c r="IVL1453"/>
      <c r="IVM1453"/>
      <c r="IVN1453"/>
      <c r="IVO1453"/>
      <c r="IVP1453"/>
      <c r="IVQ1453"/>
      <c r="IVR1453"/>
      <c r="IVS1453"/>
      <c r="IVT1453"/>
      <c r="IVU1453"/>
      <c r="IVV1453"/>
      <c r="IVW1453"/>
      <c r="IVX1453"/>
      <c r="IVY1453"/>
      <c r="IVZ1453"/>
      <c r="IWA1453"/>
      <c r="IWB1453"/>
      <c r="IWC1453"/>
      <c r="IWD1453"/>
      <c r="IWE1453"/>
      <c r="IWF1453"/>
      <c r="IWG1453"/>
      <c r="IWH1453"/>
      <c r="IWI1453"/>
      <c r="IWJ1453"/>
      <c r="IWK1453"/>
      <c r="IWL1453"/>
      <c r="IWM1453"/>
      <c r="IWN1453"/>
      <c r="IWO1453"/>
      <c r="IWP1453"/>
      <c r="IWQ1453"/>
      <c r="IWR1453"/>
      <c r="IWS1453"/>
      <c r="IWT1453"/>
      <c r="IWU1453"/>
      <c r="IWV1453"/>
      <c r="IWW1453"/>
      <c r="IWX1453"/>
      <c r="IWY1453"/>
      <c r="IWZ1453"/>
      <c r="IXA1453"/>
      <c r="IXB1453"/>
      <c r="IXC1453"/>
      <c r="IXD1453"/>
      <c r="IXE1453"/>
      <c r="IXF1453"/>
      <c r="IXG1453"/>
      <c r="IXH1453"/>
      <c r="IXI1453"/>
      <c r="IXJ1453"/>
      <c r="IXK1453"/>
      <c r="IXL1453"/>
      <c r="IXM1453"/>
      <c r="IXN1453"/>
      <c r="IXO1453"/>
      <c r="IXP1453"/>
      <c r="IXQ1453"/>
      <c r="IXR1453"/>
      <c r="IXS1453"/>
      <c r="IXT1453"/>
      <c r="IXU1453"/>
      <c r="IXV1453"/>
      <c r="IXW1453"/>
      <c r="IXX1453"/>
      <c r="IXY1453"/>
      <c r="IXZ1453"/>
      <c r="IYA1453"/>
      <c r="IYB1453"/>
      <c r="IYC1453"/>
      <c r="IYD1453"/>
      <c r="IYE1453"/>
      <c r="IYF1453"/>
      <c r="IYG1453"/>
      <c r="IYH1453"/>
      <c r="IYI1453"/>
      <c r="IYJ1453"/>
      <c r="IYK1453"/>
      <c r="IYL1453"/>
      <c r="IYM1453"/>
      <c r="IYN1453"/>
      <c r="IYO1453"/>
      <c r="IYP1453"/>
      <c r="IYQ1453"/>
      <c r="IYR1453"/>
      <c r="IYS1453"/>
      <c r="IYT1453"/>
      <c r="IYU1453"/>
      <c r="IYV1453"/>
      <c r="IYW1453"/>
      <c r="IYX1453"/>
      <c r="IYY1453"/>
      <c r="IYZ1453"/>
      <c r="IZA1453"/>
      <c r="IZB1453"/>
      <c r="IZC1453"/>
      <c r="IZD1453"/>
      <c r="IZE1453"/>
      <c r="IZF1453"/>
      <c r="IZG1453"/>
      <c r="IZH1453"/>
      <c r="IZI1453"/>
      <c r="IZJ1453"/>
      <c r="IZK1453"/>
      <c r="IZL1453"/>
      <c r="IZM1453"/>
      <c r="IZN1453"/>
      <c r="IZO1453"/>
      <c r="IZP1453"/>
      <c r="IZQ1453"/>
      <c r="IZR1453"/>
      <c r="IZS1453"/>
      <c r="IZT1453"/>
      <c r="IZU1453"/>
      <c r="IZV1453"/>
      <c r="IZW1453"/>
      <c r="IZX1453"/>
      <c r="IZY1453"/>
      <c r="IZZ1453"/>
      <c r="JAA1453"/>
      <c r="JAB1453"/>
      <c r="JAC1453"/>
      <c r="JAD1453"/>
      <c r="JAE1453"/>
      <c r="JAF1453"/>
      <c r="JAG1453"/>
      <c r="JAH1453"/>
      <c r="JAI1453"/>
      <c r="JAJ1453"/>
      <c r="JAK1453"/>
      <c r="JAL1453"/>
      <c r="JAM1453"/>
      <c r="JAN1453"/>
      <c r="JAO1453"/>
      <c r="JAP1453"/>
      <c r="JAQ1453"/>
      <c r="JAR1453"/>
      <c r="JAS1453"/>
      <c r="JAT1453"/>
      <c r="JAU1453"/>
      <c r="JAV1453"/>
      <c r="JAW1453"/>
      <c r="JAX1453"/>
      <c r="JAY1453"/>
      <c r="JAZ1453"/>
      <c r="JBA1453"/>
      <c r="JBB1453"/>
      <c r="JBC1453"/>
      <c r="JBD1453"/>
      <c r="JBE1453"/>
      <c r="JBF1453"/>
      <c r="JBG1453"/>
      <c r="JBH1453"/>
      <c r="JBI1453"/>
      <c r="JBJ1453"/>
      <c r="JBK1453"/>
      <c r="JBL1453"/>
      <c r="JBM1453"/>
      <c r="JBN1453"/>
      <c r="JBO1453"/>
      <c r="JBP1453"/>
      <c r="JBQ1453"/>
      <c r="JBR1453"/>
      <c r="JBS1453"/>
      <c r="JBT1453"/>
      <c r="JBU1453"/>
      <c r="JBV1453"/>
      <c r="JBW1453"/>
      <c r="JBX1453"/>
      <c r="JBY1453"/>
      <c r="JBZ1453"/>
      <c r="JCA1453"/>
      <c r="JCB1453"/>
      <c r="JCC1453"/>
      <c r="JCD1453"/>
      <c r="JCE1453"/>
      <c r="JCF1453"/>
      <c r="JCG1453"/>
      <c r="JCH1453"/>
      <c r="JCI1453"/>
      <c r="JCJ1453"/>
      <c r="JCK1453"/>
      <c r="JCL1453"/>
      <c r="JCM1453"/>
      <c r="JCN1453"/>
      <c r="JCO1453"/>
      <c r="JCP1453"/>
      <c r="JCQ1453"/>
      <c r="JCR1453"/>
      <c r="JCS1453"/>
      <c r="JCT1453"/>
      <c r="JCU1453"/>
      <c r="JCV1453"/>
      <c r="JCW1453"/>
      <c r="JCX1453"/>
      <c r="JCY1453"/>
      <c r="JCZ1453"/>
      <c r="JDA1453"/>
      <c r="JDB1453"/>
      <c r="JDC1453"/>
      <c r="JDD1453"/>
      <c r="JDE1453"/>
      <c r="JDF1453"/>
      <c r="JDG1453"/>
      <c r="JDH1453"/>
      <c r="JDI1453"/>
      <c r="JDJ1453"/>
      <c r="JDK1453"/>
      <c r="JDL1453"/>
      <c r="JDM1453"/>
      <c r="JDN1453"/>
      <c r="JDO1453"/>
      <c r="JDP1453"/>
      <c r="JDQ1453"/>
      <c r="JDR1453"/>
      <c r="JDS1453"/>
      <c r="JDT1453"/>
      <c r="JDU1453"/>
      <c r="JDV1453"/>
      <c r="JDW1453"/>
      <c r="JDX1453"/>
      <c r="JDY1453"/>
      <c r="JDZ1453"/>
      <c r="JEA1453"/>
      <c r="JEB1453"/>
      <c r="JEC1453"/>
      <c r="JED1453"/>
      <c r="JEE1453"/>
      <c r="JEF1453"/>
      <c r="JEG1453"/>
      <c r="JEH1453"/>
      <c r="JEI1453"/>
      <c r="JEJ1453"/>
      <c r="JEK1453"/>
      <c r="JEL1453"/>
      <c r="JEM1453"/>
      <c r="JEN1453"/>
      <c r="JEO1453"/>
      <c r="JEP1453"/>
      <c r="JEQ1453"/>
      <c r="JER1453"/>
      <c r="JES1453"/>
      <c r="JET1453"/>
      <c r="JEU1453"/>
      <c r="JEV1453"/>
      <c r="JEW1453"/>
      <c r="JEX1453"/>
      <c r="JEY1453"/>
      <c r="JEZ1453"/>
      <c r="JFA1453"/>
      <c r="JFB1453"/>
      <c r="JFC1453"/>
      <c r="JFD1453"/>
      <c r="JFE1453"/>
      <c r="JFF1453"/>
      <c r="JFG1453"/>
      <c r="JFH1453"/>
      <c r="JFI1453"/>
      <c r="JFJ1453"/>
      <c r="JFK1453"/>
      <c r="JFL1453"/>
      <c r="JFM1453"/>
      <c r="JFN1453"/>
      <c r="JFO1453"/>
      <c r="JFP1453"/>
      <c r="JFQ1453"/>
      <c r="JFR1453"/>
      <c r="JFS1453"/>
      <c r="JFT1453"/>
      <c r="JFU1453"/>
      <c r="JFV1453"/>
      <c r="JFW1453"/>
      <c r="JFX1453"/>
      <c r="JFY1453"/>
      <c r="JFZ1453"/>
      <c r="JGA1453"/>
      <c r="JGB1453"/>
      <c r="JGC1453"/>
      <c r="JGD1453"/>
      <c r="JGE1453"/>
      <c r="JGF1453"/>
      <c r="JGG1453"/>
      <c r="JGH1453"/>
      <c r="JGI1453"/>
      <c r="JGJ1453"/>
      <c r="JGK1453"/>
      <c r="JGL1453"/>
      <c r="JGM1453"/>
      <c r="JGN1453"/>
      <c r="JGO1453"/>
      <c r="JGP1453"/>
      <c r="JGQ1453"/>
      <c r="JGR1453"/>
      <c r="JGS1453"/>
      <c r="JGT1453"/>
      <c r="JGU1453"/>
      <c r="JGV1453"/>
      <c r="JGW1453"/>
      <c r="JGX1453"/>
      <c r="JGY1453"/>
      <c r="JGZ1453"/>
      <c r="JHA1453"/>
      <c r="JHB1453"/>
      <c r="JHC1453"/>
      <c r="JHD1453"/>
      <c r="JHE1453"/>
      <c r="JHF1453"/>
      <c r="JHG1453"/>
      <c r="JHH1453"/>
      <c r="JHI1453"/>
      <c r="JHJ1453"/>
      <c r="JHK1453"/>
      <c r="JHL1453"/>
      <c r="JHM1453"/>
      <c r="JHN1453"/>
      <c r="JHO1453"/>
      <c r="JHP1453"/>
      <c r="JHQ1453"/>
      <c r="JHR1453"/>
      <c r="JHS1453"/>
      <c r="JHT1453"/>
      <c r="JHU1453"/>
      <c r="JHV1453"/>
      <c r="JHW1453"/>
      <c r="JHX1453"/>
      <c r="JHY1453"/>
      <c r="JHZ1453"/>
      <c r="JIA1453"/>
      <c r="JIB1453"/>
      <c r="JIC1453"/>
      <c r="JID1453"/>
      <c r="JIE1453"/>
      <c r="JIF1453"/>
      <c r="JIG1453"/>
      <c r="JIH1453"/>
      <c r="JII1453"/>
      <c r="JIJ1453"/>
      <c r="JIK1453"/>
      <c r="JIL1453"/>
      <c r="JIM1453"/>
      <c r="JIN1453"/>
      <c r="JIO1453"/>
      <c r="JIP1453"/>
      <c r="JIQ1453"/>
      <c r="JIR1453"/>
      <c r="JIS1453"/>
      <c r="JIT1453"/>
      <c r="JIU1453"/>
      <c r="JIV1453"/>
      <c r="JIW1453"/>
      <c r="JIX1453"/>
      <c r="JIY1453"/>
      <c r="JIZ1453"/>
      <c r="JJA1453"/>
      <c r="JJB1453"/>
      <c r="JJC1453"/>
      <c r="JJD1453"/>
      <c r="JJE1453"/>
      <c r="JJF1453"/>
      <c r="JJG1453"/>
      <c r="JJH1453"/>
      <c r="JJI1453"/>
      <c r="JJJ1453"/>
      <c r="JJK1453"/>
      <c r="JJL1453"/>
      <c r="JJM1453"/>
      <c r="JJN1453"/>
      <c r="JJO1453"/>
      <c r="JJP1453"/>
      <c r="JJQ1453"/>
      <c r="JJR1453"/>
      <c r="JJS1453"/>
      <c r="JJT1453"/>
      <c r="JJU1453"/>
      <c r="JJV1453"/>
      <c r="JJW1453"/>
      <c r="JJX1453"/>
      <c r="JJY1453"/>
      <c r="JJZ1453"/>
      <c r="JKA1453"/>
      <c r="JKB1453"/>
      <c r="JKC1453"/>
      <c r="JKD1453"/>
      <c r="JKE1453"/>
      <c r="JKF1453"/>
      <c r="JKG1453"/>
      <c r="JKH1453"/>
      <c r="JKI1453"/>
      <c r="JKJ1453"/>
      <c r="JKK1453"/>
      <c r="JKL1453"/>
      <c r="JKM1453"/>
      <c r="JKN1453"/>
      <c r="JKO1453"/>
      <c r="JKP1453"/>
      <c r="JKQ1453"/>
      <c r="JKR1453"/>
      <c r="JKS1453"/>
      <c r="JKT1453"/>
      <c r="JKU1453"/>
      <c r="JKV1453"/>
      <c r="JKW1453"/>
      <c r="JKX1453"/>
      <c r="JKY1453"/>
      <c r="JKZ1453"/>
      <c r="JLA1453"/>
      <c r="JLB1453"/>
      <c r="JLC1453"/>
      <c r="JLD1453"/>
      <c r="JLE1453"/>
      <c r="JLF1453"/>
      <c r="JLG1453"/>
      <c r="JLH1453"/>
      <c r="JLI1453"/>
      <c r="JLJ1453"/>
      <c r="JLK1453"/>
      <c r="JLL1453"/>
      <c r="JLM1453"/>
      <c r="JLN1453"/>
      <c r="JLO1453"/>
      <c r="JLP1453"/>
      <c r="JLQ1453"/>
      <c r="JLR1453"/>
      <c r="JLS1453"/>
      <c r="JLT1453"/>
      <c r="JLU1453"/>
      <c r="JLV1453"/>
      <c r="JLW1453"/>
      <c r="JLX1453"/>
      <c r="JLY1453"/>
      <c r="JLZ1453"/>
      <c r="JMA1453"/>
      <c r="JMB1453"/>
      <c r="JMC1453"/>
      <c r="JMD1453"/>
      <c r="JME1453"/>
      <c r="JMF1453"/>
      <c r="JMG1453"/>
      <c r="JMH1453"/>
      <c r="JMI1453"/>
      <c r="JMJ1453"/>
      <c r="JMK1453"/>
      <c r="JML1453"/>
      <c r="JMM1453"/>
      <c r="JMN1453"/>
      <c r="JMO1453"/>
      <c r="JMP1453"/>
      <c r="JMQ1453"/>
      <c r="JMR1453"/>
      <c r="JMS1453"/>
      <c r="JMT1453"/>
      <c r="JMU1453"/>
      <c r="JMV1453"/>
      <c r="JMW1453"/>
      <c r="JMX1453"/>
      <c r="JMY1453"/>
      <c r="JMZ1453"/>
      <c r="JNA1453"/>
      <c r="JNB1453"/>
      <c r="JNC1453"/>
      <c r="JND1453"/>
      <c r="JNE1453"/>
      <c r="JNF1453"/>
      <c r="JNG1453"/>
      <c r="JNH1453"/>
      <c r="JNI1453"/>
      <c r="JNJ1453"/>
      <c r="JNK1453"/>
      <c r="JNL1453"/>
      <c r="JNM1453"/>
      <c r="JNN1453"/>
      <c r="JNO1453"/>
      <c r="JNP1453"/>
      <c r="JNQ1453"/>
      <c r="JNR1453"/>
      <c r="JNS1453"/>
      <c r="JNT1453"/>
      <c r="JNU1453"/>
      <c r="JNV1453"/>
      <c r="JNW1453"/>
      <c r="JNX1453"/>
      <c r="JNY1453"/>
      <c r="JNZ1453"/>
      <c r="JOA1453"/>
      <c r="JOB1453"/>
      <c r="JOC1453"/>
      <c r="JOD1453"/>
      <c r="JOE1453"/>
      <c r="JOF1453"/>
      <c r="JOG1453"/>
      <c r="JOH1453"/>
      <c r="JOI1453"/>
      <c r="JOJ1453"/>
      <c r="JOK1453"/>
      <c r="JOL1453"/>
      <c r="JOM1453"/>
      <c r="JON1453"/>
      <c r="JOO1453"/>
      <c r="JOP1453"/>
      <c r="JOQ1453"/>
      <c r="JOR1453"/>
      <c r="JOS1453"/>
      <c r="JOT1453"/>
      <c r="JOU1453"/>
      <c r="JOV1453"/>
      <c r="JOW1453"/>
      <c r="JOX1453"/>
      <c r="JOY1453"/>
      <c r="JOZ1453"/>
      <c r="JPA1453"/>
      <c r="JPB1453"/>
      <c r="JPC1453"/>
      <c r="JPD1453"/>
      <c r="JPE1453"/>
      <c r="JPF1453"/>
      <c r="JPG1453"/>
      <c r="JPH1453"/>
      <c r="JPI1453"/>
      <c r="JPJ1453"/>
      <c r="JPK1453"/>
      <c r="JPL1453"/>
      <c r="JPM1453"/>
      <c r="JPN1453"/>
      <c r="JPO1453"/>
      <c r="JPP1453"/>
      <c r="JPQ1453"/>
      <c r="JPR1453"/>
      <c r="JPS1453"/>
      <c r="JPT1453"/>
      <c r="JPU1453"/>
      <c r="JPV1453"/>
      <c r="JPW1453"/>
      <c r="JPX1453"/>
      <c r="JPY1453"/>
      <c r="JPZ1453"/>
      <c r="JQA1453"/>
      <c r="JQB1453"/>
      <c r="JQC1453"/>
      <c r="JQD1453"/>
      <c r="JQE1453"/>
      <c r="JQF1453"/>
      <c r="JQG1453"/>
      <c r="JQH1453"/>
      <c r="JQI1453"/>
      <c r="JQJ1453"/>
      <c r="JQK1453"/>
      <c r="JQL1453"/>
      <c r="JQM1453"/>
      <c r="JQN1453"/>
      <c r="JQO1453"/>
      <c r="JQP1453"/>
      <c r="JQQ1453"/>
      <c r="JQR1453"/>
      <c r="JQS1453"/>
      <c r="JQT1453"/>
      <c r="JQU1453"/>
      <c r="JQV1453"/>
      <c r="JQW1453"/>
      <c r="JQX1453"/>
      <c r="JQY1453"/>
      <c r="JQZ1453"/>
      <c r="JRA1453"/>
      <c r="JRB1453"/>
      <c r="JRC1453"/>
      <c r="JRD1453"/>
      <c r="JRE1453"/>
      <c r="JRF1453"/>
      <c r="JRG1453"/>
      <c r="JRH1453"/>
      <c r="JRI1453"/>
      <c r="JRJ1453"/>
      <c r="JRK1453"/>
      <c r="JRL1453"/>
      <c r="JRM1453"/>
      <c r="JRN1453"/>
      <c r="JRO1453"/>
      <c r="JRP1453"/>
      <c r="JRQ1453"/>
      <c r="JRR1453"/>
      <c r="JRS1453"/>
      <c r="JRT1453"/>
      <c r="JRU1453"/>
      <c r="JRV1453"/>
      <c r="JRW1453"/>
      <c r="JRX1453"/>
      <c r="JRY1453"/>
      <c r="JRZ1453"/>
      <c r="JSA1453"/>
      <c r="JSB1453"/>
      <c r="JSC1453"/>
      <c r="JSD1453"/>
      <c r="JSE1453"/>
      <c r="JSF1453"/>
      <c r="JSG1453"/>
      <c r="JSH1453"/>
      <c r="JSI1453"/>
      <c r="JSJ1453"/>
      <c r="JSK1453"/>
      <c r="JSL1453"/>
      <c r="JSM1453"/>
      <c r="JSN1453"/>
      <c r="JSO1453"/>
      <c r="JSP1453"/>
      <c r="JSQ1453"/>
      <c r="JSR1453"/>
      <c r="JSS1453"/>
      <c r="JST1453"/>
      <c r="JSU1453"/>
      <c r="JSV1453"/>
      <c r="JSW1453"/>
      <c r="JSX1453"/>
      <c r="JSY1453"/>
      <c r="JSZ1453"/>
      <c r="JTA1453"/>
      <c r="JTB1453"/>
      <c r="JTC1453"/>
      <c r="JTD1453"/>
      <c r="JTE1453"/>
      <c r="JTF1453"/>
      <c r="JTG1453"/>
      <c r="JTH1453"/>
      <c r="JTI1453"/>
      <c r="JTJ1453"/>
      <c r="JTK1453"/>
      <c r="JTL1453"/>
      <c r="JTM1453"/>
      <c r="JTN1453"/>
      <c r="JTO1453"/>
      <c r="JTP1453"/>
      <c r="JTQ1453"/>
      <c r="JTR1453"/>
      <c r="JTS1453"/>
      <c r="JTT1453"/>
      <c r="JTU1453"/>
      <c r="JTV1453"/>
      <c r="JTW1453"/>
      <c r="JTX1453"/>
      <c r="JTY1453"/>
      <c r="JTZ1453"/>
      <c r="JUA1453"/>
      <c r="JUB1453"/>
      <c r="JUC1453"/>
      <c r="JUD1453"/>
      <c r="JUE1453"/>
      <c r="JUF1453"/>
      <c r="JUG1453"/>
      <c r="JUH1453"/>
      <c r="JUI1453"/>
      <c r="JUJ1453"/>
      <c r="JUK1453"/>
      <c r="JUL1453"/>
      <c r="JUM1453"/>
      <c r="JUN1453"/>
      <c r="JUO1453"/>
      <c r="JUP1453"/>
      <c r="JUQ1453"/>
      <c r="JUR1453"/>
      <c r="JUS1453"/>
      <c r="JUT1453"/>
      <c r="JUU1453"/>
      <c r="JUV1453"/>
      <c r="JUW1453"/>
      <c r="JUX1453"/>
      <c r="JUY1453"/>
      <c r="JUZ1453"/>
      <c r="JVA1453"/>
      <c r="JVB1453"/>
      <c r="JVC1453"/>
      <c r="JVD1453"/>
      <c r="JVE1453"/>
      <c r="JVF1453"/>
      <c r="JVG1453"/>
      <c r="JVH1453"/>
      <c r="JVI1453"/>
      <c r="JVJ1453"/>
      <c r="JVK1453"/>
      <c r="JVL1453"/>
      <c r="JVM1453"/>
      <c r="JVN1453"/>
      <c r="JVO1453"/>
      <c r="JVP1453"/>
      <c r="JVQ1453"/>
      <c r="JVR1453"/>
      <c r="JVS1453"/>
      <c r="JVT1453"/>
      <c r="JVU1453"/>
      <c r="JVV1453"/>
      <c r="JVW1453"/>
      <c r="JVX1453"/>
      <c r="JVY1453"/>
      <c r="JVZ1453"/>
      <c r="JWA1453"/>
      <c r="JWB1453"/>
      <c r="JWC1453"/>
      <c r="JWD1453"/>
      <c r="JWE1453"/>
      <c r="JWF1453"/>
      <c r="JWG1453"/>
      <c r="JWH1453"/>
      <c r="JWI1453"/>
      <c r="JWJ1453"/>
      <c r="JWK1453"/>
      <c r="JWL1453"/>
      <c r="JWM1453"/>
      <c r="JWN1453"/>
      <c r="JWO1453"/>
      <c r="JWP1453"/>
      <c r="JWQ1453"/>
      <c r="JWR1453"/>
      <c r="JWS1453"/>
      <c r="JWT1453"/>
      <c r="JWU1453"/>
      <c r="JWV1453"/>
      <c r="JWW1453"/>
      <c r="JWX1453"/>
      <c r="JWY1453"/>
      <c r="JWZ1453"/>
      <c r="JXA1453"/>
      <c r="JXB1453"/>
      <c r="JXC1453"/>
      <c r="JXD1453"/>
      <c r="JXE1453"/>
      <c r="JXF1453"/>
      <c r="JXG1453"/>
      <c r="JXH1453"/>
      <c r="JXI1453"/>
      <c r="JXJ1453"/>
      <c r="JXK1453"/>
      <c r="JXL1453"/>
      <c r="JXM1453"/>
      <c r="JXN1453"/>
      <c r="JXO1453"/>
      <c r="JXP1453"/>
      <c r="JXQ1453"/>
      <c r="JXR1453"/>
      <c r="JXS1453"/>
      <c r="JXT1453"/>
      <c r="JXU1453"/>
      <c r="JXV1453"/>
      <c r="JXW1453"/>
      <c r="JXX1453"/>
      <c r="JXY1453"/>
      <c r="JXZ1453"/>
      <c r="JYA1453"/>
      <c r="JYB1453"/>
      <c r="JYC1453"/>
      <c r="JYD1453"/>
      <c r="JYE1453"/>
      <c r="JYF1453"/>
      <c r="JYG1453"/>
      <c r="JYH1453"/>
      <c r="JYI1453"/>
      <c r="JYJ1453"/>
      <c r="JYK1453"/>
      <c r="JYL1453"/>
      <c r="JYM1453"/>
      <c r="JYN1453"/>
      <c r="JYO1453"/>
      <c r="JYP1453"/>
      <c r="JYQ1453"/>
      <c r="JYR1453"/>
      <c r="JYS1453"/>
      <c r="JYT1453"/>
      <c r="JYU1453"/>
      <c r="JYV1453"/>
      <c r="JYW1453"/>
      <c r="JYX1453"/>
      <c r="JYY1453"/>
      <c r="JYZ1453"/>
      <c r="JZA1453"/>
      <c r="JZB1453"/>
      <c r="JZC1453"/>
      <c r="JZD1453"/>
      <c r="JZE1453"/>
      <c r="JZF1453"/>
      <c r="JZG1453"/>
      <c r="JZH1453"/>
      <c r="JZI1453"/>
      <c r="JZJ1453"/>
      <c r="JZK1453"/>
      <c r="JZL1453"/>
      <c r="JZM1453"/>
      <c r="JZN1453"/>
      <c r="JZO1453"/>
      <c r="JZP1453"/>
      <c r="JZQ1453"/>
      <c r="JZR1453"/>
      <c r="JZS1453"/>
      <c r="JZT1453"/>
      <c r="JZU1453"/>
      <c r="JZV1453"/>
      <c r="JZW1453"/>
      <c r="JZX1453"/>
      <c r="JZY1453"/>
      <c r="JZZ1453"/>
      <c r="KAA1453"/>
      <c r="KAB1453"/>
      <c r="KAC1453"/>
      <c r="KAD1453"/>
      <c r="KAE1453"/>
      <c r="KAF1453"/>
      <c r="KAG1453"/>
      <c r="KAH1453"/>
      <c r="KAI1453"/>
      <c r="KAJ1453"/>
      <c r="KAK1453"/>
      <c r="KAL1453"/>
      <c r="KAM1453"/>
      <c r="KAN1453"/>
      <c r="KAO1453"/>
      <c r="KAP1453"/>
      <c r="KAQ1453"/>
      <c r="KAR1453"/>
      <c r="KAS1453"/>
      <c r="KAT1453"/>
      <c r="KAU1453"/>
      <c r="KAV1453"/>
      <c r="KAW1453"/>
      <c r="KAX1453"/>
      <c r="KAY1453"/>
      <c r="KAZ1453"/>
      <c r="KBA1453"/>
      <c r="KBB1453"/>
      <c r="KBC1453"/>
      <c r="KBD1453"/>
      <c r="KBE1453"/>
      <c r="KBF1453"/>
      <c r="KBG1453"/>
      <c r="KBH1453"/>
      <c r="KBI1453"/>
      <c r="KBJ1453"/>
      <c r="KBK1453"/>
      <c r="KBL1453"/>
      <c r="KBM1453"/>
      <c r="KBN1453"/>
      <c r="KBO1453"/>
      <c r="KBP1453"/>
      <c r="KBQ1453"/>
      <c r="KBR1453"/>
      <c r="KBS1453"/>
      <c r="KBT1453"/>
      <c r="KBU1453"/>
      <c r="KBV1453"/>
      <c r="KBW1453"/>
      <c r="KBX1453"/>
      <c r="KBY1453"/>
      <c r="KBZ1453"/>
      <c r="KCA1453"/>
      <c r="KCB1453"/>
      <c r="KCC1453"/>
      <c r="KCD1453"/>
      <c r="KCE1453"/>
      <c r="KCF1453"/>
      <c r="KCG1453"/>
      <c r="KCH1453"/>
      <c r="KCI1453"/>
      <c r="KCJ1453"/>
      <c r="KCK1453"/>
      <c r="KCL1453"/>
      <c r="KCM1453"/>
      <c r="KCN1453"/>
      <c r="KCO1453"/>
      <c r="KCP1453"/>
      <c r="KCQ1453"/>
      <c r="KCR1453"/>
      <c r="KCS1453"/>
      <c r="KCT1453"/>
      <c r="KCU1453"/>
      <c r="KCV1453"/>
      <c r="KCW1453"/>
      <c r="KCX1453"/>
      <c r="KCY1453"/>
      <c r="KCZ1453"/>
      <c r="KDA1453"/>
      <c r="KDB1453"/>
      <c r="KDC1453"/>
      <c r="KDD1453"/>
      <c r="KDE1453"/>
      <c r="KDF1453"/>
      <c r="KDG1453"/>
      <c r="KDH1453"/>
      <c r="KDI1453"/>
      <c r="KDJ1453"/>
      <c r="KDK1453"/>
      <c r="KDL1453"/>
      <c r="KDM1453"/>
      <c r="KDN1453"/>
      <c r="KDO1453"/>
      <c r="KDP1453"/>
      <c r="KDQ1453"/>
      <c r="KDR1453"/>
      <c r="KDS1453"/>
      <c r="KDT1453"/>
      <c r="KDU1453"/>
      <c r="KDV1453"/>
      <c r="KDW1453"/>
      <c r="KDX1453"/>
      <c r="KDY1453"/>
      <c r="KDZ1453"/>
      <c r="KEA1453"/>
      <c r="KEB1453"/>
      <c r="KEC1453"/>
      <c r="KED1453"/>
      <c r="KEE1453"/>
      <c r="KEF1453"/>
      <c r="KEG1453"/>
      <c r="KEH1453"/>
      <c r="KEI1453"/>
      <c r="KEJ1453"/>
      <c r="KEK1453"/>
      <c r="KEL1453"/>
      <c r="KEM1453"/>
      <c r="KEN1453"/>
      <c r="KEO1453"/>
      <c r="KEP1453"/>
      <c r="KEQ1453"/>
      <c r="KER1453"/>
      <c r="KES1453"/>
      <c r="KET1453"/>
      <c r="KEU1453"/>
      <c r="KEV1453"/>
      <c r="KEW1453"/>
      <c r="KEX1453"/>
      <c r="KEY1453"/>
      <c r="KEZ1453"/>
      <c r="KFA1453"/>
      <c r="KFB1453"/>
      <c r="KFC1453"/>
      <c r="KFD1453"/>
      <c r="KFE1453"/>
      <c r="KFF1453"/>
      <c r="KFG1453"/>
      <c r="KFH1453"/>
      <c r="KFI1453"/>
      <c r="KFJ1453"/>
      <c r="KFK1453"/>
      <c r="KFL1453"/>
      <c r="KFM1453"/>
      <c r="KFN1453"/>
      <c r="KFO1453"/>
      <c r="KFP1453"/>
      <c r="KFQ1453"/>
      <c r="KFR1453"/>
      <c r="KFS1453"/>
      <c r="KFT1453"/>
      <c r="KFU1453"/>
      <c r="KFV1453"/>
      <c r="KFW1453"/>
      <c r="KFX1453"/>
      <c r="KFY1453"/>
      <c r="KFZ1453"/>
      <c r="KGA1453"/>
      <c r="KGB1453"/>
      <c r="KGC1453"/>
      <c r="KGD1453"/>
      <c r="KGE1453"/>
      <c r="KGF1453"/>
      <c r="KGG1453"/>
      <c r="KGH1453"/>
      <c r="KGI1453"/>
      <c r="KGJ1453"/>
      <c r="KGK1453"/>
      <c r="KGL1453"/>
      <c r="KGM1453"/>
      <c r="KGN1453"/>
      <c r="KGO1453"/>
      <c r="KGP1453"/>
      <c r="KGQ1453"/>
      <c r="KGR1453"/>
      <c r="KGS1453"/>
      <c r="KGT1453"/>
      <c r="KGU1453"/>
      <c r="KGV1453"/>
      <c r="KGW1453"/>
      <c r="KGX1453"/>
      <c r="KGY1453"/>
      <c r="KGZ1453"/>
      <c r="KHA1453"/>
      <c r="KHB1453"/>
      <c r="KHC1453"/>
      <c r="KHD1453"/>
      <c r="KHE1453"/>
      <c r="KHF1453"/>
      <c r="KHG1453"/>
      <c r="KHH1453"/>
      <c r="KHI1453"/>
      <c r="KHJ1453"/>
      <c r="KHK1453"/>
      <c r="KHL1453"/>
      <c r="KHM1453"/>
      <c r="KHN1453"/>
      <c r="KHO1453"/>
      <c r="KHP1453"/>
      <c r="KHQ1453"/>
      <c r="KHR1453"/>
      <c r="KHS1453"/>
      <c r="KHT1453"/>
      <c r="KHU1453"/>
      <c r="KHV1453"/>
      <c r="KHW1453"/>
      <c r="KHX1453"/>
      <c r="KHY1453"/>
      <c r="KHZ1453"/>
      <c r="KIA1453"/>
      <c r="KIB1453"/>
      <c r="KIC1453"/>
      <c r="KID1453"/>
      <c r="KIE1453"/>
      <c r="KIF1453"/>
      <c r="KIG1453"/>
      <c r="KIH1453"/>
      <c r="KII1453"/>
      <c r="KIJ1453"/>
      <c r="KIK1453"/>
      <c r="KIL1453"/>
      <c r="KIM1453"/>
      <c r="KIN1453"/>
      <c r="KIO1453"/>
      <c r="KIP1453"/>
      <c r="KIQ1453"/>
      <c r="KIR1453"/>
      <c r="KIS1453"/>
      <c r="KIT1453"/>
      <c r="KIU1453"/>
      <c r="KIV1453"/>
      <c r="KIW1453"/>
      <c r="KIX1453"/>
      <c r="KIY1453"/>
      <c r="KIZ1453"/>
      <c r="KJA1453"/>
      <c r="KJB1453"/>
      <c r="KJC1453"/>
      <c r="KJD1453"/>
      <c r="KJE1453"/>
      <c r="KJF1453"/>
      <c r="KJG1453"/>
      <c r="KJH1453"/>
      <c r="KJI1453"/>
      <c r="KJJ1453"/>
      <c r="KJK1453"/>
      <c r="KJL1453"/>
      <c r="KJM1453"/>
      <c r="KJN1453"/>
      <c r="KJO1453"/>
      <c r="KJP1453"/>
      <c r="KJQ1453"/>
      <c r="KJR1453"/>
      <c r="KJS1453"/>
      <c r="KJT1453"/>
      <c r="KJU1453"/>
      <c r="KJV1453"/>
      <c r="KJW1453"/>
      <c r="KJX1453"/>
      <c r="KJY1453"/>
      <c r="KJZ1453"/>
      <c r="KKA1453"/>
      <c r="KKB1453"/>
      <c r="KKC1453"/>
      <c r="KKD1453"/>
      <c r="KKE1453"/>
      <c r="KKF1453"/>
      <c r="KKG1453"/>
      <c r="KKH1453"/>
      <c r="KKI1453"/>
      <c r="KKJ1453"/>
      <c r="KKK1453"/>
      <c r="KKL1453"/>
      <c r="KKM1453"/>
      <c r="KKN1453"/>
      <c r="KKO1453"/>
      <c r="KKP1453"/>
      <c r="KKQ1453"/>
      <c r="KKR1453"/>
      <c r="KKS1453"/>
      <c r="KKT1453"/>
      <c r="KKU1453"/>
      <c r="KKV1453"/>
      <c r="KKW1453"/>
      <c r="KKX1453"/>
      <c r="KKY1453"/>
      <c r="KKZ1453"/>
      <c r="KLA1453"/>
      <c r="KLB1453"/>
      <c r="KLC1453"/>
      <c r="KLD1453"/>
      <c r="KLE1453"/>
      <c r="KLF1453"/>
      <c r="KLG1453"/>
      <c r="KLH1453"/>
      <c r="KLI1453"/>
      <c r="KLJ1453"/>
      <c r="KLK1453"/>
      <c r="KLL1453"/>
      <c r="KLM1453"/>
      <c r="KLN1453"/>
      <c r="KLO1453"/>
      <c r="KLP1453"/>
      <c r="KLQ1453"/>
      <c r="KLR1453"/>
      <c r="KLS1453"/>
      <c r="KLT1453"/>
      <c r="KLU1453"/>
      <c r="KLV1453"/>
      <c r="KLW1453"/>
      <c r="KLX1453"/>
      <c r="KLY1453"/>
      <c r="KLZ1453"/>
      <c r="KMA1453"/>
      <c r="KMB1453"/>
      <c r="KMC1453"/>
      <c r="KMD1453"/>
      <c r="KME1453"/>
      <c r="KMF1453"/>
      <c r="KMG1453"/>
      <c r="KMH1453"/>
      <c r="KMI1453"/>
      <c r="KMJ1453"/>
      <c r="KMK1453"/>
      <c r="KML1453"/>
      <c r="KMM1453"/>
      <c r="KMN1453"/>
      <c r="KMO1453"/>
      <c r="KMP1453"/>
      <c r="KMQ1453"/>
      <c r="KMR1453"/>
      <c r="KMS1453"/>
      <c r="KMT1453"/>
      <c r="KMU1453"/>
      <c r="KMV1453"/>
      <c r="KMW1453"/>
      <c r="KMX1453"/>
      <c r="KMY1453"/>
      <c r="KMZ1453"/>
      <c r="KNA1453"/>
      <c r="KNB1453"/>
      <c r="KNC1453"/>
      <c r="KND1453"/>
      <c r="KNE1453"/>
      <c r="KNF1453"/>
      <c r="KNG1453"/>
      <c r="KNH1453"/>
      <c r="KNI1453"/>
      <c r="KNJ1453"/>
      <c r="KNK1453"/>
      <c r="KNL1453"/>
      <c r="KNM1453"/>
      <c r="KNN1453"/>
      <c r="KNO1453"/>
      <c r="KNP1453"/>
      <c r="KNQ1453"/>
      <c r="KNR1453"/>
      <c r="KNS1453"/>
      <c r="KNT1453"/>
      <c r="KNU1453"/>
      <c r="KNV1453"/>
      <c r="KNW1453"/>
      <c r="KNX1453"/>
      <c r="KNY1453"/>
      <c r="KNZ1453"/>
      <c r="KOA1453"/>
      <c r="KOB1453"/>
      <c r="KOC1453"/>
      <c r="KOD1453"/>
      <c r="KOE1453"/>
      <c r="KOF1453"/>
      <c r="KOG1453"/>
      <c r="KOH1453"/>
      <c r="KOI1453"/>
      <c r="KOJ1453"/>
      <c r="KOK1453"/>
      <c r="KOL1453"/>
      <c r="KOM1453"/>
      <c r="KON1453"/>
      <c r="KOO1453"/>
      <c r="KOP1453"/>
      <c r="KOQ1453"/>
      <c r="KOR1453"/>
      <c r="KOS1453"/>
      <c r="KOT1453"/>
      <c r="KOU1453"/>
      <c r="KOV1453"/>
      <c r="KOW1453"/>
      <c r="KOX1453"/>
      <c r="KOY1453"/>
      <c r="KOZ1453"/>
      <c r="KPA1453"/>
      <c r="KPB1453"/>
      <c r="KPC1453"/>
      <c r="KPD1453"/>
      <c r="KPE1453"/>
      <c r="KPF1453"/>
      <c r="KPG1453"/>
      <c r="KPH1453"/>
      <c r="KPI1453"/>
      <c r="KPJ1453"/>
      <c r="KPK1453"/>
      <c r="KPL1453"/>
      <c r="KPM1453"/>
      <c r="KPN1453"/>
      <c r="KPO1453"/>
      <c r="KPP1453"/>
      <c r="KPQ1453"/>
      <c r="KPR1453"/>
      <c r="KPS1453"/>
      <c r="KPT1453"/>
      <c r="KPU1453"/>
      <c r="KPV1453"/>
      <c r="KPW1453"/>
      <c r="KPX1453"/>
      <c r="KPY1453"/>
      <c r="KPZ1453"/>
      <c r="KQA1453"/>
      <c r="KQB1453"/>
      <c r="KQC1453"/>
      <c r="KQD1453"/>
      <c r="KQE1453"/>
      <c r="KQF1453"/>
      <c r="KQG1453"/>
      <c r="KQH1453"/>
      <c r="KQI1453"/>
      <c r="KQJ1453"/>
      <c r="KQK1453"/>
      <c r="KQL1453"/>
      <c r="KQM1453"/>
      <c r="KQN1453"/>
      <c r="KQO1453"/>
      <c r="KQP1453"/>
      <c r="KQQ1453"/>
      <c r="KQR1453"/>
      <c r="KQS1453"/>
      <c r="KQT1453"/>
      <c r="KQU1453"/>
      <c r="KQV1453"/>
      <c r="KQW1453"/>
      <c r="KQX1453"/>
      <c r="KQY1453"/>
      <c r="KQZ1453"/>
      <c r="KRA1453"/>
      <c r="KRB1453"/>
      <c r="KRC1453"/>
      <c r="KRD1453"/>
      <c r="KRE1453"/>
      <c r="KRF1453"/>
      <c r="KRG1453"/>
      <c r="KRH1453"/>
      <c r="KRI1453"/>
      <c r="KRJ1453"/>
      <c r="KRK1453"/>
      <c r="KRL1453"/>
      <c r="KRM1453"/>
      <c r="KRN1453"/>
      <c r="KRO1453"/>
      <c r="KRP1453"/>
      <c r="KRQ1453"/>
      <c r="KRR1453"/>
      <c r="KRS1453"/>
      <c r="KRT1453"/>
      <c r="KRU1453"/>
      <c r="KRV1453"/>
      <c r="KRW1453"/>
      <c r="KRX1453"/>
      <c r="KRY1453"/>
      <c r="KRZ1453"/>
      <c r="KSA1453"/>
      <c r="KSB1453"/>
      <c r="KSC1453"/>
      <c r="KSD1453"/>
      <c r="KSE1453"/>
      <c r="KSF1453"/>
      <c r="KSG1453"/>
      <c r="KSH1453"/>
      <c r="KSI1453"/>
      <c r="KSJ1453"/>
      <c r="KSK1453"/>
      <c r="KSL1453"/>
      <c r="KSM1453"/>
      <c r="KSN1453"/>
      <c r="KSO1453"/>
      <c r="KSP1453"/>
      <c r="KSQ1453"/>
      <c r="KSR1453"/>
      <c r="KSS1453"/>
      <c r="KST1453"/>
      <c r="KSU1453"/>
      <c r="KSV1453"/>
      <c r="KSW1453"/>
      <c r="KSX1453"/>
      <c r="KSY1453"/>
      <c r="KSZ1453"/>
      <c r="KTA1453"/>
      <c r="KTB1453"/>
      <c r="KTC1453"/>
      <c r="KTD1453"/>
      <c r="KTE1453"/>
      <c r="KTF1453"/>
      <c r="KTG1453"/>
      <c r="KTH1453"/>
      <c r="KTI1453"/>
      <c r="KTJ1453"/>
      <c r="KTK1453"/>
      <c r="KTL1453"/>
      <c r="KTM1453"/>
      <c r="KTN1453"/>
      <c r="KTO1453"/>
      <c r="KTP1453"/>
      <c r="KTQ1453"/>
      <c r="KTR1453"/>
      <c r="KTS1453"/>
      <c r="KTT1453"/>
      <c r="KTU1453"/>
      <c r="KTV1453"/>
      <c r="KTW1453"/>
      <c r="KTX1453"/>
      <c r="KTY1453"/>
      <c r="KTZ1453"/>
      <c r="KUA1453"/>
      <c r="KUB1453"/>
      <c r="KUC1453"/>
      <c r="KUD1453"/>
      <c r="KUE1453"/>
      <c r="KUF1453"/>
      <c r="KUG1453"/>
      <c r="KUH1453"/>
      <c r="KUI1453"/>
      <c r="KUJ1453"/>
      <c r="KUK1453"/>
      <c r="KUL1453"/>
      <c r="KUM1453"/>
      <c r="KUN1453"/>
      <c r="KUO1453"/>
      <c r="KUP1453"/>
      <c r="KUQ1453"/>
      <c r="KUR1453"/>
      <c r="KUS1453"/>
      <c r="KUT1453"/>
      <c r="KUU1453"/>
      <c r="KUV1453"/>
      <c r="KUW1453"/>
      <c r="KUX1453"/>
      <c r="KUY1453"/>
      <c r="KUZ1453"/>
      <c r="KVA1453"/>
      <c r="KVB1453"/>
      <c r="KVC1453"/>
      <c r="KVD1453"/>
      <c r="KVE1453"/>
      <c r="KVF1453"/>
      <c r="KVG1453"/>
      <c r="KVH1453"/>
      <c r="KVI1453"/>
      <c r="KVJ1453"/>
      <c r="KVK1453"/>
      <c r="KVL1453"/>
      <c r="KVM1453"/>
      <c r="KVN1453"/>
      <c r="KVO1453"/>
      <c r="KVP1453"/>
      <c r="KVQ1453"/>
      <c r="KVR1453"/>
      <c r="KVS1453"/>
      <c r="KVT1453"/>
      <c r="KVU1453"/>
      <c r="KVV1453"/>
      <c r="KVW1453"/>
      <c r="KVX1453"/>
      <c r="KVY1453"/>
      <c r="KVZ1453"/>
      <c r="KWA1453"/>
      <c r="KWB1453"/>
      <c r="KWC1453"/>
      <c r="KWD1453"/>
      <c r="KWE1453"/>
      <c r="KWF1453"/>
      <c r="KWG1453"/>
      <c r="KWH1453"/>
      <c r="KWI1453"/>
      <c r="KWJ1453"/>
      <c r="KWK1453"/>
      <c r="KWL1453"/>
      <c r="KWM1453"/>
      <c r="KWN1453"/>
      <c r="KWO1453"/>
      <c r="KWP1453"/>
      <c r="KWQ1453"/>
      <c r="KWR1453"/>
      <c r="KWS1453"/>
      <c r="KWT1453"/>
      <c r="KWU1453"/>
      <c r="KWV1453"/>
      <c r="KWW1453"/>
      <c r="KWX1453"/>
      <c r="KWY1453"/>
      <c r="KWZ1453"/>
      <c r="KXA1453"/>
      <c r="KXB1453"/>
      <c r="KXC1453"/>
      <c r="KXD1453"/>
      <c r="KXE1453"/>
      <c r="KXF1453"/>
      <c r="KXG1453"/>
      <c r="KXH1453"/>
      <c r="KXI1453"/>
      <c r="KXJ1453"/>
      <c r="KXK1453"/>
      <c r="KXL1453"/>
      <c r="KXM1453"/>
      <c r="KXN1453"/>
      <c r="KXO1453"/>
      <c r="KXP1453"/>
      <c r="KXQ1453"/>
      <c r="KXR1453"/>
      <c r="KXS1453"/>
      <c r="KXT1453"/>
      <c r="KXU1453"/>
      <c r="KXV1453"/>
      <c r="KXW1453"/>
      <c r="KXX1453"/>
      <c r="KXY1453"/>
      <c r="KXZ1453"/>
      <c r="KYA1453"/>
      <c r="KYB1453"/>
      <c r="KYC1453"/>
      <c r="KYD1453"/>
      <c r="KYE1453"/>
      <c r="KYF1453"/>
      <c r="KYG1453"/>
      <c r="KYH1453"/>
      <c r="KYI1453"/>
      <c r="KYJ1453"/>
      <c r="KYK1453"/>
      <c r="KYL1453"/>
      <c r="KYM1453"/>
      <c r="KYN1453"/>
      <c r="KYO1453"/>
      <c r="KYP1453"/>
      <c r="KYQ1453"/>
      <c r="KYR1453"/>
      <c r="KYS1453"/>
      <c r="KYT1453"/>
      <c r="KYU1453"/>
      <c r="KYV1453"/>
      <c r="KYW1453"/>
      <c r="KYX1453"/>
      <c r="KYY1453"/>
      <c r="KYZ1453"/>
      <c r="KZA1453"/>
      <c r="KZB1453"/>
      <c r="KZC1453"/>
      <c r="KZD1453"/>
      <c r="KZE1453"/>
      <c r="KZF1453"/>
      <c r="KZG1453"/>
      <c r="KZH1453"/>
      <c r="KZI1453"/>
      <c r="KZJ1453"/>
      <c r="KZK1453"/>
      <c r="KZL1453"/>
      <c r="KZM1453"/>
      <c r="KZN1453"/>
      <c r="KZO1453"/>
      <c r="KZP1453"/>
      <c r="KZQ1453"/>
      <c r="KZR1453"/>
      <c r="KZS1453"/>
      <c r="KZT1453"/>
      <c r="KZU1453"/>
      <c r="KZV1453"/>
      <c r="KZW1453"/>
      <c r="KZX1453"/>
      <c r="KZY1453"/>
      <c r="KZZ1453"/>
      <c r="LAA1453"/>
      <c r="LAB1453"/>
      <c r="LAC1453"/>
      <c r="LAD1453"/>
      <c r="LAE1453"/>
      <c r="LAF1453"/>
      <c r="LAG1453"/>
      <c r="LAH1453"/>
      <c r="LAI1453"/>
      <c r="LAJ1453"/>
      <c r="LAK1453"/>
      <c r="LAL1453"/>
      <c r="LAM1453"/>
      <c r="LAN1453"/>
      <c r="LAO1453"/>
      <c r="LAP1453"/>
      <c r="LAQ1453"/>
      <c r="LAR1453"/>
      <c r="LAS1453"/>
      <c r="LAT1453"/>
      <c r="LAU1453"/>
      <c r="LAV1453"/>
      <c r="LAW1453"/>
      <c r="LAX1453"/>
      <c r="LAY1453"/>
      <c r="LAZ1453"/>
      <c r="LBA1453"/>
      <c r="LBB1453"/>
      <c r="LBC1453"/>
      <c r="LBD1453"/>
      <c r="LBE1453"/>
      <c r="LBF1453"/>
      <c r="LBG1453"/>
      <c r="LBH1453"/>
      <c r="LBI1453"/>
      <c r="LBJ1453"/>
      <c r="LBK1453"/>
      <c r="LBL1453"/>
      <c r="LBM1453"/>
      <c r="LBN1453"/>
      <c r="LBO1453"/>
      <c r="LBP1453"/>
      <c r="LBQ1453"/>
      <c r="LBR1453"/>
      <c r="LBS1453"/>
      <c r="LBT1453"/>
      <c r="LBU1453"/>
      <c r="LBV1453"/>
      <c r="LBW1453"/>
      <c r="LBX1453"/>
      <c r="LBY1453"/>
      <c r="LBZ1453"/>
      <c r="LCA1453"/>
      <c r="LCB1453"/>
      <c r="LCC1453"/>
      <c r="LCD1453"/>
      <c r="LCE1453"/>
      <c r="LCF1453"/>
      <c r="LCG1453"/>
      <c r="LCH1453"/>
      <c r="LCI1453"/>
      <c r="LCJ1453"/>
      <c r="LCK1453"/>
      <c r="LCL1453"/>
      <c r="LCM1453"/>
      <c r="LCN1453"/>
      <c r="LCO1453"/>
      <c r="LCP1453"/>
      <c r="LCQ1453"/>
      <c r="LCR1453"/>
      <c r="LCS1453"/>
      <c r="LCT1453"/>
      <c r="LCU1453"/>
      <c r="LCV1453"/>
      <c r="LCW1453"/>
      <c r="LCX1453"/>
      <c r="LCY1453"/>
      <c r="LCZ1453"/>
      <c r="LDA1453"/>
      <c r="LDB1453"/>
      <c r="LDC1453"/>
      <c r="LDD1453"/>
      <c r="LDE1453"/>
      <c r="LDF1453"/>
      <c r="LDG1453"/>
      <c r="LDH1453"/>
      <c r="LDI1453"/>
      <c r="LDJ1453"/>
      <c r="LDK1453"/>
      <c r="LDL1453"/>
      <c r="LDM1453"/>
      <c r="LDN1453"/>
      <c r="LDO1453"/>
      <c r="LDP1453"/>
      <c r="LDQ1453"/>
      <c r="LDR1453"/>
      <c r="LDS1453"/>
      <c r="LDT1453"/>
      <c r="LDU1453"/>
      <c r="LDV1453"/>
      <c r="LDW1453"/>
      <c r="LDX1453"/>
      <c r="LDY1453"/>
      <c r="LDZ1453"/>
      <c r="LEA1453"/>
      <c r="LEB1453"/>
      <c r="LEC1453"/>
      <c r="LED1453"/>
      <c r="LEE1453"/>
      <c r="LEF1453"/>
      <c r="LEG1453"/>
      <c r="LEH1453"/>
      <c r="LEI1453"/>
      <c r="LEJ1453"/>
      <c r="LEK1453"/>
      <c r="LEL1453"/>
      <c r="LEM1453"/>
      <c r="LEN1453"/>
      <c r="LEO1453"/>
      <c r="LEP1453"/>
      <c r="LEQ1453"/>
      <c r="LER1453"/>
      <c r="LES1453"/>
      <c r="LET1453"/>
      <c r="LEU1453"/>
      <c r="LEV1453"/>
      <c r="LEW1453"/>
      <c r="LEX1453"/>
      <c r="LEY1453"/>
      <c r="LEZ1453"/>
      <c r="LFA1453"/>
      <c r="LFB1453"/>
      <c r="LFC1453"/>
      <c r="LFD1453"/>
      <c r="LFE1453"/>
      <c r="LFF1453"/>
      <c r="LFG1453"/>
      <c r="LFH1453"/>
      <c r="LFI1453"/>
      <c r="LFJ1453"/>
      <c r="LFK1453"/>
      <c r="LFL1453"/>
      <c r="LFM1453"/>
      <c r="LFN1453"/>
      <c r="LFO1453"/>
      <c r="LFP1453"/>
      <c r="LFQ1453"/>
      <c r="LFR1453"/>
      <c r="LFS1453"/>
      <c r="LFT1453"/>
      <c r="LFU1453"/>
      <c r="LFV1453"/>
      <c r="LFW1453"/>
      <c r="LFX1453"/>
      <c r="LFY1453"/>
      <c r="LFZ1453"/>
      <c r="LGA1453"/>
      <c r="LGB1453"/>
      <c r="LGC1453"/>
      <c r="LGD1453"/>
      <c r="LGE1453"/>
      <c r="LGF1453"/>
      <c r="LGG1453"/>
      <c r="LGH1453"/>
      <c r="LGI1453"/>
      <c r="LGJ1453"/>
      <c r="LGK1453"/>
      <c r="LGL1453"/>
      <c r="LGM1453"/>
      <c r="LGN1453"/>
      <c r="LGO1453"/>
      <c r="LGP1453"/>
      <c r="LGQ1453"/>
      <c r="LGR1453"/>
      <c r="LGS1453"/>
      <c r="LGT1453"/>
      <c r="LGU1453"/>
      <c r="LGV1453"/>
      <c r="LGW1453"/>
      <c r="LGX1453"/>
      <c r="LGY1453"/>
      <c r="LGZ1453"/>
      <c r="LHA1453"/>
      <c r="LHB1453"/>
      <c r="LHC1453"/>
      <c r="LHD1453"/>
      <c r="LHE1453"/>
      <c r="LHF1453"/>
      <c r="LHG1453"/>
      <c r="LHH1453"/>
      <c r="LHI1453"/>
      <c r="LHJ1453"/>
      <c r="LHK1453"/>
      <c r="LHL1453"/>
      <c r="LHM1453"/>
      <c r="LHN1453"/>
      <c r="LHO1453"/>
      <c r="LHP1453"/>
      <c r="LHQ1453"/>
      <c r="LHR1453"/>
      <c r="LHS1453"/>
      <c r="LHT1453"/>
      <c r="LHU1453"/>
      <c r="LHV1453"/>
      <c r="LHW1453"/>
      <c r="LHX1453"/>
      <c r="LHY1453"/>
      <c r="LHZ1453"/>
      <c r="LIA1453"/>
      <c r="LIB1453"/>
      <c r="LIC1453"/>
      <c r="LID1453"/>
      <c r="LIE1453"/>
      <c r="LIF1453"/>
      <c r="LIG1453"/>
      <c r="LIH1453"/>
      <c r="LII1453"/>
      <c r="LIJ1453"/>
      <c r="LIK1453"/>
      <c r="LIL1453"/>
      <c r="LIM1453"/>
      <c r="LIN1453"/>
      <c r="LIO1453"/>
      <c r="LIP1453"/>
      <c r="LIQ1453"/>
      <c r="LIR1453"/>
      <c r="LIS1453"/>
      <c r="LIT1453"/>
      <c r="LIU1453"/>
      <c r="LIV1453"/>
      <c r="LIW1453"/>
      <c r="LIX1453"/>
      <c r="LIY1453"/>
      <c r="LIZ1453"/>
      <c r="LJA1453"/>
      <c r="LJB1453"/>
      <c r="LJC1453"/>
      <c r="LJD1453"/>
      <c r="LJE1453"/>
      <c r="LJF1453"/>
      <c r="LJG1453"/>
      <c r="LJH1453"/>
      <c r="LJI1453"/>
      <c r="LJJ1453"/>
      <c r="LJK1453"/>
      <c r="LJL1453"/>
      <c r="LJM1453"/>
      <c r="LJN1453"/>
      <c r="LJO1453"/>
      <c r="LJP1453"/>
      <c r="LJQ1453"/>
      <c r="LJR1453"/>
      <c r="LJS1453"/>
      <c r="LJT1453"/>
      <c r="LJU1453"/>
      <c r="LJV1453"/>
      <c r="LJW1453"/>
      <c r="LJX1453"/>
      <c r="LJY1453"/>
      <c r="LJZ1453"/>
      <c r="LKA1453"/>
      <c r="LKB1453"/>
      <c r="LKC1453"/>
      <c r="LKD1453"/>
      <c r="LKE1453"/>
      <c r="LKF1453"/>
      <c r="LKG1453"/>
      <c r="LKH1453"/>
      <c r="LKI1453"/>
      <c r="LKJ1453"/>
      <c r="LKK1453"/>
      <c r="LKL1453"/>
      <c r="LKM1453"/>
      <c r="LKN1453"/>
      <c r="LKO1453"/>
      <c r="LKP1453"/>
      <c r="LKQ1453"/>
      <c r="LKR1453"/>
      <c r="LKS1453"/>
      <c r="LKT1453"/>
      <c r="LKU1453"/>
      <c r="LKV1453"/>
      <c r="LKW1453"/>
      <c r="LKX1453"/>
      <c r="LKY1453"/>
      <c r="LKZ1453"/>
      <c r="LLA1453"/>
      <c r="LLB1453"/>
      <c r="LLC1453"/>
      <c r="LLD1453"/>
      <c r="LLE1453"/>
      <c r="LLF1453"/>
      <c r="LLG1453"/>
      <c r="LLH1453"/>
      <c r="LLI1453"/>
      <c r="LLJ1453"/>
      <c r="LLK1453"/>
      <c r="LLL1453"/>
      <c r="LLM1453"/>
      <c r="LLN1453"/>
      <c r="LLO1453"/>
      <c r="LLP1453"/>
      <c r="LLQ1453"/>
      <c r="LLR1453"/>
      <c r="LLS1453"/>
      <c r="LLT1453"/>
      <c r="LLU1453"/>
      <c r="LLV1453"/>
      <c r="LLW1453"/>
      <c r="LLX1453"/>
      <c r="LLY1453"/>
      <c r="LLZ1453"/>
      <c r="LMA1453"/>
      <c r="LMB1453"/>
      <c r="LMC1453"/>
      <c r="LMD1453"/>
      <c r="LME1453"/>
      <c r="LMF1453"/>
      <c r="LMG1453"/>
      <c r="LMH1453"/>
      <c r="LMI1453"/>
      <c r="LMJ1453"/>
      <c r="LMK1453"/>
      <c r="LML1453"/>
      <c r="LMM1453"/>
      <c r="LMN1453"/>
      <c r="LMO1453"/>
      <c r="LMP1453"/>
      <c r="LMQ1453"/>
      <c r="LMR1453"/>
      <c r="LMS1453"/>
      <c r="LMT1453"/>
      <c r="LMU1453"/>
      <c r="LMV1453"/>
      <c r="LMW1453"/>
      <c r="LMX1453"/>
      <c r="LMY1453"/>
      <c r="LMZ1453"/>
      <c r="LNA1453"/>
      <c r="LNB1453"/>
      <c r="LNC1453"/>
      <c r="LND1453"/>
      <c r="LNE1453"/>
      <c r="LNF1453"/>
      <c r="LNG1453"/>
      <c r="LNH1453"/>
      <c r="LNI1453"/>
      <c r="LNJ1453"/>
      <c r="LNK1453"/>
      <c r="LNL1453"/>
      <c r="LNM1453"/>
      <c r="LNN1453"/>
      <c r="LNO1453"/>
      <c r="LNP1453"/>
      <c r="LNQ1453"/>
      <c r="LNR1453"/>
      <c r="LNS1453"/>
      <c r="LNT1453"/>
      <c r="LNU1453"/>
      <c r="LNV1453"/>
      <c r="LNW1453"/>
      <c r="LNX1453"/>
      <c r="LNY1453"/>
      <c r="LNZ1453"/>
      <c r="LOA1453"/>
      <c r="LOB1453"/>
      <c r="LOC1453"/>
      <c r="LOD1453"/>
      <c r="LOE1453"/>
      <c r="LOF1453"/>
      <c r="LOG1453"/>
      <c r="LOH1453"/>
      <c r="LOI1453"/>
      <c r="LOJ1453"/>
      <c r="LOK1453"/>
      <c r="LOL1453"/>
      <c r="LOM1453"/>
      <c r="LON1453"/>
      <c r="LOO1453"/>
      <c r="LOP1453"/>
      <c r="LOQ1453"/>
      <c r="LOR1453"/>
      <c r="LOS1453"/>
      <c r="LOT1453"/>
      <c r="LOU1453"/>
      <c r="LOV1453"/>
      <c r="LOW1453"/>
      <c r="LOX1453"/>
      <c r="LOY1453"/>
      <c r="LOZ1453"/>
      <c r="LPA1453"/>
      <c r="LPB1453"/>
      <c r="LPC1453"/>
      <c r="LPD1453"/>
      <c r="LPE1453"/>
      <c r="LPF1453"/>
      <c r="LPG1453"/>
      <c r="LPH1453"/>
      <c r="LPI1453"/>
      <c r="LPJ1453"/>
      <c r="LPK1453"/>
      <c r="LPL1453"/>
      <c r="LPM1453"/>
      <c r="LPN1453"/>
      <c r="LPO1453"/>
      <c r="LPP1453"/>
      <c r="LPQ1453"/>
      <c r="LPR1453"/>
      <c r="LPS1453"/>
      <c r="LPT1453"/>
      <c r="LPU1453"/>
      <c r="LPV1453"/>
      <c r="LPW1453"/>
      <c r="LPX1453"/>
      <c r="LPY1453"/>
      <c r="LPZ1453"/>
      <c r="LQA1453"/>
      <c r="LQB1453"/>
      <c r="LQC1453"/>
      <c r="LQD1453"/>
      <c r="LQE1453"/>
      <c r="LQF1453"/>
      <c r="LQG1453"/>
      <c r="LQH1453"/>
      <c r="LQI1453"/>
      <c r="LQJ1453"/>
      <c r="LQK1453"/>
      <c r="LQL1453"/>
      <c r="LQM1453"/>
      <c r="LQN1453"/>
      <c r="LQO1453"/>
      <c r="LQP1453"/>
      <c r="LQQ1453"/>
      <c r="LQR1453"/>
      <c r="LQS1453"/>
      <c r="LQT1453"/>
      <c r="LQU1453"/>
      <c r="LQV1453"/>
      <c r="LQW1453"/>
      <c r="LQX1453"/>
      <c r="LQY1453"/>
      <c r="LQZ1453"/>
      <c r="LRA1453"/>
      <c r="LRB1453"/>
      <c r="LRC1453"/>
      <c r="LRD1453"/>
      <c r="LRE1453"/>
      <c r="LRF1453"/>
      <c r="LRG1453"/>
      <c r="LRH1453"/>
      <c r="LRI1453"/>
      <c r="LRJ1453"/>
      <c r="LRK1453"/>
      <c r="LRL1453"/>
      <c r="LRM1453"/>
      <c r="LRN1453"/>
      <c r="LRO1453"/>
      <c r="LRP1453"/>
      <c r="LRQ1453"/>
      <c r="LRR1453"/>
      <c r="LRS1453"/>
      <c r="LRT1453"/>
      <c r="LRU1453"/>
      <c r="LRV1453"/>
      <c r="LRW1453"/>
      <c r="LRX1453"/>
      <c r="LRY1453"/>
      <c r="LRZ1453"/>
      <c r="LSA1453"/>
      <c r="LSB1453"/>
      <c r="LSC1453"/>
      <c r="LSD1453"/>
      <c r="LSE1453"/>
      <c r="LSF1453"/>
      <c r="LSG1453"/>
      <c r="LSH1453"/>
      <c r="LSI1453"/>
      <c r="LSJ1453"/>
      <c r="LSK1453"/>
      <c r="LSL1453"/>
      <c r="LSM1453"/>
      <c r="LSN1453"/>
      <c r="LSO1453"/>
      <c r="LSP1453"/>
      <c r="LSQ1453"/>
      <c r="LSR1453"/>
      <c r="LSS1453"/>
      <c r="LST1453"/>
      <c r="LSU1453"/>
      <c r="LSV1453"/>
      <c r="LSW1453"/>
      <c r="LSX1453"/>
      <c r="LSY1453"/>
      <c r="LSZ1453"/>
      <c r="LTA1453"/>
      <c r="LTB1453"/>
      <c r="LTC1453"/>
      <c r="LTD1453"/>
      <c r="LTE1453"/>
      <c r="LTF1453"/>
      <c r="LTG1453"/>
      <c r="LTH1453"/>
      <c r="LTI1453"/>
      <c r="LTJ1453"/>
      <c r="LTK1453"/>
      <c r="LTL1453"/>
      <c r="LTM1453"/>
      <c r="LTN1453"/>
      <c r="LTO1453"/>
      <c r="LTP1453"/>
      <c r="LTQ1453"/>
      <c r="LTR1453"/>
      <c r="LTS1453"/>
      <c r="LTT1453"/>
      <c r="LTU1453"/>
      <c r="LTV1453"/>
      <c r="LTW1453"/>
      <c r="LTX1453"/>
      <c r="LTY1453"/>
      <c r="LTZ1453"/>
      <c r="LUA1453"/>
      <c r="LUB1453"/>
      <c r="LUC1453"/>
      <c r="LUD1453"/>
      <c r="LUE1453"/>
      <c r="LUF1453"/>
      <c r="LUG1453"/>
      <c r="LUH1453"/>
      <c r="LUI1453"/>
      <c r="LUJ1453"/>
      <c r="LUK1453"/>
      <c r="LUL1453"/>
      <c r="LUM1453"/>
      <c r="LUN1453"/>
      <c r="LUO1453"/>
      <c r="LUP1453"/>
      <c r="LUQ1453"/>
      <c r="LUR1453"/>
      <c r="LUS1453"/>
      <c r="LUT1453"/>
      <c r="LUU1453"/>
      <c r="LUV1453"/>
      <c r="LUW1453"/>
      <c r="LUX1453"/>
      <c r="LUY1453"/>
      <c r="LUZ1453"/>
      <c r="LVA1453"/>
      <c r="LVB1453"/>
      <c r="LVC1453"/>
      <c r="LVD1453"/>
      <c r="LVE1453"/>
      <c r="LVF1453"/>
      <c r="LVG1453"/>
      <c r="LVH1453"/>
      <c r="LVI1453"/>
      <c r="LVJ1453"/>
      <c r="LVK1453"/>
      <c r="LVL1453"/>
      <c r="LVM1453"/>
      <c r="LVN1453"/>
      <c r="LVO1453"/>
      <c r="LVP1453"/>
      <c r="LVQ1453"/>
      <c r="LVR1453"/>
      <c r="LVS1453"/>
      <c r="LVT1453"/>
      <c r="LVU1453"/>
      <c r="LVV1453"/>
      <c r="LVW1453"/>
      <c r="LVX1453"/>
      <c r="LVY1453"/>
      <c r="LVZ1453"/>
      <c r="LWA1453"/>
      <c r="LWB1453"/>
      <c r="LWC1453"/>
      <c r="LWD1453"/>
      <c r="LWE1453"/>
      <c r="LWF1453"/>
      <c r="LWG1453"/>
      <c r="LWH1453"/>
      <c r="LWI1453"/>
      <c r="LWJ1453"/>
      <c r="LWK1453"/>
      <c r="LWL1453"/>
      <c r="LWM1453"/>
      <c r="LWN1453"/>
      <c r="LWO1453"/>
      <c r="LWP1453"/>
      <c r="LWQ1453"/>
      <c r="LWR1453"/>
      <c r="LWS1453"/>
      <c r="LWT1453"/>
      <c r="LWU1453"/>
      <c r="LWV1453"/>
      <c r="LWW1453"/>
      <c r="LWX1453"/>
      <c r="LWY1453"/>
      <c r="LWZ1453"/>
      <c r="LXA1453"/>
      <c r="LXB1453"/>
      <c r="LXC1453"/>
      <c r="LXD1453"/>
      <c r="LXE1453"/>
      <c r="LXF1453"/>
      <c r="LXG1453"/>
      <c r="LXH1453"/>
      <c r="LXI1453"/>
      <c r="LXJ1453"/>
      <c r="LXK1453"/>
      <c r="LXL1453"/>
      <c r="LXM1453"/>
      <c r="LXN1453"/>
      <c r="LXO1453"/>
      <c r="LXP1453"/>
      <c r="LXQ1453"/>
      <c r="LXR1453"/>
      <c r="LXS1453"/>
      <c r="LXT1453"/>
      <c r="LXU1453"/>
      <c r="LXV1453"/>
      <c r="LXW1453"/>
      <c r="LXX1453"/>
      <c r="LXY1453"/>
      <c r="LXZ1453"/>
      <c r="LYA1453"/>
      <c r="LYB1453"/>
      <c r="LYC1453"/>
      <c r="LYD1453"/>
      <c r="LYE1453"/>
      <c r="LYF1453"/>
      <c r="LYG1453"/>
      <c r="LYH1453"/>
      <c r="LYI1453"/>
      <c r="LYJ1453"/>
      <c r="LYK1453"/>
      <c r="LYL1453"/>
      <c r="LYM1453"/>
      <c r="LYN1453"/>
      <c r="LYO1453"/>
      <c r="LYP1453"/>
      <c r="LYQ1453"/>
      <c r="LYR1453"/>
      <c r="LYS1453"/>
      <c r="LYT1453"/>
      <c r="LYU1453"/>
      <c r="LYV1453"/>
      <c r="LYW1453"/>
      <c r="LYX1453"/>
      <c r="LYY1453"/>
      <c r="LYZ1453"/>
      <c r="LZA1453"/>
      <c r="LZB1453"/>
      <c r="LZC1453"/>
      <c r="LZD1453"/>
      <c r="LZE1453"/>
      <c r="LZF1453"/>
      <c r="LZG1453"/>
      <c r="LZH1453"/>
      <c r="LZI1453"/>
      <c r="LZJ1453"/>
      <c r="LZK1453"/>
      <c r="LZL1453"/>
      <c r="LZM1453"/>
      <c r="LZN1453"/>
      <c r="LZO1453"/>
      <c r="LZP1453"/>
      <c r="LZQ1453"/>
      <c r="LZR1453"/>
      <c r="LZS1453"/>
      <c r="LZT1453"/>
      <c r="LZU1453"/>
      <c r="LZV1453"/>
      <c r="LZW1453"/>
      <c r="LZX1453"/>
      <c r="LZY1453"/>
      <c r="LZZ1453"/>
      <c r="MAA1453"/>
      <c r="MAB1453"/>
      <c r="MAC1453"/>
      <c r="MAD1453"/>
      <c r="MAE1453"/>
      <c r="MAF1453"/>
      <c r="MAG1453"/>
      <c r="MAH1453"/>
      <c r="MAI1453"/>
      <c r="MAJ1453"/>
      <c r="MAK1453"/>
      <c r="MAL1453"/>
      <c r="MAM1453"/>
      <c r="MAN1453"/>
      <c r="MAO1453"/>
      <c r="MAP1453"/>
      <c r="MAQ1453"/>
      <c r="MAR1453"/>
      <c r="MAS1453"/>
      <c r="MAT1453"/>
      <c r="MAU1453"/>
      <c r="MAV1453"/>
      <c r="MAW1453"/>
      <c r="MAX1453"/>
      <c r="MAY1453"/>
      <c r="MAZ1453"/>
      <c r="MBA1453"/>
      <c r="MBB1453"/>
      <c r="MBC1453"/>
      <c r="MBD1453"/>
      <c r="MBE1453"/>
      <c r="MBF1453"/>
      <c r="MBG1453"/>
      <c r="MBH1453"/>
      <c r="MBI1453"/>
      <c r="MBJ1453"/>
      <c r="MBK1453"/>
      <c r="MBL1453"/>
      <c r="MBM1453"/>
      <c r="MBN1453"/>
      <c r="MBO1453"/>
      <c r="MBP1453"/>
      <c r="MBQ1453"/>
      <c r="MBR1453"/>
      <c r="MBS1453"/>
      <c r="MBT1453"/>
      <c r="MBU1453"/>
      <c r="MBV1453"/>
      <c r="MBW1453"/>
      <c r="MBX1453"/>
      <c r="MBY1453"/>
      <c r="MBZ1453"/>
      <c r="MCA1453"/>
      <c r="MCB1453"/>
      <c r="MCC1453"/>
      <c r="MCD1453"/>
      <c r="MCE1453"/>
      <c r="MCF1453"/>
      <c r="MCG1453"/>
      <c r="MCH1453"/>
      <c r="MCI1453"/>
      <c r="MCJ1453"/>
      <c r="MCK1453"/>
      <c r="MCL1453"/>
      <c r="MCM1453"/>
      <c r="MCN1453"/>
      <c r="MCO1453"/>
      <c r="MCP1453"/>
      <c r="MCQ1453"/>
      <c r="MCR1453"/>
      <c r="MCS1453"/>
      <c r="MCT1453"/>
      <c r="MCU1453"/>
      <c r="MCV1453"/>
      <c r="MCW1453"/>
      <c r="MCX1453"/>
      <c r="MCY1453"/>
      <c r="MCZ1453"/>
      <c r="MDA1453"/>
      <c r="MDB1453"/>
      <c r="MDC1453"/>
      <c r="MDD1453"/>
      <c r="MDE1453"/>
      <c r="MDF1453"/>
      <c r="MDG1453"/>
      <c r="MDH1453"/>
      <c r="MDI1453"/>
      <c r="MDJ1453"/>
      <c r="MDK1453"/>
      <c r="MDL1453"/>
      <c r="MDM1453"/>
      <c r="MDN1453"/>
      <c r="MDO1453"/>
      <c r="MDP1453"/>
      <c r="MDQ1453"/>
      <c r="MDR1453"/>
      <c r="MDS1453"/>
      <c r="MDT1453"/>
      <c r="MDU1453"/>
      <c r="MDV1453"/>
      <c r="MDW1453"/>
      <c r="MDX1453"/>
      <c r="MDY1453"/>
      <c r="MDZ1453"/>
      <c r="MEA1453"/>
      <c r="MEB1453"/>
      <c r="MEC1453"/>
      <c r="MED1453"/>
      <c r="MEE1453"/>
      <c r="MEF1453"/>
      <c r="MEG1453"/>
      <c r="MEH1453"/>
      <c r="MEI1453"/>
      <c r="MEJ1453"/>
      <c r="MEK1453"/>
      <c r="MEL1453"/>
      <c r="MEM1453"/>
      <c r="MEN1453"/>
      <c r="MEO1453"/>
      <c r="MEP1453"/>
      <c r="MEQ1453"/>
      <c r="MER1453"/>
      <c r="MES1453"/>
      <c r="MET1453"/>
      <c r="MEU1453"/>
      <c r="MEV1453"/>
      <c r="MEW1453"/>
      <c r="MEX1453"/>
      <c r="MEY1453"/>
      <c r="MEZ1453"/>
      <c r="MFA1453"/>
      <c r="MFB1453"/>
      <c r="MFC1453"/>
      <c r="MFD1453"/>
      <c r="MFE1453"/>
      <c r="MFF1453"/>
      <c r="MFG1453"/>
      <c r="MFH1453"/>
      <c r="MFI1453"/>
      <c r="MFJ1453"/>
      <c r="MFK1453"/>
      <c r="MFL1453"/>
      <c r="MFM1453"/>
      <c r="MFN1453"/>
      <c r="MFO1453"/>
      <c r="MFP1453"/>
      <c r="MFQ1453"/>
      <c r="MFR1453"/>
      <c r="MFS1453"/>
      <c r="MFT1453"/>
      <c r="MFU1453"/>
      <c r="MFV1453"/>
      <c r="MFW1453"/>
      <c r="MFX1453"/>
      <c r="MFY1453"/>
      <c r="MFZ1453"/>
      <c r="MGA1453"/>
      <c r="MGB1453"/>
      <c r="MGC1453"/>
      <c r="MGD1453"/>
      <c r="MGE1453"/>
      <c r="MGF1453"/>
      <c r="MGG1453"/>
      <c r="MGH1453"/>
      <c r="MGI1453"/>
      <c r="MGJ1453"/>
      <c r="MGK1453"/>
      <c r="MGL1453"/>
      <c r="MGM1453"/>
      <c r="MGN1453"/>
      <c r="MGO1453"/>
      <c r="MGP1453"/>
      <c r="MGQ1453"/>
      <c r="MGR1453"/>
      <c r="MGS1453"/>
      <c r="MGT1453"/>
      <c r="MGU1453"/>
      <c r="MGV1453"/>
      <c r="MGW1453"/>
      <c r="MGX1453"/>
      <c r="MGY1453"/>
      <c r="MGZ1453"/>
      <c r="MHA1453"/>
      <c r="MHB1453"/>
      <c r="MHC1453"/>
      <c r="MHD1453"/>
      <c r="MHE1453"/>
      <c r="MHF1453"/>
      <c r="MHG1453"/>
      <c r="MHH1453"/>
      <c r="MHI1453"/>
      <c r="MHJ1453"/>
      <c r="MHK1453"/>
      <c r="MHL1453"/>
      <c r="MHM1453"/>
      <c r="MHN1453"/>
      <c r="MHO1453"/>
      <c r="MHP1453"/>
      <c r="MHQ1453"/>
      <c r="MHR1453"/>
      <c r="MHS1453"/>
      <c r="MHT1453"/>
      <c r="MHU1453"/>
      <c r="MHV1453"/>
      <c r="MHW1453"/>
      <c r="MHX1453"/>
      <c r="MHY1453"/>
      <c r="MHZ1453"/>
      <c r="MIA1453"/>
      <c r="MIB1453"/>
      <c r="MIC1453"/>
      <c r="MID1453"/>
      <c r="MIE1453"/>
      <c r="MIF1453"/>
      <c r="MIG1453"/>
      <c r="MIH1453"/>
      <c r="MII1453"/>
      <c r="MIJ1453"/>
      <c r="MIK1453"/>
      <c r="MIL1453"/>
      <c r="MIM1453"/>
      <c r="MIN1453"/>
      <c r="MIO1453"/>
      <c r="MIP1453"/>
      <c r="MIQ1453"/>
      <c r="MIR1453"/>
      <c r="MIS1453"/>
      <c r="MIT1453"/>
      <c r="MIU1453"/>
      <c r="MIV1453"/>
      <c r="MIW1453"/>
      <c r="MIX1453"/>
      <c r="MIY1453"/>
      <c r="MIZ1453"/>
      <c r="MJA1453"/>
      <c r="MJB1453"/>
      <c r="MJC1453"/>
      <c r="MJD1453"/>
      <c r="MJE1453"/>
      <c r="MJF1453"/>
      <c r="MJG1453"/>
      <c r="MJH1453"/>
      <c r="MJI1453"/>
      <c r="MJJ1453"/>
      <c r="MJK1453"/>
      <c r="MJL1453"/>
      <c r="MJM1453"/>
      <c r="MJN1453"/>
      <c r="MJO1453"/>
      <c r="MJP1453"/>
      <c r="MJQ1453"/>
      <c r="MJR1453"/>
      <c r="MJS1453"/>
      <c r="MJT1453"/>
      <c r="MJU1453"/>
      <c r="MJV1453"/>
      <c r="MJW1453"/>
      <c r="MJX1453"/>
      <c r="MJY1453"/>
      <c r="MJZ1453"/>
      <c r="MKA1453"/>
      <c r="MKB1453"/>
      <c r="MKC1453"/>
      <c r="MKD1453"/>
      <c r="MKE1453"/>
      <c r="MKF1453"/>
      <c r="MKG1453"/>
      <c r="MKH1453"/>
      <c r="MKI1453"/>
      <c r="MKJ1453"/>
      <c r="MKK1453"/>
      <c r="MKL1453"/>
      <c r="MKM1453"/>
      <c r="MKN1453"/>
      <c r="MKO1453"/>
      <c r="MKP1453"/>
      <c r="MKQ1453"/>
      <c r="MKR1453"/>
      <c r="MKS1453"/>
      <c r="MKT1453"/>
      <c r="MKU1453"/>
      <c r="MKV1453"/>
      <c r="MKW1453"/>
      <c r="MKX1453"/>
      <c r="MKY1453"/>
      <c r="MKZ1453"/>
      <c r="MLA1453"/>
      <c r="MLB1453"/>
      <c r="MLC1453"/>
      <c r="MLD1453"/>
      <c r="MLE1453"/>
      <c r="MLF1453"/>
      <c r="MLG1453"/>
      <c r="MLH1453"/>
      <c r="MLI1453"/>
      <c r="MLJ1453"/>
      <c r="MLK1453"/>
      <c r="MLL1453"/>
      <c r="MLM1453"/>
      <c r="MLN1453"/>
      <c r="MLO1453"/>
      <c r="MLP1453"/>
      <c r="MLQ1453"/>
      <c r="MLR1453"/>
      <c r="MLS1453"/>
      <c r="MLT1453"/>
      <c r="MLU1453"/>
      <c r="MLV1453"/>
      <c r="MLW1453"/>
      <c r="MLX1453"/>
      <c r="MLY1453"/>
      <c r="MLZ1453"/>
      <c r="MMA1453"/>
      <c r="MMB1453"/>
      <c r="MMC1453"/>
      <c r="MMD1453"/>
      <c r="MME1453"/>
      <c r="MMF1453"/>
      <c r="MMG1453"/>
      <c r="MMH1453"/>
      <c r="MMI1453"/>
      <c r="MMJ1453"/>
      <c r="MMK1453"/>
      <c r="MML1453"/>
      <c r="MMM1453"/>
      <c r="MMN1453"/>
      <c r="MMO1453"/>
      <c r="MMP1453"/>
      <c r="MMQ1453"/>
      <c r="MMR1453"/>
      <c r="MMS1453"/>
      <c r="MMT1453"/>
      <c r="MMU1453"/>
      <c r="MMV1453"/>
      <c r="MMW1453"/>
      <c r="MMX1453"/>
      <c r="MMY1453"/>
      <c r="MMZ1453"/>
      <c r="MNA1453"/>
      <c r="MNB1453"/>
      <c r="MNC1453"/>
      <c r="MND1453"/>
      <c r="MNE1453"/>
      <c r="MNF1453"/>
      <c r="MNG1453"/>
      <c r="MNH1453"/>
      <c r="MNI1453"/>
      <c r="MNJ1453"/>
      <c r="MNK1453"/>
      <c r="MNL1453"/>
      <c r="MNM1453"/>
      <c r="MNN1453"/>
      <c r="MNO1453"/>
      <c r="MNP1453"/>
      <c r="MNQ1453"/>
      <c r="MNR1453"/>
      <c r="MNS1453"/>
      <c r="MNT1453"/>
      <c r="MNU1453"/>
      <c r="MNV1453"/>
      <c r="MNW1453"/>
      <c r="MNX1453"/>
      <c r="MNY1453"/>
      <c r="MNZ1453"/>
      <c r="MOA1453"/>
      <c r="MOB1453"/>
      <c r="MOC1453"/>
      <c r="MOD1453"/>
      <c r="MOE1453"/>
      <c r="MOF1453"/>
      <c r="MOG1453"/>
      <c r="MOH1453"/>
      <c r="MOI1453"/>
      <c r="MOJ1453"/>
      <c r="MOK1453"/>
      <c r="MOL1453"/>
      <c r="MOM1453"/>
      <c r="MON1453"/>
      <c r="MOO1453"/>
      <c r="MOP1453"/>
      <c r="MOQ1453"/>
      <c r="MOR1453"/>
      <c r="MOS1453"/>
      <c r="MOT1453"/>
      <c r="MOU1453"/>
      <c r="MOV1453"/>
      <c r="MOW1453"/>
      <c r="MOX1453"/>
      <c r="MOY1453"/>
      <c r="MOZ1453"/>
      <c r="MPA1453"/>
      <c r="MPB1453"/>
      <c r="MPC1453"/>
      <c r="MPD1453"/>
      <c r="MPE1453"/>
      <c r="MPF1453"/>
      <c r="MPG1453"/>
      <c r="MPH1453"/>
      <c r="MPI1453"/>
      <c r="MPJ1453"/>
      <c r="MPK1453"/>
      <c r="MPL1453"/>
      <c r="MPM1453"/>
      <c r="MPN1453"/>
      <c r="MPO1453"/>
      <c r="MPP1453"/>
      <c r="MPQ1453"/>
      <c r="MPR1453"/>
      <c r="MPS1453"/>
      <c r="MPT1453"/>
      <c r="MPU1453"/>
      <c r="MPV1453"/>
      <c r="MPW1453"/>
      <c r="MPX1453"/>
      <c r="MPY1453"/>
      <c r="MPZ1453"/>
      <c r="MQA1453"/>
      <c r="MQB1453"/>
      <c r="MQC1453"/>
      <c r="MQD1453"/>
      <c r="MQE1453"/>
      <c r="MQF1453"/>
      <c r="MQG1453"/>
      <c r="MQH1453"/>
      <c r="MQI1453"/>
      <c r="MQJ1453"/>
      <c r="MQK1453"/>
      <c r="MQL1453"/>
      <c r="MQM1453"/>
      <c r="MQN1453"/>
      <c r="MQO1453"/>
      <c r="MQP1453"/>
      <c r="MQQ1453"/>
      <c r="MQR1453"/>
      <c r="MQS1453"/>
      <c r="MQT1453"/>
      <c r="MQU1453"/>
      <c r="MQV1453"/>
      <c r="MQW1453"/>
      <c r="MQX1453"/>
      <c r="MQY1453"/>
      <c r="MQZ1453"/>
      <c r="MRA1453"/>
      <c r="MRB1453"/>
      <c r="MRC1453"/>
      <c r="MRD1453"/>
      <c r="MRE1453"/>
      <c r="MRF1453"/>
      <c r="MRG1453"/>
      <c r="MRH1453"/>
      <c r="MRI1453"/>
      <c r="MRJ1453"/>
      <c r="MRK1453"/>
      <c r="MRL1453"/>
      <c r="MRM1453"/>
      <c r="MRN1453"/>
      <c r="MRO1453"/>
      <c r="MRP1453"/>
      <c r="MRQ1453"/>
      <c r="MRR1453"/>
      <c r="MRS1453"/>
      <c r="MRT1453"/>
      <c r="MRU1453"/>
      <c r="MRV1453"/>
      <c r="MRW1453"/>
      <c r="MRX1453"/>
      <c r="MRY1453"/>
      <c r="MRZ1453"/>
      <c r="MSA1453"/>
      <c r="MSB1453"/>
      <c r="MSC1453"/>
      <c r="MSD1453"/>
      <c r="MSE1453"/>
      <c r="MSF1453"/>
      <c r="MSG1453"/>
      <c r="MSH1453"/>
      <c r="MSI1453"/>
      <c r="MSJ1453"/>
      <c r="MSK1453"/>
      <c r="MSL1453"/>
      <c r="MSM1453"/>
      <c r="MSN1453"/>
      <c r="MSO1453"/>
      <c r="MSP1453"/>
      <c r="MSQ1453"/>
      <c r="MSR1453"/>
      <c r="MSS1453"/>
      <c r="MST1453"/>
      <c r="MSU1453"/>
      <c r="MSV1453"/>
      <c r="MSW1453"/>
      <c r="MSX1453"/>
      <c r="MSY1453"/>
      <c r="MSZ1453"/>
      <c r="MTA1453"/>
      <c r="MTB1453"/>
      <c r="MTC1453"/>
      <c r="MTD1453"/>
      <c r="MTE1453"/>
      <c r="MTF1453"/>
      <c r="MTG1453"/>
      <c r="MTH1453"/>
      <c r="MTI1453"/>
      <c r="MTJ1453"/>
      <c r="MTK1453"/>
      <c r="MTL1453"/>
      <c r="MTM1453"/>
      <c r="MTN1453"/>
      <c r="MTO1453"/>
      <c r="MTP1453"/>
      <c r="MTQ1453"/>
      <c r="MTR1453"/>
      <c r="MTS1453"/>
      <c r="MTT1453"/>
      <c r="MTU1453"/>
      <c r="MTV1453"/>
      <c r="MTW1453"/>
      <c r="MTX1453"/>
      <c r="MTY1453"/>
      <c r="MTZ1453"/>
      <c r="MUA1453"/>
      <c r="MUB1453"/>
      <c r="MUC1453"/>
      <c r="MUD1453"/>
      <c r="MUE1453"/>
      <c r="MUF1453"/>
      <c r="MUG1453"/>
      <c r="MUH1453"/>
      <c r="MUI1453"/>
      <c r="MUJ1453"/>
      <c r="MUK1453"/>
      <c r="MUL1453"/>
      <c r="MUM1453"/>
      <c r="MUN1453"/>
      <c r="MUO1453"/>
      <c r="MUP1453"/>
      <c r="MUQ1453"/>
      <c r="MUR1453"/>
      <c r="MUS1453"/>
      <c r="MUT1453"/>
      <c r="MUU1453"/>
      <c r="MUV1453"/>
      <c r="MUW1453"/>
      <c r="MUX1453"/>
      <c r="MUY1453"/>
      <c r="MUZ1453"/>
      <c r="MVA1453"/>
      <c r="MVB1453"/>
      <c r="MVC1453"/>
      <c r="MVD1453"/>
      <c r="MVE1453"/>
      <c r="MVF1453"/>
      <c r="MVG1453"/>
      <c r="MVH1453"/>
      <c r="MVI1453"/>
      <c r="MVJ1453"/>
      <c r="MVK1453"/>
      <c r="MVL1453"/>
      <c r="MVM1453"/>
      <c r="MVN1453"/>
      <c r="MVO1453"/>
      <c r="MVP1453"/>
      <c r="MVQ1453"/>
      <c r="MVR1453"/>
      <c r="MVS1453"/>
      <c r="MVT1453"/>
      <c r="MVU1453"/>
      <c r="MVV1453"/>
      <c r="MVW1453"/>
      <c r="MVX1453"/>
      <c r="MVY1453"/>
      <c r="MVZ1453"/>
      <c r="MWA1453"/>
      <c r="MWB1453"/>
      <c r="MWC1453"/>
      <c r="MWD1453"/>
      <c r="MWE1453"/>
      <c r="MWF1453"/>
      <c r="MWG1453"/>
      <c r="MWH1453"/>
      <c r="MWI1453"/>
      <c r="MWJ1453"/>
      <c r="MWK1453"/>
      <c r="MWL1453"/>
      <c r="MWM1453"/>
      <c r="MWN1453"/>
      <c r="MWO1453"/>
      <c r="MWP1453"/>
      <c r="MWQ1453"/>
      <c r="MWR1453"/>
      <c r="MWS1453"/>
      <c r="MWT1453"/>
      <c r="MWU1453"/>
      <c r="MWV1453"/>
      <c r="MWW1453"/>
      <c r="MWX1453"/>
      <c r="MWY1453"/>
      <c r="MWZ1453"/>
      <c r="MXA1453"/>
      <c r="MXB1453"/>
      <c r="MXC1453"/>
      <c r="MXD1453"/>
      <c r="MXE1453"/>
      <c r="MXF1453"/>
      <c r="MXG1453"/>
      <c r="MXH1453"/>
      <c r="MXI1453"/>
      <c r="MXJ1453"/>
      <c r="MXK1453"/>
      <c r="MXL1453"/>
      <c r="MXM1453"/>
      <c r="MXN1453"/>
      <c r="MXO1453"/>
      <c r="MXP1453"/>
      <c r="MXQ1453"/>
      <c r="MXR1453"/>
      <c r="MXS1453"/>
      <c r="MXT1453"/>
      <c r="MXU1453"/>
      <c r="MXV1453"/>
      <c r="MXW1453"/>
      <c r="MXX1453"/>
      <c r="MXY1453"/>
      <c r="MXZ1453"/>
      <c r="MYA1453"/>
      <c r="MYB1453"/>
      <c r="MYC1453"/>
      <c r="MYD1453"/>
      <c r="MYE1453"/>
      <c r="MYF1453"/>
      <c r="MYG1453"/>
      <c r="MYH1453"/>
      <c r="MYI1453"/>
      <c r="MYJ1453"/>
      <c r="MYK1453"/>
      <c r="MYL1453"/>
      <c r="MYM1453"/>
      <c r="MYN1453"/>
      <c r="MYO1453"/>
      <c r="MYP1453"/>
      <c r="MYQ1453"/>
      <c r="MYR1453"/>
      <c r="MYS1453"/>
      <c r="MYT1453"/>
      <c r="MYU1453"/>
      <c r="MYV1453"/>
      <c r="MYW1453"/>
      <c r="MYX1453"/>
      <c r="MYY1453"/>
      <c r="MYZ1453"/>
      <c r="MZA1453"/>
      <c r="MZB1453"/>
      <c r="MZC1453"/>
      <c r="MZD1453"/>
      <c r="MZE1453"/>
      <c r="MZF1453"/>
      <c r="MZG1453"/>
      <c r="MZH1453"/>
      <c r="MZI1453"/>
      <c r="MZJ1453"/>
      <c r="MZK1453"/>
      <c r="MZL1453"/>
      <c r="MZM1453"/>
      <c r="MZN1453"/>
      <c r="MZO1453"/>
      <c r="MZP1453"/>
      <c r="MZQ1453"/>
      <c r="MZR1453"/>
      <c r="MZS1453"/>
      <c r="MZT1453"/>
      <c r="MZU1453"/>
      <c r="MZV1453"/>
      <c r="MZW1453"/>
      <c r="MZX1453"/>
      <c r="MZY1453"/>
      <c r="MZZ1453"/>
      <c r="NAA1453"/>
      <c r="NAB1453"/>
      <c r="NAC1453"/>
      <c r="NAD1453"/>
      <c r="NAE1453"/>
      <c r="NAF1453"/>
      <c r="NAG1453"/>
      <c r="NAH1453"/>
      <c r="NAI1453"/>
      <c r="NAJ1453"/>
      <c r="NAK1453"/>
      <c r="NAL1453"/>
      <c r="NAM1453"/>
      <c r="NAN1453"/>
      <c r="NAO1453"/>
      <c r="NAP1453"/>
      <c r="NAQ1453"/>
      <c r="NAR1453"/>
      <c r="NAS1453"/>
      <c r="NAT1453"/>
      <c r="NAU1453"/>
      <c r="NAV1453"/>
      <c r="NAW1453"/>
      <c r="NAX1453"/>
      <c r="NAY1453"/>
      <c r="NAZ1453"/>
      <c r="NBA1453"/>
      <c r="NBB1453"/>
      <c r="NBC1453"/>
      <c r="NBD1453"/>
      <c r="NBE1453"/>
      <c r="NBF1453"/>
      <c r="NBG1453"/>
      <c r="NBH1453"/>
      <c r="NBI1453"/>
      <c r="NBJ1453"/>
      <c r="NBK1453"/>
      <c r="NBL1453"/>
      <c r="NBM1453"/>
      <c r="NBN1453"/>
      <c r="NBO1453"/>
      <c r="NBP1453"/>
      <c r="NBQ1453"/>
      <c r="NBR1453"/>
      <c r="NBS1453"/>
      <c r="NBT1453"/>
      <c r="NBU1453"/>
      <c r="NBV1453"/>
      <c r="NBW1453"/>
      <c r="NBX1453"/>
      <c r="NBY1453"/>
      <c r="NBZ1453"/>
      <c r="NCA1453"/>
      <c r="NCB1453"/>
      <c r="NCC1453"/>
      <c r="NCD1453"/>
      <c r="NCE1453"/>
      <c r="NCF1453"/>
      <c r="NCG1453"/>
      <c r="NCH1453"/>
      <c r="NCI1453"/>
      <c r="NCJ1453"/>
      <c r="NCK1453"/>
      <c r="NCL1453"/>
      <c r="NCM1453"/>
      <c r="NCN1453"/>
      <c r="NCO1453"/>
      <c r="NCP1453"/>
      <c r="NCQ1453"/>
      <c r="NCR1453"/>
      <c r="NCS1453"/>
      <c r="NCT1453"/>
      <c r="NCU1453"/>
      <c r="NCV1453"/>
      <c r="NCW1453"/>
      <c r="NCX1453"/>
      <c r="NCY1453"/>
      <c r="NCZ1453"/>
      <c r="NDA1453"/>
      <c r="NDB1453"/>
      <c r="NDC1453"/>
      <c r="NDD1453"/>
      <c r="NDE1453"/>
      <c r="NDF1453"/>
      <c r="NDG1453"/>
      <c r="NDH1453"/>
      <c r="NDI1453"/>
      <c r="NDJ1453"/>
      <c r="NDK1453"/>
      <c r="NDL1453"/>
      <c r="NDM1453"/>
      <c r="NDN1453"/>
      <c r="NDO1453"/>
      <c r="NDP1453"/>
      <c r="NDQ1453"/>
      <c r="NDR1453"/>
      <c r="NDS1453"/>
      <c r="NDT1453"/>
      <c r="NDU1453"/>
      <c r="NDV1453"/>
      <c r="NDW1453"/>
      <c r="NDX1453"/>
      <c r="NDY1453"/>
      <c r="NDZ1453"/>
      <c r="NEA1453"/>
      <c r="NEB1453"/>
      <c r="NEC1453"/>
      <c r="NED1453"/>
      <c r="NEE1453"/>
      <c r="NEF1453"/>
      <c r="NEG1453"/>
      <c r="NEH1453"/>
      <c r="NEI1453"/>
      <c r="NEJ1453"/>
      <c r="NEK1453"/>
      <c r="NEL1453"/>
      <c r="NEM1453"/>
      <c r="NEN1453"/>
      <c r="NEO1453"/>
      <c r="NEP1453"/>
      <c r="NEQ1453"/>
      <c r="NER1453"/>
      <c r="NES1453"/>
      <c r="NET1453"/>
      <c r="NEU1453"/>
      <c r="NEV1453"/>
      <c r="NEW1453"/>
      <c r="NEX1453"/>
      <c r="NEY1453"/>
      <c r="NEZ1453"/>
      <c r="NFA1453"/>
      <c r="NFB1453"/>
      <c r="NFC1453"/>
      <c r="NFD1453"/>
      <c r="NFE1453"/>
      <c r="NFF1453"/>
      <c r="NFG1453"/>
      <c r="NFH1453"/>
      <c r="NFI1453"/>
      <c r="NFJ1453"/>
      <c r="NFK1453"/>
      <c r="NFL1453"/>
      <c r="NFM1453"/>
      <c r="NFN1453"/>
      <c r="NFO1453"/>
      <c r="NFP1453"/>
      <c r="NFQ1453"/>
      <c r="NFR1453"/>
      <c r="NFS1453"/>
      <c r="NFT1453"/>
      <c r="NFU1453"/>
      <c r="NFV1453"/>
      <c r="NFW1453"/>
      <c r="NFX1453"/>
      <c r="NFY1453"/>
      <c r="NFZ1453"/>
      <c r="NGA1453"/>
      <c r="NGB1453"/>
      <c r="NGC1453"/>
      <c r="NGD1453"/>
      <c r="NGE1453"/>
      <c r="NGF1453"/>
      <c r="NGG1453"/>
      <c r="NGH1453"/>
      <c r="NGI1453"/>
      <c r="NGJ1453"/>
      <c r="NGK1453"/>
      <c r="NGL1453"/>
      <c r="NGM1453"/>
      <c r="NGN1453"/>
      <c r="NGO1453"/>
      <c r="NGP1453"/>
      <c r="NGQ1453"/>
      <c r="NGR1453"/>
      <c r="NGS1453"/>
      <c r="NGT1453"/>
      <c r="NGU1453"/>
      <c r="NGV1453"/>
      <c r="NGW1453"/>
      <c r="NGX1453"/>
      <c r="NGY1453"/>
      <c r="NGZ1453"/>
      <c r="NHA1453"/>
      <c r="NHB1453"/>
      <c r="NHC1453"/>
      <c r="NHD1453"/>
      <c r="NHE1453"/>
      <c r="NHF1453"/>
      <c r="NHG1453"/>
      <c r="NHH1453"/>
      <c r="NHI1453"/>
      <c r="NHJ1453"/>
      <c r="NHK1453"/>
      <c r="NHL1453"/>
      <c r="NHM1453"/>
      <c r="NHN1453"/>
      <c r="NHO1453"/>
      <c r="NHP1453"/>
      <c r="NHQ1453"/>
      <c r="NHR1453"/>
      <c r="NHS1453"/>
      <c r="NHT1453"/>
      <c r="NHU1453"/>
      <c r="NHV1453"/>
      <c r="NHW1453"/>
      <c r="NHX1453"/>
      <c r="NHY1453"/>
      <c r="NHZ1453"/>
      <c r="NIA1453"/>
      <c r="NIB1453"/>
      <c r="NIC1453"/>
      <c r="NID1453"/>
      <c r="NIE1453"/>
      <c r="NIF1453"/>
      <c r="NIG1453"/>
      <c r="NIH1453"/>
      <c r="NII1453"/>
      <c r="NIJ1453"/>
      <c r="NIK1453"/>
      <c r="NIL1453"/>
      <c r="NIM1453"/>
      <c r="NIN1453"/>
      <c r="NIO1453"/>
      <c r="NIP1453"/>
      <c r="NIQ1453"/>
      <c r="NIR1453"/>
      <c r="NIS1453"/>
      <c r="NIT1453"/>
      <c r="NIU1453"/>
      <c r="NIV1453"/>
      <c r="NIW1453"/>
      <c r="NIX1453"/>
      <c r="NIY1453"/>
      <c r="NIZ1453"/>
      <c r="NJA1453"/>
      <c r="NJB1453"/>
      <c r="NJC1453"/>
      <c r="NJD1453"/>
      <c r="NJE1453"/>
      <c r="NJF1453"/>
      <c r="NJG1453"/>
      <c r="NJH1453"/>
      <c r="NJI1453"/>
      <c r="NJJ1453"/>
      <c r="NJK1453"/>
      <c r="NJL1453"/>
      <c r="NJM1453"/>
      <c r="NJN1453"/>
      <c r="NJO1453"/>
      <c r="NJP1453"/>
      <c r="NJQ1453"/>
      <c r="NJR1453"/>
      <c r="NJS1453"/>
      <c r="NJT1453"/>
      <c r="NJU1453"/>
      <c r="NJV1453"/>
      <c r="NJW1453"/>
      <c r="NJX1453"/>
      <c r="NJY1453"/>
      <c r="NJZ1453"/>
      <c r="NKA1453"/>
      <c r="NKB1453"/>
      <c r="NKC1453"/>
      <c r="NKD1453"/>
      <c r="NKE1453"/>
      <c r="NKF1453"/>
      <c r="NKG1453"/>
      <c r="NKH1453"/>
      <c r="NKI1453"/>
      <c r="NKJ1453"/>
      <c r="NKK1453"/>
      <c r="NKL1453"/>
      <c r="NKM1453"/>
      <c r="NKN1453"/>
      <c r="NKO1453"/>
      <c r="NKP1453"/>
      <c r="NKQ1453"/>
      <c r="NKR1453"/>
      <c r="NKS1453"/>
      <c r="NKT1453"/>
      <c r="NKU1453"/>
      <c r="NKV1453"/>
      <c r="NKW1453"/>
      <c r="NKX1453"/>
      <c r="NKY1453"/>
      <c r="NKZ1453"/>
      <c r="NLA1453"/>
      <c r="NLB1453"/>
      <c r="NLC1453"/>
      <c r="NLD1453"/>
      <c r="NLE1453"/>
      <c r="NLF1453"/>
      <c r="NLG1453"/>
      <c r="NLH1453"/>
      <c r="NLI1453"/>
      <c r="NLJ1453"/>
      <c r="NLK1453"/>
      <c r="NLL1453"/>
      <c r="NLM1453"/>
      <c r="NLN1453"/>
      <c r="NLO1453"/>
      <c r="NLP1453"/>
      <c r="NLQ1453"/>
      <c r="NLR1453"/>
      <c r="NLS1453"/>
      <c r="NLT1453"/>
      <c r="NLU1453"/>
      <c r="NLV1453"/>
      <c r="NLW1453"/>
      <c r="NLX1453"/>
      <c r="NLY1453"/>
      <c r="NLZ1453"/>
      <c r="NMA1453"/>
      <c r="NMB1453"/>
      <c r="NMC1453"/>
      <c r="NMD1453"/>
      <c r="NME1453"/>
      <c r="NMF1453"/>
      <c r="NMG1453"/>
      <c r="NMH1453"/>
      <c r="NMI1453"/>
      <c r="NMJ1453"/>
      <c r="NMK1453"/>
      <c r="NML1453"/>
      <c r="NMM1453"/>
      <c r="NMN1453"/>
      <c r="NMO1453"/>
      <c r="NMP1453"/>
      <c r="NMQ1453"/>
      <c r="NMR1453"/>
      <c r="NMS1453"/>
      <c r="NMT1453"/>
      <c r="NMU1453"/>
      <c r="NMV1453"/>
      <c r="NMW1453"/>
      <c r="NMX1453"/>
      <c r="NMY1453"/>
      <c r="NMZ1453"/>
      <c r="NNA1453"/>
      <c r="NNB1453"/>
      <c r="NNC1453"/>
      <c r="NND1453"/>
      <c r="NNE1453"/>
      <c r="NNF1453"/>
      <c r="NNG1453"/>
      <c r="NNH1453"/>
      <c r="NNI1453"/>
      <c r="NNJ1453"/>
      <c r="NNK1453"/>
      <c r="NNL1453"/>
      <c r="NNM1453"/>
      <c r="NNN1453"/>
      <c r="NNO1453"/>
      <c r="NNP1453"/>
      <c r="NNQ1453"/>
      <c r="NNR1453"/>
      <c r="NNS1453"/>
      <c r="NNT1453"/>
      <c r="NNU1453"/>
      <c r="NNV1453"/>
      <c r="NNW1453"/>
      <c r="NNX1453"/>
      <c r="NNY1453"/>
      <c r="NNZ1453"/>
      <c r="NOA1453"/>
      <c r="NOB1453"/>
      <c r="NOC1453"/>
      <c r="NOD1453"/>
      <c r="NOE1453"/>
      <c r="NOF1453"/>
      <c r="NOG1453"/>
      <c r="NOH1453"/>
      <c r="NOI1453"/>
      <c r="NOJ1453"/>
      <c r="NOK1453"/>
      <c r="NOL1453"/>
      <c r="NOM1453"/>
      <c r="NON1453"/>
      <c r="NOO1453"/>
      <c r="NOP1453"/>
      <c r="NOQ1453"/>
      <c r="NOR1453"/>
      <c r="NOS1453"/>
      <c r="NOT1453"/>
      <c r="NOU1453"/>
      <c r="NOV1453"/>
      <c r="NOW1453"/>
      <c r="NOX1453"/>
      <c r="NOY1453"/>
      <c r="NOZ1453"/>
      <c r="NPA1453"/>
      <c r="NPB1453"/>
      <c r="NPC1453"/>
      <c r="NPD1453"/>
      <c r="NPE1453"/>
      <c r="NPF1453"/>
      <c r="NPG1453"/>
      <c r="NPH1453"/>
      <c r="NPI1453"/>
      <c r="NPJ1453"/>
      <c r="NPK1453"/>
      <c r="NPL1453"/>
      <c r="NPM1453"/>
      <c r="NPN1453"/>
      <c r="NPO1453"/>
      <c r="NPP1453"/>
      <c r="NPQ1453"/>
      <c r="NPR1453"/>
      <c r="NPS1453"/>
      <c r="NPT1453"/>
      <c r="NPU1453"/>
      <c r="NPV1453"/>
      <c r="NPW1453"/>
      <c r="NPX1453"/>
      <c r="NPY1453"/>
      <c r="NPZ1453"/>
      <c r="NQA1453"/>
      <c r="NQB1453"/>
      <c r="NQC1453"/>
      <c r="NQD1453"/>
      <c r="NQE1453"/>
      <c r="NQF1453"/>
      <c r="NQG1453"/>
      <c r="NQH1453"/>
      <c r="NQI1453"/>
      <c r="NQJ1453"/>
      <c r="NQK1453"/>
      <c r="NQL1453"/>
      <c r="NQM1453"/>
      <c r="NQN1453"/>
      <c r="NQO1453"/>
      <c r="NQP1453"/>
      <c r="NQQ1453"/>
      <c r="NQR1453"/>
      <c r="NQS1453"/>
      <c r="NQT1453"/>
      <c r="NQU1453"/>
      <c r="NQV1453"/>
      <c r="NQW1453"/>
      <c r="NQX1453"/>
      <c r="NQY1453"/>
      <c r="NQZ1453"/>
      <c r="NRA1453"/>
      <c r="NRB1453"/>
      <c r="NRC1453"/>
      <c r="NRD1453"/>
      <c r="NRE1453"/>
      <c r="NRF1453"/>
      <c r="NRG1453"/>
      <c r="NRH1453"/>
      <c r="NRI1453"/>
      <c r="NRJ1453"/>
      <c r="NRK1453"/>
      <c r="NRL1453"/>
      <c r="NRM1453"/>
      <c r="NRN1453"/>
      <c r="NRO1453"/>
      <c r="NRP1453"/>
      <c r="NRQ1453"/>
      <c r="NRR1453"/>
      <c r="NRS1453"/>
      <c r="NRT1453"/>
      <c r="NRU1453"/>
      <c r="NRV1453"/>
      <c r="NRW1453"/>
      <c r="NRX1453"/>
      <c r="NRY1453"/>
      <c r="NRZ1453"/>
      <c r="NSA1453"/>
      <c r="NSB1453"/>
      <c r="NSC1453"/>
      <c r="NSD1453"/>
      <c r="NSE1453"/>
      <c r="NSF1453"/>
      <c r="NSG1453"/>
      <c r="NSH1453"/>
      <c r="NSI1453"/>
      <c r="NSJ1453"/>
      <c r="NSK1453"/>
      <c r="NSL1453"/>
      <c r="NSM1453"/>
      <c r="NSN1453"/>
      <c r="NSO1453"/>
      <c r="NSP1453"/>
      <c r="NSQ1453"/>
      <c r="NSR1453"/>
      <c r="NSS1453"/>
      <c r="NST1453"/>
      <c r="NSU1453"/>
      <c r="NSV1453"/>
      <c r="NSW1453"/>
      <c r="NSX1453"/>
      <c r="NSY1453"/>
      <c r="NSZ1453"/>
      <c r="NTA1453"/>
      <c r="NTB1453"/>
      <c r="NTC1453"/>
      <c r="NTD1453"/>
      <c r="NTE1453"/>
      <c r="NTF1453"/>
      <c r="NTG1453"/>
      <c r="NTH1453"/>
      <c r="NTI1453"/>
      <c r="NTJ1453"/>
      <c r="NTK1453"/>
      <c r="NTL1453"/>
      <c r="NTM1453"/>
      <c r="NTN1453"/>
      <c r="NTO1453"/>
      <c r="NTP1453"/>
      <c r="NTQ1453"/>
      <c r="NTR1453"/>
      <c r="NTS1453"/>
      <c r="NTT1453"/>
      <c r="NTU1453"/>
      <c r="NTV1453"/>
      <c r="NTW1453"/>
      <c r="NTX1453"/>
      <c r="NTY1453"/>
      <c r="NTZ1453"/>
      <c r="NUA1453"/>
      <c r="NUB1453"/>
      <c r="NUC1453"/>
      <c r="NUD1453"/>
      <c r="NUE1453"/>
      <c r="NUF1453"/>
      <c r="NUG1453"/>
      <c r="NUH1453"/>
      <c r="NUI1453"/>
      <c r="NUJ1453"/>
      <c r="NUK1453"/>
      <c r="NUL1453"/>
      <c r="NUM1453"/>
      <c r="NUN1453"/>
      <c r="NUO1453"/>
      <c r="NUP1453"/>
      <c r="NUQ1453"/>
      <c r="NUR1453"/>
      <c r="NUS1453"/>
      <c r="NUT1453"/>
      <c r="NUU1453"/>
      <c r="NUV1453"/>
      <c r="NUW1453"/>
      <c r="NUX1453"/>
      <c r="NUY1453"/>
      <c r="NUZ1453"/>
      <c r="NVA1453"/>
      <c r="NVB1453"/>
      <c r="NVC1453"/>
      <c r="NVD1453"/>
      <c r="NVE1453"/>
      <c r="NVF1453"/>
      <c r="NVG1453"/>
      <c r="NVH1453"/>
      <c r="NVI1453"/>
      <c r="NVJ1453"/>
      <c r="NVK1453"/>
      <c r="NVL1453"/>
      <c r="NVM1453"/>
      <c r="NVN1453"/>
      <c r="NVO1453"/>
      <c r="NVP1453"/>
      <c r="NVQ1453"/>
      <c r="NVR1453"/>
      <c r="NVS1453"/>
      <c r="NVT1453"/>
      <c r="NVU1453"/>
      <c r="NVV1453"/>
      <c r="NVW1453"/>
      <c r="NVX1453"/>
      <c r="NVY1453"/>
      <c r="NVZ1453"/>
      <c r="NWA1453"/>
      <c r="NWB1453"/>
      <c r="NWC1453"/>
      <c r="NWD1453"/>
      <c r="NWE1453"/>
      <c r="NWF1453"/>
      <c r="NWG1453"/>
      <c r="NWH1453"/>
      <c r="NWI1453"/>
      <c r="NWJ1453"/>
      <c r="NWK1453"/>
      <c r="NWL1453"/>
      <c r="NWM1453"/>
      <c r="NWN1453"/>
      <c r="NWO1453"/>
      <c r="NWP1453"/>
      <c r="NWQ1453"/>
      <c r="NWR1453"/>
      <c r="NWS1453"/>
      <c r="NWT1453"/>
      <c r="NWU1453"/>
      <c r="NWV1453"/>
      <c r="NWW1453"/>
      <c r="NWX1453"/>
      <c r="NWY1453"/>
      <c r="NWZ1453"/>
      <c r="NXA1453"/>
      <c r="NXB1453"/>
      <c r="NXC1453"/>
      <c r="NXD1453"/>
      <c r="NXE1453"/>
      <c r="NXF1453"/>
      <c r="NXG1453"/>
      <c r="NXH1453"/>
      <c r="NXI1453"/>
      <c r="NXJ1453"/>
      <c r="NXK1453"/>
      <c r="NXL1453"/>
      <c r="NXM1453"/>
      <c r="NXN1453"/>
      <c r="NXO1453"/>
      <c r="NXP1453"/>
      <c r="NXQ1453"/>
      <c r="NXR1453"/>
      <c r="NXS1453"/>
      <c r="NXT1453"/>
      <c r="NXU1453"/>
      <c r="NXV1453"/>
      <c r="NXW1453"/>
      <c r="NXX1453"/>
      <c r="NXY1453"/>
      <c r="NXZ1453"/>
      <c r="NYA1453"/>
      <c r="NYB1453"/>
      <c r="NYC1453"/>
      <c r="NYD1453"/>
      <c r="NYE1453"/>
      <c r="NYF1453"/>
      <c r="NYG1453"/>
      <c r="NYH1453"/>
      <c r="NYI1453"/>
      <c r="NYJ1453"/>
      <c r="NYK1453"/>
      <c r="NYL1453"/>
      <c r="NYM1453"/>
      <c r="NYN1453"/>
      <c r="NYO1453"/>
      <c r="NYP1453"/>
      <c r="NYQ1453"/>
      <c r="NYR1453"/>
      <c r="NYS1453"/>
      <c r="NYT1453"/>
      <c r="NYU1453"/>
      <c r="NYV1453"/>
      <c r="NYW1453"/>
      <c r="NYX1453"/>
      <c r="NYY1453"/>
      <c r="NYZ1453"/>
      <c r="NZA1453"/>
      <c r="NZB1453"/>
      <c r="NZC1453"/>
      <c r="NZD1453"/>
      <c r="NZE1453"/>
      <c r="NZF1453"/>
      <c r="NZG1453"/>
      <c r="NZH1453"/>
      <c r="NZI1453"/>
      <c r="NZJ1453"/>
      <c r="NZK1453"/>
      <c r="NZL1453"/>
      <c r="NZM1453"/>
      <c r="NZN1453"/>
      <c r="NZO1453"/>
      <c r="NZP1453"/>
      <c r="NZQ1453"/>
      <c r="NZR1453"/>
      <c r="NZS1453"/>
      <c r="NZT1453"/>
      <c r="NZU1453"/>
      <c r="NZV1453"/>
      <c r="NZW1453"/>
      <c r="NZX1453"/>
      <c r="NZY1453"/>
      <c r="NZZ1453"/>
      <c r="OAA1453"/>
      <c r="OAB1453"/>
      <c r="OAC1453"/>
      <c r="OAD1453"/>
      <c r="OAE1453"/>
      <c r="OAF1453"/>
      <c r="OAG1453"/>
      <c r="OAH1453"/>
      <c r="OAI1453"/>
      <c r="OAJ1453"/>
      <c r="OAK1453"/>
      <c r="OAL1453"/>
      <c r="OAM1453"/>
      <c r="OAN1453"/>
      <c r="OAO1453"/>
      <c r="OAP1453"/>
      <c r="OAQ1453"/>
      <c r="OAR1453"/>
      <c r="OAS1453"/>
      <c r="OAT1453"/>
      <c r="OAU1453"/>
      <c r="OAV1453"/>
      <c r="OAW1453"/>
      <c r="OAX1453"/>
      <c r="OAY1453"/>
      <c r="OAZ1453"/>
      <c r="OBA1453"/>
      <c r="OBB1453"/>
      <c r="OBC1453"/>
      <c r="OBD1453"/>
      <c r="OBE1453"/>
      <c r="OBF1453"/>
      <c r="OBG1453"/>
      <c r="OBH1453"/>
      <c r="OBI1453"/>
      <c r="OBJ1453"/>
      <c r="OBK1453"/>
      <c r="OBL1453"/>
      <c r="OBM1453"/>
      <c r="OBN1453"/>
      <c r="OBO1453"/>
      <c r="OBP1453"/>
      <c r="OBQ1453"/>
      <c r="OBR1453"/>
      <c r="OBS1453"/>
      <c r="OBT1453"/>
      <c r="OBU1453"/>
      <c r="OBV1453"/>
      <c r="OBW1453"/>
      <c r="OBX1453"/>
      <c r="OBY1453"/>
      <c r="OBZ1453"/>
      <c r="OCA1453"/>
      <c r="OCB1453"/>
      <c r="OCC1453"/>
      <c r="OCD1453"/>
      <c r="OCE1453"/>
      <c r="OCF1453"/>
      <c r="OCG1453"/>
      <c r="OCH1453"/>
      <c r="OCI1453"/>
      <c r="OCJ1453"/>
      <c r="OCK1453"/>
      <c r="OCL1453"/>
      <c r="OCM1453"/>
      <c r="OCN1453"/>
      <c r="OCO1453"/>
      <c r="OCP1453"/>
      <c r="OCQ1453"/>
      <c r="OCR1453"/>
      <c r="OCS1453"/>
      <c r="OCT1453"/>
      <c r="OCU1453"/>
      <c r="OCV1453"/>
      <c r="OCW1453"/>
      <c r="OCX1453"/>
      <c r="OCY1453"/>
      <c r="OCZ1453"/>
      <c r="ODA1453"/>
      <c r="ODB1453"/>
      <c r="ODC1453"/>
      <c r="ODD1453"/>
      <c r="ODE1453"/>
      <c r="ODF1453"/>
      <c r="ODG1453"/>
      <c r="ODH1453"/>
      <c r="ODI1453"/>
      <c r="ODJ1453"/>
      <c r="ODK1453"/>
      <c r="ODL1453"/>
      <c r="ODM1453"/>
      <c r="ODN1453"/>
      <c r="ODO1453"/>
      <c r="ODP1453"/>
      <c r="ODQ1453"/>
      <c r="ODR1453"/>
      <c r="ODS1453"/>
      <c r="ODT1453"/>
      <c r="ODU1453"/>
      <c r="ODV1453"/>
      <c r="ODW1453"/>
      <c r="ODX1453"/>
      <c r="ODY1453"/>
      <c r="ODZ1453"/>
      <c r="OEA1453"/>
      <c r="OEB1453"/>
      <c r="OEC1453"/>
      <c r="OED1453"/>
      <c r="OEE1453"/>
      <c r="OEF1453"/>
      <c r="OEG1453"/>
      <c r="OEH1453"/>
      <c r="OEI1453"/>
      <c r="OEJ1453"/>
      <c r="OEK1453"/>
      <c r="OEL1453"/>
      <c r="OEM1453"/>
      <c r="OEN1453"/>
      <c r="OEO1453"/>
      <c r="OEP1453"/>
      <c r="OEQ1453"/>
      <c r="OER1453"/>
      <c r="OES1453"/>
      <c r="OET1453"/>
      <c r="OEU1453"/>
      <c r="OEV1453"/>
      <c r="OEW1453"/>
      <c r="OEX1453"/>
      <c r="OEY1453"/>
      <c r="OEZ1453"/>
      <c r="OFA1453"/>
      <c r="OFB1453"/>
      <c r="OFC1453"/>
      <c r="OFD1453"/>
      <c r="OFE1453"/>
      <c r="OFF1453"/>
      <c r="OFG1453"/>
      <c r="OFH1453"/>
      <c r="OFI1453"/>
      <c r="OFJ1453"/>
      <c r="OFK1453"/>
      <c r="OFL1453"/>
      <c r="OFM1453"/>
      <c r="OFN1453"/>
      <c r="OFO1453"/>
      <c r="OFP1453"/>
      <c r="OFQ1453"/>
      <c r="OFR1453"/>
      <c r="OFS1453"/>
      <c r="OFT1453"/>
      <c r="OFU1453"/>
      <c r="OFV1453"/>
      <c r="OFW1453"/>
      <c r="OFX1453"/>
      <c r="OFY1453"/>
      <c r="OFZ1453"/>
      <c r="OGA1453"/>
      <c r="OGB1453"/>
      <c r="OGC1453"/>
      <c r="OGD1453"/>
      <c r="OGE1453"/>
      <c r="OGF1453"/>
      <c r="OGG1453"/>
      <c r="OGH1453"/>
      <c r="OGI1453"/>
      <c r="OGJ1453"/>
      <c r="OGK1453"/>
      <c r="OGL1453"/>
      <c r="OGM1453"/>
      <c r="OGN1453"/>
      <c r="OGO1453"/>
      <c r="OGP1453"/>
      <c r="OGQ1453"/>
      <c r="OGR1453"/>
      <c r="OGS1453"/>
      <c r="OGT1453"/>
      <c r="OGU1453"/>
      <c r="OGV1453"/>
      <c r="OGW1453"/>
      <c r="OGX1453"/>
      <c r="OGY1453"/>
      <c r="OGZ1453"/>
      <c r="OHA1453"/>
      <c r="OHB1453"/>
      <c r="OHC1453"/>
      <c r="OHD1453"/>
      <c r="OHE1453"/>
      <c r="OHF1453"/>
      <c r="OHG1453"/>
      <c r="OHH1453"/>
      <c r="OHI1453"/>
      <c r="OHJ1453"/>
      <c r="OHK1453"/>
      <c r="OHL1453"/>
      <c r="OHM1453"/>
      <c r="OHN1453"/>
      <c r="OHO1453"/>
      <c r="OHP1453"/>
      <c r="OHQ1453"/>
      <c r="OHR1453"/>
      <c r="OHS1453"/>
      <c r="OHT1453"/>
      <c r="OHU1453"/>
      <c r="OHV1453"/>
      <c r="OHW1453"/>
      <c r="OHX1453"/>
      <c r="OHY1453"/>
      <c r="OHZ1453"/>
      <c r="OIA1453"/>
      <c r="OIB1453"/>
      <c r="OIC1453"/>
      <c r="OID1453"/>
      <c r="OIE1453"/>
      <c r="OIF1453"/>
      <c r="OIG1453"/>
      <c r="OIH1453"/>
      <c r="OII1453"/>
      <c r="OIJ1453"/>
      <c r="OIK1453"/>
      <c r="OIL1453"/>
      <c r="OIM1453"/>
      <c r="OIN1453"/>
      <c r="OIO1453"/>
      <c r="OIP1453"/>
      <c r="OIQ1453"/>
      <c r="OIR1453"/>
      <c r="OIS1453"/>
      <c r="OIT1453"/>
      <c r="OIU1453"/>
      <c r="OIV1453"/>
      <c r="OIW1453"/>
      <c r="OIX1453"/>
      <c r="OIY1453"/>
      <c r="OIZ1453"/>
      <c r="OJA1453"/>
      <c r="OJB1453"/>
      <c r="OJC1453"/>
      <c r="OJD1453"/>
      <c r="OJE1453"/>
      <c r="OJF1453"/>
      <c r="OJG1453"/>
      <c r="OJH1453"/>
      <c r="OJI1453"/>
      <c r="OJJ1453"/>
      <c r="OJK1453"/>
      <c r="OJL1453"/>
      <c r="OJM1453"/>
      <c r="OJN1453"/>
      <c r="OJO1453"/>
      <c r="OJP1453"/>
      <c r="OJQ1453"/>
      <c r="OJR1453"/>
      <c r="OJS1453"/>
      <c r="OJT1453"/>
      <c r="OJU1453"/>
      <c r="OJV1453"/>
      <c r="OJW1453"/>
      <c r="OJX1453"/>
      <c r="OJY1453"/>
      <c r="OJZ1453"/>
      <c r="OKA1453"/>
      <c r="OKB1453"/>
      <c r="OKC1453"/>
      <c r="OKD1453"/>
      <c r="OKE1453"/>
      <c r="OKF1453"/>
      <c r="OKG1453"/>
      <c r="OKH1453"/>
      <c r="OKI1453"/>
      <c r="OKJ1453"/>
      <c r="OKK1453"/>
      <c r="OKL1453"/>
      <c r="OKM1453"/>
      <c r="OKN1453"/>
      <c r="OKO1453"/>
      <c r="OKP1453"/>
      <c r="OKQ1453"/>
      <c r="OKR1453"/>
      <c r="OKS1453"/>
      <c r="OKT1453"/>
      <c r="OKU1453"/>
      <c r="OKV1453"/>
      <c r="OKW1453"/>
      <c r="OKX1453"/>
      <c r="OKY1453"/>
      <c r="OKZ1453"/>
      <c r="OLA1453"/>
      <c r="OLB1453"/>
      <c r="OLC1453"/>
      <c r="OLD1453"/>
      <c r="OLE1453"/>
      <c r="OLF1453"/>
      <c r="OLG1453"/>
      <c r="OLH1453"/>
      <c r="OLI1453"/>
      <c r="OLJ1453"/>
      <c r="OLK1453"/>
      <c r="OLL1453"/>
      <c r="OLM1453"/>
      <c r="OLN1453"/>
      <c r="OLO1453"/>
      <c r="OLP1453"/>
      <c r="OLQ1453"/>
      <c r="OLR1453"/>
      <c r="OLS1453"/>
      <c r="OLT1453"/>
      <c r="OLU1453"/>
      <c r="OLV1453"/>
      <c r="OLW1453"/>
      <c r="OLX1453"/>
      <c r="OLY1453"/>
      <c r="OLZ1453"/>
      <c r="OMA1453"/>
      <c r="OMB1453"/>
      <c r="OMC1453"/>
      <c r="OMD1453"/>
      <c r="OME1453"/>
      <c r="OMF1453"/>
      <c r="OMG1453"/>
      <c r="OMH1453"/>
      <c r="OMI1453"/>
      <c r="OMJ1453"/>
      <c r="OMK1453"/>
      <c r="OML1453"/>
      <c r="OMM1453"/>
      <c r="OMN1453"/>
      <c r="OMO1453"/>
      <c r="OMP1453"/>
      <c r="OMQ1453"/>
      <c r="OMR1453"/>
      <c r="OMS1453"/>
      <c r="OMT1453"/>
      <c r="OMU1453"/>
      <c r="OMV1453"/>
      <c r="OMW1453"/>
      <c r="OMX1453"/>
      <c r="OMY1453"/>
      <c r="OMZ1453"/>
      <c r="ONA1453"/>
      <c r="ONB1453"/>
      <c r="ONC1453"/>
      <c r="OND1453"/>
      <c r="ONE1453"/>
      <c r="ONF1453"/>
      <c r="ONG1453"/>
      <c r="ONH1453"/>
      <c r="ONI1453"/>
      <c r="ONJ1453"/>
      <c r="ONK1453"/>
      <c r="ONL1453"/>
      <c r="ONM1453"/>
      <c r="ONN1453"/>
      <c r="ONO1453"/>
      <c r="ONP1453"/>
      <c r="ONQ1453"/>
      <c r="ONR1453"/>
      <c r="ONS1453"/>
      <c r="ONT1453"/>
      <c r="ONU1453"/>
      <c r="ONV1453"/>
      <c r="ONW1453"/>
      <c r="ONX1453"/>
      <c r="ONY1453"/>
      <c r="ONZ1453"/>
      <c r="OOA1453"/>
      <c r="OOB1453"/>
      <c r="OOC1453"/>
      <c r="OOD1453"/>
      <c r="OOE1453"/>
      <c r="OOF1453"/>
      <c r="OOG1453"/>
      <c r="OOH1453"/>
      <c r="OOI1453"/>
      <c r="OOJ1453"/>
      <c r="OOK1453"/>
      <c r="OOL1453"/>
      <c r="OOM1453"/>
      <c r="OON1453"/>
      <c r="OOO1453"/>
      <c r="OOP1453"/>
      <c r="OOQ1453"/>
      <c r="OOR1453"/>
      <c r="OOS1453"/>
      <c r="OOT1453"/>
      <c r="OOU1453"/>
      <c r="OOV1453"/>
      <c r="OOW1453"/>
      <c r="OOX1453"/>
      <c r="OOY1453"/>
      <c r="OOZ1453"/>
      <c r="OPA1453"/>
      <c r="OPB1453"/>
      <c r="OPC1453"/>
      <c r="OPD1453"/>
      <c r="OPE1453"/>
      <c r="OPF1453"/>
      <c r="OPG1453"/>
      <c r="OPH1453"/>
      <c r="OPI1453"/>
      <c r="OPJ1453"/>
      <c r="OPK1453"/>
      <c r="OPL1453"/>
      <c r="OPM1453"/>
      <c r="OPN1453"/>
      <c r="OPO1453"/>
      <c r="OPP1453"/>
      <c r="OPQ1453"/>
      <c r="OPR1453"/>
      <c r="OPS1453"/>
      <c r="OPT1453"/>
      <c r="OPU1453"/>
      <c r="OPV1453"/>
      <c r="OPW1453"/>
      <c r="OPX1453"/>
      <c r="OPY1453"/>
      <c r="OPZ1453"/>
      <c r="OQA1453"/>
      <c r="OQB1453"/>
      <c r="OQC1453"/>
      <c r="OQD1453"/>
      <c r="OQE1453"/>
      <c r="OQF1453"/>
      <c r="OQG1453"/>
      <c r="OQH1453"/>
      <c r="OQI1453"/>
      <c r="OQJ1453"/>
      <c r="OQK1453"/>
      <c r="OQL1453"/>
      <c r="OQM1453"/>
      <c r="OQN1453"/>
      <c r="OQO1453"/>
      <c r="OQP1453"/>
      <c r="OQQ1453"/>
      <c r="OQR1453"/>
      <c r="OQS1453"/>
      <c r="OQT1453"/>
      <c r="OQU1453"/>
      <c r="OQV1453"/>
      <c r="OQW1453"/>
      <c r="OQX1453"/>
      <c r="OQY1453"/>
      <c r="OQZ1453"/>
      <c r="ORA1453"/>
      <c r="ORB1453"/>
      <c r="ORC1453"/>
      <c r="ORD1453"/>
      <c r="ORE1453"/>
      <c r="ORF1453"/>
      <c r="ORG1453"/>
      <c r="ORH1453"/>
      <c r="ORI1453"/>
      <c r="ORJ1453"/>
      <c r="ORK1453"/>
      <c r="ORL1453"/>
      <c r="ORM1453"/>
      <c r="ORN1453"/>
      <c r="ORO1453"/>
      <c r="ORP1453"/>
      <c r="ORQ1453"/>
      <c r="ORR1453"/>
      <c r="ORS1453"/>
      <c r="ORT1453"/>
      <c r="ORU1453"/>
      <c r="ORV1453"/>
      <c r="ORW1453"/>
      <c r="ORX1453"/>
      <c r="ORY1453"/>
      <c r="ORZ1453"/>
      <c r="OSA1453"/>
      <c r="OSB1453"/>
      <c r="OSC1453"/>
      <c r="OSD1453"/>
      <c r="OSE1453"/>
      <c r="OSF1453"/>
      <c r="OSG1453"/>
      <c r="OSH1453"/>
      <c r="OSI1453"/>
      <c r="OSJ1453"/>
      <c r="OSK1453"/>
      <c r="OSL1453"/>
      <c r="OSM1453"/>
      <c r="OSN1453"/>
      <c r="OSO1453"/>
      <c r="OSP1453"/>
      <c r="OSQ1453"/>
      <c r="OSR1453"/>
      <c r="OSS1453"/>
      <c r="OST1453"/>
      <c r="OSU1453"/>
      <c r="OSV1453"/>
      <c r="OSW1453"/>
      <c r="OSX1453"/>
      <c r="OSY1453"/>
      <c r="OSZ1453"/>
      <c r="OTA1453"/>
      <c r="OTB1453"/>
      <c r="OTC1453"/>
      <c r="OTD1453"/>
      <c r="OTE1453"/>
      <c r="OTF1453"/>
      <c r="OTG1453"/>
      <c r="OTH1453"/>
      <c r="OTI1453"/>
      <c r="OTJ1453"/>
      <c r="OTK1453"/>
      <c r="OTL1453"/>
      <c r="OTM1453"/>
      <c r="OTN1453"/>
      <c r="OTO1453"/>
      <c r="OTP1453"/>
      <c r="OTQ1453"/>
      <c r="OTR1453"/>
      <c r="OTS1453"/>
      <c r="OTT1453"/>
      <c r="OTU1453"/>
      <c r="OTV1453"/>
      <c r="OTW1453"/>
      <c r="OTX1453"/>
      <c r="OTY1453"/>
      <c r="OTZ1453"/>
      <c r="OUA1453"/>
      <c r="OUB1453"/>
      <c r="OUC1453"/>
      <c r="OUD1453"/>
      <c r="OUE1453"/>
      <c r="OUF1453"/>
      <c r="OUG1453"/>
      <c r="OUH1453"/>
      <c r="OUI1453"/>
      <c r="OUJ1453"/>
      <c r="OUK1453"/>
      <c r="OUL1453"/>
      <c r="OUM1453"/>
      <c r="OUN1453"/>
      <c r="OUO1453"/>
      <c r="OUP1453"/>
      <c r="OUQ1453"/>
      <c r="OUR1453"/>
      <c r="OUS1453"/>
      <c r="OUT1453"/>
      <c r="OUU1453"/>
      <c r="OUV1453"/>
      <c r="OUW1453"/>
      <c r="OUX1453"/>
      <c r="OUY1453"/>
      <c r="OUZ1453"/>
      <c r="OVA1453"/>
      <c r="OVB1453"/>
      <c r="OVC1453"/>
      <c r="OVD1453"/>
      <c r="OVE1453"/>
      <c r="OVF1453"/>
      <c r="OVG1453"/>
      <c r="OVH1453"/>
      <c r="OVI1453"/>
      <c r="OVJ1453"/>
      <c r="OVK1453"/>
      <c r="OVL1453"/>
      <c r="OVM1453"/>
      <c r="OVN1453"/>
      <c r="OVO1453"/>
      <c r="OVP1453"/>
      <c r="OVQ1453"/>
      <c r="OVR1453"/>
      <c r="OVS1453"/>
      <c r="OVT1453"/>
      <c r="OVU1453"/>
      <c r="OVV1453"/>
      <c r="OVW1453"/>
      <c r="OVX1453"/>
      <c r="OVY1453"/>
      <c r="OVZ1453"/>
      <c r="OWA1453"/>
      <c r="OWB1453"/>
      <c r="OWC1453"/>
      <c r="OWD1453"/>
      <c r="OWE1453"/>
      <c r="OWF1453"/>
      <c r="OWG1453"/>
      <c r="OWH1453"/>
      <c r="OWI1453"/>
      <c r="OWJ1453"/>
      <c r="OWK1453"/>
      <c r="OWL1453"/>
      <c r="OWM1453"/>
      <c r="OWN1453"/>
      <c r="OWO1453"/>
      <c r="OWP1453"/>
      <c r="OWQ1453"/>
      <c r="OWR1453"/>
      <c r="OWS1453"/>
      <c r="OWT1453"/>
      <c r="OWU1453"/>
      <c r="OWV1453"/>
      <c r="OWW1453"/>
      <c r="OWX1453"/>
      <c r="OWY1453"/>
      <c r="OWZ1453"/>
      <c r="OXA1453"/>
      <c r="OXB1453"/>
      <c r="OXC1453"/>
      <c r="OXD1453"/>
      <c r="OXE1453"/>
      <c r="OXF1453"/>
      <c r="OXG1453"/>
      <c r="OXH1453"/>
      <c r="OXI1453"/>
      <c r="OXJ1453"/>
      <c r="OXK1453"/>
      <c r="OXL1453"/>
      <c r="OXM1453"/>
      <c r="OXN1453"/>
      <c r="OXO1453"/>
      <c r="OXP1453"/>
      <c r="OXQ1453"/>
      <c r="OXR1453"/>
      <c r="OXS1453"/>
      <c r="OXT1453"/>
      <c r="OXU1453"/>
      <c r="OXV1453"/>
      <c r="OXW1453"/>
      <c r="OXX1453"/>
      <c r="OXY1453"/>
      <c r="OXZ1453"/>
      <c r="OYA1453"/>
      <c r="OYB1453"/>
      <c r="OYC1453"/>
      <c r="OYD1453"/>
      <c r="OYE1453"/>
      <c r="OYF1453"/>
      <c r="OYG1453"/>
      <c r="OYH1453"/>
      <c r="OYI1453"/>
      <c r="OYJ1453"/>
      <c r="OYK1453"/>
      <c r="OYL1453"/>
      <c r="OYM1453"/>
      <c r="OYN1453"/>
      <c r="OYO1453"/>
      <c r="OYP1453"/>
      <c r="OYQ1453"/>
      <c r="OYR1453"/>
      <c r="OYS1453"/>
      <c r="OYT1453"/>
      <c r="OYU1453"/>
      <c r="OYV1453"/>
      <c r="OYW1453"/>
      <c r="OYX1453"/>
      <c r="OYY1453"/>
      <c r="OYZ1453"/>
      <c r="OZA1453"/>
      <c r="OZB1453"/>
      <c r="OZC1453"/>
      <c r="OZD1453"/>
      <c r="OZE1453"/>
      <c r="OZF1453"/>
      <c r="OZG1453"/>
      <c r="OZH1453"/>
      <c r="OZI1453"/>
      <c r="OZJ1453"/>
      <c r="OZK1453"/>
      <c r="OZL1453"/>
      <c r="OZM1453"/>
      <c r="OZN1453"/>
      <c r="OZO1453"/>
      <c r="OZP1453"/>
      <c r="OZQ1453"/>
      <c r="OZR1453"/>
      <c r="OZS1453"/>
      <c r="OZT1453"/>
      <c r="OZU1453"/>
      <c r="OZV1453"/>
      <c r="OZW1453"/>
      <c r="OZX1453"/>
      <c r="OZY1453"/>
      <c r="OZZ1453"/>
      <c r="PAA1453"/>
      <c r="PAB1453"/>
      <c r="PAC1453"/>
      <c r="PAD1453"/>
      <c r="PAE1453"/>
      <c r="PAF1453"/>
      <c r="PAG1453"/>
      <c r="PAH1453"/>
      <c r="PAI1453"/>
      <c r="PAJ1453"/>
      <c r="PAK1453"/>
      <c r="PAL1453"/>
      <c r="PAM1453"/>
      <c r="PAN1453"/>
      <c r="PAO1453"/>
      <c r="PAP1453"/>
      <c r="PAQ1453"/>
      <c r="PAR1453"/>
      <c r="PAS1453"/>
      <c r="PAT1453"/>
      <c r="PAU1453"/>
      <c r="PAV1453"/>
      <c r="PAW1453"/>
      <c r="PAX1453"/>
      <c r="PAY1453"/>
      <c r="PAZ1453"/>
      <c r="PBA1453"/>
      <c r="PBB1453"/>
      <c r="PBC1453"/>
      <c r="PBD1453"/>
      <c r="PBE1453"/>
      <c r="PBF1453"/>
      <c r="PBG1453"/>
      <c r="PBH1453"/>
      <c r="PBI1453"/>
      <c r="PBJ1453"/>
      <c r="PBK1453"/>
      <c r="PBL1453"/>
      <c r="PBM1453"/>
      <c r="PBN1453"/>
      <c r="PBO1453"/>
      <c r="PBP1453"/>
      <c r="PBQ1453"/>
      <c r="PBR1453"/>
      <c r="PBS1453"/>
      <c r="PBT1453"/>
      <c r="PBU1453"/>
      <c r="PBV1453"/>
      <c r="PBW1453"/>
      <c r="PBX1453"/>
      <c r="PBY1453"/>
      <c r="PBZ1453"/>
      <c r="PCA1453"/>
      <c r="PCB1453"/>
      <c r="PCC1453"/>
      <c r="PCD1453"/>
      <c r="PCE1453"/>
      <c r="PCF1453"/>
      <c r="PCG1453"/>
      <c r="PCH1453"/>
      <c r="PCI1453"/>
      <c r="PCJ1453"/>
      <c r="PCK1453"/>
      <c r="PCL1453"/>
      <c r="PCM1453"/>
      <c r="PCN1453"/>
      <c r="PCO1453"/>
      <c r="PCP1453"/>
      <c r="PCQ1453"/>
      <c r="PCR1453"/>
      <c r="PCS1453"/>
      <c r="PCT1453"/>
      <c r="PCU1453"/>
      <c r="PCV1453"/>
      <c r="PCW1453"/>
      <c r="PCX1453"/>
      <c r="PCY1453"/>
      <c r="PCZ1453"/>
      <c r="PDA1453"/>
      <c r="PDB1453"/>
      <c r="PDC1453"/>
      <c r="PDD1453"/>
      <c r="PDE1453"/>
      <c r="PDF1453"/>
      <c r="PDG1453"/>
      <c r="PDH1453"/>
      <c r="PDI1453"/>
      <c r="PDJ1453"/>
      <c r="PDK1453"/>
      <c r="PDL1453"/>
      <c r="PDM1453"/>
      <c r="PDN1453"/>
      <c r="PDO1453"/>
      <c r="PDP1453"/>
      <c r="PDQ1453"/>
      <c r="PDR1453"/>
      <c r="PDS1453"/>
      <c r="PDT1453"/>
      <c r="PDU1453"/>
      <c r="PDV1453"/>
      <c r="PDW1453"/>
      <c r="PDX1453"/>
      <c r="PDY1453"/>
      <c r="PDZ1453"/>
      <c r="PEA1453"/>
      <c r="PEB1453"/>
      <c r="PEC1453"/>
      <c r="PED1453"/>
      <c r="PEE1453"/>
      <c r="PEF1453"/>
      <c r="PEG1453"/>
      <c r="PEH1453"/>
      <c r="PEI1453"/>
      <c r="PEJ1453"/>
      <c r="PEK1453"/>
      <c r="PEL1453"/>
      <c r="PEM1453"/>
      <c r="PEN1453"/>
      <c r="PEO1453"/>
      <c r="PEP1453"/>
      <c r="PEQ1453"/>
      <c r="PER1453"/>
      <c r="PES1453"/>
      <c r="PET1453"/>
      <c r="PEU1453"/>
      <c r="PEV1453"/>
      <c r="PEW1453"/>
      <c r="PEX1453"/>
      <c r="PEY1453"/>
      <c r="PEZ1453"/>
      <c r="PFA1453"/>
      <c r="PFB1453"/>
      <c r="PFC1453"/>
      <c r="PFD1453"/>
      <c r="PFE1453"/>
      <c r="PFF1453"/>
      <c r="PFG1453"/>
      <c r="PFH1453"/>
      <c r="PFI1453"/>
      <c r="PFJ1453"/>
      <c r="PFK1453"/>
      <c r="PFL1453"/>
      <c r="PFM1453"/>
      <c r="PFN1453"/>
      <c r="PFO1453"/>
      <c r="PFP1453"/>
      <c r="PFQ1453"/>
      <c r="PFR1453"/>
      <c r="PFS1453"/>
      <c r="PFT1453"/>
      <c r="PFU1453"/>
      <c r="PFV1453"/>
      <c r="PFW1453"/>
      <c r="PFX1453"/>
      <c r="PFY1453"/>
      <c r="PFZ1453"/>
      <c r="PGA1453"/>
      <c r="PGB1453"/>
      <c r="PGC1453"/>
      <c r="PGD1453"/>
      <c r="PGE1453"/>
      <c r="PGF1453"/>
      <c r="PGG1453"/>
      <c r="PGH1453"/>
      <c r="PGI1453"/>
      <c r="PGJ1453"/>
      <c r="PGK1453"/>
      <c r="PGL1453"/>
      <c r="PGM1453"/>
      <c r="PGN1453"/>
      <c r="PGO1453"/>
      <c r="PGP1453"/>
      <c r="PGQ1453"/>
      <c r="PGR1453"/>
      <c r="PGS1453"/>
      <c r="PGT1453"/>
      <c r="PGU1453"/>
      <c r="PGV1453"/>
      <c r="PGW1453"/>
      <c r="PGX1453"/>
      <c r="PGY1453"/>
      <c r="PGZ1453"/>
      <c r="PHA1453"/>
      <c r="PHB1453"/>
      <c r="PHC1453"/>
      <c r="PHD1453"/>
      <c r="PHE1453"/>
      <c r="PHF1453"/>
      <c r="PHG1453"/>
      <c r="PHH1453"/>
      <c r="PHI1453"/>
      <c r="PHJ1453"/>
      <c r="PHK1453"/>
      <c r="PHL1453"/>
      <c r="PHM1453"/>
      <c r="PHN1453"/>
      <c r="PHO1453"/>
      <c r="PHP1453"/>
      <c r="PHQ1453"/>
      <c r="PHR1453"/>
      <c r="PHS1453"/>
      <c r="PHT1453"/>
      <c r="PHU1453"/>
      <c r="PHV1453"/>
      <c r="PHW1453"/>
      <c r="PHX1453"/>
      <c r="PHY1453"/>
      <c r="PHZ1453"/>
      <c r="PIA1453"/>
      <c r="PIB1453"/>
      <c r="PIC1453"/>
      <c r="PID1453"/>
      <c r="PIE1453"/>
      <c r="PIF1453"/>
      <c r="PIG1453"/>
      <c r="PIH1453"/>
      <c r="PII1453"/>
      <c r="PIJ1453"/>
      <c r="PIK1453"/>
      <c r="PIL1453"/>
      <c r="PIM1453"/>
      <c r="PIN1453"/>
      <c r="PIO1453"/>
      <c r="PIP1453"/>
      <c r="PIQ1453"/>
      <c r="PIR1453"/>
      <c r="PIS1453"/>
      <c r="PIT1453"/>
      <c r="PIU1453"/>
      <c r="PIV1453"/>
      <c r="PIW1453"/>
      <c r="PIX1453"/>
      <c r="PIY1453"/>
      <c r="PIZ1453"/>
      <c r="PJA1453"/>
      <c r="PJB1453"/>
      <c r="PJC1453"/>
      <c r="PJD1453"/>
      <c r="PJE1453"/>
      <c r="PJF1453"/>
      <c r="PJG1453"/>
      <c r="PJH1453"/>
      <c r="PJI1453"/>
      <c r="PJJ1453"/>
      <c r="PJK1453"/>
      <c r="PJL1453"/>
      <c r="PJM1453"/>
      <c r="PJN1453"/>
      <c r="PJO1453"/>
      <c r="PJP1453"/>
      <c r="PJQ1453"/>
      <c r="PJR1453"/>
      <c r="PJS1453"/>
      <c r="PJT1453"/>
      <c r="PJU1453"/>
      <c r="PJV1453"/>
      <c r="PJW1453"/>
      <c r="PJX1453"/>
      <c r="PJY1453"/>
      <c r="PJZ1453"/>
      <c r="PKA1453"/>
      <c r="PKB1453"/>
      <c r="PKC1453"/>
      <c r="PKD1453"/>
      <c r="PKE1453"/>
      <c r="PKF1453"/>
      <c r="PKG1453"/>
      <c r="PKH1453"/>
      <c r="PKI1453"/>
      <c r="PKJ1453"/>
      <c r="PKK1453"/>
      <c r="PKL1453"/>
      <c r="PKM1453"/>
      <c r="PKN1453"/>
      <c r="PKO1453"/>
      <c r="PKP1453"/>
      <c r="PKQ1453"/>
      <c r="PKR1453"/>
      <c r="PKS1453"/>
      <c r="PKT1453"/>
      <c r="PKU1453"/>
      <c r="PKV1453"/>
      <c r="PKW1453"/>
      <c r="PKX1453"/>
      <c r="PKY1453"/>
      <c r="PKZ1453"/>
      <c r="PLA1453"/>
      <c r="PLB1453"/>
      <c r="PLC1453"/>
      <c r="PLD1453"/>
      <c r="PLE1453"/>
      <c r="PLF1453"/>
      <c r="PLG1453"/>
      <c r="PLH1453"/>
      <c r="PLI1453"/>
      <c r="PLJ1453"/>
      <c r="PLK1453"/>
      <c r="PLL1453"/>
      <c r="PLM1453"/>
      <c r="PLN1453"/>
      <c r="PLO1453"/>
      <c r="PLP1453"/>
      <c r="PLQ1453"/>
      <c r="PLR1453"/>
      <c r="PLS1453"/>
      <c r="PLT1453"/>
      <c r="PLU1453"/>
      <c r="PLV1453"/>
      <c r="PLW1453"/>
      <c r="PLX1453"/>
      <c r="PLY1453"/>
      <c r="PLZ1453"/>
      <c r="PMA1453"/>
      <c r="PMB1453"/>
      <c r="PMC1453"/>
      <c r="PMD1453"/>
      <c r="PME1453"/>
      <c r="PMF1453"/>
      <c r="PMG1453"/>
      <c r="PMH1453"/>
      <c r="PMI1453"/>
      <c r="PMJ1453"/>
      <c r="PMK1453"/>
      <c r="PML1453"/>
      <c r="PMM1453"/>
      <c r="PMN1453"/>
      <c r="PMO1453"/>
      <c r="PMP1453"/>
      <c r="PMQ1453"/>
      <c r="PMR1453"/>
      <c r="PMS1453"/>
      <c r="PMT1453"/>
      <c r="PMU1453"/>
      <c r="PMV1453"/>
      <c r="PMW1453"/>
      <c r="PMX1453"/>
      <c r="PMY1453"/>
      <c r="PMZ1453"/>
      <c r="PNA1453"/>
      <c r="PNB1453"/>
      <c r="PNC1453"/>
      <c r="PND1453"/>
      <c r="PNE1453"/>
      <c r="PNF1453"/>
      <c r="PNG1453"/>
      <c r="PNH1453"/>
      <c r="PNI1453"/>
      <c r="PNJ1453"/>
      <c r="PNK1453"/>
      <c r="PNL1453"/>
      <c r="PNM1453"/>
      <c r="PNN1453"/>
      <c r="PNO1453"/>
      <c r="PNP1453"/>
      <c r="PNQ1453"/>
      <c r="PNR1453"/>
      <c r="PNS1453"/>
      <c r="PNT1453"/>
      <c r="PNU1453"/>
      <c r="PNV1453"/>
      <c r="PNW1453"/>
      <c r="PNX1453"/>
      <c r="PNY1453"/>
      <c r="PNZ1453"/>
      <c r="POA1453"/>
      <c r="POB1453"/>
      <c r="POC1453"/>
      <c r="POD1453"/>
      <c r="POE1453"/>
      <c r="POF1453"/>
      <c r="POG1453"/>
      <c r="POH1453"/>
      <c r="POI1453"/>
      <c r="POJ1453"/>
      <c r="POK1453"/>
      <c r="POL1453"/>
      <c r="POM1453"/>
      <c r="PON1453"/>
      <c r="POO1453"/>
      <c r="POP1453"/>
      <c r="POQ1453"/>
      <c r="POR1453"/>
      <c r="POS1453"/>
      <c r="POT1453"/>
      <c r="POU1453"/>
      <c r="POV1453"/>
      <c r="POW1453"/>
      <c r="POX1453"/>
      <c r="POY1453"/>
      <c r="POZ1453"/>
      <c r="PPA1453"/>
      <c r="PPB1453"/>
      <c r="PPC1453"/>
      <c r="PPD1453"/>
      <c r="PPE1453"/>
      <c r="PPF1453"/>
      <c r="PPG1453"/>
      <c r="PPH1453"/>
      <c r="PPI1453"/>
      <c r="PPJ1453"/>
      <c r="PPK1453"/>
      <c r="PPL1453"/>
      <c r="PPM1453"/>
      <c r="PPN1453"/>
      <c r="PPO1453"/>
      <c r="PPP1453"/>
      <c r="PPQ1453"/>
      <c r="PPR1453"/>
      <c r="PPS1453"/>
      <c r="PPT1453"/>
      <c r="PPU1453"/>
      <c r="PPV1453"/>
      <c r="PPW1453"/>
      <c r="PPX1453"/>
      <c r="PPY1453"/>
      <c r="PPZ1453"/>
      <c r="PQA1453"/>
      <c r="PQB1453"/>
      <c r="PQC1453"/>
      <c r="PQD1453"/>
      <c r="PQE1453"/>
      <c r="PQF1453"/>
      <c r="PQG1453"/>
      <c r="PQH1453"/>
      <c r="PQI1453"/>
      <c r="PQJ1453"/>
      <c r="PQK1453"/>
      <c r="PQL1453"/>
      <c r="PQM1453"/>
      <c r="PQN1453"/>
      <c r="PQO1453"/>
      <c r="PQP1453"/>
      <c r="PQQ1453"/>
      <c r="PQR1453"/>
      <c r="PQS1453"/>
      <c r="PQT1453"/>
      <c r="PQU1453"/>
      <c r="PQV1453"/>
      <c r="PQW1453"/>
      <c r="PQX1453"/>
      <c r="PQY1453"/>
      <c r="PQZ1453"/>
      <c r="PRA1453"/>
      <c r="PRB1453"/>
      <c r="PRC1453"/>
      <c r="PRD1453"/>
      <c r="PRE1453"/>
      <c r="PRF1453"/>
      <c r="PRG1453"/>
      <c r="PRH1453"/>
      <c r="PRI1453"/>
      <c r="PRJ1453"/>
      <c r="PRK1453"/>
      <c r="PRL1453"/>
      <c r="PRM1453"/>
      <c r="PRN1453"/>
      <c r="PRO1453"/>
      <c r="PRP1453"/>
      <c r="PRQ1453"/>
      <c r="PRR1453"/>
      <c r="PRS1453"/>
      <c r="PRT1453"/>
      <c r="PRU1453"/>
      <c r="PRV1453"/>
      <c r="PRW1453"/>
      <c r="PRX1453"/>
      <c r="PRY1453"/>
      <c r="PRZ1453"/>
      <c r="PSA1453"/>
      <c r="PSB1453"/>
      <c r="PSC1453"/>
      <c r="PSD1453"/>
      <c r="PSE1453"/>
      <c r="PSF1453"/>
      <c r="PSG1453"/>
      <c r="PSH1453"/>
      <c r="PSI1453"/>
      <c r="PSJ1453"/>
      <c r="PSK1453"/>
      <c r="PSL1453"/>
      <c r="PSM1453"/>
      <c r="PSN1453"/>
      <c r="PSO1453"/>
      <c r="PSP1453"/>
      <c r="PSQ1453"/>
      <c r="PSR1453"/>
      <c r="PSS1453"/>
      <c r="PST1453"/>
      <c r="PSU1453"/>
      <c r="PSV1453"/>
      <c r="PSW1453"/>
      <c r="PSX1453"/>
      <c r="PSY1453"/>
      <c r="PSZ1453"/>
      <c r="PTA1453"/>
      <c r="PTB1453"/>
      <c r="PTC1453"/>
      <c r="PTD1453"/>
      <c r="PTE1453"/>
      <c r="PTF1453"/>
      <c r="PTG1453"/>
      <c r="PTH1453"/>
      <c r="PTI1453"/>
      <c r="PTJ1453"/>
      <c r="PTK1453"/>
      <c r="PTL1453"/>
      <c r="PTM1453"/>
      <c r="PTN1453"/>
      <c r="PTO1453"/>
      <c r="PTP1453"/>
      <c r="PTQ1453"/>
      <c r="PTR1453"/>
      <c r="PTS1453"/>
      <c r="PTT1453"/>
      <c r="PTU1453"/>
      <c r="PTV1453"/>
      <c r="PTW1453"/>
      <c r="PTX1453"/>
      <c r="PTY1453"/>
      <c r="PTZ1453"/>
      <c r="PUA1453"/>
      <c r="PUB1453"/>
      <c r="PUC1453"/>
      <c r="PUD1453"/>
      <c r="PUE1453"/>
      <c r="PUF1453"/>
      <c r="PUG1453"/>
      <c r="PUH1453"/>
      <c r="PUI1453"/>
      <c r="PUJ1453"/>
      <c r="PUK1453"/>
      <c r="PUL1453"/>
      <c r="PUM1453"/>
      <c r="PUN1453"/>
      <c r="PUO1453"/>
      <c r="PUP1453"/>
      <c r="PUQ1453"/>
      <c r="PUR1453"/>
      <c r="PUS1453"/>
      <c r="PUT1453"/>
      <c r="PUU1453"/>
      <c r="PUV1453"/>
      <c r="PUW1453"/>
      <c r="PUX1453"/>
      <c r="PUY1453"/>
      <c r="PUZ1453"/>
      <c r="PVA1453"/>
      <c r="PVB1453"/>
      <c r="PVC1453"/>
      <c r="PVD1453"/>
      <c r="PVE1453"/>
      <c r="PVF1453"/>
      <c r="PVG1453"/>
      <c r="PVH1453"/>
      <c r="PVI1453"/>
      <c r="PVJ1453"/>
      <c r="PVK1453"/>
      <c r="PVL1453"/>
      <c r="PVM1453"/>
      <c r="PVN1453"/>
      <c r="PVO1453"/>
      <c r="PVP1453"/>
      <c r="PVQ1453"/>
      <c r="PVR1453"/>
      <c r="PVS1453"/>
      <c r="PVT1453"/>
      <c r="PVU1453"/>
      <c r="PVV1453"/>
      <c r="PVW1453"/>
      <c r="PVX1453"/>
      <c r="PVY1453"/>
      <c r="PVZ1453"/>
      <c r="PWA1453"/>
      <c r="PWB1453"/>
      <c r="PWC1453"/>
      <c r="PWD1453"/>
      <c r="PWE1453"/>
      <c r="PWF1453"/>
      <c r="PWG1453"/>
      <c r="PWH1453"/>
      <c r="PWI1453"/>
      <c r="PWJ1453"/>
      <c r="PWK1453"/>
      <c r="PWL1453"/>
      <c r="PWM1453"/>
      <c r="PWN1453"/>
      <c r="PWO1453"/>
      <c r="PWP1453"/>
      <c r="PWQ1453"/>
      <c r="PWR1453"/>
      <c r="PWS1453"/>
      <c r="PWT1453"/>
      <c r="PWU1453"/>
      <c r="PWV1453"/>
      <c r="PWW1453"/>
      <c r="PWX1453"/>
      <c r="PWY1453"/>
      <c r="PWZ1453"/>
      <c r="PXA1453"/>
      <c r="PXB1453"/>
      <c r="PXC1453"/>
      <c r="PXD1453"/>
      <c r="PXE1453"/>
      <c r="PXF1453"/>
      <c r="PXG1453"/>
      <c r="PXH1453"/>
      <c r="PXI1453"/>
      <c r="PXJ1453"/>
      <c r="PXK1453"/>
      <c r="PXL1453"/>
      <c r="PXM1453"/>
      <c r="PXN1453"/>
      <c r="PXO1453"/>
      <c r="PXP1453"/>
      <c r="PXQ1453"/>
      <c r="PXR1453"/>
      <c r="PXS1453"/>
      <c r="PXT1453"/>
      <c r="PXU1453"/>
      <c r="PXV1453"/>
      <c r="PXW1453"/>
      <c r="PXX1453"/>
      <c r="PXY1453"/>
      <c r="PXZ1453"/>
      <c r="PYA1453"/>
      <c r="PYB1453"/>
      <c r="PYC1453"/>
      <c r="PYD1453"/>
      <c r="PYE1453"/>
      <c r="PYF1453"/>
      <c r="PYG1453"/>
      <c r="PYH1453"/>
      <c r="PYI1453"/>
      <c r="PYJ1453"/>
      <c r="PYK1453"/>
      <c r="PYL1453"/>
      <c r="PYM1453"/>
      <c r="PYN1453"/>
      <c r="PYO1453"/>
      <c r="PYP1453"/>
      <c r="PYQ1453"/>
      <c r="PYR1453"/>
      <c r="PYS1453"/>
      <c r="PYT1453"/>
      <c r="PYU1453"/>
      <c r="PYV1453"/>
      <c r="PYW1453"/>
      <c r="PYX1453"/>
      <c r="PYY1453"/>
      <c r="PYZ1453"/>
      <c r="PZA1453"/>
      <c r="PZB1453"/>
      <c r="PZC1453"/>
      <c r="PZD1453"/>
      <c r="PZE1453"/>
      <c r="PZF1453"/>
      <c r="PZG1453"/>
      <c r="PZH1453"/>
      <c r="PZI1453"/>
      <c r="PZJ1453"/>
      <c r="PZK1453"/>
      <c r="PZL1453"/>
      <c r="PZM1453"/>
      <c r="PZN1453"/>
      <c r="PZO1453"/>
      <c r="PZP1453"/>
      <c r="PZQ1453"/>
      <c r="PZR1453"/>
      <c r="PZS1453"/>
      <c r="PZT1453"/>
      <c r="PZU1453"/>
      <c r="PZV1453"/>
      <c r="PZW1453"/>
      <c r="PZX1453"/>
      <c r="PZY1453"/>
      <c r="PZZ1453"/>
      <c r="QAA1453"/>
      <c r="QAB1453"/>
      <c r="QAC1453"/>
      <c r="QAD1453"/>
      <c r="QAE1453"/>
      <c r="QAF1453"/>
      <c r="QAG1453"/>
      <c r="QAH1453"/>
      <c r="QAI1453"/>
      <c r="QAJ1453"/>
      <c r="QAK1453"/>
      <c r="QAL1453"/>
      <c r="QAM1453"/>
      <c r="QAN1453"/>
      <c r="QAO1453"/>
      <c r="QAP1453"/>
      <c r="QAQ1453"/>
      <c r="QAR1453"/>
      <c r="QAS1453"/>
      <c r="QAT1453"/>
      <c r="QAU1453"/>
      <c r="QAV1453"/>
      <c r="QAW1453"/>
      <c r="QAX1453"/>
      <c r="QAY1453"/>
      <c r="QAZ1453"/>
      <c r="QBA1453"/>
      <c r="QBB1453"/>
      <c r="QBC1453"/>
      <c r="QBD1453"/>
      <c r="QBE1453"/>
      <c r="QBF1453"/>
      <c r="QBG1453"/>
      <c r="QBH1453"/>
      <c r="QBI1453"/>
      <c r="QBJ1453"/>
      <c r="QBK1453"/>
      <c r="QBL1453"/>
      <c r="QBM1453"/>
      <c r="QBN1453"/>
      <c r="QBO1453"/>
      <c r="QBP1453"/>
      <c r="QBQ1453"/>
      <c r="QBR1453"/>
      <c r="QBS1453"/>
      <c r="QBT1453"/>
      <c r="QBU1453"/>
      <c r="QBV1453"/>
      <c r="QBW1453"/>
      <c r="QBX1453"/>
      <c r="QBY1453"/>
      <c r="QBZ1453"/>
      <c r="QCA1453"/>
      <c r="QCB1453"/>
      <c r="QCC1453"/>
      <c r="QCD1453"/>
      <c r="QCE1453"/>
      <c r="QCF1453"/>
      <c r="QCG1453"/>
      <c r="QCH1453"/>
      <c r="QCI1453"/>
      <c r="QCJ1453"/>
      <c r="QCK1453"/>
      <c r="QCL1453"/>
      <c r="QCM1453"/>
      <c r="QCN1453"/>
      <c r="QCO1453"/>
      <c r="QCP1453"/>
      <c r="QCQ1453"/>
      <c r="QCR1453"/>
      <c r="QCS1453"/>
      <c r="QCT1453"/>
      <c r="QCU1453"/>
      <c r="QCV1453"/>
      <c r="QCW1453"/>
      <c r="QCX1453"/>
      <c r="QCY1453"/>
      <c r="QCZ1453"/>
      <c r="QDA1453"/>
      <c r="QDB1453"/>
      <c r="QDC1453"/>
      <c r="QDD1453"/>
      <c r="QDE1453"/>
      <c r="QDF1453"/>
      <c r="QDG1453"/>
      <c r="QDH1453"/>
      <c r="QDI1453"/>
      <c r="QDJ1453"/>
      <c r="QDK1453"/>
      <c r="QDL1453"/>
      <c r="QDM1453"/>
      <c r="QDN1453"/>
      <c r="QDO1453"/>
      <c r="QDP1453"/>
      <c r="QDQ1453"/>
      <c r="QDR1453"/>
      <c r="QDS1453"/>
      <c r="QDT1453"/>
      <c r="QDU1453"/>
      <c r="QDV1453"/>
      <c r="QDW1453"/>
      <c r="QDX1453"/>
      <c r="QDY1453"/>
      <c r="QDZ1453"/>
      <c r="QEA1453"/>
      <c r="QEB1453"/>
      <c r="QEC1453"/>
      <c r="QED1453"/>
      <c r="QEE1453"/>
      <c r="QEF1453"/>
      <c r="QEG1453"/>
      <c r="QEH1453"/>
      <c r="QEI1453"/>
      <c r="QEJ1453"/>
      <c r="QEK1453"/>
      <c r="QEL1453"/>
      <c r="QEM1453"/>
      <c r="QEN1453"/>
      <c r="QEO1453"/>
      <c r="QEP1453"/>
      <c r="QEQ1453"/>
      <c r="QER1453"/>
      <c r="QES1453"/>
      <c r="QET1453"/>
      <c r="QEU1453"/>
      <c r="QEV1453"/>
      <c r="QEW1453"/>
      <c r="QEX1453"/>
      <c r="QEY1453"/>
      <c r="QEZ1453"/>
      <c r="QFA1453"/>
      <c r="QFB1453"/>
      <c r="QFC1453"/>
      <c r="QFD1453"/>
      <c r="QFE1453"/>
      <c r="QFF1453"/>
      <c r="QFG1453"/>
      <c r="QFH1453"/>
      <c r="QFI1453"/>
      <c r="QFJ1453"/>
      <c r="QFK1453"/>
      <c r="QFL1453"/>
      <c r="QFM1453"/>
      <c r="QFN1453"/>
      <c r="QFO1453"/>
      <c r="QFP1453"/>
      <c r="QFQ1453"/>
      <c r="QFR1453"/>
      <c r="QFS1453"/>
      <c r="QFT1453"/>
      <c r="QFU1453"/>
      <c r="QFV1453"/>
      <c r="QFW1453"/>
      <c r="QFX1453"/>
      <c r="QFY1453"/>
      <c r="QFZ1453"/>
      <c r="QGA1453"/>
      <c r="QGB1453"/>
      <c r="QGC1453"/>
      <c r="QGD1453"/>
      <c r="QGE1453"/>
      <c r="QGF1453"/>
      <c r="QGG1453"/>
      <c r="QGH1453"/>
      <c r="QGI1453"/>
      <c r="QGJ1453"/>
      <c r="QGK1453"/>
      <c r="QGL1453"/>
      <c r="QGM1453"/>
      <c r="QGN1453"/>
      <c r="QGO1453"/>
      <c r="QGP1453"/>
      <c r="QGQ1453"/>
      <c r="QGR1453"/>
      <c r="QGS1453"/>
      <c r="QGT1453"/>
      <c r="QGU1453"/>
      <c r="QGV1453"/>
      <c r="QGW1453"/>
      <c r="QGX1453"/>
      <c r="QGY1453"/>
      <c r="QGZ1453"/>
      <c r="QHA1453"/>
      <c r="QHB1453"/>
      <c r="QHC1453"/>
      <c r="QHD1453"/>
      <c r="QHE1453"/>
      <c r="QHF1453"/>
      <c r="QHG1453"/>
      <c r="QHH1453"/>
      <c r="QHI1453"/>
      <c r="QHJ1453"/>
      <c r="QHK1453"/>
      <c r="QHL1453"/>
      <c r="QHM1453"/>
      <c r="QHN1453"/>
      <c r="QHO1453"/>
      <c r="QHP1453"/>
      <c r="QHQ1453"/>
      <c r="QHR1453"/>
      <c r="QHS1453"/>
      <c r="QHT1453"/>
      <c r="QHU1453"/>
      <c r="QHV1453"/>
      <c r="QHW1453"/>
      <c r="QHX1453"/>
      <c r="QHY1453"/>
      <c r="QHZ1453"/>
      <c r="QIA1453"/>
      <c r="QIB1453"/>
      <c r="QIC1453"/>
      <c r="QID1453"/>
      <c r="QIE1453"/>
      <c r="QIF1453"/>
      <c r="QIG1453"/>
      <c r="QIH1453"/>
      <c r="QII1453"/>
      <c r="QIJ1453"/>
      <c r="QIK1453"/>
      <c r="QIL1453"/>
      <c r="QIM1453"/>
      <c r="QIN1453"/>
      <c r="QIO1453"/>
      <c r="QIP1453"/>
      <c r="QIQ1453"/>
      <c r="QIR1453"/>
      <c r="QIS1453"/>
      <c r="QIT1453"/>
      <c r="QIU1453"/>
      <c r="QIV1453"/>
      <c r="QIW1453"/>
      <c r="QIX1453"/>
      <c r="QIY1453"/>
      <c r="QIZ1453"/>
      <c r="QJA1453"/>
      <c r="QJB1453"/>
      <c r="QJC1453"/>
      <c r="QJD1453"/>
      <c r="QJE1453"/>
      <c r="QJF1453"/>
      <c r="QJG1453"/>
      <c r="QJH1453"/>
      <c r="QJI1453"/>
      <c r="QJJ1453"/>
      <c r="QJK1453"/>
      <c r="QJL1453"/>
      <c r="QJM1453"/>
      <c r="QJN1453"/>
      <c r="QJO1453"/>
      <c r="QJP1453"/>
      <c r="QJQ1453"/>
      <c r="QJR1453"/>
      <c r="QJS1453"/>
      <c r="QJT1453"/>
      <c r="QJU1453"/>
      <c r="QJV1453"/>
      <c r="QJW1453"/>
      <c r="QJX1453"/>
      <c r="QJY1453"/>
      <c r="QJZ1453"/>
      <c r="QKA1453"/>
      <c r="QKB1453"/>
      <c r="QKC1453"/>
      <c r="QKD1453"/>
      <c r="QKE1453"/>
      <c r="QKF1453"/>
      <c r="QKG1453"/>
      <c r="QKH1453"/>
      <c r="QKI1453"/>
      <c r="QKJ1453"/>
      <c r="QKK1453"/>
      <c r="QKL1453"/>
      <c r="QKM1453"/>
      <c r="QKN1453"/>
      <c r="QKO1453"/>
      <c r="QKP1453"/>
      <c r="QKQ1453"/>
      <c r="QKR1453"/>
      <c r="QKS1453"/>
      <c r="QKT1453"/>
      <c r="QKU1453"/>
      <c r="QKV1453"/>
      <c r="QKW1453"/>
      <c r="QKX1453"/>
      <c r="QKY1453"/>
      <c r="QKZ1453"/>
      <c r="QLA1453"/>
      <c r="QLB1453"/>
      <c r="QLC1453"/>
      <c r="QLD1453"/>
      <c r="QLE1453"/>
      <c r="QLF1453"/>
      <c r="QLG1453"/>
      <c r="QLH1453"/>
      <c r="QLI1453"/>
      <c r="QLJ1453"/>
      <c r="QLK1453"/>
      <c r="QLL1453"/>
      <c r="QLM1453"/>
      <c r="QLN1453"/>
      <c r="QLO1453"/>
      <c r="QLP1453"/>
      <c r="QLQ1453"/>
      <c r="QLR1453"/>
      <c r="QLS1453"/>
      <c r="QLT1453"/>
      <c r="QLU1453"/>
      <c r="QLV1453"/>
      <c r="QLW1453"/>
      <c r="QLX1453"/>
      <c r="QLY1453"/>
      <c r="QLZ1453"/>
      <c r="QMA1453"/>
      <c r="QMB1453"/>
      <c r="QMC1453"/>
      <c r="QMD1453"/>
      <c r="QME1453"/>
      <c r="QMF1453"/>
      <c r="QMG1453"/>
      <c r="QMH1453"/>
      <c r="QMI1453"/>
      <c r="QMJ1453"/>
      <c r="QMK1453"/>
      <c r="QML1453"/>
      <c r="QMM1453"/>
      <c r="QMN1453"/>
      <c r="QMO1453"/>
      <c r="QMP1453"/>
      <c r="QMQ1453"/>
      <c r="QMR1453"/>
      <c r="QMS1453"/>
      <c r="QMT1453"/>
      <c r="QMU1453"/>
      <c r="QMV1453"/>
      <c r="QMW1453"/>
      <c r="QMX1453"/>
      <c r="QMY1453"/>
      <c r="QMZ1453"/>
      <c r="QNA1453"/>
      <c r="QNB1453"/>
      <c r="QNC1453"/>
      <c r="QND1453"/>
      <c r="QNE1453"/>
      <c r="QNF1453"/>
      <c r="QNG1453"/>
      <c r="QNH1453"/>
      <c r="QNI1453"/>
      <c r="QNJ1453"/>
      <c r="QNK1453"/>
      <c r="QNL1453"/>
      <c r="QNM1453"/>
      <c r="QNN1453"/>
      <c r="QNO1453"/>
      <c r="QNP1453"/>
      <c r="QNQ1453"/>
      <c r="QNR1453"/>
      <c r="QNS1453"/>
      <c r="QNT1453"/>
      <c r="QNU1453"/>
      <c r="QNV1453"/>
      <c r="QNW1453"/>
      <c r="QNX1453"/>
      <c r="QNY1453"/>
      <c r="QNZ1453"/>
      <c r="QOA1453"/>
      <c r="QOB1453"/>
      <c r="QOC1453"/>
      <c r="QOD1453"/>
      <c r="QOE1453"/>
      <c r="QOF1453"/>
      <c r="QOG1453"/>
      <c r="QOH1453"/>
      <c r="QOI1453"/>
      <c r="QOJ1453"/>
      <c r="QOK1453"/>
      <c r="QOL1453"/>
      <c r="QOM1453"/>
      <c r="QON1453"/>
      <c r="QOO1453"/>
      <c r="QOP1453"/>
      <c r="QOQ1453"/>
      <c r="QOR1453"/>
      <c r="QOS1453"/>
      <c r="QOT1453"/>
      <c r="QOU1453"/>
      <c r="QOV1453"/>
      <c r="QOW1453"/>
      <c r="QOX1453"/>
      <c r="QOY1453"/>
      <c r="QOZ1453"/>
      <c r="QPA1453"/>
      <c r="QPB1453"/>
      <c r="QPC1453"/>
      <c r="QPD1453"/>
      <c r="QPE1453"/>
      <c r="QPF1453"/>
      <c r="QPG1453"/>
      <c r="QPH1453"/>
      <c r="QPI1453"/>
      <c r="QPJ1453"/>
      <c r="QPK1453"/>
      <c r="QPL1453"/>
      <c r="QPM1453"/>
      <c r="QPN1453"/>
      <c r="QPO1453"/>
      <c r="QPP1453"/>
      <c r="QPQ1453"/>
      <c r="QPR1453"/>
      <c r="QPS1453"/>
      <c r="QPT1453"/>
      <c r="QPU1453"/>
      <c r="QPV1453"/>
      <c r="QPW1453"/>
      <c r="QPX1453"/>
      <c r="QPY1453"/>
      <c r="QPZ1453"/>
      <c r="QQA1453"/>
      <c r="QQB1453"/>
      <c r="QQC1453"/>
      <c r="QQD1453"/>
      <c r="QQE1453"/>
      <c r="QQF1453"/>
      <c r="QQG1453"/>
      <c r="QQH1453"/>
      <c r="QQI1453"/>
      <c r="QQJ1453"/>
      <c r="QQK1453"/>
      <c r="QQL1453"/>
      <c r="QQM1453"/>
      <c r="QQN1453"/>
      <c r="QQO1453"/>
      <c r="QQP1453"/>
      <c r="QQQ1453"/>
      <c r="QQR1453"/>
      <c r="QQS1453"/>
      <c r="QQT1453"/>
      <c r="QQU1453"/>
      <c r="QQV1453"/>
      <c r="QQW1453"/>
      <c r="QQX1453"/>
      <c r="QQY1453"/>
      <c r="QQZ1453"/>
      <c r="QRA1453"/>
      <c r="QRB1453"/>
      <c r="QRC1453"/>
      <c r="QRD1453"/>
      <c r="QRE1453"/>
      <c r="QRF1453"/>
      <c r="QRG1453"/>
      <c r="QRH1453"/>
      <c r="QRI1453"/>
      <c r="QRJ1453"/>
      <c r="QRK1453"/>
      <c r="QRL1453"/>
      <c r="QRM1453"/>
      <c r="QRN1453"/>
      <c r="QRO1453"/>
      <c r="QRP1453"/>
      <c r="QRQ1453"/>
      <c r="QRR1453"/>
      <c r="QRS1453"/>
      <c r="QRT1453"/>
      <c r="QRU1453"/>
      <c r="QRV1453"/>
      <c r="QRW1453"/>
      <c r="QRX1453"/>
      <c r="QRY1453"/>
      <c r="QRZ1453"/>
      <c r="QSA1453"/>
      <c r="QSB1453"/>
      <c r="QSC1453"/>
      <c r="QSD1453"/>
      <c r="QSE1453"/>
      <c r="QSF1453"/>
      <c r="QSG1453"/>
      <c r="QSH1453"/>
      <c r="QSI1453"/>
      <c r="QSJ1453"/>
      <c r="QSK1453"/>
      <c r="QSL1453"/>
      <c r="QSM1453"/>
      <c r="QSN1453"/>
      <c r="QSO1453"/>
      <c r="QSP1453"/>
      <c r="QSQ1453"/>
      <c r="QSR1453"/>
      <c r="QSS1453"/>
      <c r="QST1453"/>
      <c r="QSU1453"/>
      <c r="QSV1453"/>
      <c r="QSW1453"/>
      <c r="QSX1453"/>
      <c r="QSY1453"/>
      <c r="QSZ1453"/>
      <c r="QTA1453"/>
      <c r="QTB1453"/>
      <c r="QTC1453"/>
      <c r="QTD1453"/>
      <c r="QTE1453"/>
      <c r="QTF1453"/>
      <c r="QTG1453"/>
      <c r="QTH1453"/>
      <c r="QTI1453"/>
      <c r="QTJ1453"/>
      <c r="QTK1453"/>
      <c r="QTL1453"/>
      <c r="QTM1453"/>
      <c r="QTN1453"/>
      <c r="QTO1453"/>
      <c r="QTP1453"/>
      <c r="QTQ1453"/>
      <c r="QTR1453"/>
      <c r="QTS1453"/>
      <c r="QTT1453"/>
      <c r="QTU1453"/>
      <c r="QTV1453"/>
      <c r="QTW1453"/>
      <c r="QTX1453"/>
      <c r="QTY1453"/>
      <c r="QTZ1453"/>
      <c r="QUA1453"/>
      <c r="QUB1453"/>
      <c r="QUC1453"/>
      <c r="QUD1453"/>
      <c r="QUE1453"/>
      <c r="QUF1453"/>
      <c r="QUG1453"/>
      <c r="QUH1453"/>
      <c r="QUI1453"/>
      <c r="QUJ1453"/>
      <c r="QUK1453"/>
      <c r="QUL1453"/>
      <c r="QUM1453"/>
      <c r="QUN1453"/>
      <c r="QUO1453"/>
      <c r="QUP1453"/>
      <c r="QUQ1453"/>
      <c r="QUR1453"/>
      <c r="QUS1453"/>
      <c r="QUT1453"/>
      <c r="QUU1453"/>
      <c r="QUV1453"/>
      <c r="QUW1453"/>
      <c r="QUX1453"/>
      <c r="QUY1453"/>
      <c r="QUZ1453"/>
      <c r="QVA1453"/>
      <c r="QVB1453"/>
      <c r="QVC1453"/>
      <c r="QVD1453"/>
      <c r="QVE1453"/>
      <c r="QVF1453"/>
      <c r="QVG1453"/>
      <c r="QVH1453"/>
      <c r="QVI1453"/>
      <c r="QVJ1453"/>
      <c r="QVK1453"/>
      <c r="QVL1453"/>
      <c r="QVM1453"/>
      <c r="QVN1453"/>
      <c r="QVO1453"/>
      <c r="QVP1453"/>
      <c r="QVQ1453"/>
      <c r="QVR1453"/>
      <c r="QVS1453"/>
      <c r="QVT1453"/>
      <c r="QVU1453"/>
      <c r="QVV1453"/>
      <c r="QVW1453"/>
      <c r="QVX1453"/>
      <c r="QVY1453"/>
      <c r="QVZ1453"/>
      <c r="QWA1453"/>
      <c r="QWB1453"/>
      <c r="QWC1453"/>
      <c r="QWD1453"/>
      <c r="QWE1453"/>
      <c r="QWF1453"/>
      <c r="QWG1453"/>
      <c r="QWH1453"/>
      <c r="QWI1453"/>
      <c r="QWJ1453"/>
      <c r="QWK1453"/>
      <c r="QWL1453"/>
      <c r="QWM1453"/>
      <c r="QWN1453"/>
      <c r="QWO1453"/>
      <c r="QWP1453"/>
      <c r="QWQ1453"/>
      <c r="QWR1453"/>
      <c r="QWS1453"/>
      <c r="QWT1453"/>
      <c r="QWU1453"/>
      <c r="QWV1453"/>
      <c r="QWW1453"/>
      <c r="QWX1453"/>
      <c r="QWY1453"/>
      <c r="QWZ1453"/>
      <c r="QXA1453"/>
      <c r="QXB1453"/>
      <c r="QXC1453"/>
      <c r="QXD1453"/>
      <c r="QXE1453"/>
      <c r="QXF1453"/>
      <c r="QXG1453"/>
      <c r="QXH1453"/>
      <c r="QXI1453"/>
      <c r="QXJ1453"/>
      <c r="QXK1453"/>
      <c r="QXL1453"/>
      <c r="QXM1453"/>
      <c r="QXN1453"/>
      <c r="QXO1453"/>
      <c r="QXP1453"/>
      <c r="QXQ1453"/>
      <c r="QXR1453"/>
      <c r="QXS1453"/>
      <c r="QXT1453"/>
      <c r="QXU1453"/>
      <c r="QXV1453"/>
      <c r="QXW1453"/>
      <c r="QXX1453"/>
      <c r="QXY1453"/>
      <c r="QXZ1453"/>
      <c r="QYA1453"/>
      <c r="QYB1453"/>
      <c r="QYC1453"/>
      <c r="QYD1453"/>
      <c r="QYE1453"/>
      <c r="QYF1453"/>
      <c r="QYG1453"/>
      <c r="QYH1453"/>
      <c r="QYI1453"/>
      <c r="QYJ1453"/>
      <c r="QYK1453"/>
      <c r="QYL1453"/>
      <c r="QYM1453"/>
      <c r="QYN1453"/>
      <c r="QYO1453"/>
      <c r="QYP1453"/>
      <c r="QYQ1453"/>
      <c r="QYR1453"/>
      <c r="QYS1453"/>
      <c r="QYT1453"/>
      <c r="QYU1453"/>
      <c r="QYV1453"/>
      <c r="QYW1453"/>
      <c r="QYX1453"/>
      <c r="QYY1453"/>
      <c r="QYZ1453"/>
      <c r="QZA1453"/>
      <c r="QZB1453"/>
      <c r="QZC1453"/>
      <c r="QZD1453"/>
      <c r="QZE1453"/>
      <c r="QZF1453"/>
      <c r="QZG1453"/>
      <c r="QZH1453"/>
      <c r="QZI1453"/>
      <c r="QZJ1453"/>
      <c r="QZK1453"/>
      <c r="QZL1453"/>
      <c r="QZM1453"/>
      <c r="QZN1453"/>
      <c r="QZO1453"/>
      <c r="QZP1453"/>
      <c r="QZQ1453"/>
      <c r="QZR1453"/>
      <c r="QZS1453"/>
      <c r="QZT1453"/>
      <c r="QZU1453"/>
      <c r="QZV1453"/>
      <c r="QZW1453"/>
      <c r="QZX1453"/>
      <c r="QZY1453"/>
      <c r="QZZ1453"/>
      <c r="RAA1453"/>
      <c r="RAB1453"/>
      <c r="RAC1453"/>
      <c r="RAD1453"/>
      <c r="RAE1453"/>
      <c r="RAF1453"/>
      <c r="RAG1453"/>
      <c r="RAH1453"/>
      <c r="RAI1453"/>
      <c r="RAJ1453"/>
      <c r="RAK1453"/>
      <c r="RAL1453"/>
      <c r="RAM1453"/>
      <c r="RAN1453"/>
      <c r="RAO1453"/>
      <c r="RAP1453"/>
      <c r="RAQ1453"/>
      <c r="RAR1453"/>
      <c r="RAS1453"/>
      <c r="RAT1453"/>
      <c r="RAU1453"/>
      <c r="RAV1453"/>
      <c r="RAW1453"/>
      <c r="RAX1453"/>
      <c r="RAY1453"/>
      <c r="RAZ1453"/>
      <c r="RBA1453"/>
      <c r="RBB1453"/>
      <c r="RBC1453"/>
      <c r="RBD1453"/>
      <c r="RBE1453"/>
      <c r="RBF1453"/>
      <c r="RBG1453"/>
      <c r="RBH1453"/>
      <c r="RBI1453"/>
      <c r="RBJ1453"/>
      <c r="RBK1453"/>
      <c r="RBL1453"/>
      <c r="RBM1453"/>
      <c r="RBN1453"/>
      <c r="RBO1453"/>
      <c r="RBP1453"/>
      <c r="RBQ1453"/>
      <c r="RBR1453"/>
      <c r="RBS1453"/>
      <c r="RBT1453"/>
      <c r="RBU1453"/>
      <c r="RBV1453"/>
      <c r="RBW1453"/>
      <c r="RBX1453"/>
      <c r="RBY1453"/>
      <c r="RBZ1453"/>
      <c r="RCA1453"/>
      <c r="RCB1453"/>
      <c r="RCC1453"/>
      <c r="RCD1453"/>
      <c r="RCE1453"/>
      <c r="RCF1453"/>
      <c r="RCG1453"/>
      <c r="RCH1453"/>
      <c r="RCI1453"/>
      <c r="RCJ1453"/>
      <c r="RCK1453"/>
      <c r="RCL1453"/>
      <c r="RCM1453"/>
      <c r="RCN1453"/>
      <c r="RCO1453"/>
      <c r="RCP1453"/>
      <c r="RCQ1453"/>
      <c r="RCR1453"/>
      <c r="RCS1453"/>
      <c r="RCT1453"/>
      <c r="RCU1453"/>
      <c r="RCV1453"/>
      <c r="RCW1453"/>
      <c r="RCX1453"/>
      <c r="RCY1453"/>
      <c r="RCZ1453"/>
      <c r="RDA1453"/>
      <c r="RDB1453"/>
      <c r="RDC1453"/>
      <c r="RDD1453"/>
      <c r="RDE1453"/>
      <c r="RDF1453"/>
      <c r="RDG1453"/>
      <c r="RDH1453"/>
      <c r="RDI1453"/>
      <c r="RDJ1453"/>
      <c r="RDK1453"/>
      <c r="RDL1453"/>
      <c r="RDM1453"/>
      <c r="RDN1453"/>
      <c r="RDO1453"/>
      <c r="RDP1453"/>
      <c r="RDQ1453"/>
      <c r="RDR1453"/>
      <c r="RDS1453"/>
      <c r="RDT1453"/>
      <c r="RDU1453"/>
      <c r="RDV1453"/>
      <c r="RDW1453"/>
      <c r="RDX1453"/>
      <c r="RDY1453"/>
      <c r="RDZ1453"/>
      <c r="REA1453"/>
      <c r="REB1453"/>
      <c r="REC1453"/>
      <c r="RED1453"/>
      <c r="REE1453"/>
      <c r="REF1453"/>
      <c r="REG1453"/>
      <c r="REH1453"/>
      <c r="REI1453"/>
      <c r="REJ1453"/>
      <c r="REK1453"/>
      <c r="REL1453"/>
      <c r="REM1453"/>
      <c r="REN1453"/>
      <c r="REO1453"/>
      <c r="REP1453"/>
      <c r="REQ1453"/>
      <c r="RER1453"/>
      <c r="RES1453"/>
      <c r="RET1453"/>
      <c r="REU1453"/>
      <c r="REV1453"/>
      <c r="REW1453"/>
      <c r="REX1453"/>
      <c r="REY1453"/>
      <c r="REZ1453"/>
      <c r="RFA1453"/>
      <c r="RFB1453"/>
      <c r="RFC1453"/>
      <c r="RFD1453"/>
      <c r="RFE1453"/>
      <c r="RFF1453"/>
      <c r="RFG1453"/>
      <c r="RFH1453"/>
      <c r="RFI1453"/>
      <c r="RFJ1453"/>
      <c r="RFK1453"/>
      <c r="RFL1453"/>
      <c r="RFM1453"/>
      <c r="RFN1453"/>
      <c r="RFO1453"/>
      <c r="RFP1453"/>
      <c r="RFQ1453"/>
      <c r="RFR1453"/>
      <c r="RFS1453"/>
      <c r="RFT1453"/>
      <c r="RFU1453"/>
      <c r="RFV1453"/>
      <c r="RFW1453"/>
      <c r="RFX1453"/>
      <c r="RFY1453"/>
      <c r="RFZ1453"/>
      <c r="RGA1453"/>
      <c r="RGB1453"/>
      <c r="RGC1453"/>
      <c r="RGD1453"/>
      <c r="RGE1453"/>
      <c r="RGF1453"/>
      <c r="RGG1453"/>
      <c r="RGH1453"/>
      <c r="RGI1453"/>
      <c r="RGJ1453"/>
      <c r="RGK1453"/>
      <c r="RGL1453"/>
      <c r="RGM1453"/>
      <c r="RGN1453"/>
      <c r="RGO1453"/>
      <c r="RGP1453"/>
      <c r="RGQ1453"/>
      <c r="RGR1453"/>
      <c r="RGS1453"/>
      <c r="RGT1453"/>
      <c r="RGU1453"/>
      <c r="RGV1453"/>
      <c r="RGW1453"/>
      <c r="RGX1453"/>
      <c r="RGY1453"/>
      <c r="RGZ1453"/>
      <c r="RHA1453"/>
      <c r="RHB1453"/>
      <c r="RHC1453"/>
      <c r="RHD1453"/>
      <c r="RHE1453"/>
      <c r="RHF1453"/>
      <c r="RHG1453"/>
      <c r="RHH1453"/>
      <c r="RHI1453"/>
      <c r="RHJ1453"/>
      <c r="RHK1453"/>
      <c r="RHL1453"/>
      <c r="RHM1453"/>
      <c r="RHN1453"/>
      <c r="RHO1453"/>
      <c r="RHP1453"/>
      <c r="RHQ1453"/>
      <c r="RHR1453"/>
      <c r="RHS1453"/>
      <c r="RHT1453"/>
      <c r="RHU1453"/>
      <c r="RHV1453"/>
      <c r="RHW1453"/>
      <c r="RHX1453"/>
      <c r="RHY1453"/>
      <c r="RHZ1453"/>
      <c r="RIA1453"/>
      <c r="RIB1453"/>
      <c r="RIC1453"/>
      <c r="RID1453"/>
      <c r="RIE1453"/>
      <c r="RIF1453"/>
      <c r="RIG1453"/>
      <c r="RIH1453"/>
      <c r="RII1453"/>
      <c r="RIJ1453"/>
      <c r="RIK1453"/>
      <c r="RIL1453"/>
      <c r="RIM1453"/>
      <c r="RIN1453"/>
      <c r="RIO1453"/>
      <c r="RIP1453"/>
      <c r="RIQ1453"/>
      <c r="RIR1453"/>
      <c r="RIS1453"/>
      <c r="RIT1453"/>
      <c r="RIU1453"/>
      <c r="RIV1453"/>
      <c r="RIW1453"/>
      <c r="RIX1453"/>
      <c r="RIY1453"/>
      <c r="RIZ1453"/>
      <c r="RJA1453"/>
      <c r="RJB1453"/>
      <c r="RJC1453"/>
      <c r="RJD1453"/>
      <c r="RJE1453"/>
      <c r="RJF1453"/>
      <c r="RJG1453"/>
      <c r="RJH1453"/>
      <c r="RJI1453"/>
      <c r="RJJ1453"/>
      <c r="RJK1453"/>
      <c r="RJL1453"/>
      <c r="RJM1453"/>
      <c r="RJN1453"/>
      <c r="RJO1453"/>
      <c r="RJP1453"/>
      <c r="RJQ1453"/>
      <c r="RJR1453"/>
      <c r="RJS1453"/>
      <c r="RJT1453"/>
      <c r="RJU1453"/>
      <c r="RJV1453"/>
      <c r="RJW1453"/>
      <c r="RJX1453"/>
      <c r="RJY1453"/>
      <c r="RJZ1453"/>
      <c r="RKA1453"/>
      <c r="RKB1453"/>
      <c r="RKC1453"/>
      <c r="RKD1453"/>
      <c r="RKE1453"/>
      <c r="RKF1453"/>
      <c r="RKG1453"/>
      <c r="RKH1453"/>
      <c r="RKI1453"/>
      <c r="RKJ1453"/>
      <c r="RKK1453"/>
      <c r="RKL1453"/>
      <c r="RKM1453"/>
      <c r="RKN1453"/>
      <c r="RKO1453"/>
      <c r="RKP1453"/>
      <c r="RKQ1453"/>
      <c r="RKR1453"/>
      <c r="RKS1453"/>
      <c r="RKT1453"/>
      <c r="RKU1453"/>
      <c r="RKV1453"/>
      <c r="RKW1453"/>
      <c r="RKX1453"/>
      <c r="RKY1453"/>
      <c r="RKZ1453"/>
      <c r="RLA1453"/>
      <c r="RLB1453"/>
      <c r="RLC1453"/>
      <c r="RLD1453"/>
      <c r="RLE1453"/>
      <c r="RLF1453"/>
      <c r="RLG1453"/>
      <c r="RLH1453"/>
      <c r="RLI1453"/>
      <c r="RLJ1453"/>
      <c r="RLK1453"/>
      <c r="RLL1453"/>
      <c r="RLM1453"/>
      <c r="RLN1453"/>
      <c r="RLO1453"/>
      <c r="RLP1453"/>
      <c r="RLQ1453"/>
      <c r="RLR1453"/>
      <c r="RLS1453"/>
      <c r="RLT1453"/>
      <c r="RLU1453"/>
      <c r="RLV1453"/>
      <c r="RLW1453"/>
      <c r="RLX1453"/>
      <c r="RLY1453"/>
      <c r="RLZ1453"/>
      <c r="RMA1453"/>
      <c r="RMB1453"/>
      <c r="RMC1453"/>
      <c r="RMD1453"/>
      <c r="RME1453"/>
      <c r="RMF1453"/>
      <c r="RMG1453"/>
      <c r="RMH1453"/>
      <c r="RMI1453"/>
      <c r="RMJ1453"/>
      <c r="RMK1453"/>
      <c r="RML1453"/>
      <c r="RMM1453"/>
      <c r="RMN1453"/>
      <c r="RMO1453"/>
      <c r="RMP1453"/>
      <c r="RMQ1453"/>
      <c r="RMR1453"/>
      <c r="RMS1453"/>
      <c r="RMT1453"/>
      <c r="RMU1453"/>
      <c r="RMV1453"/>
      <c r="RMW1453"/>
      <c r="RMX1453"/>
      <c r="RMY1453"/>
      <c r="RMZ1453"/>
      <c r="RNA1453"/>
      <c r="RNB1453"/>
      <c r="RNC1453"/>
      <c r="RND1453"/>
      <c r="RNE1453"/>
      <c r="RNF1453"/>
      <c r="RNG1453"/>
      <c r="RNH1453"/>
      <c r="RNI1453"/>
      <c r="RNJ1453"/>
      <c r="RNK1453"/>
      <c r="RNL1453"/>
      <c r="RNM1453"/>
      <c r="RNN1453"/>
      <c r="RNO1453"/>
      <c r="RNP1453"/>
      <c r="RNQ1453"/>
      <c r="RNR1453"/>
      <c r="RNS1453"/>
      <c r="RNT1453"/>
      <c r="RNU1453"/>
      <c r="RNV1453"/>
      <c r="RNW1453"/>
      <c r="RNX1453"/>
      <c r="RNY1453"/>
      <c r="RNZ1453"/>
      <c r="ROA1453"/>
      <c r="ROB1453"/>
      <c r="ROC1453"/>
      <c r="ROD1453"/>
      <c r="ROE1453"/>
      <c r="ROF1453"/>
      <c r="ROG1453"/>
      <c r="ROH1453"/>
      <c r="ROI1453"/>
      <c r="ROJ1453"/>
      <c r="ROK1453"/>
      <c r="ROL1453"/>
      <c r="ROM1453"/>
      <c r="RON1453"/>
      <c r="ROO1453"/>
      <c r="ROP1453"/>
      <c r="ROQ1453"/>
      <c r="ROR1453"/>
      <c r="ROS1453"/>
      <c r="ROT1453"/>
      <c r="ROU1453"/>
      <c r="ROV1453"/>
      <c r="ROW1453"/>
      <c r="ROX1453"/>
      <c r="ROY1453"/>
      <c r="ROZ1453"/>
      <c r="RPA1453"/>
      <c r="RPB1453"/>
      <c r="RPC1453"/>
      <c r="RPD1453"/>
      <c r="RPE1453"/>
      <c r="RPF1453"/>
      <c r="RPG1453"/>
      <c r="RPH1453"/>
      <c r="RPI1453"/>
      <c r="RPJ1453"/>
      <c r="RPK1453"/>
      <c r="RPL1453"/>
      <c r="RPM1453"/>
      <c r="RPN1453"/>
      <c r="RPO1453"/>
      <c r="RPP1453"/>
      <c r="RPQ1453"/>
      <c r="RPR1453"/>
      <c r="RPS1453"/>
      <c r="RPT1453"/>
      <c r="RPU1453"/>
      <c r="RPV1453"/>
      <c r="RPW1453"/>
      <c r="RPX1453"/>
      <c r="RPY1453"/>
      <c r="RPZ1453"/>
      <c r="RQA1453"/>
      <c r="RQB1453"/>
      <c r="RQC1453"/>
      <c r="RQD1453"/>
      <c r="RQE1453"/>
      <c r="RQF1453"/>
      <c r="RQG1453"/>
      <c r="RQH1453"/>
      <c r="RQI1453"/>
      <c r="RQJ1453"/>
      <c r="RQK1453"/>
      <c r="RQL1453"/>
      <c r="RQM1453"/>
      <c r="RQN1453"/>
      <c r="RQO1453"/>
      <c r="RQP1453"/>
      <c r="RQQ1453"/>
      <c r="RQR1453"/>
      <c r="RQS1453"/>
      <c r="RQT1453"/>
      <c r="RQU1453"/>
      <c r="RQV1453"/>
      <c r="RQW1453"/>
      <c r="RQX1453"/>
      <c r="RQY1453"/>
      <c r="RQZ1453"/>
      <c r="RRA1453"/>
      <c r="RRB1453"/>
      <c r="RRC1453"/>
      <c r="RRD1453"/>
      <c r="RRE1453"/>
      <c r="RRF1453"/>
      <c r="RRG1453"/>
      <c r="RRH1453"/>
      <c r="RRI1453"/>
      <c r="RRJ1453"/>
      <c r="RRK1453"/>
      <c r="RRL1453"/>
      <c r="RRM1453"/>
      <c r="RRN1453"/>
      <c r="RRO1453"/>
      <c r="RRP1453"/>
      <c r="RRQ1453"/>
      <c r="RRR1453"/>
      <c r="RRS1453"/>
      <c r="RRT1453"/>
      <c r="RRU1453"/>
      <c r="RRV1453"/>
      <c r="RRW1453"/>
      <c r="RRX1453"/>
      <c r="RRY1453"/>
      <c r="RRZ1453"/>
      <c r="RSA1453"/>
      <c r="RSB1453"/>
      <c r="RSC1453"/>
      <c r="RSD1453"/>
      <c r="RSE1453"/>
      <c r="RSF1453"/>
      <c r="RSG1453"/>
      <c r="RSH1453"/>
      <c r="RSI1453"/>
      <c r="RSJ1453"/>
      <c r="RSK1453"/>
      <c r="RSL1453"/>
      <c r="RSM1453"/>
      <c r="RSN1453"/>
      <c r="RSO1453"/>
      <c r="RSP1453"/>
      <c r="RSQ1453"/>
      <c r="RSR1453"/>
      <c r="RSS1453"/>
      <c r="RST1453"/>
      <c r="RSU1453"/>
      <c r="RSV1453"/>
      <c r="RSW1453"/>
      <c r="RSX1453"/>
      <c r="RSY1453"/>
      <c r="RSZ1453"/>
      <c r="RTA1453"/>
      <c r="RTB1453"/>
      <c r="RTC1453"/>
      <c r="RTD1453"/>
      <c r="RTE1453"/>
      <c r="RTF1453"/>
      <c r="RTG1453"/>
      <c r="RTH1453"/>
      <c r="RTI1453"/>
      <c r="RTJ1453"/>
      <c r="RTK1453"/>
      <c r="RTL1453"/>
      <c r="RTM1453"/>
      <c r="RTN1453"/>
      <c r="RTO1453"/>
      <c r="RTP1453"/>
      <c r="RTQ1453"/>
      <c r="RTR1453"/>
      <c r="RTS1453"/>
      <c r="RTT1453"/>
      <c r="RTU1453"/>
      <c r="RTV1453"/>
      <c r="RTW1453"/>
      <c r="RTX1453"/>
      <c r="RTY1453"/>
      <c r="RTZ1453"/>
      <c r="RUA1453"/>
      <c r="RUB1453"/>
      <c r="RUC1453"/>
      <c r="RUD1453"/>
      <c r="RUE1453"/>
      <c r="RUF1453"/>
      <c r="RUG1453"/>
      <c r="RUH1453"/>
      <c r="RUI1453"/>
      <c r="RUJ1453"/>
      <c r="RUK1453"/>
      <c r="RUL1453"/>
      <c r="RUM1453"/>
      <c r="RUN1453"/>
      <c r="RUO1453"/>
      <c r="RUP1453"/>
      <c r="RUQ1453"/>
      <c r="RUR1453"/>
      <c r="RUS1453"/>
      <c r="RUT1453"/>
      <c r="RUU1453"/>
      <c r="RUV1453"/>
      <c r="RUW1453"/>
      <c r="RUX1453"/>
      <c r="RUY1453"/>
      <c r="RUZ1453"/>
      <c r="RVA1453"/>
      <c r="RVB1453"/>
      <c r="RVC1453"/>
      <c r="RVD1453"/>
      <c r="RVE1453"/>
      <c r="RVF1453"/>
      <c r="RVG1453"/>
      <c r="RVH1453"/>
      <c r="RVI1453"/>
      <c r="RVJ1453"/>
      <c r="RVK1453"/>
      <c r="RVL1453"/>
      <c r="RVM1453"/>
      <c r="RVN1453"/>
      <c r="RVO1453"/>
      <c r="RVP1453"/>
      <c r="RVQ1453"/>
      <c r="RVR1453"/>
      <c r="RVS1453"/>
      <c r="RVT1453"/>
      <c r="RVU1453"/>
      <c r="RVV1453"/>
      <c r="RVW1453"/>
      <c r="RVX1453"/>
      <c r="RVY1453"/>
      <c r="RVZ1453"/>
      <c r="RWA1453"/>
      <c r="RWB1453"/>
      <c r="RWC1453"/>
      <c r="RWD1453"/>
      <c r="RWE1453"/>
      <c r="RWF1453"/>
      <c r="RWG1453"/>
      <c r="RWH1453"/>
      <c r="RWI1453"/>
      <c r="RWJ1453"/>
      <c r="RWK1453"/>
      <c r="RWL1453"/>
      <c r="RWM1453"/>
      <c r="RWN1453"/>
      <c r="RWO1453"/>
      <c r="RWP1453"/>
      <c r="RWQ1453"/>
      <c r="RWR1453"/>
      <c r="RWS1453"/>
      <c r="RWT1453"/>
      <c r="RWU1453"/>
      <c r="RWV1453"/>
      <c r="RWW1453"/>
      <c r="RWX1453"/>
      <c r="RWY1453"/>
      <c r="RWZ1453"/>
      <c r="RXA1453"/>
      <c r="RXB1453"/>
      <c r="RXC1453"/>
      <c r="RXD1453"/>
      <c r="RXE1453"/>
      <c r="RXF1453"/>
      <c r="RXG1453"/>
      <c r="RXH1453"/>
      <c r="RXI1453"/>
      <c r="RXJ1453"/>
      <c r="RXK1453"/>
      <c r="RXL1453"/>
      <c r="RXM1453"/>
      <c r="RXN1453"/>
      <c r="RXO1453"/>
      <c r="RXP1453"/>
      <c r="RXQ1453"/>
      <c r="RXR1453"/>
      <c r="RXS1453"/>
      <c r="RXT1453"/>
      <c r="RXU1453"/>
      <c r="RXV1453"/>
      <c r="RXW1453"/>
      <c r="RXX1453"/>
      <c r="RXY1453"/>
      <c r="RXZ1453"/>
      <c r="RYA1453"/>
      <c r="RYB1453"/>
      <c r="RYC1453"/>
      <c r="RYD1453"/>
      <c r="RYE1453"/>
      <c r="RYF1453"/>
      <c r="RYG1453"/>
      <c r="RYH1453"/>
      <c r="RYI1453"/>
      <c r="RYJ1453"/>
      <c r="RYK1453"/>
      <c r="RYL1453"/>
      <c r="RYM1453"/>
      <c r="RYN1453"/>
      <c r="RYO1453"/>
      <c r="RYP1453"/>
      <c r="RYQ1453"/>
      <c r="RYR1453"/>
      <c r="RYS1453"/>
      <c r="RYT1453"/>
      <c r="RYU1453"/>
      <c r="RYV1453"/>
      <c r="RYW1453"/>
      <c r="RYX1453"/>
      <c r="RYY1453"/>
      <c r="RYZ1453"/>
      <c r="RZA1453"/>
      <c r="RZB1453"/>
      <c r="RZC1453"/>
      <c r="RZD1453"/>
      <c r="RZE1453"/>
      <c r="RZF1453"/>
      <c r="RZG1453"/>
      <c r="RZH1453"/>
      <c r="RZI1453"/>
      <c r="RZJ1453"/>
      <c r="RZK1453"/>
      <c r="RZL1453"/>
      <c r="RZM1453"/>
      <c r="RZN1453"/>
      <c r="RZO1453"/>
      <c r="RZP1453"/>
      <c r="RZQ1453"/>
      <c r="RZR1453"/>
      <c r="RZS1453"/>
      <c r="RZT1453"/>
      <c r="RZU1453"/>
      <c r="RZV1453"/>
      <c r="RZW1453"/>
      <c r="RZX1453"/>
      <c r="RZY1453"/>
      <c r="RZZ1453"/>
      <c r="SAA1453"/>
      <c r="SAB1453"/>
      <c r="SAC1453"/>
      <c r="SAD1453"/>
      <c r="SAE1453"/>
      <c r="SAF1453"/>
      <c r="SAG1453"/>
      <c r="SAH1453"/>
      <c r="SAI1453"/>
      <c r="SAJ1453"/>
      <c r="SAK1453"/>
      <c r="SAL1453"/>
      <c r="SAM1453"/>
      <c r="SAN1453"/>
      <c r="SAO1453"/>
      <c r="SAP1453"/>
      <c r="SAQ1453"/>
      <c r="SAR1453"/>
      <c r="SAS1453"/>
      <c r="SAT1453"/>
      <c r="SAU1453"/>
      <c r="SAV1453"/>
      <c r="SAW1453"/>
      <c r="SAX1453"/>
      <c r="SAY1453"/>
      <c r="SAZ1453"/>
      <c r="SBA1453"/>
      <c r="SBB1453"/>
      <c r="SBC1453"/>
      <c r="SBD1453"/>
      <c r="SBE1453"/>
      <c r="SBF1453"/>
      <c r="SBG1453"/>
      <c r="SBH1453"/>
      <c r="SBI1453"/>
      <c r="SBJ1453"/>
      <c r="SBK1453"/>
      <c r="SBL1453"/>
      <c r="SBM1453"/>
      <c r="SBN1453"/>
      <c r="SBO1453"/>
      <c r="SBP1453"/>
      <c r="SBQ1453"/>
      <c r="SBR1453"/>
      <c r="SBS1453"/>
      <c r="SBT1453"/>
      <c r="SBU1453"/>
      <c r="SBV1453"/>
      <c r="SBW1453"/>
      <c r="SBX1453"/>
      <c r="SBY1453"/>
      <c r="SBZ1453"/>
      <c r="SCA1453"/>
      <c r="SCB1453"/>
      <c r="SCC1453"/>
      <c r="SCD1453"/>
      <c r="SCE1453"/>
      <c r="SCF1453"/>
      <c r="SCG1453"/>
      <c r="SCH1453"/>
      <c r="SCI1453"/>
      <c r="SCJ1453"/>
      <c r="SCK1453"/>
      <c r="SCL1453"/>
      <c r="SCM1453"/>
      <c r="SCN1453"/>
      <c r="SCO1453"/>
      <c r="SCP1453"/>
      <c r="SCQ1453"/>
      <c r="SCR1453"/>
      <c r="SCS1453"/>
      <c r="SCT1453"/>
      <c r="SCU1453"/>
      <c r="SCV1453"/>
      <c r="SCW1453"/>
      <c r="SCX1453"/>
      <c r="SCY1453"/>
      <c r="SCZ1453"/>
      <c r="SDA1453"/>
      <c r="SDB1453"/>
      <c r="SDC1453"/>
      <c r="SDD1453"/>
      <c r="SDE1453"/>
      <c r="SDF1453"/>
      <c r="SDG1453"/>
      <c r="SDH1453"/>
      <c r="SDI1453"/>
      <c r="SDJ1453"/>
      <c r="SDK1453"/>
      <c r="SDL1453"/>
      <c r="SDM1453"/>
      <c r="SDN1453"/>
      <c r="SDO1453"/>
      <c r="SDP1453"/>
      <c r="SDQ1453"/>
      <c r="SDR1453"/>
      <c r="SDS1453"/>
      <c r="SDT1453"/>
      <c r="SDU1453"/>
      <c r="SDV1453"/>
      <c r="SDW1453"/>
      <c r="SDX1453"/>
      <c r="SDY1453"/>
      <c r="SDZ1453"/>
      <c r="SEA1453"/>
      <c r="SEB1453"/>
      <c r="SEC1453"/>
      <c r="SED1453"/>
      <c r="SEE1453"/>
      <c r="SEF1453"/>
      <c r="SEG1453"/>
      <c r="SEH1453"/>
      <c r="SEI1453"/>
      <c r="SEJ1453"/>
      <c r="SEK1453"/>
      <c r="SEL1453"/>
      <c r="SEM1453"/>
      <c r="SEN1453"/>
      <c r="SEO1453"/>
      <c r="SEP1453"/>
      <c r="SEQ1453"/>
      <c r="SER1453"/>
      <c r="SES1453"/>
      <c r="SET1453"/>
      <c r="SEU1453"/>
      <c r="SEV1453"/>
      <c r="SEW1453"/>
      <c r="SEX1453"/>
      <c r="SEY1453"/>
      <c r="SEZ1453"/>
      <c r="SFA1453"/>
      <c r="SFB1453"/>
      <c r="SFC1453"/>
      <c r="SFD1453"/>
      <c r="SFE1453"/>
      <c r="SFF1453"/>
      <c r="SFG1453"/>
      <c r="SFH1453"/>
      <c r="SFI1453"/>
      <c r="SFJ1453"/>
      <c r="SFK1453"/>
      <c r="SFL1453"/>
      <c r="SFM1453"/>
      <c r="SFN1453"/>
      <c r="SFO1453"/>
      <c r="SFP1453"/>
      <c r="SFQ1453"/>
      <c r="SFR1453"/>
      <c r="SFS1453"/>
      <c r="SFT1453"/>
      <c r="SFU1453"/>
      <c r="SFV1453"/>
      <c r="SFW1453"/>
      <c r="SFX1453"/>
      <c r="SFY1453"/>
      <c r="SFZ1453"/>
      <c r="SGA1453"/>
      <c r="SGB1453"/>
      <c r="SGC1453"/>
      <c r="SGD1453"/>
      <c r="SGE1453"/>
      <c r="SGF1453"/>
      <c r="SGG1453"/>
      <c r="SGH1453"/>
      <c r="SGI1453"/>
      <c r="SGJ1453"/>
      <c r="SGK1453"/>
      <c r="SGL1453"/>
      <c r="SGM1453"/>
      <c r="SGN1453"/>
      <c r="SGO1453"/>
      <c r="SGP1453"/>
      <c r="SGQ1453"/>
      <c r="SGR1453"/>
      <c r="SGS1453"/>
      <c r="SGT1453"/>
      <c r="SGU1453"/>
      <c r="SGV1453"/>
      <c r="SGW1453"/>
      <c r="SGX1453"/>
      <c r="SGY1453"/>
      <c r="SGZ1453"/>
      <c r="SHA1453"/>
      <c r="SHB1453"/>
      <c r="SHC1453"/>
      <c r="SHD1453"/>
      <c r="SHE1453"/>
      <c r="SHF1453"/>
      <c r="SHG1453"/>
      <c r="SHH1453"/>
      <c r="SHI1453"/>
      <c r="SHJ1453"/>
      <c r="SHK1453"/>
      <c r="SHL1453"/>
      <c r="SHM1453"/>
      <c r="SHN1453"/>
      <c r="SHO1453"/>
      <c r="SHP1453"/>
      <c r="SHQ1453"/>
      <c r="SHR1453"/>
      <c r="SHS1453"/>
      <c r="SHT1453"/>
      <c r="SHU1453"/>
      <c r="SHV1453"/>
      <c r="SHW1453"/>
      <c r="SHX1453"/>
      <c r="SHY1453"/>
      <c r="SHZ1453"/>
      <c r="SIA1453"/>
      <c r="SIB1453"/>
      <c r="SIC1453"/>
      <c r="SID1453"/>
      <c r="SIE1453"/>
      <c r="SIF1453"/>
      <c r="SIG1453"/>
      <c r="SIH1453"/>
      <c r="SII1453"/>
      <c r="SIJ1453"/>
      <c r="SIK1453"/>
      <c r="SIL1453"/>
      <c r="SIM1453"/>
      <c r="SIN1453"/>
      <c r="SIO1453"/>
      <c r="SIP1453"/>
      <c r="SIQ1453"/>
      <c r="SIR1453"/>
      <c r="SIS1453"/>
      <c r="SIT1453"/>
      <c r="SIU1453"/>
      <c r="SIV1453"/>
      <c r="SIW1453"/>
      <c r="SIX1453"/>
      <c r="SIY1453"/>
      <c r="SIZ1453"/>
      <c r="SJA1453"/>
      <c r="SJB1453"/>
      <c r="SJC1453"/>
      <c r="SJD1453"/>
      <c r="SJE1453"/>
      <c r="SJF1453"/>
      <c r="SJG1453"/>
      <c r="SJH1453"/>
      <c r="SJI1453"/>
      <c r="SJJ1453"/>
      <c r="SJK1453"/>
      <c r="SJL1453"/>
      <c r="SJM1453"/>
      <c r="SJN1453"/>
      <c r="SJO1453"/>
      <c r="SJP1453"/>
      <c r="SJQ1453"/>
      <c r="SJR1453"/>
      <c r="SJS1453"/>
      <c r="SJT1453"/>
      <c r="SJU1453"/>
      <c r="SJV1453"/>
      <c r="SJW1453"/>
      <c r="SJX1453"/>
      <c r="SJY1453"/>
      <c r="SJZ1453"/>
      <c r="SKA1453"/>
      <c r="SKB1453"/>
      <c r="SKC1453"/>
      <c r="SKD1453"/>
      <c r="SKE1453"/>
      <c r="SKF1453"/>
      <c r="SKG1453"/>
      <c r="SKH1453"/>
      <c r="SKI1453"/>
      <c r="SKJ1453"/>
      <c r="SKK1453"/>
      <c r="SKL1453"/>
      <c r="SKM1453"/>
      <c r="SKN1453"/>
      <c r="SKO1453"/>
      <c r="SKP1453"/>
      <c r="SKQ1453"/>
      <c r="SKR1453"/>
      <c r="SKS1453"/>
      <c r="SKT1453"/>
      <c r="SKU1453"/>
      <c r="SKV1453"/>
      <c r="SKW1453"/>
      <c r="SKX1453"/>
      <c r="SKY1453"/>
      <c r="SKZ1453"/>
      <c r="SLA1453"/>
      <c r="SLB1453"/>
      <c r="SLC1453"/>
      <c r="SLD1453"/>
      <c r="SLE1453"/>
      <c r="SLF1453"/>
      <c r="SLG1453"/>
      <c r="SLH1453"/>
      <c r="SLI1453"/>
      <c r="SLJ1453"/>
      <c r="SLK1453"/>
      <c r="SLL1453"/>
      <c r="SLM1453"/>
      <c r="SLN1453"/>
      <c r="SLO1453"/>
      <c r="SLP1453"/>
      <c r="SLQ1453"/>
      <c r="SLR1453"/>
      <c r="SLS1453"/>
      <c r="SLT1453"/>
      <c r="SLU1453"/>
      <c r="SLV1453"/>
      <c r="SLW1453"/>
      <c r="SLX1453"/>
      <c r="SLY1453"/>
      <c r="SLZ1453"/>
      <c r="SMA1453"/>
      <c r="SMB1453"/>
      <c r="SMC1453"/>
      <c r="SMD1453"/>
      <c r="SME1453"/>
      <c r="SMF1453"/>
      <c r="SMG1453"/>
      <c r="SMH1453"/>
      <c r="SMI1453"/>
      <c r="SMJ1453"/>
      <c r="SMK1453"/>
      <c r="SML1453"/>
      <c r="SMM1453"/>
      <c r="SMN1453"/>
      <c r="SMO1453"/>
      <c r="SMP1453"/>
      <c r="SMQ1453"/>
      <c r="SMR1453"/>
      <c r="SMS1453"/>
      <c r="SMT1453"/>
      <c r="SMU1453"/>
      <c r="SMV1453"/>
      <c r="SMW1453"/>
      <c r="SMX1453"/>
      <c r="SMY1453"/>
      <c r="SMZ1453"/>
      <c r="SNA1453"/>
      <c r="SNB1453"/>
      <c r="SNC1453"/>
      <c r="SND1453"/>
      <c r="SNE1453"/>
      <c r="SNF1453"/>
      <c r="SNG1453"/>
      <c r="SNH1453"/>
      <c r="SNI1453"/>
      <c r="SNJ1453"/>
      <c r="SNK1453"/>
      <c r="SNL1453"/>
      <c r="SNM1453"/>
      <c r="SNN1453"/>
      <c r="SNO1453"/>
      <c r="SNP1453"/>
      <c r="SNQ1453"/>
      <c r="SNR1453"/>
      <c r="SNS1453"/>
      <c r="SNT1453"/>
      <c r="SNU1453"/>
      <c r="SNV1453"/>
      <c r="SNW1453"/>
      <c r="SNX1453"/>
      <c r="SNY1453"/>
      <c r="SNZ1453"/>
      <c r="SOA1453"/>
      <c r="SOB1453"/>
      <c r="SOC1453"/>
      <c r="SOD1453"/>
      <c r="SOE1453"/>
      <c r="SOF1453"/>
      <c r="SOG1453"/>
      <c r="SOH1453"/>
      <c r="SOI1453"/>
      <c r="SOJ1453"/>
      <c r="SOK1453"/>
      <c r="SOL1453"/>
      <c r="SOM1453"/>
      <c r="SON1453"/>
      <c r="SOO1453"/>
      <c r="SOP1453"/>
      <c r="SOQ1453"/>
      <c r="SOR1453"/>
      <c r="SOS1453"/>
      <c r="SOT1453"/>
      <c r="SOU1453"/>
      <c r="SOV1453"/>
      <c r="SOW1453"/>
      <c r="SOX1453"/>
      <c r="SOY1453"/>
      <c r="SOZ1453"/>
      <c r="SPA1453"/>
      <c r="SPB1453"/>
      <c r="SPC1453"/>
      <c r="SPD1453"/>
      <c r="SPE1453"/>
      <c r="SPF1453"/>
      <c r="SPG1453"/>
      <c r="SPH1453"/>
      <c r="SPI1453"/>
      <c r="SPJ1453"/>
      <c r="SPK1453"/>
      <c r="SPL1453"/>
      <c r="SPM1453"/>
      <c r="SPN1453"/>
      <c r="SPO1453"/>
      <c r="SPP1453"/>
      <c r="SPQ1453"/>
      <c r="SPR1453"/>
      <c r="SPS1453"/>
      <c r="SPT1453"/>
      <c r="SPU1453"/>
      <c r="SPV1453"/>
      <c r="SPW1453"/>
      <c r="SPX1453"/>
      <c r="SPY1453"/>
      <c r="SPZ1453"/>
      <c r="SQA1453"/>
      <c r="SQB1453"/>
      <c r="SQC1453"/>
      <c r="SQD1453"/>
      <c r="SQE1453"/>
      <c r="SQF1453"/>
      <c r="SQG1453"/>
      <c r="SQH1453"/>
      <c r="SQI1453"/>
      <c r="SQJ1453"/>
      <c r="SQK1453"/>
      <c r="SQL1453"/>
      <c r="SQM1453"/>
      <c r="SQN1453"/>
      <c r="SQO1453"/>
      <c r="SQP1453"/>
      <c r="SQQ1453"/>
      <c r="SQR1453"/>
      <c r="SQS1453"/>
      <c r="SQT1453"/>
      <c r="SQU1453"/>
      <c r="SQV1453"/>
      <c r="SQW1453"/>
      <c r="SQX1453"/>
      <c r="SQY1453"/>
      <c r="SQZ1453"/>
      <c r="SRA1453"/>
      <c r="SRB1453"/>
      <c r="SRC1453"/>
      <c r="SRD1453"/>
      <c r="SRE1453"/>
      <c r="SRF1453"/>
      <c r="SRG1453"/>
      <c r="SRH1453"/>
      <c r="SRI1453"/>
      <c r="SRJ1453"/>
      <c r="SRK1453"/>
      <c r="SRL1453"/>
      <c r="SRM1453"/>
      <c r="SRN1453"/>
      <c r="SRO1453"/>
      <c r="SRP1453"/>
      <c r="SRQ1453"/>
      <c r="SRR1453"/>
      <c r="SRS1453"/>
      <c r="SRT1453"/>
      <c r="SRU1453"/>
      <c r="SRV1453"/>
      <c r="SRW1453"/>
      <c r="SRX1453"/>
      <c r="SRY1453"/>
      <c r="SRZ1453"/>
      <c r="SSA1453"/>
      <c r="SSB1453"/>
      <c r="SSC1453"/>
      <c r="SSD1453"/>
      <c r="SSE1453"/>
      <c r="SSF1453"/>
      <c r="SSG1453"/>
      <c r="SSH1453"/>
      <c r="SSI1453"/>
      <c r="SSJ1453"/>
      <c r="SSK1453"/>
      <c r="SSL1453"/>
      <c r="SSM1453"/>
      <c r="SSN1453"/>
      <c r="SSO1453"/>
      <c r="SSP1453"/>
      <c r="SSQ1453"/>
      <c r="SSR1453"/>
      <c r="SSS1453"/>
      <c r="SST1453"/>
      <c r="SSU1453"/>
      <c r="SSV1453"/>
      <c r="SSW1453"/>
      <c r="SSX1453"/>
      <c r="SSY1453"/>
      <c r="SSZ1453"/>
      <c r="STA1453"/>
      <c r="STB1453"/>
      <c r="STC1453"/>
      <c r="STD1453"/>
      <c r="STE1453"/>
      <c r="STF1453"/>
      <c r="STG1453"/>
      <c r="STH1453"/>
      <c r="STI1453"/>
      <c r="STJ1453"/>
      <c r="STK1453"/>
      <c r="STL1453"/>
      <c r="STM1453"/>
      <c r="STN1453"/>
      <c r="STO1453"/>
      <c r="STP1453"/>
      <c r="STQ1453"/>
      <c r="STR1453"/>
      <c r="STS1453"/>
      <c r="STT1453"/>
      <c r="STU1453"/>
      <c r="STV1453"/>
      <c r="STW1453"/>
      <c r="STX1453"/>
      <c r="STY1453"/>
      <c r="STZ1453"/>
      <c r="SUA1453"/>
      <c r="SUB1453"/>
      <c r="SUC1453"/>
      <c r="SUD1453"/>
      <c r="SUE1453"/>
      <c r="SUF1453"/>
      <c r="SUG1453"/>
      <c r="SUH1453"/>
      <c r="SUI1453"/>
      <c r="SUJ1453"/>
      <c r="SUK1453"/>
      <c r="SUL1453"/>
      <c r="SUM1453"/>
      <c r="SUN1453"/>
      <c r="SUO1453"/>
      <c r="SUP1453"/>
      <c r="SUQ1453"/>
      <c r="SUR1453"/>
      <c r="SUS1453"/>
      <c r="SUT1453"/>
      <c r="SUU1453"/>
      <c r="SUV1453"/>
      <c r="SUW1453"/>
      <c r="SUX1453"/>
      <c r="SUY1453"/>
      <c r="SUZ1453"/>
      <c r="SVA1453"/>
      <c r="SVB1453"/>
      <c r="SVC1453"/>
      <c r="SVD1453"/>
      <c r="SVE1453"/>
      <c r="SVF1453"/>
      <c r="SVG1453"/>
      <c r="SVH1453"/>
      <c r="SVI1453"/>
      <c r="SVJ1453"/>
      <c r="SVK1453"/>
      <c r="SVL1453"/>
      <c r="SVM1453"/>
      <c r="SVN1453"/>
      <c r="SVO1453"/>
      <c r="SVP1453"/>
      <c r="SVQ1453"/>
      <c r="SVR1453"/>
      <c r="SVS1453"/>
      <c r="SVT1453"/>
      <c r="SVU1453"/>
      <c r="SVV1453"/>
      <c r="SVW1453"/>
      <c r="SVX1453"/>
      <c r="SVY1453"/>
      <c r="SVZ1453"/>
      <c r="SWA1453"/>
      <c r="SWB1453"/>
      <c r="SWC1453"/>
      <c r="SWD1453"/>
      <c r="SWE1453"/>
      <c r="SWF1453"/>
      <c r="SWG1453"/>
      <c r="SWH1453"/>
      <c r="SWI1453"/>
      <c r="SWJ1453"/>
      <c r="SWK1453"/>
      <c r="SWL1453"/>
      <c r="SWM1453"/>
      <c r="SWN1453"/>
      <c r="SWO1453"/>
      <c r="SWP1453"/>
      <c r="SWQ1453"/>
      <c r="SWR1453"/>
      <c r="SWS1453"/>
      <c r="SWT1453"/>
      <c r="SWU1453"/>
      <c r="SWV1453"/>
      <c r="SWW1453"/>
      <c r="SWX1453"/>
      <c r="SWY1453"/>
      <c r="SWZ1453"/>
      <c r="SXA1453"/>
      <c r="SXB1453"/>
      <c r="SXC1453"/>
      <c r="SXD1453"/>
      <c r="SXE1453"/>
      <c r="SXF1453"/>
      <c r="SXG1453"/>
      <c r="SXH1453"/>
      <c r="SXI1453"/>
      <c r="SXJ1453"/>
      <c r="SXK1453"/>
      <c r="SXL1453"/>
      <c r="SXM1453"/>
      <c r="SXN1453"/>
      <c r="SXO1453"/>
      <c r="SXP1453"/>
      <c r="SXQ1453"/>
      <c r="SXR1453"/>
      <c r="SXS1453"/>
      <c r="SXT1453"/>
      <c r="SXU1453"/>
      <c r="SXV1453"/>
      <c r="SXW1453"/>
      <c r="SXX1453"/>
      <c r="SXY1453"/>
      <c r="SXZ1453"/>
      <c r="SYA1453"/>
      <c r="SYB1453"/>
      <c r="SYC1453"/>
      <c r="SYD1453"/>
      <c r="SYE1453"/>
      <c r="SYF1453"/>
      <c r="SYG1453"/>
      <c r="SYH1453"/>
      <c r="SYI1453"/>
      <c r="SYJ1453"/>
      <c r="SYK1453"/>
      <c r="SYL1453"/>
      <c r="SYM1453"/>
      <c r="SYN1453"/>
      <c r="SYO1453"/>
      <c r="SYP1453"/>
      <c r="SYQ1453"/>
      <c r="SYR1453"/>
      <c r="SYS1453"/>
      <c r="SYT1453"/>
      <c r="SYU1453"/>
      <c r="SYV1453"/>
      <c r="SYW1453"/>
      <c r="SYX1453"/>
      <c r="SYY1453"/>
      <c r="SYZ1453"/>
      <c r="SZA1453"/>
      <c r="SZB1453"/>
      <c r="SZC1453"/>
      <c r="SZD1453"/>
      <c r="SZE1453"/>
      <c r="SZF1453"/>
      <c r="SZG1453"/>
      <c r="SZH1453"/>
      <c r="SZI1453"/>
      <c r="SZJ1453"/>
      <c r="SZK1453"/>
      <c r="SZL1453"/>
      <c r="SZM1453"/>
      <c r="SZN1453"/>
      <c r="SZO1453"/>
      <c r="SZP1453"/>
      <c r="SZQ1453"/>
      <c r="SZR1453"/>
      <c r="SZS1453"/>
      <c r="SZT1453"/>
      <c r="SZU1453"/>
      <c r="SZV1453"/>
      <c r="SZW1453"/>
      <c r="SZX1453"/>
      <c r="SZY1453"/>
      <c r="SZZ1453"/>
      <c r="TAA1453"/>
      <c r="TAB1453"/>
      <c r="TAC1453"/>
      <c r="TAD1453"/>
      <c r="TAE1453"/>
      <c r="TAF1453"/>
      <c r="TAG1453"/>
      <c r="TAH1453"/>
      <c r="TAI1453"/>
      <c r="TAJ1453"/>
      <c r="TAK1453"/>
      <c r="TAL1453"/>
      <c r="TAM1453"/>
      <c r="TAN1453"/>
      <c r="TAO1453"/>
      <c r="TAP1453"/>
      <c r="TAQ1453"/>
      <c r="TAR1453"/>
      <c r="TAS1453"/>
      <c r="TAT1453"/>
      <c r="TAU1453"/>
      <c r="TAV1453"/>
      <c r="TAW1453"/>
      <c r="TAX1453"/>
      <c r="TAY1453"/>
      <c r="TAZ1453"/>
      <c r="TBA1453"/>
      <c r="TBB1453"/>
      <c r="TBC1453"/>
      <c r="TBD1453"/>
      <c r="TBE1453"/>
      <c r="TBF1453"/>
      <c r="TBG1453"/>
      <c r="TBH1453"/>
      <c r="TBI1453"/>
      <c r="TBJ1453"/>
      <c r="TBK1453"/>
      <c r="TBL1453"/>
      <c r="TBM1453"/>
      <c r="TBN1453"/>
      <c r="TBO1453"/>
      <c r="TBP1453"/>
      <c r="TBQ1453"/>
      <c r="TBR1453"/>
      <c r="TBS1453"/>
      <c r="TBT1453"/>
      <c r="TBU1453"/>
      <c r="TBV1453"/>
      <c r="TBW1453"/>
      <c r="TBX1453"/>
      <c r="TBY1453"/>
      <c r="TBZ1453"/>
      <c r="TCA1453"/>
      <c r="TCB1453"/>
      <c r="TCC1453"/>
      <c r="TCD1453"/>
      <c r="TCE1453"/>
      <c r="TCF1453"/>
      <c r="TCG1453"/>
      <c r="TCH1453"/>
      <c r="TCI1453"/>
      <c r="TCJ1453"/>
      <c r="TCK1453"/>
      <c r="TCL1453"/>
      <c r="TCM1453"/>
      <c r="TCN1453"/>
      <c r="TCO1453"/>
      <c r="TCP1453"/>
      <c r="TCQ1453"/>
      <c r="TCR1453"/>
      <c r="TCS1453"/>
      <c r="TCT1453"/>
      <c r="TCU1453"/>
      <c r="TCV1453"/>
      <c r="TCW1453"/>
      <c r="TCX1453"/>
      <c r="TCY1453"/>
      <c r="TCZ1453"/>
      <c r="TDA1453"/>
      <c r="TDB1453"/>
      <c r="TDC1453"/>
      <c r="TDD1453"/>
      <c r="TDE1453"/>
      <c r="TDF1453"/>
      <c r="TDG1453"/>
      <c r="TDH1453"/>
      <c r="TDI1453"/>
      <c r="TDJ1453"/>
      <c r="TDK1453"/>
      <c r="TDL1453"/>
      <c r="TDM1453"/>
      <c r="TDN1453"/>
      <c r="TDO1453"/>
      <c r="TDP1453"/>
      <c r="TDQ1453"/>
      <c r="TDR1453"/>
      <c r="TDS1453"/>
      <c r="TDT1453"/>
      <c r="TDU1453"/>
      <c r="TDV1453"/>
      <c r="TDW1453"/>
      <c r="TDX1453"/>
      <c r="TDY1453"/>
      <c r="TDZ1453"/>
      <c r="TEA1453"/>
      <c r="TEB1453"/>
      <c r="TEC1453"/>
      <c r="TED1453"/>
      <c r="TEE1453"/>
      <c r="TEF1453"/>
      <c r="TEG1453"/>
      <c r="TEH1453"/>
      <c r="TEI1453"/>
      <c r="TEJ1453"/>
      <c r="TEK1453"/>
      <c r="TEL1453"/>
      <c r="TEM1453"/>
      <c r="TEN1453"/>
      <c r="TEO1453"/>
      <c r="TEP1453"/>
      <c r="TEQ1453"/>
      <c r="TER1453"/>
      <c r="TES1453"/>
      <c r="TET1453"/>
      <c r="TEU1453"/>
      <c r="TEV1453"/>
      <c r="TEW1453"/>
      <c r="TEX1453"/>
      <c r="TEY1453"/>
      <c r="TEZ1453"/>
      <c r="TFA1453"/>
      <c r="TFB1453"/>
      <c r="TFC1453"/>
      <c r="TFD1453"/>
      <c r="TFE1453"/>
      <c r="TFF1453"/>
      <c r="TFG1453"/>
      <c r="TFH1453"/>
      <c r="TFI1453"/>
      <c r="TFJ1453"/>
      <c r="TFK1453"/>
      <c r="TFL1453"/>
      <c r="TFM1453"/>
      <c r="TFN1453"/>
      <c r="TFO1453"/>
      <c r="TFP1453"/>
      <c r="TFQ1453"/>
      <c r="TFR1453"/>
      <c r="TFS1453"/>
      <c r="TFT1453"/>
      <c r="TFU1453"/>
      <c r="TFV1453"/>
      <c r="TFW1453"/>
      <c r="TFX1453"/>
      <c r="TFY1453"/>
      <c r="TFZ1453"/>
      <c r="TGA1453"/>
      <c r="TGB1453"/>
      <c r="TGC1453"/>
      <c r="TGD1453"/>
      <c r="TGE1453"/>
      <c r="TGF1453"/>
      <c r="TGG1453"/>
      <c r="TGH1453"/>
      <c r="TGI1453"/>
      <c r="TGJ1453"/>
      <c r="TGK1453"/>
      <c r="TGL1453"/>
      <c r="TGM1453"/>
      <c r="TGN1453"/>
      <c r="TGO1453"/>
      <c r="TGP1453"/>
      <c r="TGQ1453"/>
      <c r="TGR1453"/>
      <c r="TGS1453"/>
      <c r="TGT1453"/>
      <c r="TGU1453"/>
      <c r="TGV1453"/>
      <c r="TGW1453"/>
      <c r="TGX1453"/>
      <c r="TGY1453"/>
      <c r="TGZ1453"/>
      <c r="THA1453"/>
      <c r="THB1453"/>
      <c r="THC1453"/>
      <c r="THD1453"/>
      <c r="THE1453"/>
      <c r="THF1453"/>
      <c r="THG1453"/>
      <c r="THH1453"/>
      <c r="THI1453"/>
      <c r="THJ1453"/>
      <c r="THK1453"/>
      <c r="THL1453"/>
      <c r="THM1453"/>
      <c r="THN1453"/>
      <c r="THO1453"/>
      <c r="THP1453"/>
      <c r="THQ1453"/>
      <c r="THR1453"/>
      <c r="THS1453"/>
      <c r="THT1453"/>
      <c r="THU1453"/>
      <c r="THV1453"/>
      <c r="THW1453"/>
      <c r="THX1453"/>
      <c r="THY1453"/>
      <c r="THZ1453"/>
      <c r="TIA1453"/>
      <c r="TIB1453"/>
      <c r="TIC1453"/>
      <c r="TID1453"/>
      <c r="TIE1453"/>
      <c r="TIF1453"/>
      <c r="TIG1453"/>
      <c r="TIH1453"/>
      <c r="TII1453"/>
      <c r="TIJ1453"/>
      <c r="TIK1453"/>
      <c r="TIL1453"/>
      <c r="TIM1453"/>
      <c r="TIN1453"/>
      <c r="TIO1453"/>
      <c r="TIP1453"/>
      <c r="TIQ1453"/>
      <c r="TIR1453"/>
      <c r="TIS1453"/>
      <c r="TIT1453"/>
      <c r="TIU1453"/>
      <c r="TIV1453"/>
      <c r="TIW1453"/>
      <c r="TIX1453"/>
      <c r="TIY1453"/>
      <c r="TIZ1453"/>
      <c r="TJA1453"/>
      <c r="TJB1453"/>
      <c r="TJC1453"/>
      <c r="TJD1453"/>
      <c r="TJE1453"/>
      <c r="TJF1453"/>
      <c r="TJG1453"/>
      <c r="TJH1453"/>
      <c r="TJI1453"/>
      <c r="TJJ1453"/>
      <c r="TJK1453"/>
      <c r="TJL1453"/>
      <c r="TJM1453"/>
      <c r="TJN1453"/>
      <c r="TJO1453"/>
      <c r="TJP1453"/>
      <c r="TJQ1453"/>
      <c r="TJR1453"/>
      <c r="TJS1453"/>
      <c r="TJT1453"/>
      <c r="TJU1453"/>
      <c r="TJV1453"/>
      <c r="TJW1453"/>
      <c r="TJX1453"/>
      <c r="TJY1453"/>
      <c r="TJZ1453"/>
      <c r="TKA1453"/>
      <c r="TKB1453"/>
      <c r="TKC1453"/>
      <c r="TKD1453"/>
      <c r="TKE1453"/>
      <c r="TKF1453"/>
      <c r="TKG1453"/>
      <c r="TKH1453"/>
      <c r="TKI1453"/>
      <c r="TKJ1453"/>
      <c r="TKK1453"/>
      <c r="TKL1453"/>
      <c r="TKM1453"/>
      <c r="TKN1453"/>
      <c r="TKO1453"/>
      <c r="TKP1453"/>
      <c r="TKQ1453"/>
      <c r="TKR1453"/>
      <c r="TKS1453"/>
      <c r="TKT1453"/>
      <c r="TKU1453"/>
      <c r="TKV1453"/>
      <c r="TKW1453"/>
      <c r="TKX1453"/>
      <c r="TKY1453"/>
      <c r="TKZ1453"/>
      <c r="TLA1453"/>
      <c r="TLB1453"/>
      <c r="TLC1453"/>
      <c r="TLD1453"/>
      <c r="TLE1453"/>
      <c r="TLF1453"/>
      <c r="TLG1453"/>
      <c r="TLH1453"/>
      <c r="TLI1453"/>
      <c r="TLJ1453"/>
      <c r="TLK1453"/>
      <c r="TLL1453"/>
      <c r="TLM1453"/>
      <c r="TLN1453"/>
      <c r="TLO1453"/>
      <c r="TLP1453"/>
      <c r="TLQ1453"/>
      <c r="TLR1453"/>
      <c r="TLS1453"/>
      <c r="TLT1453"/>
      <c r="TLU1453"/>
      <c r="TLV1453"/>
      <c r="TLW1453"/>
      <c r="TLX1453"/>
      <c r="TLY1453"/>
      <c r="TLZ1453"/>
      <c r="TMA1453"/>
      <c r="TMB1453"/>
      <c r="TMC1453"/>
      <c r="TMD1453"/>
      <c r="TME1453"/>
      <c r="TMF1453"/>
      <c r="TMG1453"/>
      <c r="TMH1453"/>
      <c r="TMI1453"/>
      <c r="TMJ1453"/>
      <c r="TMK1453"/>
      <c r="TML1453"/>
      <c r="TMM1453"/>
      <c r="TMN1453"/>
      <c r="TMO1453"/>
      <c r="TMP1453"/>
      <c r="TMQ1453"/>
      <c r="TMR1453"/>
      <c r="TMS1453"/>
      <c r="TMT1453"/>
      <c r="TMU1453"/>
      <c r="TMV1453"/>
      <c r="TMW1453"/>
      <c r="TMX1453"/>
      <c r="TMY1453"/>
      <c r="TMZ1453"/>
      <c r="TNA1453"/>
      <c r="TNB1453"/>
      <c r="TNC1453"/>
      <c r="TND1453"/>
      <c r="TNE1453"/>
      <c r="TNF1453"/>
      <c r="TNG1453"/>
      <c r="TNH1453"/>
      <c r="TNI1453"/>
      <c r="TNJ1453"/>
      <c r="TNK1453"/>
      <c r="TNL1453"/>
      <c r="TNM1453"/>
      <c r="TNN1453"/>
      <c r="TNO1453"/>
      <c r="TNP1453"/>
      <c r="TNQ1453"/>
      <c r="TNR1453"/>
      <c r="TNS1453"/>
      <c r="TNT1453"/>
      <c r="TNU1453"/>
      <c r="TNV1453"/>
      <c r="TNW1453"/>
      <c r="TNX1453"/>
      <c r="TNY1453"/>
      <c r="TNZ1453"/>
      <c r="TOA1453"/>
      <c r="TOB1453"/>
      <c r="TOC1453"/>
      <c r="TOD1453"/>
      <c r="TOE1453"/>
      <c r="TOF1453"/>
      <c r="TOG1453"/>
      <c r="TOH1453"/>
      <c r="TOI1453"/>
      <c r="TOJ1453"/>
      <c r="TOK1453"/>
      <c r="TOL1453"/>
      <c r="TOM1453"/>
      <c r="TON1453"/>
      <c r="TOO1453"/>
      <c r="TOP1453"/>
      <c r="TOQ1453"/>
      <c r="TOR1453"/>
      <c r="TOS1453"/>
      <c r="TOT1453"/>
      <c r="TOU1453"/>
      <c r="TOV1453"/>
      <c r="TOW1453"/>
      <c r="TOX1453"/>
      <c r="TOY1453"/>
      <c r="TOZ1453"/>
      <c r="TPA1453"/>
      <c r="TPB1453"/>
      <c r="TPC1453"/>
      <c r="TPD1453"/>
      <c r="TPE1453"/>
      <c r="TPF1453"/>
      <c r="TPG1453"/>
      <c r="TPH1453"/>
      <c r="TPI1453"/>
      <c r="TPJ1453"/>
      <c r="TPK1453"/>
      <c r="TPL1453"/>
      <c r="TPM1453"/>
      <c r="TPN1453"/>
      <c r="TPO1453"/>
      <c r="TPP1453"/>
      <c r="TPQ1453"/>
      <c r="TPR1453"/>
      <c r="TPS1453"/>
      <c r="TPT1453"/>
      <c r="TPU1453"/>
      <c r="TPV1453"/>
      <c r="TPW1453"/>
      <c r="TPX1453"/>
      <c r="TPY1453"/>
      <c r="TPZ1453"/>
      <c r="TQA1453"/>
      <c r="TQB1453"/>
      <c r="TQC1453"/>
      <c r="TQD1453"/>
      <c r="TQE1453"/>
      <c r="TQF1453"/>
      <c r="TQG1453"/>
      <c r="TQH1453"/>
      <c r="TQI1453"/>
      <c r="TQJ1453"/>
      <c r="TQK1453"/>
      <c r="TQL1453"/>
      <c r="TQM1453"/>
      <c r="TQN1453"/>
      <c r="TQO1453"/>
      <c r="TQP1453"/>
      <c r="TQQ1453"/>
      <c r="TQR1453"/>
      <c r="TQS1453"/>
      <c r="TQT1453"/>
      <c r="TQU1453"/>
      <c r="TQV1453"/>
      <c r="TQW1453"/>
      <c r="TQX1453"/>
      <c r="TQY1453"/>
      <c r="TQZ1453"/>
      <c r="TRA1453"/>
      <c r="TRB1453"/>
      <c r="TRC1453"/>
      <c r="TRD1453"/>
      <c r="TRE1453"/>
      <c r="TRF1453"/>
      <c r="TRG1453"/>
      <c r="TRH1453"/>
      <c r="TRI1453"/>
      <c r="TRJ1453"/>
      <c r="TRK1453"/>
      <c r="TRL1453"/>
      <c r="TRM1453"/>
      <c r="TRN1453"/>
      <c r="TRO1453"/>
      <c r="TRP1453"/>
      <c r="TRQ1453"/>
      <c r="TRR1453"/>
      <c r="TRS1453"/>
      <c r="TRT1453"/>
      <c r="TRU1453"/>
      <c r="TRV1453"/>
      <c r="TRW1453"/>
      <c r="TRX1453"/>
      <c r="TRY1453"/>
      <c r="TRZ1453"/>
      <c r="TSA1453"/>
      <c r="TSB1453"/>
      <c r="TSC1453"/>
      <c r="TSD1453"/>
      <c r="TSE1453"/>
      <c r="TSF1453"/>
      <c r="TSG1453"/>
      <c r="TSH1453"/>
      <c r="TSI1453"/>
      <c r="TSJ1453"/>
      <c r="TSK1453"/>
      <c r="TSL1453"/>
      <c r="TSM1453"/>
      <c r="TSN1453"/>
      <c r="TSO1453"/>
      <c r="TSP1453"/>
      <c r="TSQ1453"/>
      <c r="TSR1453"/>
      <c r="TSS1453"/>
      <c r="TST1453"/>
      <c r="TSU1453"/>
      <c r="TSV1453"/>
      <c r="TSW1453"/>
      <c r="TSX1453"/>
      <c r="TSY1453"/>
      <c r="TSZ1453"/>
      <c r="TTA1453"/>
      <c r="TTB1453"/>
      <c r="TTC1453"/>
      <c r="TTD1453"/>
      <c r="TTE1453"/>
      <c r="TTF1453"/>
      <c r="TTG1453"/>
      <c r="TTH1453"/>
      <c r="TTI1453"/>
      <c r="TTJ1453"/>
      <c r="TTK1453"/>
      <c r="TTL1453"/>
      <c r="TTM1453"/>
      <c r="TTN1453"/>
      <c r="TTO1453"/>
      <c r="TTP1453"/>
      <c r="TTQ1453"/>
      <c r="TTR1453"/>
      <c r="TTS1453"/>
      <c r="TTT1453"/>
      <c r="TTU1453"/>
      <c r="TTV1453"/>
      <c r="TTW1453"/>
      <c r="TTX1453"/>
      <c r="TTY1453"/>
      <c r="TTZ1453"/>
      <c r="TUA1453"/>
      <c r="TUB1453"/>
      <c r="TUC1453"/>
      <c r="TUD1453"/>
      <c r="TUE1453"/>
      <c r="TUF1453"/>
      <c r="TUG1453"/>
      <c r="TUH1453"/>
      <c r="TUI1453"/>
      <c r="TUJ1453"/>
      <c r="TUK1453"/>
      <c r="TUL1453"/>
      <c r="TUM1453"/>
      <c r="TUN1453"/>
      <c r="TUO1453"/>
      <c r="TUP1453"/>
      <c r="TUQ1453"/>
      <c r="TUR1453"/>
      <c r="TUS1453"/>
      <c r="TUT1453"/>
      <c r="TUU1453"/>
      <c r="TUV1453"/>
      <c r="TUW1453"/>
      <c r="TUX1453"/>
      <c r="TUY1453"/>
      <c r="TUZ1453"/>
      <c r="TVA1453"/>
      <c r="TVB1453"/>
      <c r="TVC1453"/>
      <c r="TVD1453"/>
      <c r="TVE1453"/>
      <c r="TVF1453"/>
      <c r="TVG1453"/>
      <c r="TVH1453"/>
      <c r="TVI1453"/>
      <c r="TVJ1453"/>
      <c r="TVK1453"/>
      <c r="TVL1453"/>
      <c r="TVM1453"/>
      <c r="TVN1453"/>
      <c r="TVO1453"/>
      <c r="TVP1453"/>
      <c r="TVQ1453"/>
      <c r="TVR1453"/>
      <c r="TVS1453"/>
      <c r="TVT1453"/>
      <c r="TVU1453"/>
      <c r="TVV1453"/>
      <c r="TVW1453"/>
      <c r="TVX1453"/>
      <c r="TVY1453"/>
      <c r="TVZ1453"/>
      <c r="TWA1453"/>
      <c r="TWB1453"/>
      <c r="TWC1453"/>
      <c r="TWD1453"/>
      <c r="TWE1453"/>
      <c r="TWF1453"/>
      <c r="TWG1453"/>
      <c r="TWH1453"/>
      <c r="TWI1453"/>
      <c r="TWJ1453"/>
      <c r="TWK1453"/>
      <c r="TWL1453"/>
      <c r="TWM1453"/>
      <c r="TWN1453"/>
      <c r="TWO1453"/>
      <c r="TWP1453"/>
      <c r="TWQ1453"/>
      <c r="TWR1453"/>
      <c r="TWS1453"/>
      <c r="TWT1453"/>
      <c r="TWU1453"/>
      <c r="TWV1453"/>
      <c r="TWW1453"/>
      <c r="TWX1453"/>
      <c r="TWY1453"/>
      <c r="TWZ1453"/>
      <c r="TXA1453"/>
      <c r="TXB1453"/>
      <c r="TXC1453"/>
      <c r="TXD1453"/>
      <c r="TXE1453"/>
      <c r="TXF1453"/>
      <c r="TXG1453"/>
      <c r="TXH1453"/>
      <c r="TXI1453"/>
      <c r="TXJ1453"/>
      <c r="TXK1453"/>
      <c r="TXL1453"/>
      <c r="TXM1453"/>
      <c r="TXN1453"/>
      <c r="TXO1453"/>
      <c r="TXP1453"/>
      <c r="TXQ1453"/>
      <c r="TXR1453"/>
      <c r="TXS1453"/>
      <c r="TXT1453"/>
      <c r="TXU1453"/>
      <c r="TXV1453"/>
      <c r="TXW1453"/>
      <c r="TXX1453"/>
      <c r="TXY1453"/>
      <c r="TXZ1453"/>
      <c r="TYA1453"/>
      <c r="TYB1453"/>
      <c r="TYC1453"/>
      <c r="TYD1453"/>
      <c r="TYE1453"/>
      <c r="TYF1453"/>
      <c r="TYG1453"/>
      <c r="TYH1453"/>
      <c r="TYI1453"/>
      <c r="TYJ1453"/>
      <c r="TYK1453"/>
      <c r="TYL1453"/>
      <c r="TYM1453"/>
      <c r="TYN1453"/>
      <c r="TYO1453"/>
      <c r="TYP1453"/>
      <c r="TYQ1453"/>
      <c r="TYR1453"/>
      <c r="TYS1453"/>
      <c r="TYT1453"/>
      <c r="TYU1453"/>
      <c r="TYV1453"/>
      <c r="TYW1453"/>
      <c r="TYX1453"/>
      <c r="TYY1453"/>
      <c r="TYZ1453"/>
      <c r="TZA1453"/>
      <c r="TZB1453"/>
      <c r="TZC1453"/>
      <c r="TZD1453"/>
      <c r="TZE1453"/>
      <c r="TZF1453"/>
      <c r="TZG1453"/>
      <c r="TZH1453"/>
      <c r="TZI1453"/>
      <c r="TZJ1453"/>
      <c r="TZK1453"/>
      <c r="TZL1453"/>
      <c r="TZM1453"/>
      <c r="TZN1453"/>
      <c r="TZO1453"/>
      <c r="TZP1453"/>
      <c r="TZQ1453"/>
      <c r="TZR1453"/>
      <c r="TZS1453"/>
      <c r="TZT1453"/>
      <c r="TZU1453"/>
      <c r="TZV1453"/>
      <c r="TZW1453"/>
      <c r="TZX1453"/>
      <c r="TZY1453"/>
      <c r="TZZ1453"/>
      <c r="UAA1453"/>
      <c r="UAB1453"/>
      <c r="UAC1453"/>
      <c r="UAD1453"/>
      <c r="UAE1453"/>
      <c r="UAF1453"/>
      <c r="UAG1453"/>
      <c r="UAH1453"/>
      <c r="UAI1453"/>
      <c r="UAJ1453"/>
      <c r="UAK1453"/>
      <c r="UAL1453"/>
      <c r="UAM1453"/>
      <c r="UAN1453"/>
      <c r="UAO1453"/>
      <c r="UAP1453"/>
      <c r="UAQ1453"/>
      <c r="UAR1453"/>
      <c r="UAS1453"/>
      <c r="UAT1453"/>
      <c r="UAU1453"/>
      <c r="UAV1453"/>
      <c r="UAW1453"/>
      <c r="UAX1453"/>
      <c r="UAY1453"/>
      <c r="UAZ1453"/>
      <c r="UBA1453"/>
      <c r="UBB1453"/>
      <c r="UBC1453"/>
      <c r="UBD1453"/>
      <c r="UBE1453"/>
      <c r="UBF1453"/>
      <c r="UBG1453"/>
      <c r="UBH1453"/>
      <c r="UBI1453"/>
      <c r="UBJ1453"/>
      <c r="UBK1453"/>
      <c r="UBL1453"/>
      <c r="UBM1453"/>
      <c r="UBN1453"/>
      <c r="UBO1453"/>
      <c r="UBP1453"/>
      <c r="UBQ1453"/>
      <c r="UBR1453"/>
      <c r="UBS1453"/>
      <c r="UBT1453"/>
      <c r="UBU1453"/>
      <c r="UBV1453"/>
      <c r="UBW1453"/>
      <c r="UBX1453"/>
      <c r="UBY1453"/>
      <c r="UBZ1453"/>
      <c r="UCA1453"/>
      <c r="UCB1453"/>
      <c r="UCC1453"/>
      <c r="UCD1453"/>
      <c r="UCE1453"/>
      <c r="UCF1453"/>
      <c r="UCG1453"/>
      <c r="UCH1453"/>
      <c r="UCI1453"/>
      <c r="UCJ1453"/>
      <c r="UCK1453"/>
      <c r="UCL1453"/>
      <c r="UCM1453"/>
      <c r="UCN1453"/>
      <c r="UCO1453"/>
      <c r="UCP1453"/>
      <c r="UCQ1453"/>
      <c r="UCR1453"/>
      <c r="UCS1453"/>
      <c r="UCT1453"/>
      <c r="UCU1453"/>
      <c r="UCV1453"/>
      <c r="UCW1453"/>
      <c r="UCX1453"/>
      <c r="UCY1453"/>
      <c r="UCZ1453"/>
      <c r="UDA1453"/>
      <c r="UDB1453"/>
      <c r="UDC1453"/>
      <c r="UDD1453"/>
      <c r="UDE1453"/>
      <c r="UDF1453"/>
      <c r="UDG1453"/>
      <c r="UDH1453"/>
      <c r="UDI1453"/>
      <c r="UDJ1453"/>
      <c r="UDK1453"/>
      <c r="UDL1453"/>
      <c r="UDM1453"/>
      <c r="UDN1453"/>
      <c r="UDO1453"/>
      <c r="UDP1453"/>
      <c r="UDQ1453"/>
      <c r="UDR1453"/>
      <c r="UDS1453"/>
      <c r="UDT1453"/>
      <c r="UDU1453"/>
      <c r="UDV1453"/>
      <c r="UDW1453"/>
      <c r="UDX1453"/>
      <c r="UDY1453"/>
      <c r="UDZ1453"/>
      <c r="UEA1453"/>
      <c r="UEB1453"/>
      <c r="UEC1453"/>
      <c r="UED1453"/>
      <c r="UEE1453"/>
      <c r="UEF1453"/>
      <c r="UEG1453"/>
      <c r="UEH1453"/>
      <c r="UEI1453"/>
      <c r="UEJ1453"/>
      <c r="UEK1453"/>
      <c r="UEL1453"/>
      <c r="UEM1453"/>
      <c r="UEN1453"/>
      <c r="UEO1453"/>
      <c r="UEP1453"/>
      <c r="UEQ1453"/>
      <c r="UER1453"/>
      <c r="UES1453"/>
      <c r="UET1453"/>
      <c r="UEU1453"/>
      <c r="UEV1453"/>
      <c r="UEW1453"/>
      <c r="UEX1453"/>
      <c r="UEY1453"/>
      <c r="UEZ1453"/>
      <c r="UFA1453"/>
      <c r="UFB1453"/>
      <c r="UFC1453"/>
      <c r="UFD1453"/>
      <c r="UFE1453"/>
      <c r="UFF1453"/>
      <c r="UFG1453"/>
      <c r="UFH1453"/>
      <c r="UFI1453"/>
      <c r="UFJ1453"/>
      <c r="UFK1453"/>
      <c r="UFL1453"/>
      <c r="UFM1453"/>
      <c r="UFN1453"/>
      <c r="UFO1453"/>
      <c r="UFP1453"/>
      <c r="UFQ1453"/>
      <c r="UFR1453"/>
      <c r="UFS1453"/>
      <c r="UFT1453"/>
      <c r="UFU1453"/>
      <c r="UFV1453"/>
      <c r="UFW1453"/>
      <c r="UFX1453"/>
      <c r="UFY1453"/>
      <c r="UFZ1453"/>
      <c r="UGA1453"/>
      <c r="UGB1453"/>
      <c r="UGC1453"/>
      <c r="UGD1453"/>
      <c r="UGE1453"/>
      <c r="UGF1453"/>
      <c r="UGG1453"/>
      <c r="UGH1453"/>
      <c r="UGI1453"/>
      <c r="UGJ1453"/>
      <c r="UGK1453"/>
      <c r="UGL1453"/>
      <c r="UGM1453"/>
      <c r="UGN1453"/>
      <c r="UGO1453"/>
      <c r="UGP1453"/>
      <c r="UGQ1453"/>
      <c r="UGR1453"/>
      <c r="UGS1453"/>
      <c r="UGT1453"/>
      <c r="UGU1453"/>
      <c r="UGV1453"/>
      <c r="UGW1453"/>
      <c r="UGX1453"/>
      <c r="UGY1453"/>
      <c r="UGZ1453"/>
      <c r="UHA1453"/>
      <c r="UHB1453"/>
      <c r="UHC1453"/>
      <c r="UHD1453"/>
      <c r="UHE1453"/>
      <c r="UHF1453"/>
      <c r="UHG1453"/>
      <c r="UHH1453"/>
      <c r="UHI1453"/>
      <c r="UHJ1453"/>
      <c r="UHK1453"/>
      <c r="UHL1453"/>
      <c r="UHM1453"/>
      <c r="UHN1453"/>
      <c r="UHO1453"/>
      <c r="UHP1453"/>
      <c r="UHQ1453"/>
      <c r="UHR1453"/>
      <c r="UHS1453"/>
      <c r="UHT1453"/>
      <c r="UHU1453"/>
      <c r="UHV1453"/>
      <c r="UHW1453"/>
      <c r="UHX1453"/>
      <c r="UHY1453"/>
      <c r="UHZ1453"/>
      <c r="UIA1453"/>
      <c r="UIB1453"/>
      <c r="UIC1453"/>
      <c r="UID1453"/>
      <c r="UIE1453"/>
      <c r="UIF1453"/>
      <c r="UIG1453"/>
      <c r="UIH1453"/>
      <c r="UII1453"/>
      <c r="UIJ1453"/>
      <c r="UIK1453"/>
      <c r="UIL1453"/>
      <c r="UIM1453"/>
      <c r="UIN1453"/>
      <c r="UIO1453"/>
      <c r="UIP1453"/>
      <c r="UIQ1453"/>
      <c r="UIR1453"/>
      <c r="UIS1453"/>
      <c r="UIT1453"/>
      <c r="UIU1453"/>
      <c r="UIV1453"/>
      <c r="UIW1453"/>
      <c r="UIX1453"/>
      <c r="UIY1453"/>
      <c r="UIZ1453"/>
      <c r="UJA1453"/>
      <c r="UJB1453"/>
      <c r="UJC1453"/>
      <c r="UJD1453"/>
      <c r="UJE1453"/>
      <c r="UJF1453"/>
      <c r="UJG1453"/>
      <c r="UJH1453"/>
      <c r="UJI1453"/>
      <c r="UJJ1453"/>
      <c r="UJK1453"/>
      <c r="UJL1453"/>
      <c r="UJM1453"/>
      <c r="UJN1453"/>
      <c r="UJO1453"/>
      <c r="UJP1453"/>
      <c r="UJQ1453"/>
      <c r="UJR1453"/>
      <c r="UJS1453"/>
      <c r="UJT1453"/>
      <c r="UJU1453"/>
      <c r="UJV1453"/>
      <c r="UJW1453"/>
      <c r="UJX1453"/>
      <c r="UJY1453"/>
      <c r="UJZ1453"/>
      <c r="UKA1453"/>
      <c r="UKB1453"/>
      <c r="UKC1453"/>
      <c r="UKD1453"/>
      <c r="UKE1453"/>
      <c r="UKF1453"/>
      <c r="UKG1453"/>
      <c r="UKH1453"/>
      <c r="UKI1453"/>
      <c r="UKJ1453"/>
      <c r="UKK1453"/>
      <c r="UKL1453"/>
      <c r="UKM1453"/>
      <c r="UKN1453"/>
      <c r="UKO1453"/>
      <c r="UKP1453"/>
      <c r="UKQ1453"/>
      <c r="UKR1453"/>
      <c r="UKS1453"/>
      <c r="UKT1453"/>
      <c r="UKU1453"/>
      <c r="UKV1453"/>
      <c r="UKW1453"/>
      <c r="UKX1453"/>
      <c r="UKY1453"/>
      <c r="UKZ1453"/>
      <c r="ULA1453"/>
      <c r="ULB1453"/>
      <c r="ULC1453"/>
      <c r="ULD1453"/>
      <c r="ULE1453"/>
      <c r="ULF1453"/>
      <c r="ULG1453"/>
      <c r="ULH1453"/>
      <c r="ULI1453"/>
      <c r="ULJ1453"/>
      <c r="ULK1453"/>
      <c r="ULL1453"/>
      <c r="ULM1453"/>
      <c r="ULN1453"/>
      <c r="ULO1453"/>
      <c r="ULP1453"/>
      <c r="ULQ1453"/>
      <c r="ULR1453"/>
      <c r="ULS1453"/>
      <c r="ULT1453"/>
      <c r="ULU1453"/>
      <c r="ULV1453"/>
      <c r="ULW1453"/>
      <c r="ULX1453"/>
      <c r="ULY1453"/>
      <c r="ULZ1453"/>
      <c r="UMA1453"/>
      <c r="UMB1453"/>
      <c r="UMC1453"/>
      <c r="UMD1453"/>
      <c r="UME1453"/>
      <c r="UMF1453"/>
      <c r="UMG1453"/>
      <c r="UMH1453"/>
      <c r="UMI1453"/>
      <c r="UMJ1453"/>
      <c r="UMK1453"/>
      <c r="UML1453"/>
      <c r="UMM1453"/>
      <c r="UMN1453"/>
      <c r="UMO1453"/>
      <c r="UMP1453"/>
      <c r="UMQ1453"/>
      <c r="UMR1453"/>
      <c r="UMS1453"/>
      <c r="UMT1453"/>
      <c r="UMU1453"/>
      <c r="UMV1453"/>
      <c r="UMW1453"/>
      <c r="UMX1453"/>
      <c r="UMY1453"/>
      <c r="UMZ1453"/>
      <c r="UNA1453"/>
      <c r="UNB1453"/>
      <c r="UNC1453"/>
      <c r="UND1453"/>
      <c r="UNE1453"/>
      <c r="UNF1453"/>
      <c r="UNG1453"/>
      <c r="UNH1453"/>
      <c r="UNI1453"/>
      <c r="UNJ1453"/>
      <c r="UNK1453"/>
      <c r="UNL1453"/>
      <c r="UNM1453"/>
      <c r="UNN1453"/>
      <c r="UNO1453"/>
      <c r="UNP1453"/>
      <c r="UNQ1453"/>
      <c r="UNR1453"/>
      <c r="UNS1453"/>
      <c r="UNT1453"/>
      <c r="UNU1453"/>
      <c r="UNV1453"/>
      <c r="UNW1453"/>
      <c r="UNX1453"/>
      <c r="UNY1453"/>
      <c r="UNZ1453"/>
      <c r="UOA1453"/>
      <c r="UOB1453"/>
      <c r="UOC1453"/>
      <c r="UOD1453"/>
      <c r="UOE1453"/>
      <c r="UOF1453"/>
      <c r="UOG1453"/>
      <c r="UOH1453"/>
      <c r="UOI1453"/>
      <c r="UOJ1453"/>
      <c r="UOK1453"/>
      <c r="UOL1453"/>
      <c r="UOM1453"/>
      <c r="UON1453"/>
      <c r="UOO1453"/>
      <c r="UOP1453"/>
      <c r="UOQ1453"/>
      <c r="UOR1453"/>
      <c r="UOS1453"/>
      <c r="UOT1453"/>
      <c r="UOU1453"/>
      <c r="UOV1453"/>
      <c r="UOW1453"/>
      <c r="UOX1453"/>
      <c r="UOY1453"/>
      <c r="UOZ1453"/>
      <c r="UPA1453"/>
      <c r="UPB1453"/>
      <c r="UPC1453"/>
      <c r="UPD1453"/>
      <c r="UPE1453"/>
      <c r="UPF1453"/>
      <c r="UPG1453"/>
      <c r="UPH1453"/>
      <c r="UPI1453"/>
      <c r="UPJ1453"/>
      <c r="UPK1453"/>
      <c r="UPL1453"/>
      <c r="UPM1453"/>
      <c r="UPN1453"/>
      <c r="UPO1453"/>
      <c r="UPP1453"/>
      <c r="UPQ1453"/>
      <c r="UPR1453"/>
      <c r="UPS1453"/>
      <c r="UPT1453"/>
      <c r="UPU1453"/>
      <c r="UPV1453"/>
      <c r="UPW1453"/>
      <c r="UPX1453"/>
      <c r="UPY1453"/>
      <c r="UPZ1453"/>
      <c r="UQA1453"/>
      <c r="UQB1453"/>
      <c r="UQC1453"/>
      <c r="UQD1453"/>
      <c r="UQE1453"/>
      <c r="UQF1453"/>
      <c r="UQG1453"/>
      <c r="UQH1453"/>
      <c r="UQI1453"/>
      <c r="UQJ1453"/>
      <c r="UQK1453"/>
      <c r="UQL1453"/>
      <c r="UQM1453"/>
      <c r="UQN1453"/>
      <c r="UQO1453"/>
      <c r="UQP1453"/>
      <c r="UQQ1453"/>
      <c r="UQR1453"/>
      <c r="UQS1453"/>
      <c r="UQT1453"/>
      <c r="UQU1453"/>
      <c r="UQV1453"/>
      <c r="UQW1453"/>
      <c r="UQX1453"/>
      <c r="UQY1453"/>
      <c r="UQZ1453"/>
      <c r="URA1453"/>
      <c r="URB1453"/>
      <c r="URC1453"/>
      <c r="URD1453"/>
      <c r="URE1453"/>
      <c r="URF1453"/>
      <c r="URG1453"/>
      <c r="URH1453"/>
      <c r="URI1453"/>
      <c r="URJ1453"/>
      <c r="URK1453"/>
      <c r="URL1453"/>
      <c r="URM1453"/>
      <c r="URN1453"/>
      <c r="URO1453"/>
      <c r="URP1453"/>
      <c r="URQ1453"/>
      <c r="URR1453"/>
      <c r="URS1453"/>
      <c r="URT1453"/>
      <c r="URU1453"/>
      <c r="URV1453"/>
      <c r="URW1453"/>
      <c r="URX1453"/>
      <c r="URY1453"/>
      <c r="URZ1453"/>
      <c r="USA1453"/>
      <c r="USB1453"/>
      <c r="USC1453"/>
      <c r="USD1453"/>
      <c r="USE1453"/>
      <c r="USF1453"/>
      <c r="USG1453"/>
      <c r="USH1453"/>
      <c r="USI1453"/>
      <c r="USJ1453"/>
      <c r="USK1453"/>
      <c r="USL1453"/>
      <c r="USM1453"/>
      <c r="USN1453"/>
      <c r="USO1453"/>
      <c r="USP1453"/>
      <c r="USQ1453"/>
      <c r="USR1453"/>
      <c r="USS1453"/>
      <c r="UST1453"/>
      <c r="USU1453"/>
      <c r="USV1453"/>
      <c r="USW1453"/>
      <c r="USX1453"/>
      <c r="USY1453"/>
      <c r="USZ1453"/>
      <c r="UTA1453"/>
      <c r="UTB1453"/>
      <c r="UTC1453"/>
      <c r="UTD1453"/>
      <c r="UTE1453"/>
      <c r="UTF1453"/>
      <c r="UTG1453"/>
      <c r="UTH1453"/>
      <c r="UTI1453"/>
      <c r="UTJ1453"/>
      <c r="UTK1453"/>
      <c r="UTL1453"/>
      <c r="UTM1453"/>
      <c r="UTN1453"/>
      <c r="UTO1453"/>
      <c r="UTP1453"/>
      <c r="UTQ1453"/>
      <c r="UTR1453"/>
      <c r="UTS1453"/>
      <c r="UTT1453"/>
      <c r="UTU1453"/>
      <c r="UTV1453"/>
      <c r="UTW1453"/>
      <c r="UTX1453"/>
      <c r="UTY1453"/>
      <c r="UTZ1453"/>
      <c r="UUA1453"/>
      <c r="UUB1453"/>
      <c r="UUC1453"/>
      <c r="UUD1453"/>
      <c r="UUE1453"/>
      <c r="UUF1453"/>
      <c r="UUG1453"/>
      <c r="UUH1453"/>
      <c r="UUI1453"/>
      <c r="UUJ1453"/>
      <c r="UUK1453"/>
      <c r="UUL1453"/>
      <c r="UUM1453"/>
      <c r="UUN1453"/>
      <c r="UUO1453"/>
      <c r="UUP1453"/>
      <c r="UUQ1453"/>
      <c r="UUR1453"/>
      <c r="UUS1453"/>
      <c r="UUT1453"/>
      <c r="UUU1453"/>
      <c r="UUV1453"/>
      <c r="UUW1453"/>
      <c r="UUX1453"/>
      <c r="UUY1453"/>
      <c r="UUZ1453"/>
      <c r="UVA1453"/>
      <c r="UVB1453"/>
      <c r="UVC1453"/>
      <c r="UVD1453"/>
      <c r="UVE1453"/>
      <c r="UVF1453"/>
      <c r="UVG1453"/>
      <c r="UVH1453"/>
      <c r="UVI1453"/>
      <c r="UVJ1453"/>
      <c r="UVK1453"/>
      <c r="UVL1453"/>
      <c r="UVM1453"/>
      <c r="UVN1453"/>
      <c r="UVO1453"/>
      <c r="UVP1453"/>
      <c r="UVQ1453"/>
      <c r="UVR1453"/>
      <c r="UVS1453"/>
      <c r="UVT1453"/>
      <c r="UVU1453"/>
      <c r="UVV1453"/>
      <c r="UVW1453"/>
      <c r="UVX1453"/>
      <c r="UVY1453"/>
      <c r="UVZ1453"/>
      <c r="UWA1453"/>
      <c r="UWB1453"/>
      <c r="UWC1453"/>
      <c r="UWD1453"/>
      <c r="UWE1453"/>
      <c r="UWF1453"/>
      <c r="UWG1453"/>
      <c r="UWH1453"/>
      <c r="UWI1453"/>
      <c r="UWJ1453"/>
      <c r="UWK1453"/>
      <c r="UWL1453"/>
      <c r="UWM1453"/>
      <c r="UWN1453"/>
      <c r="UWO1453"/>
      <c r="UWP1453"/>
      <c r="UWQ1453"/>
      <c r="UWR1453"/>
      <c r="UWS1453"/>
      <c r="UWT1453"/>
      <c r="UWU1453"/>
      <c r="UWV1453"/>
      <c r="UWW1453"/>
      <c r="UWX1453"/>
      <c r="UWY1453"/>
      <c r="UWZ1453"/>
      <c r="UXA1453"/>
      <c r="UXB1453"/>
      <c r="UXC1453"/>
      <c r="UXD1453"/>
      <c r="UXE1453"/>
      <c r="UXF1453"/>
      <c r="UXG1453"/>
      <c r="UXH1453"/>
      <c r="UXI1453"/>
      <c r="UXJ1453"/>
      <c r="UXK1453"/>
      <c r="UXL1453"/>
      <c r="UXM1453"/>
      <c r="UXN1453"/>
      <c r="UXO1453"/>
      <c r="UXP1453"/>
      <c r="UXQ1453"/>
      <c r="UXR1453"/>
      <c r="UXS1453"/>
      <c r="UXT1453"/>
      <c r="UXU1453"/>
      <c r="UXV1453"/>
      <c r="UXW1453"/>
      <c r="UXX1453"/>
      <c r="UXY1453"/>
      <c r="UXZ1453"/>
      <c r="UYA1453"/>
      <c r="UYB1453"/>
      <c r="UYC1453"/>
      <c r="UYD1453"/>
      <c r="UYE1453"/>
      <c r="UYF1453"/>
      <c r="UYG1453"/>
      <c r="UYH1453"/>
      <c r="UYI1453"/>
      <c r="UYJ1453"/>
      <c r="UYK1453"/>
      <c r="UYL1453"/>
      <c r="UYM1453"/>
      <c r="UYN1453"/>
      <c r="UYO1453"/>
      <c r="UYP1453"/>
      <c r="UYQ1453"/>
      <c r="UYR1453"/>
      <c r="UYS1453"/>
      <c r="UYT1453"/>
      <c r="UYU1453"/>
      <c r="UYV1453"/>
      <c r="UYW1453"/>
      <c r="UYX1453"/>
      <c r="UYY1453"/>
      <c r="UYZ1453"/>
      <c r="UZA1453"/>
      <c r="UZB1453"/>
      <c r="UZC1453"/>
      <c r="UZD1453"/>
      <c r="UZE1453"/>
      <c r="UZF1453"/>
      <c r="UZG1453"/>
      <c r="UZH1453"/>
      <c r="UZI1453"/>
      <c r="UZJ1453"/>
      <c r="UZK1453"/>
      <c r="UZL1453"/>
      <c r="UZM1453"/>
      <c r="UZN1453"/>
      <c r="UZO1453"/>
      <c r="UZP1453"/>
      <c r="UZQ1453"/>
      <c r="UZR1453"/>
      <c r="UZS1453"/>
      <c r="UZT1453"/>
      <c r="UZU1453"/>
      <c r="UZV1453"/>
      <c r="UZW1453"/>
      <c r="UZX1453"/>
      <c r="UZY1453"/>
      <c r="UZZ1453"/>
      <c r="VAA1453"/>
      <c r="VAB1453"/>
      <c r="VAC1453"/>
      <c r="VAD1453"/>
      <c r="VAE1453"/>
      <c r="VAF1453"/>
      <c r="VAG1453"/>
      <c r="VAH1453"/>
      <c r="VAI1453"/>
      <c r="VAJ1453"/>
      <c r="VAK1453"/>
      <c r="VAL1453"/>
      <c r="VAM1453"/>
      <c r="VAN1453"/>
      <c r="VAO1453"/>
      <c r="VAP1453"/>
      <c r="VAQ1453"/>
      <c r="VAR1453"/>
      <c r="VAS1453"/>
      <c r="VAT1453"/>
      <c r="VAU1453"/>
      <c r="VAV1453"/>
      <c r="VAW1453"/>
      <c r="VAX1453"/>
      <c r="VAY1453"/>
      <c r="VAZ1453"/>
      <c r="VBA1453"/>
      <c r="VBB1453"/>
      <c r="VBC1453"/>
      <c r="VBD1453"/>
      <c r="VBE1453"/>
      <c r="VBF1453"/>
      <c r="VBG1453"/>
      <c r="VBH1453"/>
      <c r="VBI1453"/>
      <c r="VBJ1453"/>
      <c r="VBK1453"/>
      <c r="VBL1453"/>
      <c r="VBM1453"/>
      <c r="VBN1453"/>
      <c r="VBO1453"/>
      <c r="VBP1453"/>
      <c r="VBQ1453"/>
      <c r="VBR1453"/>
      <c r="VBS1453"/>
      <c r="VBT1453"/>
      <c r="VBU1453"/>
      <c r="VBV1453"/>
      <c r="VBW1453"/>
      <c r="VBX1453"/>
      <c r="VBY1453"/>
      <c r="VBZ1453"/>
      <c r="VCA1453"/>
      <c r="VCB1453"/>
      <c r="VCC1453"/>
      <c r="VCD1453"/>
      <c r="VCE1453"/>
      <c r="VCF1453"/>
      <c r="VCG1453"/>
      <c r="VCH1453"/>
      <c r="VCI1453"/>
      <c r="VCJ1453"/>
      <c r="VCK1453"/>
      <c r="VCL1453"/>
      <c r="VCM1453"/>
      <c r="VCN1453"/>
      <c r="VCO1453"/>
      <c r="VCP1453"/>
      <c r="VCQ1453"/>
      <c r="VCR1453"/>
      <c r="VCS1453"/>
      <c r="VCT1453"/>
      <c r="VCU1453"/>
      <c r="VCV1453"/>
      <c r="VCW1453"/>
      <c r="VCX1453"/>
      <c r="VCY1453"/>
      <c r="VCZ1453"/>
      <c r="VDA1453"/>
      <c r="VDB1453"/>
      <c r="VDC1453"/>
      <c r="VDD1453"/>
      <c r="VDE1453"/>
      <c r="VDF1453"/>
      <c r="VDG1453"/>
      <c r="VDH1453"/>
      <c r="VDI1453"/>
      <c r="VDJ1453"/>
      <c r="VDK1453"/>
      <c r="VDL1453"/>
      <c r="VDM1453"/>
      <c r="VDN1453"/>
      <c r="VDO1453"/>
      <c r="VDP1453"/>
      <c r="VDQ1453"/>
      <c r="VDR1453"/>
      <c r="VDS1453"/>
      <c r="VDT1453"/>
      <c r="VDU1453"/>
      <c r="VDV1453"/>
      <c r="VDW1453"/>
      <c r="VDX1453"/>
      <c r="VDY1453"/>
      <c r="VDZ1453"/>
      <c r="VEA1453"/>
      <c r="VEB1453"/>
      <c r="VEC1453"/>
      <c r="VED1453"/>
      <c r="VEE1453"/>
      <c r="VEF1453"/>
      <c r="VEG1453"/>
      <c r="VEH1453"/>
      <c r="VEI1453"/>
      <c r="VEJ1453"/>
      <c r="VEK1453"/>
      <c r="VEL1453"/>
      <c r="VEM1453"/>
      <c r="VEN1453"/>
      <c r="VEO1453"/>
      <c r="VEP1453"/>
      <c r="VEQ1453"/>
      <c r="VER1453"/>
      <c r="VES1453"/>
      <c r="VET1453"/>
      <c r="VEU1453"/>
      <c r="VEV1453"/>
      <c r="VEW1453"/>
      <c r="VEX1453"/>
      <c r="VEY1453"/>
      <c r="VEZ1453"/>
      <c r="VFA1453"/>
      <c r="VFB1453"/>
      <c r="VFC1453"/>
      <c r="VFD1453"/>
      <c r="VFE1453"/>
      <c r="VFF1453"/>
      <c r="VFG1453"/>
      <c r="VFH1453"/>
      <c r="VFI1453"/>
      <c r="VFJ1453"/>
      <c r="VFK1453"/>
      <c r="VFL1453"/>
      <c r="VFM1453"/>
      <c r="VFN1453"/>
      <c r="VFO1453"/>
      <c r="VFP1453"/>
      <c r="VFQ1453"/>
      <c r="VFR1453"/>
      <c r="VFS1453"/>
      <c r="VFT1453"/>
      <c r="VFU1453"/>
      <c r="VFV1453"/>
      <c r="VFW1453"/>
      <c r="VFX1453"/>
      <c r="VFY1453"/>
      <c r="VFZ1453"/>
      <c r="VGA1453"/>
      <c r="VGB1453"/>
      <c r="VGC1453"/>
      <c r="VGD1453"/>
      <c r="VGE1453"/>
      <c r="VGF1453"/>
      <c r="VGG1453"/>
      <c r="VGH1453"/>
      <c r="VGI1453"/>
      <c r="VGJ1453"/>
      <c r="VGK1453"/>
      <c r="VGL1453"/>
      <c r="VGM1453"/>
      <c r="VGN1453"/>
      <c r="VGO1453"/>
      <c r="VGP1453"/>
      <c r="VGQ1453"/>
      <c r="VGR1453"/>
      <c r="VGS1453"/>
      <c r="VGT1453"/>
      <c r="VGU1453"/>
      <c r="VGV1453"/>
      <c r="VGW1453"/>
      <c r="VGX1453"/>
      <c r="VGY1453"/>
      <c r="VGZ1453"/>
      <c r="VHA1453"/>
      <c r="VHB1453"/>
      <c r="VHC1453"/>
      <c r="VHD1453"/>
      <c r="VHE1453"/>
      <c r="VHF1453"/>
      <c r="VHG1453"/>
      <c r="VHH1453"/>
      <c r="VHI1453"/>
      <c r="VHJ1453"/>
      <c r="VHK1453"/>
      <c r="VHL1453"/>
      <c r="VHM1453"/>
      <c r="VHN1453"/>
      <c r="VHO1453"/>
      <c r="VHP1453"/>
      <c r="VHQ1453"/>
      <c r="VHR1453"/>
      <c r="VHS1453"/>
      <c r="VHT1453"/>
      <c r="VHU1453"/>
      <c r="VHV1453"/>
      <c r="VHW1453"/>
      <c r="VHX1453"/>
      <c r="VHY1453"/>
      <c r="VHZ1453"/>
      <c r="VIA1453"/>
      <c r="VIB1453"/>
      <c r="VIC1453"/>
      <c r="VID1453"/>
      <c r="VIE1453"/>
      <c r="VIF1453"/>
      <c r="VIG1453"/>
      <c r="VIH1453"/>
      <c r="VII1453"/>
      <c r="VIJ1453"/>
      <c r="VIK1453"/>
      <c r="VIL1453"/>
      <c r="VIM1453"/>
      <c r="VIN1453"/>
      <c r="VIO1453"/>
      <c r="VIP1453"/>
      <c r="VIQ1453"/>
      <c r="VIR1453"/>
      <c r="VIS1453"/>
      <c r="VIT1453"/>
      <c r="VIU1453"/>
      <c r="VIV1453"/>
      <c r="VIW1453"/>
      <c r="VIX1453"/>
      <c r="VIY1453"/>
      <c r="VIZ1453"/>
      <c r="VJA1453"/>
      <c r="VJB1453"/>
      <c r="VJC1453"/>
      <c r="VJD1453"/>
      <c r="VJE1453"/>
      <c r="VJF1453"/>
      <c r="VJG1453"/>
      <c r="VJH1453"/>
      <c r="VJI1453"/>
      <c r="VJJ1453"/>
      <c r="VJK1453"/>
      <c r="VJL1453"/>
      <c r="VJM1453"/>
      <c r="VJN1453"/>
      <c r="VJO1453"/>
      <c r="VJP1453"/>
      <c r="VJQ1453"/>
      <c r="VJR1453"/>
      <c r="VJS1453"/>
      <c r="VJT1453"/>
      <c r="VJU1453"/>
      <c r="VJV1453"/>
      <c r="VJW1453"/>
      <c r="VJX1453"/>
      <c r="VJY1453"/>
      <c r="VJZ1453"/>
      <c r="VKA1453"/>
      <c r="VKB1453"/>
      <c r="VKC1453"/>
      <c r="VKD1453"/>
      <c r="VKE1453"/>
      <c r="VKF1453"/>
      <c r="VKG1453"/>
      <c r="VKH1453"/>
      <c r="VKI1453"/>
      <c r="VKJ1453"/>
      <c r="VKK1453"/>
      <c r="VKL1453"/>
      <c r="VKM1453"/>
      <c r="VKN1453"/>
      <c r="VKO1453"/>
      <c r="VKP1453"/>
      <c r="VKQ1453"/>
      <c r="VKR1453"/>
      <c r="VKS1453"/>
      <c r="VKT1453"/>
      <c r="VKU1453"/>
      <c r="VKV1453"/>
      <c r="VKW1453"/>
      <c r="VKX1453"/>
      <c r="VKY1453"/>
      <c r="VKZ1453"/>
      <c r="VLA1453"/>
      <c r="VLB1453"/>
      <c r="VLC1453"/>
      <c r="VLD1453"/>
      <c r="VLE1453"/>
      <c r="VLF1453"/>
      <c r="VLG1453"/>
      <c r="VLH1453"/>
      <c r="VLI1453"/>
      <c r="VLJ1453"/>
      <c r="VLK1453"/>
      <c r="VLL1453"/>
      <c r="VLM1453"/>
      <c r="VLN1453"/>
      <c r="VLO1453"/>
      <c r="VLP1453"/>
      <c r="VLQ1453"/>
      <c r="VLR1453"/>
      <c r="VLS1453"/>
      <c r="VLT1453"/>
      <c r="VLU1453"/>
      <c r="VLV1453"/>
      <c r="VLW1453"/>
      <c r="VLX1453"/>
      <c r="VLY1453"/>
      <c r="VLZ1453"/>
      <c r="VMA1453"/>
      <c r="VMB1453"/>
      <c r="VMC1453"/>
      <c r="VMD1453"/>
      <c r="VME1453"/>
      <c r="VMF1453"/>
      <c r="VMG1453"/>
      <c r="VMH1453"/>
      <c r="VMI1453"/>
      <c r="VMJ1453"/>
      <c r="VMK1453"/>
      <c r="VML1453"/>
      <c r="VMM1453"/>
      <c r="VMN1453"/>
      <c r="VMO1453"/>
      <c r="VMP1453"/>
      <c r="VMQ1453"/>
      <c r="VMR1453"/>
      <c r="VMS1453"/>
      <c r="VMT1453"/>
      <c r="VMU1453"/>
      <c r="VMV1453"/>
      <c r="VMW1453"/>
      <c r="VMX1453"/>
      <c r="VMY1453"/>
      <c r="VMZ1453"/>
      <c r="VNA1453"/>
      <c r="VNB1453"/>
      <c r="VNC1453"/>
      <c r="VND1453"/>
      <c r="VNE1453"/>
      <c r="VNF1453"/>
      <c r="VNG1453"/>
      <c r="VNH1453"/>
      <c r="VNI1453"/>
      <c r="VNJ1453"/>
      <c r="VNK1453"/>
      <c r="VNL1453"/>
      <c r="VNM1453"/>
      <c r="VNN1453"/>
      <c r="VNO1453"/>
      <c r="VNP1453"/>
      <c r="VNQ1453"/>
      <c r="VNR1453"/>
      <c r="VNS1453"/>
      <c r="VNT1453"/>
      <c r="VNU1453"/>
      <c r="VNV1453"/>
      <c r="VNW1453"/>
      <c r="VNX1453"/>
      <c r="VNY1453"/>
      <c r="VNZ1453"/>
      <c r="VOA1453"/>
      <c r="VOB1453"/>
      <c r="VOC1453"/>
      <c r="VOD1453"/>
      <c r="VOE1453"/>
      <c r="VOF1453"/>
      <c r="VOG1453"/>
      <c r="VOH1453"/>
      <c r="VOI1453"/>
      <c r="VOJ1453"/>
      <c r="VOK1453"/>
      <c r="VOL1453"/>
      <c r="VOM1453"/>
      <c r="VON1453"/>
      <c r="VOO1453"/>
      <c r="VOP1453"/>
      <c r="VOQ1453"/>
      <c r="VOR1453"/>
      <c r="VOS1453"/>
      <c r="VOT1453"/>
      <c r="VOU1453"/>
      <c r="VOV1453"/>
      <c r="VOW1453"/>
      <c r="VOX1453"/>
      <c r="VOY1453"/>
      <c r="VOZ1453"/>
      <c r="VPA1453"/>
      <c r="VPB1453"/>
      <c r="VPC1453"/>
      <c r="VPD1453"/>
      <c r="VPE1453"/>
      <c r="VPF1453"/>
      <c r="VPG1453"/>
      <c r="VPH1453"/>
      <c r="VPI1453"/>
      <c r="VPJ1453"/>
      <c r="VPK1453"/>
      <c r="VPL1453"/>
      <c r="VPM1453"/>
      <c r="VPN1453"/>
      <c r="VPO1453"/>
      <c r="VPP1453"/>
      <c r="VPQ1453"/>
      <c r="VPR1453"/>
      <c r="VPS1453"/>
      <c r="VPT1453"/>
      <c r="VPU1453"/>
      <c r="VPV1453"/>
      <c r="VPW1453"/>
      <c r="VPX1453"/>
      <c r="VPY1453"/>
      <c r="VPZ1453"/>
      <c r="VQA1453"/>
      <c r="VQB1453"/>
      <c r="VQC1453"/>
      <c r="VQD1453"/>
      <c r="VQE1453"/>
      <c r="VQF1453"/>
      <c r="VQG1453"/>
      <c r="VQH1453"/>
      <c r="VQI1453"/>
      <c r="VQJ1453"/>
      <c r="VQK1453"/>
      <c r="VQL1453"/>
      <c r="VQM1453"/>
      <c r="VQN1453"/>
      <c r="VQO1453"/>
      <c r="VQP1453"/>
      <c r="VQQ1453"/>
      <c r="VQR1453"/>
      <c r="VQS1453"/>
      <c r="VQT1453"/>
      <c r="VQU1453"/>
      <c r="VQV1453"/>
      <c r="VQW1453"/>
      <c r="VQX1453"/>
      <c r="VQY1453"/>
      <c r="VQZ1453"/>
      <c r="VRA1453"/>
      <c r="VRB1453"/>
      <c r="VRC1453"/>
      <c r="VRD1453"/>
      <c r="VRE1453"/>
      <c r="VRF1453"/>
      <c r="VRG1453"/>
      <c r="VRH1453"/>
      <c r="VRI1453"/>
      <c r="VRJ1453"/>
      <c r="VRK1453"/>
      <c r="VRL1453"/>
      <c r="VRM1453"/>
      <c r="VRN1453"/>
      <c r="VRO1453"/>
      <c r="VRP1453"/>
      <c r="VRQ1453"/>
      <c r="VRR1453"/>
      <c r="VRS1453"/>
      <c r="VRT1453"/>
      <c r="VRU1453"/>
      <c r="VRV1453"/>
      <c r="VRW1453"/>
      <c r="VRX1453"/>
      <c r="VRY1453"/>
      <c r="VRZ1453"/>
      <c r="VSA1453"/>
      <c r="VSB1453"/>
      <c r="VSC1453"/>
      <c r="VSD1453"/>
      <c r="VSE1453"/>
      <c r="VSF1453"/>
      <c r="VSG1453"/>
      <c r="VSH1453"/>
      <c r="VSI1453"/>
      <c r="VSJ1453"/>
      <c r="VSK1453"/>
      <c r="VSL1453"/>
      <c r="VSM1453"/>
      <c r="VSN1453"/>
      <c r="VSO1453"/>
      <c r="VSP1453"/>
      <c r="VSQ1453"/>
      <c r="VSR1453"/>
      <c r="VSS1453"/>
      <c r="VST1453"/>
      <c r="VSU1453"/>
      <c r="VSV1453"/>
      <c r="VSW1453"/>
      <c r="VSX1453"/>
      <c r="VSY1453"/>
      <c r="VSZ1453"/>
      <c r="VTA1453"/>
      <c r="VTB1453"/>
      <c r="VTC1453"/>
      <c r="VTD1453"/>
      <c r="VTE1453"/>
      <c r="VTF1453"/>
      <c r="VTG1453"/>
      <c r="VTH1453"/>
      <c r="VTI1453"/>
      <c r="VTJ1453"/>
      <c r="VTK1453"/>
      <c r="VTL1453"/>
      <c r="VTM1453"/>
      <c r="VTN1453"/>
      <c r="VTO1453"/>
      <c r="VTP1453"/>
      <c r="VTQ1453"/>
      <c r="VTR1453"/>
      <c r="VTS1453"/>
      <c r="VTT1453"/>
      <c r="VTU1453"/>
      <c r="VTV1453"/>
      <c r="VTW1453"/>
      <c r="VTX1453"/>
      <c r="VTY1453"/>
      <c r="VTZ1453"/>
      <c r="VUA1453"/>
      <c r="VUB1453"/>
      <c r="VUC1453"/>
      <c r="VUD1453"/>
      <c r="VUE1453"/>
      <c r="VUF1453"/>
      <c r="VUG1453"/>
      <c r="VUH1453"/>
      <c r="VUI1453"/>
      <c r="VUJ1453"/>
      <c r="VUK1453"/>
      <c r="VUL1453"/>
      <c r="VUM1453"/>
      <c r="VUN1453"/>
      <c r="VUO1453"/>
      <c r="VUP1453"/>
      <c r="VUQ1453"/>
      <c r="VUR1453"/>
      <c r="VUS1453"/>
      <c r="VUT1453"/>
      <c r="VUU1453"/>
      <c r="VUV1453"/>
      <c r="VUW1453"/>
      <c r="VUX1453"/>
      <c r="VUY1453"/>
      <c r="VUZ1453"/>
      <c r="VVA1453"/>
      <c r="VVB1453"/>
      <c r="VVC1453"/>
      <c r="VVD1453"/>
      <c r="VVE1453"/>
      <c r="VVF1453"/>
      <c r="VVG1453"/>
      <c r="VVH1453"/>
      <c r="VVI1453"/>
      <c r="VVJ1453"/>
      <c r="VVK1453"/>
      <c r="VVL1453"/>
      <c r="VVM1453"/>
      <c r="VVN1453"/>
      <c r="VVO1453"/>
      <c r="VVP1453"/>
      <c r="VVQ1453"/>
      <c r="VVR1453"/>
      <c r="VVS1453"/>
      <c r="VVT1453"/>
      <c r="VVU1453"/>
      <c r="VVV1453"/>
      <c r="VVW1453"/>
      <c r="VVX1453"/>
      <c r="VVY1453"/>
      <c r="VVZ1453"/>
      <c r="VWA1453"/>
      <c r="VWB1453"/>
      <c r="VWC1453"/>
      <c r="VWD1453"/>
      <c r="VWE1453"/>
      <c r="VWF1453"/>
      <c r="VWG1453"/>
      <c r="VWH1453"/>
      <c r="VWI1453"/>
      <c r="VWJ1453"/>
      <c r="VWK1453"/>
      <c r="VWL1453"/>
      <c r="VWM1453"/>
      <c r="VWN1453"/>
      <c r="VWO1453"/>
      <c r="VWP1453"/>
      <c r="VWQ1453"/>
      <c r="VWR1453"/>
      <c r="VWS1453"/>
      <c r="VWT1453"/>
      <c r="VWU1453"/>
      <c r="VWV1453"/>
      <c r="VWW1453"/>
      <c r="VWX1453"/>
      <c r="VWY1453"/>
      <c r="VWZ1453"/>
      <c r="VXA1453"/>
      <c r="VXB1453"/>
      <c r="VXC1453"/>
      <c r="VXD1453"/>
      <c r="VXE1453"/>
      <c r="VXF1453"/>
      <c r="VXG1453"/>
      <c r="VXH1453"/>
      <c r="VXI1453"/>
      <c r="VXJ1453"/>
      <c r="VXK1453"/>
      <c r="VXL1453"/>
      <c r="VXM1453"/>
      <c r="VXN1453"/>
      <c r="VXO1453"/>
      <c r="VXP1453"/>
      <c r="VXQ1453"/>
      <c r="VXR1453"/>
      <c r="VXS1453"/>
      <c r="VXT1453"/>
      <c r="VXU1453"/>
      <c r="VXV1453"/>
      <c r="VXW1453"/>
      <c r="VXX1453"/>
      <c r="VXY1453"/>
      <c r="VXZ1453"/>
      <c r="VYA1453"/>
      <c r="VYB1453"/>
      <c r="VYC1453"/>
      <c r="VYD1453"/>
      <c r="VYE1453"/>
      <c r="VYF1453"/>
      <c r="VYG1453"/>
      <c r="VYH1453"/>
      <c r="VYI1453"/>
      <c r="VYJ1453"/>
      <c r="VYK1453"/>
      <c r="VYL1453"/>
      <c r="VYM1453"/>
      <c r="VYN1453"/>
      <c r="VYO1453"/>
      <c r="VYP1453"/>
      <c r="VYQ1453"/>
      <c r="VYR1453"/>
      <c r="VYS1453"/>
      <c r="VYT1453"/>
      <c r="VYU1453"/>
      <c r="VYV1453"/>
      <c r="VYW1453"/>
      <c r="VYX1453"/>
      <c r="VYY1453"/>
      <c r="VYZ1453"/>
      <c r="VZA1453"/>
      <c r="VZB1453"/>
      <c r="VZC1453"/>
      <c r="VZD1453"/>
      <c r="VZE1453"/>
      <c r="VZF1453"/>
      <c r="VZG1453"/>
      <c r="VZH1453"/>
      <c r="VZI1453"/>
      <c r="VZJ1453"/>
      <c r="VZK1453"/>
      <c r="VZL1453"/>
      <c r="VZM1453"/>
      <c r="VZN1453"/>
      <c r="VZO1453"/>
      <c r="VZP1453"/>
      <c r="VZQ1453"/>
      <c r="VZR1453"/>
      <c r="VZS1453"/>
      <c r="VZT1453"/>
      <c r="VZU1453"/>
      <c r="VZV1453"/>
      <c r="VZW1453"/>
      <c r="VZX1453"/>
      <c r="VZY1453"/>
      <c r="VZZ1453"/>
      <c r="WAA1453"/>
      <c r="WAB1453"/>
      <c r="WAC1453"/>
      <c r="WAD1453"/>
      <c r="WAE1453"/>
      <c r="WAF1453"/>
      <c r="WAG1453"/>
      <c r="WAH1453"/>
      <c r="WAI1453"/>
      <c r="WAJ1453"/>
      <c r="WAK1453"/>
      <c r="WAL1453"/>
      <c r="WAM1453"/>
      <c r="WAN1453"/>
      <c r="WAO1453"/>
      <c r="WAP1453"/>
      <c r="WAQ1453"/>
      <c r="WAR1453"/>
      <c r="WAS1453"/>
      <c r="WAT1453"/>
      <c r="WAU1453"/>
      <c r="WAV1453"/>
      <c r="WAW1453"/>
      <c r="WAX1453"/>
      <c r="WAY1453"/>
      <c r="WAZ1453"/>
      <c r="WBA1453"/>
      <c r="WBB1453"/>
      <c r="WBC1453"/>
      <c r="WBD1453"/>
      <c r="WBE1453"/>
      <c r="WBF1453"/>
      <c r="WBG1453"/>
      <c r="WBH1453"/>
      <c r="WBI1453"/>
      <c r="WBJ1453"/>
      <c r="WBK1453"/>
      <c r="WBL1453"/>
      <c r="WBM1453"/>
      <c r="WBN1453"/>
      <c r="WBO1453"/>
      <c r="WBP1453"/>
      <c r="WBQ1453"/>
      <c r="WBR1453"/>
      <c r="WBS1453"/>
      <c r="WBT1453"/>
      <c r="WBU1453"/>
      <c r="WBV1453"/>
      <c r="WBW1453"/>
      <c r="WBX1453"/>
      <c r="WBY1453"/>
      <c r="WBZ1453"/>
      <c r="WCA1453"/>
      <c r="WCB1453"/>
      <c r="WCC1453"/>
      <c r="WCD1453"/>
      <c r="WCE1453"/>
      <c r="WCF1453"/>
      <c r="WCG1453"/>
      <c r="WCH1453"/>
      <c r="WCI1453"/>
      <c r="WCJ1453"/>
      <c r="WCK1453"/>
      <c r="WCL1453"/>
      <c r="WCM1453"/>
      <c r="WCN1453"/>
      <c r="WCO1453"/>
      <c r="WCP1453"/>
      <c r="WCQ1453"/>
      <c r="WCR1453"/>
      <c r="WCS1453"/>
      <c r="WCT1453"/>
      <c r="WCU1453"/>
      <c r="WCV1453"/>
      <c r="WCW1453"/>
      <c r="WCX1453"/>
      <c r="WCY1453"/>
      <c r="WCZ1453"/>
      <c r="WDA1453"/>
      <c r="WDB1453"/>
      <c r="WDC1453"/>
      <c r="WDD1453"/>
      <c r="WDE1453"/>
      <c r="WDF1453"/>
      <c r="WDG1453"/>
      <c r="WDH1453"/>
      <c r="WDI1453"/>
      <c r="WDJ1453"/>
      <c r="WDK1453"/>
      <c r="WDL1453"/>
      <c r="WDM1453"/>
      <c r="WDN1453"/>
      <c r="WDO1453"/>
      <c r="WDP1453"/>
      <c r="WDQ1453"/>
      <c r="WDR1453"/>
      <c r="WDS1453"/>
      <c r="WDT1453"/>
      <c r="WDU1453"/>
      <c r="WDV1453"/>
      <c r="WDW1453"/>
      <c r="WDX1453"/>
      <c r="WDY1453"/>
      <c r="WDZ1453"/>
      <c r="WEA1453"/>
      <c r="WEB1453"/>
      <c r="WEC1453"/>
      <c r="WED1453"/>
      <c r="WEE1453"/>
      <c r="WEF1453"/>
      <c r="WEG1453"/>
      <c r="WEH1453"/>
      <c r="WEI1453"/>
      <c r="WEJ1453"/>
      <c r="WEK1453"/>
      <c r="WEL1453"/>
      <c r="WEM1453"/>
      <c r="WEN1453"/>
      <c r="WEO1453"/>
      <c r="WEP1453"/>
      <c r="WEQ1453"/>
      <c r="WER1453"/>
      <c r="WES1453"/>
      <c r="WET1453"/>
      <c r="WEU1453"/>
      <c r="WEV1453"/>
      <c r="WEW1453"/>
      <c r="WEX1453"/>
      <c r="WEY1453"/>
      <c r="WEZ1453"/>
      <c r="WFA1453"/>
      <c r="WFB1453"/>
      <c r="WFC1453"/>
      <c r="WFD1453"/>
      <c r="WFE1453"/>
      <c r="WFF1453"/>
      <c r="WFG1453"/>
      <c r="WFH1453"/>
      <c r="WFI1453"/>
      <c r="WFJ1453"/>
      <c r="WFK1453"/>
      <c r="WFL1453"/>
      <c r="WFM1453"/>
      <c r="WFN1453"/>
      <c r="WFO1453"/>
      <c r="WFP1453"/>
      <c r="WFQ1453"/>
      <c r="WFR1453"/>
      <c r="WFS1453"/>
      <c r="WFT1453"/>
      <c r="WFU1453"/>
      <c r="WFV1453"/>
      <c r="WFW1453"/>
      <c r="WFX1453"/>
      <c r="WFY1453"/>
      <c r="WFZ1453"/>
      <c r="WGA1453"/>
      <c r="WGB1453"/>
      <c r="WGC1453"/>
      <c r="WGD1453"/>
      <c r="WGE1453"/>
      <c r="WGF1453"/>
      <c r="WGG1453"/>
      <c r="WGH1453"/>
      <c r="WGI1453"/>
      <c r="WGJ1453"/>
      <c r="WGK1453"/>
      <c r="WGL1453"/>
      <c r="WGM1453"/>
      <c r="WGN1453"/>
      <c r="WGO1453"/>
      <c r="WGP1453"/>
      <c r="WGQ1453"/>
      <c r="WGR1453"/>
      <c r="WGS1453"/>
      <c r="WGT1453"/>
      <c r="WGU1453"/>
      <c r="WGV1453"/>
      <c r="WGW1453"/>
      <c r="WGX1453"/>
      <c r="WGY1453"/>
      <c r="WGZ1453"/>
      <c r="WHA1453"/>
      <c r="WHB1453"/>
      <c r="WHC1453"/>
      <c r="WHD1453"/>
      <c r="WHE1453"/>
      <c r="WHF1453"/>
      <c r="WHG1453"/>
      <c r="WHH1453"/>
      <c r="WHI1453"/>
      <c r="WHJ1453"/>
      <c r="WHK1453"/>
      <c r="WHL1453"/>
      <c r="WHM1453"/>
      <c r="WHN1453"/>
      <c r="WHO1453"/>
      <c r="WHP1453"/>
      <c r="WHQ1453"/>
      <c r="WHR1453"/>
      <c r="WHS1453"/>
      <c r="WHT1453"/>
      <c r="WHU1453"/>
      <c r="WHV1453"/>
      <c r="WHW1453"/>
      <c r="WHX1453"/>
      <c r="WHY1453"/>
      <c r="WHZ1453"/>
      <c r="WIA1453"/>
      <c r="WIB1453"/>
      <c r="WIC1453"/>
      <c r="WID1453"/>
      <c r="WIE1453"/>
      <c r="WIF1453"/>
      <c r="WIG1453"/>
      <c r="WIH1453"/>
      <c r="WII1453"/>
      <c r="WIJ1453"/>
      <c r="WIK1453"/>
      <c r="WIL1453"/>
      <c r="WIM1453"/>
      <c r="WIN1453"/>
      <c r="WIO1453"/>
      <c r="WIP1453"/>
      <c r="WIQ1453"/>
      <c r="WIR1453"/>
      <c r="WIS1453"/>
      <c r="WIT1453"/>
      <c r="WIU1453"/>
      <c r="WIV1453"/>
      <c r="WIW1453"/>
      <c r="WIX1453"/>
      <c r="WIY1453"/>
      <c r="WIZ1453"/>
      <c r="WJA1453"/>
      <c r="WJB1453"/>
      <c r="WJC1453"/>
      <c r="WJD1453"/>
      <c r="WJE1453"/>
      <c r="WJF1453"/>
      <c r="WJG1453"/>
      <c r="WJH1453"/>
      <c r="WJI1453"/>
      <c r="WJJ1453"/>
      <c r="WJK1453"/>
      <c r="WJL1453"/>
      <c r="WJM1453"/>
      <c r="WJN1453"/>
      <c r="WJO1453"/>
      <c r="WJP1453"/>
      <c r="WJQ1453"/>
      <c r="WJR1453"/>
      <c r="WJS1453"/>
      <c r="WJT1453"/>
      <c r="WJU1453"/>
      <c r="WJV1453"/>
      <c r="WJW1453"/>
      <c r="WJX1453"/>
      <c r="WJY1453"/>
      <c r="WJZ1453"/>
      <c r="WKA1453"/>
      <c r="WKB1453"/>
      <c r="WKC1453"/>
      <c r="WKD1453"/>
      <c r="WKE1453"/>
      <c r="WKF1453"/>
      <c r="WKG1453"/>
      <c r="WKH1453"/>
      <c r="WKI1453"/>
      <c r="WKJ1453"/>
      <c r="WKK1453"/>
      <c r="WKL1453"/>
      <c r="WKM1453"/>
      <c r="WKN1453"/>
      <c r="WKO1453"/>
      <c r="WKP1453"/>
      <c r="WKQ1453"/>
      <c r="WKR1453"/>
      <c r="WKS1453"/>
      <c r="WKT1453"/>
      <c r="WKU1453"/>
      <c r="WKV1453"/>
      <c r="WKW1453"/>
      <c r="WKX1453"/>
      <c r="WKY1453"/>
      <c r="WKZ1453"/>
      <c r="WLA1453"/>
      <c r="WLB1453"/>
      <c r="WLC1453"/>
      <c r="WLD1453"/>
      <c r="WLE1453"/>
      <c r="WLF1453"/>
      <c r="WLG1453"/>
      <c r="WLH1453"/>
      <c r="WLI1453"/>
      <c r="WLJ1453"/>
      <c r="WLK1453"/>
      <c r="WLL1453"/>
      <c r="WLM1453"/>
      <c r="WLN1453"/>
      <c r="WLO1453"/>
      <c r="WLP1453"/>
      <c r="WLQ1453"/>
      <c r="WLR1453"/>
      <c r="WLS1453"/>
      <c r="WLT1453"/>
      <c r="WLU1453"/>
      <c r="WLV1453"/>
      <c r="WLW1453"/>
      <c r="WLX1453"/>
      <c r="WLY1453"/>
      <c r="WLZ1453"/>
      <c r="WMA1453"/>
      <c r="WMB1453"/>
      <c r="WMC1453"/>
      <c r="WMD1453"/>
      <c r="WME1453"/>
      <c r="WMF1453"/>
      <c r="WMG1453"/>
      <c r="WMH1453"/>
      <c r="WMI1453"/>
      <c r="WMJ1453"/>
      <c r="WMK1453"/>
      <c r="WML1453"/>
      <c r="WMM1453"/>
      <c r="WMN1453"/>
      <c r="WMO1453"/>
      <c r="WMP1453"/>
      <c r="WMQ1453"/>
      <c r="WMR1453"/>
      <c r="WMS1453"/>
      <c r="WMT1453"/>
      <c r="WMU1453"/>
      <c r="WMV1453"/>
      <c r="WMW1453"/>
      <c r="WMX1453"/>
      <c r="WMY1453"/>
      <c r="WMZ1453"/>
      <c r="WNA1453"/>
      <c r="WNB1453"/>
      <c r="WNC1453"/>
      <c r="WND1453"/>
      <c r="WNE1453"/>
      <c r="WNF1453"/>
      <c r="WNG1453"/>
      <c r="WNH1453"/>
      <c r="WNI1453"/>
      <c r="WNJ1453"/>
      <c r="WNK1453"/>
      <c r="WNL1453"/>
      <c r="WNM1453"/>
      <c r="WNN1453"/>
      <c r="WNO1453"/>
      <c r="WNP1453"/>
      <c r="WNQ1453"/>
      <c r="WNR1453"/>
      <c r="WNS1453"/>
      <c r="WNT1453"/>
      <c r="WNU1453"/>
      <c r="WNV1453"/>
      <c r="WNW1453"/>
      <c r="WNX1453"/>
      <c r="WNY1453"/>
      <c r="WNZ1453"/>
      <c r="WOA1453"/>
      <c r="WOB1453"/>
      <c r="WOC1453"/>
      <c r="WOD1453"/>
      <c r="WOE1453"/>
      <c r="WOF1453"/>
      <c r="WOG1453"/>
      <c r="WOH1453"/>
      <c r="WOI1453"/>
      <c r="WOJ1453"/>
      <c r="WOK1453"/>
      <c r="WOL1453"/>
      <c r="WOM1453"/>
      <c r="WON1453"/>
      <c r="WOO1453"/>
      <c r="WOP1453"/>
      <c r="WOQ1453"/>
      <c r="WOR1453"/>
      <c r="WOS1453"/>
      <c r="WOT1453"/>
      <c r="WOU1453"/>
      <c r="WOV1453"/>
      <c r="WOW1453"/>
      <c r="WOX1453"/>
      <c r="WOY1453"/>
      <c r="WOZ1453"/>
      <c r="WPA1453"/>
      <c r="WPB1453"/>
      <c r="WPC1453"/>
      <c r="WPD1453"/>
      <c r="WPE1453"/>
      <c r="WPF1453"/>
      <c r="WPG1453"/>
      <c r="WPH1453"/>
      <c r="WPI1453"/>
      <c r="WPJ1453"/>
      <c r="WPK1453"/>
      <c r="WPL1453"/>
      <c r="WPM1453"/>
      <c r="WPN1453"/>
      <c r="WPO1453"/>
      <c r="WPP1453"/>
      <c r="WPQ1453"/>
      <c r="WPR1453"/>
      <c r="WPS1453"/>
      <c r="WPT1453"/>
      <c r="WPU1453"/>
      <c r="WPV1453"/>
      <c r="WPW1453"/>
      <c r="WPX1453"/>
      <c r="WPY1453"/>
      <c r="WPZ1453"/>
      <c r="WQA1453"/>
      <c r="WQB1453"/>
      <c r="WQC1453"/>
      <c r="WQD1453"/>
      <c r="WQE1453"/>
      <c r="WQF1453"/>
      <c r="WQG1453"/>
      <c r="WQH1453"/>
      <c r="WQI1453"/>
      <c r="WQJ1453"/>
      <c r="WQK1453"/>
      <c r="WQL1453"/>
      <c r="WQM1453"/>
      <c r="WQN1453"/>
      <c r="WQO1453"/>
      <c r="WQP1453"/>
      <c r="WQQ1453"/>
      <c r="WQR1453"/>
      <c r="WQS1453"/>
      <c r="WQT1453"/>
      <c r="WQU1453"/>
      <c r="WQV1453"/>
      <c r="WQW1453"/>
      <c r="WQX1453"/>
      <c r="WQY1453"/>
      <c r="WQZ1453"/>
      <c r="WRA1453"/>
      <c r="WRB1453"/>
      <c r="WRC1453"/>
      <c r="WRD1453"/>
      <c r="WRE1453"/>
      <c r="WRF1453"/>
      <c r="WRG1453"/>
      <c r="WRH1453"/>
      <c r="WRI1453"/>
      <c r="WRJ1453"/>
      <c r="WRK1453"/>
      <c r="WRL1453"/>
      <c r="WRM1453"/>
      <c r="WRN1453"/>
      <c r="WRO1453"/>
      <c r="WRP1453"/>
      <c r="WRQ1453"/>
      <c r="WRR1453"/>
      <c r="WRS1453"/>
      <c r="WRT1453"/>
      <c r="WRU1453"/>
      <c r="WRV1453"/>
      <c r="WRW1453"/>
      <c r="WRX1453"/>
      <c r="WRY1453"/>
      <c r="WRZ1453"/>
      <c r="WSA1453"/>
      <c r="WSB1453"/>
      <c r="WSC1453"/>
      <c r="WSD1453"/>
      <c r="WSE1453"/>
      <c r="WSF1453"/>
      <c r="WSG1453"/>
      <c r="WSH1453"/>
      <c r="WSI1453"/>
      <c r="WSJ1453"/>
      <c r="WSK1453"/>
      <c r="WSL1453"/>
      <c r="WSM1453"/>
      <c r="WSN1453"/>
      <c r="WSO1453"/>
      <c r="WSP1453"/>
      <c r="WSQ1453"/>
      <c r="WSR1453"/>
      <c r="WSS1453"/>
      <c r="WST1453"/>
      <c r="WSU1453"/>
      <c r="WSV1453"/>
      <c r="WSW1453"/>
      <c r="WSX1453"/>
      <c r="WSY1453"/>
      <c r="WSZ1453"/>
      <c r="WTA1453"/>
      <c r="WTB1453"/>
      <c r="WTC1453"/>
      <c r="WTD1453"/>
      <c r="WTE1453"/>
      <c r="WTF1453"/>
      <c r="WTG1453"/>
      <c r="WTH1453"/>
      <c r="WTI1453"/>
      <c r="WTJ1453"/>
      <c r="WTK1453"/>
      <c r="WTL1453"/>
      <c r="WTM1453"/>
      <c r="WTN1453"/>
      <c r="WTO1453"/>
      <c r="WTP1453"/>
      <c r="WTQ1453"/>
      <c r="WTR1453"/>
      <c r="WTS1453"/>
      <c r="WTT1453"/>
      <c r="WTU1453"/>
      <c r="WTV1453"/>
      <c r="WTW1453"/>
      <c r="WTX1453"/>
      <c r="WTY1453"/>
      <c r="WTZ1453"/>
      <c r="WUA1453"/>
      <c r="WUB1453"/>
      <c r="WUC1453"/>
      <c r="WUD1453"/>
      <c r="WUE1453"/>
      <c r="WUF1453"/>
      <c r="WUG1453"/>
      <c r="WUH1453"/>
      <c r="WUI1453"/>
      <c r="WUJ1453"/>
      <c r="WUK1453"/>
      <c r="WUL1453"/>
      <c r="WUM1453"/>
      <c r="WUN1453"/>
      <c r="WUO1453"/>
      <c r="WUP1453"/>
      <c r="WUQ1453"/>
      <c r="WUR1453"/>
      <c r="WUS1453"/>
      <c r="WUT1453"/>
      <c r="WUU1453"/>
      <c r="WUV1453"/>
      <c r="WUW1453"/>
      <c r="WUX1453"/>
      <c r="WUY1453"/>
      <c r="WUZ1453"/>
      <c r="WVA1453"/>
      <c r="WVB1453"/>
      <c r="WVC1453"/>
      <c r="WVD1453"/>
      <c r="WVE1453"/>
      <c r="WVF1453"/>
      <c r="WVG1453"/>
      <c r="WVH1453"/>
      <c r="WVI1453"/>
      <c r="WVJ1453"/>
      <c r="WVK1453"/>
      <c r="WVL1453"/>
      <c r="WVM1453"/>
      <c r="WVN1453"/>
      <c r="WVO1453"/>
      <c r="WVP1453"/>
      <c r="WVQ1453"/>
      <c r="WVR1453"/>
      <c r="WVS1453"/>
      <c r="WVT1453"/>
      <c r="WVU1453"/>
      <c r="WVV1453"/>
      <c r="WVW1453"/>
      <c r="WVX1453"/>
      <c r="WVY1453"/>
      <c r="WVZ1453"/>
      <c r="WWA1453"/>
      <c r="WWB1453"/>
      <c r="WWC1453"/>
      <c r="WWD1453"/>
      <c r="WWE1453"/>
      <c r="WWF1453"/>
      <c r="WWG1453"/>
      <c r="WWH1453"/>
      <c r="WWI1453"/>
      <c r="WWJ1453"/>
      <c r="WWK1453"/>
      <c r="WWL1453"/>
      <c r="WWM1453"/>
      <c r="WWN1453"/>
      <c r="WWO1453"/>
      <c r="WWP1453"/>
      <c r="WWQ1453"/>
      <c r="WWR1453"/>
      <c r="WWS1453"/>
      <c r="WWT1453"/>
      <c r="WWU1453"/>
      <c r="WWV1453"/>
      <c r="WWW1453"/>
      <c r="WWX1453"/>
      <c r="WWY1453"/>
      <c r="WWZ1453"/>
      <c r="WXA1453"/>
      <c r="WXB1453"/>
      <c r="WXC1453"/>
      <c r="WXD1453"/>
      <c r="WXE1453"/>
      <c r="WXF1453"/>
      <c r="WXG1453"/>
      <c r="WXH1453"/>
      <c r="WXI1453"/>
      <c r="WXJ1453"/>
      <c r="WXK1453"/>
      <c r="WXL1453"/>
      <c r="WXM1453"/>
      <c r="WXN1453"/>
      <c r="WXO1453"/>
      <c r="WXP1453"/>
      <c r="WXQ1453"/>
      <c r="WXR1453"/>
      <c r="WXS1453"/>
      <c r="WXT1453"/>
      <c r="WXU1453"/>
      <c r="WXV1453"/>
      <c r="WXW1453"/>
      <c r="WXX1453"/>
      <c r="WXY1453"/>
      <c r="WXZ1453"/>
      <c r="WYA1453"/>
      <c r="WYB1453"/>
      <c r="WYC1453"/>
      <c r="WYD1453"/>
      <c r="WYE1453"/>
      <c r="WYF1453"/>
      <c r="WYG1453"/>
      <c r="WYH1453"/>
      <c r="WYI1453"/>
      <c r="WYJ1453"/>
      <c r="WYK1453"/>
      <c r="WYL1453"/>
      <c r="WYM1453"/>
      <c r="WYN1453"/>
      <c r="WYO1453"/>
      <c r="WYP1453"/>
      <c r="WYQ1453"/>
      <c r="WYR1453"/>
      <c r="WYS1453"/>
      <c r="WYT1453"/>
      <c r="WYU1453"/>
      <c r="WYV1453"/>
      <c r="WYW1453"/>
      <c r="WYX1453"/>
      <c r="WYY1453"/>
      <c r="WYZ1453"/>
      <c r="WZA1453"/>
      <c r="WZB1453"/>
      <c r="WZC1453"/>
      <c r="WZD1453"/>
      <c r="WZE1453"/>
      <c r="WZF1453"/>
      <c r="WZG1453"/>
      <c r="WZH1453"/>
      <c r="WZI1453"/>
      <c r="WZJ1453"/>
      <c r="WZK1453"/>
      <c r="WZL1453"/>
      <c r="WZM1453"/>
      <c r="WZN1453"/>
      <c r="WZO1453"/>
      <c r="WZP1453"/>
      <c r="WZQ1453"/>
      <c r="WZR1453"/>
      <c r="WZS1453"/>
      <c r="WZT1453"/>
      <c r="WZU1453"/>
      <c r="WZV1453"/>
      <c r="WZW1453"/>
      <c r="WZX1453"/>
      <c r="WZY1453"/>
      <c r="WZZ1453"/>
      <c r="XAA1453"/>
      <c r="XAB1453"/>
      <c r="XAC1453"/>
      <c r="XAD1453"/>
      <c r="XAE1453"/>
      <c r="XAF1453"/>
      <c r="XAG1453"/>
      <c r="XAH1453"/>
      <c r="XAI1453"/>
      <c r="XAJ1453"/>
      <c r="XAK1453"/>
      <c r="XAL1453"/>
      <c r="XAM1453"/>
      <c r="XAN1453"/>
      <c r="XAO1453"/>
      <c r="XAP1453"/>
      <c r="XAQ1453"/>
      <c r="XAR1453"/>
      <c r="XAS1453"/>
      <c r="XAT1453"/>
      <c r="XAU1453"/>
      <c r="XAV1453"/>
      <c r="XAW1453"/>
      <c r="XAX1453"/>
      <c r="XAY1453"/>
      <c r="XAZ1453"/>
      <c r="XBA1453"/>
      <c r="XBB1453"/>
      <c r="XBC1453"/>
      <c r="XBD1453"/>
      <c r="XBE1453"/>
      <c r="XBF1453"/>
      <c r="XBG1453"/>
      <c r="XBH1453"/>
      <c r="XBI1453"/>
      <c r="XBJ1453"/>
      <c r="XBK1453"/>
      <c r="XBL1453"/>
      <c r="XBM1453"/>
      <c r="XBN1453"/>
      <c r="XBO1453"/>
      <c r="XBP1453"/>
      <c r="XBQ1453"/>
      <c r="XBR1453"/>
      <c r="XBS1453"/>
      <c r="XBT1453"/>
      <c r="XBU1453"/>
      <c r="XBV1453"/>
      <c r="XBW1453"/>
      <c r="XBX1453"/>
      <c r="XBY1453"/>
      <c r="XBZ1453"/>
      <c r="XCA1453"/>
      <c r="XCB1453"/>
      <c r="XCC1453"/>
      <c r="XCD1453"/>
      <c r="XCE1453"/>
      <c r="XCF1453"/>
      <c r="XCG1453"/>
      <c r="XCH1453"/>
      <c r="XCI1453"/>
      <c r="XCJ1453"/>
      <c r="XCK1453"/>
      <c r="XCL1453"/>
      <c r="XCM1453"/>
      <c r="XCN1453"/>
      <c r="XCO1453"/>
      <c r="XCP1453"/>
      <c r="XCQ1453"/>
      <c r="XCR1453"/>
      <c r="XCS1453"/>
      <c r="XCT1453"/>
      <c r="XCU1453"/>
      <c r="XCV1453"/>
      <c r="XCW1453"/>
      <c r="XCX1453"/>
      <c r="XCY1453"/>
      <c r="XCZ1453"/>
      <c r="XDA1453"/>
      <c r="XDB1453"/>
      <c r="XDC1453"/>
      <c r="XDD1453"/>
      <c r="XDE1453"/>
      <c r="XDF1453"/>
      <c r="XDG1453"/>
      <c r="XDH1453"/>
      <c r="XDI1453"/>
      <c r="XDJ1453"/>
      <c r="XDK1453"/>
      <c r="XDL1453"/>
      <c r="XDM1453"/>
      <c r="XDN1453"/>
      <c r="XDO1453"/>
      <c r="XDP1453"/>
      <c r="XDQ1453"/>
      <c r="XDR1453"/>
      <c r="XDS1453"/>
      <c r="XDT1453"/>
      <c r="XDU1453"/>
      <c r="XDV1453"/>
      <c r="XDW1453"/>
      <c r="XDX1453"/>
      <c r="XDY1453"/>
      <c r="XDZ1453"/>
      <c r="XEA1453"/>
      <c r="XEB1453"/>
      <c r="XEC1453"/>
      <c r="XED1453"/>
      <c r="XEE1453"/>
      <c r="XEF1453"/>
      <c r="XEG1453"/>
      <c r="XEH1453"/>
      <c r="XEI1453"/>
      <c r="XEJ1453"/>
      <c r="XEK1453"/>
      <c r="XEL1453"/>
      <c r="XEM1453"/>
      <c r="XEN1453"/>
      <c r="XEO1453"/>
      <c r="XEP1453"/>
      <c r="XEQ1453"/>
      <c r="XER1453"/>
      <c r="XES1453"/>
      <c r="XET1453"/>
      <c r="XEU1453"/>
      <c r="XEV1453"/>
      <c r="XEW1453"/>
      <c r="XEX1453"/>
      <c r="XEY1453"/>
      <c r="XEZ1453"/>
    </row>
    <row r="1454" spans="1:16380" s="103" customFormat="1" ht="15.95" customHeight="1" x14ac:dyDescent="0.2">
      <c r="A1454" s="20" t="s">
        <v>1783</v>
      </c>
      <c r="B1454" s="20"/>
      <c r="D1454" s="20" t="s">
        <v>1784</v>
      </c>
      <c r="E1454" s="103" t="s">
        <v>1794</v>
      </c>
      <c r="F1454" s="20">
        <v>2017</v>
      </c>
      <c r="G1454" s="20" t="s">
        <v>1785</v>
      </c>
      <c r="H1454" s="166" t="s">
        <v>1390</v>
      </c>
      <c r="I1454" s="20" t="s">
        <v>1795</v>
      </c>
      <c r="J1454" s="20" t="s">
        <v>1786</v>
      </c>
      <c r="K1454" s="35" t="s">
        <v>184</v>
      </c>
      <c r="L1454" s="20" t="s">
        <v>151</v>
      </c>
      <c r="M1454" s="20" t="s">
        <v>183</v>
      </c>
      <c r="O1454" s="20" t="s">
        <v>1251</v>
      </c>
      <c r="P1454" s="166" t="s">
        <v>1390</v>
      </c>
      <c r="R1454" s="20" t="s">
        <v>1309</v>
      </c>
      <c r="S1454" s="20" t="s">
        <v>1787</v>
      </c>
      <c r="T1454" s="20" t="s">
        <v>52</v>
      </c>
      <c r="U1454" s="20" t="s">
        <v>52</v>
      </c>
      <c r="V1454" s="103">
        <v>3</v>
      </c>
      <c r="W1454" s="20" t="s">
        <v>45</v>
      </c>
      <c r="X1454" s="20" t="s">
        <v>46</v>
      </c>
      <c r="AB1454" s="124">
        <v>14</v>
      </c>
      <c r="AC1454" s="20" t="s">
        <v>214</v>
      </c>
      <c r="AD1454" s="20" t="s">
        <v>1788</v>
      </c>
      <c r="AE1454" s="20">
        <v>42</v>
      </c>
      <c r="AF1454" s="20"/>
      <c r="AG1454" s="103">
        <v>6.5</v>
      </c>
      <c r="AH1454" s="65">
        <v>6.3</v>
      </c>
      <c r="AI1454" s="20"/>
      <c r="AJ1454" s="65">
        <v>7</v>
      </c>
      <c r="AM1454" s="20"/>
      <c r="AN1454" s="19"/>
      <c r="AO1454" s="19"/>
      <c r="AP1454" s="20" t="s">
        <v>1789</v>
      </c>
      <c r="AQ1454" s="20">
        <v>22</v>
      </c>
      <c r="AR1454" s="19"/>
      <c r="AS1454" s="19"/>
      <c r="AT1454" s="65" t="str">
        <f t="shared" ref="AT1454" si="533">IF(F1454&lt;1980,"N",IF(AC1454="M","Y",IF(AC1454="SM","Y","N")))</f>
        <v>Y</v>
      </c>
      <c r="AU1454" s="65" t="str">
        <f t="shared" ref="AU1454" si="534">IF(AT1454="N","N",IF(AJ1454&lt;6,"N",IF(AJ1454&gt;8.5,"N","Y")))</f>
        <v>Y</v>
      </c>
      <c r="AV1454" s="65" t="str">
        <f t="shared" ref="AV1454" si="535">AU1454</f>
        <v>Y</v>
      </c>
      <c r="AW1454" s="99"/>
      <c r="AX1454" s="99"/>
      <c r="AY1454" s="20"/>
      <c r="AZ1454" s="96" t="str">
        <f t="shared" ref="AZ1454" si="536">IF(AV1454="N","n",T1454)</f>
        <v>NEC</v>
      </c>
      <c r="BA1454" s="96">
        <f>IF(AZ1454="n","n",VLOOKUP(AZ1454,'Conversion factors'!$C$4:$D$24,2,FALSE))</f>
        <v>1</v>
      </c>
      <c r="BB1454" s="96">
        <f t="shared" ref="BB1454" si="537">IF(BA1454="n","n",AB1454/BA1454)</f>
        <v>14</v>
      </c>
      <c r="BC1454" s="97"/>
      <c r="BD1454" s="96" t="str">
        <f t="shared" ref="BD1454" si="538">IF(AV1454="N","n",X1454)</f>
        <v>Chronic</v>
      </c>
      <c r="BE1454" s="96" t="str">
        <f t="shared" ref="BE1454" si="539">IF(BD1454="chronic","y","n")</f>
        <v>y</v>
      </c>
      <c r="BF1454" s="98" t="str">
        <f t="shared" ref="BF1454" si="540">IF(BE1454="n","",AZ1454)</f>
        <v>NEC</v>
      </c>
      <c r="BG1454" s="96" t="str">
        <f>IF(BF1454="","",IF(ISNUMBER(VLOOKUP(BF1454,'Conversion factors'!$B$35:$C$52,2,FALSE)),"y","n"))</f>
        <v>y</v>
      </c>
      <c r="BH1454" s="131"/>
      <c r="BI1454" s="100"/>
      <c r="BJ1454" s="100"/>
    </row>
    <row r="1455" spans="1:16380" s="103" customFormat="1" ht="15.95" customHeight="1" x14ac:dyDescent="0.2">
      <c r="A1455" s="20" t="s">
        <v>1783</v>
      </c>
      <c r="B1455" s="20"/>
      <c r="D1455" s="20" t="s">
        <v>1784</v>
      </c>
      <c r="E1455" s="103" t="s">
        <v>1794</v>
      </c>
      <c r="F1455" s="20">
        <v>2017</v>
      </c>
      <c r="G1455" s="20" t="s">
        <v>1785</v>
      </c>
      <c r="H1455" s="166" t="s">
        <v>1390</v>
      </c>
      <c r="I1455" s="20" t="s">
        <v>1795</v>
      </c>
      <c r="J1455" s="20" t="s">
        <v>1790</v>
      </c>
      <c r="K1455" s="35" t="s">
        <v>184</v>
      </c>
      <c r="L1455" s="20" t="s">
        <v>151</v>
      </c>
      <c r="M1455" s="20" t="s">
        <v>183</v>
      </c>
      <c r="O1455" s="20" t="s">
        <v>1251</v>
      </c>
      <c r="P1455" s="166" t="s">
        <v>1390</v>
      </c>
      <c r="R1455" s="20" t="s">
        <v>1309</v>
      </c>
      <c r="S1455" s="20" t="s">
        <v>1787</v>
      </c>
      <c r="T1455" s="20" t="s">
        <v>52</v>
      </c>
      <c r="U1455" s="20" t="s">
        <v>52</v>
      </c>
      <c r="V1455" s="103">
        <v>3</v>
      </c>
      <c r="W1455" s="20" t="s">
        <v>45</v>
      </c>
      <c r="X1455" s="20" t="s">
        <v>46</v>
      </c>
      <c r="AB1455" s="175">
        <v>8.4</v>
      </c>
      <c r="AC1455" s="20" t="s">
        <v>214</v>
      </c>
      <c r="AD1455" s="20" t="s">
        <v>1788</v>
      </c>
      <c r="AE1455" s="20">
        <v>42</v>
      </c>
      <c r="AF1455" s="20"/>
      <c r="AG1455" s="103">
        <v>6.5</v>
      </c>
      <c r="AH1455" s="65">
        <v>6.3</v>
      </c>
      <c r="AI1455" s="20"/>
      <c r="AJ1455" s="65">
        <v>7</v>
      </c>
      <c r="AM1455" s="20"/>
      <c r="AN1455" s="19"/>
      <c r="AO1455" s="19"/>
      <c r="AP1455" s="20" t="s">
        <v>1789</v>
      </c>
      <c r="AQ1455" s="20">
        <v>22</v>
      </c>
      <c r="AR1455" s="19"/>
      <c r="AS1455" s="19"/>
      <c r="AT1455" s="65" t="str">
        <f t="shared" ref="AT1455:AT1459" si="541">IF(F1455&lt;1980,"N",IF(AC1455="M","Y",IF(AC1455="SM","Y","N")))</f>
        <v>Y</v>
      </c>
      <c r="AU1455" s="65" t="str">
        <f t="shared" ref="AU1455:AU1459" si="542">IF(AT1455="N","N",IF(AJ1455&lt;6,"N",IF(AJ1455&gt;8.5,"N","Y")))</f>
        <v>Y</v>
      </c>
      <c r="AV1455" s="65" t="str">
        <f t="shared" ref="AV1455:AV1459" si="543">AU1455</f>
        <v>Y</v>
      </c>
      <c r="AW1455" s="99"/>
      <c r="AX1455" s="99"/>
      <c r="AY1455" s="20"/>
      <c r="AZ1455" s="96" t="str">
        <f t="shared" ref="AZ1455:AZ1459" si="544">IF(AV1455="N","n",T1455)</f>
        <v>NEC</v>
      </c>
      <c r="BA1455" s="96">
        <f>IF(AZ1455="n","n",VLOOKUP(AZ1455,'Conversion factors'!$C$4:$D$24,2,FALSE))</f>
        <v>1</v>
      </c>
      <c r="BB1455" s="96">
        <f t="shared" ref="BB1455:BB1459" si="545">IF(BA1455="n","n",AB1455/BA1455)</f>
        <v>8.4</v>
      </c>
      <c r="BC1455" s="97"/>
      <c r="BD1455" s="96" t="str">
        <f t="shared" ref="BD1455:BD1459" si="546">IF(AV1455="N","n",X1455)</f>
        <v>Chronic</v>
      </c>
      <c r="BE1455" s="96" t="str">
        <f t="shared" ref="BE1455:BE1459" si="547">IF(BD1455="chronic","y","n")</f>
        <v>y</v>
      </c>
      <c r="BF1455" s="98" t="str">
        <f t="shared" ref="BF1455:BF1459" si="548">IF(BE1455="n","",AZ1455)</f>
        <v>NEC</v>
      </c>
      <c r="BG1455" s="96" t="str">
        <f>IF(BF1455="","",IF(ISNUMBER(VLOOKUP(BF1455,'Conversion factors'!$B$35:$C$52,2,FALSE)),"y","n"))</f>
        <v>y</v>
      </c>
      <c r="BH1455" s="131"/>
      <c r="BI1455" s="100"/>
      <c r="BJ1455" s="100"/>
    </row>
    <row r="1456" spans="1:16380" s="103" customFormat="1" ht="15.95" customHeight="1" x14ac:dyDescent="0.2">
      <c r="A1456" s="20" t="s">
        <v>1783</v>
      </c>
      <c r="B1456" s="20"/>
      <c r="D1456" s="20" t="s">
        <v>1784</v>
      </c>
      <c r="E1456" s="103" t="s">
        <v>1794</v>
      </c>
      <c r="F1456" s="20">
        <v>2017</v>
      </c>
      <c r="G1456" s="20" t="s">
        <v>1785</v>
      </c>
      <c r="H1456" s="166" t="s">
        <v>1390</v>
      </c>
      <c r="I1456" s="20" t="s">
        <v>1795</v>
      </c>
      <c r="J1456" s="20" t="s">
        <v>1791</v>
      </c>
      <c r="K1456" s="35" t="s">
        <v>184</v>
      </c>
      <c r="L1456" s="20" t="s">
        <v>151</v>
      </c>
      <c r="M1456" s="20" t="s">
        <v>183</v>
      </c>
      <c r="O1456" s="20" t="s">
        <v>1251</v>
      </c>
      <c r="P1456" s="166" t="s">
        <v>1390</v>
      </c>
      <c r="R1456" s="20" t="s">
        <v>1309</v>
      </c>
      <c r="S1456" s="20" t="s">
        <v>1787</v>
      </c>
      <c r="T1456" s="20" t="s">
        <v>52</v>
      </c>
      <c r="U1456" s="20" t="s">
        <v>52</v>
      </c>
      <c r="V1456" s="103">
        <v>3</v>
      </c>
      <c r="W1456" s="20" t="s">
        <v>45</v>
      </c>
      <c r="X1456" s="20" t="s">
        <v>46</v>
      </c>
      <c r="AB1456" s="175">
        <v>8.6999999999999993</v>
      </c>
      <c r="AC1456" s="20" t="s">
        <v>214</v>
      </c>
      <c r="AD1456" s="20" t="s">
        <v>1788</v>
      </c>
      <c r="AE1456" s="20">
        <v>42</v>
      </c>
      <c r="AF1456" s="20"/>
      <c r="AG1456" s="103">
        <v>6.5</v>
      </c>
      <c r="AH1456" s="65">
        <v>6.3</v>
      </c>
      <c r="AI1456" s="20"/>
      <c r="AJ1456" s="65">
        <v>7</v>
      </c>
      <c r="AM1456" s="20"/>
      <c r="AN1456" s="19"/>
      <c r="AO1456" s="19"/>
      <c r="AP1456" s="20" t="s">
        <v>1789</v>
      </c>
      <c r="AQ1456" s="20">
        <v>22</v>
      </c>
      <c r="AR1456" s="19"/>
      <c r="AS1456" s="19"/>
      <c r="AT1456" s="65" t="str">
        <f t="shared" si="541"/>
        <v>Y</v>
      </c>
      <c r="AU1456" s="65" t="str">
        <f t="shared" si="542"/>
        <v>Y</v>
      </c>
      <c r="AV1456" s="65" t="str">
        <f t="shared" si="543"/>
        <v>Y</v>
      </c>
      <c r="AW1456" s="99"/>
      <c r="AX1456" s="99"/>
      <c r="AY1456" s="20"/>
      <c r="AZ1456" s="96" t="str">
        <f t="shared" si="544"/>
        <v>NEC</v>
      </c>
      <c r="BA1456" s="96">
        <f>IF(AZ1456="n","n",VLOOKUP(AZ1456,'Conversion factors'!$C$4:$D$24,2,FALSE))</f>
        <v>1</v>
      </c>
      <c r="BB1456" s="96">
        <f t="shared" si="545"/>
        <v>8.6999999999999993</v>
      </c>
      <c r="BC1456" s="97"/>
      <c r="BD1456" s="96" t="str">
        <f t="shared" si="546"/>
        <v>Chronic</v>
      </c>
      <c r="BE1456" s="96" t="str">
        <f t="shared" si="547"/>
        <v>y</v>
      </c>
      <c r="BF1456" s="98" t="str">
        <f t="shared" si="548"/>
        <v>NEC</v>
      </c>
      <c r="BG1456" s="96" t="str">
        <f>IF(BF1456="","",IF(ISNUMBER(VLOOKUP(BF1456,'Conversion factors'!$B$35:$C$52,2,FALSE)),"y","n"))</f>
        <v>y</v>
      </c>
      <c r="BH1456" s="131"/>
      <c r="BI1456" s="100"/>
      <c r="BJ1456" s="100"/>
    </row>
    <row r="1457" spans="1:62" s="103" customFormat="1" ht="15.95" customHeight="1" x14ac:dyDescent="0.2">
      <c r="A1457" s="20" t="s">
        <v>1783</v>
      </c>
      <c r="B1457" s="20"/>
      <c r="D1457" s="20" t="s">
        <v>1784</v>
      </c>
      <c r="E1457" s="103" t="s">
        <v>1794</v>
      </c>
      <c r="F1457" s="20">
        <v>2017</v>
      </c>
      <c r="G1457" s="20" t="s">
        <v>1785</v>
      </c>
      <c r="H1457" s="166" t="s">
        <v>1390</v>
      </c>
      <c r="I1457" s="20" t="s">
        <v>1795</v>
      </c>
      <c r="J1457" s="20" t="s">
        <v>1792</v>
      </c>
      <c r="K1457" s="35" t="s">
        <v>184</v>
      </c>
      <c r="L1457" s="20" t="s">
        <v>151</v>
      </c>
      <c r="M1457" s="20" t="s">
        <v>183</v>
      </c>
      <c r="O1457" s="20" t="s">
        <v>1251</v>
      </c>
      <c r="P1457" s="166" t="s">
        <v>1390</v>
      </c>
      <c r="R1457" s="20" t="s">
        <v>1309</v>
      </c>
      <c r="S1457" s="20" t="s">
        <v>1787</v>
      </c>
      <c r="T1457" s="20" t="s">
        <v>52</v>
      </c>
      <c r="U1457" s="20" t="s">
        <v>52</v>
      </c>
      <c r="V1457" s="103">
        <v>3</v>
      </c>
      <c r="W1457" s="20" t="s">
        <v>45</v>
      </c>
      <c r="X1457" s="20" t="s">
        <v>46</v>
      </c>
      <c r="AB1457" s="124">
        <v>10</v>
      </c>
      <c r="AC1457" s="20" t="s">
        <v>214</v>
      </c>
      <c r="AD1457" s="20" t="s">
        <v>1788</v>
      </c>
      <c r="AE1457" s="20">
        <v>42</v>
      </c>
      <c r="AF1457" s="20"/>
      <c r="AG1457" s="103">
        <v>6.5</v>
      </c>
      <c r="AH1457" s="65">
        <v>6.3</v>
      </c>
      <c r="AI1457" s="20"/>
      <c r="AJ1457" s="65">
        <v>7</v>
      </c>
      <c r="AM1457" s="20"/>
      <c r="AN1457" s="19"/>
      <c r="AO1457" s="19"/>
      <c r="AP1457" s="20" t="s">
        <v>1789</v>
      </c>
      <c r="AQ1457" s="20">
        <v>22</v>
      </c>
      <c r="AR1457" s="19"/>
      <c r="AS1457" s="19"/>
      <c r="AT1457" s="65" t="str">
        <f t="shared" si="541"/>
        <v>Y</v>
      </c>
      <c r="AU1457" s="65" t="str">
        <f t="shared" si="542"/>
        <v>Y</v>
      </c>
      <c r="AV1457" s="65" t="str">
        <f t="shared" si="543"/>
        <v>Y</v>
      </c>
      <c r="AW1457" s="99"/>
      <c r="AX1457" s="99"/>
      <c r="AY1457" s="20"/>
      <c r="AZ1457" s="96" t="str">
        <f t="shared" si="544"/>
        <v>NEC</v>
      </c>
      <c r="BA1457" s="96">
        <f>IF(AZ1457="n","n",VLOOKUP(AZ1457,'Conversion factors'!$C$4:$D$24,2,FALSE))</f>
        <v>1</v>
      </c>
      <c r="BB1457" s="96">
        <f t="shared" si="545"/>
        <v>10</v>
      </c>
      <c r="BC1457" s="97"/>
      <c r="BD1457" s="96" t="str">
        <f t="shared" si="546"/>
        <v>Chronic</v>
      </c>
      <c r="BE1457" s="96" t="str">
        <f t="shared" si="547"/>
        <v>y</v>
      </c>
      <c r="BF1457" s="98" t="str">
        <f t="shared" si="548"/>
        <v>NEC</v>
      </c>
      <c r="BG1457" s="96" t="str">
        <f>IF(BF1457="","",IF(ISNUMBER(VLOOKUP(BF1457,'Conversion factors'!$B$35:$C$52,2,FALSE)),"y","n"))</f>
        <v>y</v>
      </c>
      <c r="BH1457" s="131"/>
      <c r="BI1457" s="100"/>
      <c r="BJ1457" s="100"/>
    </row>
    <row r="1458" spans="1:62" s="103" customFormat="1" ht="15.95" customHeight="1" x14ac:dyDescent="0.2">
      <c r="A1458" s="20" t="s">
        <v>1783</v>
      </c>
      <c r="B1458" s="20"/>
      <c r="D1458" s="20" t="s">
        <v>1784</v>
      </c>
      <c r="E1458" s="103" t="s">
        <v>1794</v>
      </c>
      <c r="F1458" s="20">
        <v>2017</v>
      </c>
      <c r="G1458" s="20" t="s">
        <v>1785</v>
      </c>
      <c r="H1458" s="166" t="s">
        <v>1390</v>
      </c>
      <c r="I1458" s="20" t="s">
        <v>1795</v>
      </c>
      <c r="J1458" s="20" t="s">
        <v>1793</v>
      </c>
      <c r="K1458" s="35" t="s">
        <v>184</v>
      </c>
      <c r="L1458" s="20" t="s">
        <v>151</v>
      </c>
      <c r="M1458" s="20" t="s">
        <v>183</v>
      </c>
      <c r="O1458" s="20" t="s">
        <v>1251</v>
      </c>
      <c r="P1458" s="166" t="s">
        <v>1390</v>
      </c>
      <c r="R1458" s="20" t="s">
        <v>1309</v>
      </c>
      <c r="S1458" s="20" t="s">
        <v>1787</v>
      </c>
      <c r="T1458" s="20" t="s">
        <v>52</v>
      </c>
      <c r="U1458" s="20" t="s">
        <v>52</v>
      </c>
      <c r="V1458" s="103">
        <v>3</v>
      </c>
      <c r="W1458" s="20" t="s">
        <v>45</v>
      </c>
      <c r="X1458" s="20" t="s">
        <v>46</v>
      </c>
      <c r="AB1458" s="124">
        <v>11</v>
      </c>
      <c r="AC1458" s="20" t="s">
        <v>214</v>
      </c>
      <c r="AD1458" s="20" t="s">
        <v>1788</v>
      </c>
      <c r="AE1458" s="20">
        <v>42</v>
      </c>
      <c r="AF1458" s="20"/>
      <c r="AG1458" s="103">
        <v>6.5</v>
      </c>
      <c r="AH1458" s="65">
        <v>6.3</v>
      </c>
      <c r="AI1458" s="20"/>
      <c r="AJ1458" s="65">
        <v>7</v>
      </c>
      <c r="AM1458" s="20"/>
      <c r="AN1458" s="19"/>
      <c r="AO1458" s="19"/>
      <c r="AP1458" s="20" t="s">
        <v>1789</v>
      </c>
      <c r="AQ1458" s="20">
        <v>22</v>
      </c>
      <c r="AR1458" s="19"/>
      <c r="AS1458" s="19"/>
      <c r="AT1458" s="65" t="str">
        <f t="shared" si="541"/>
        <v>Y</v>
      </c>
      <c r="AU1458" s="65" t="str">
        <f t="shared" si="542"/>
        <v>Y</v>
      </c>
      <c r="AV1458" s="65" t="str">
        <f t="shared" si="543"/>
        <v>Y</v>
      </c>
      <c r="AW1458" s="99"/>
      <c r="AX1458" s="99"/>
      <c r="AY1458" s="20"/>
      <c r="AZ1458" s="96" t="str">
        <f t="shared" si="544"/>
        <v>NEC</v>
      </c>
      <c r="BA1458" s="96">
        <f>IF(AZ1458="n","n",VLOOKUP(AZ1458,'Conversion factors'!$C$4:$D$24,2,FALSE))</f>
        <v>1</v>
      </c>
      <c r="BB1458" s="96">
        <f t="shared" si="545"/>
        <v>11</v>
      </c>
      <c r="BC1458" s="97"/>
      <c r="BD1458" s="96" t="str">
        <f t="shared" si="546"/>
        <v>Chronic</v>
      </c>
      <c r="BE1458" s="96" t="str">
        <f t="shared" si="547"/>
        <v>y</v>
      </c>
      <c r="BF1458" s="98" t="str">
        <f t="shared" si="548"/>
        <v>NEC</v>
      </c>
      <c r="BG1458" s="96" t="str">
        <f>IF(BF1458="","",IF(ISNUMBER(VLOOKUP(BF1458,'Conversion factors'!$B$35:$C$52,2,FALSE)),"y","n"))</f>
        <v>y</v>
      </c>
      <c r="BH1458" s="131"/>
      <c r="BI1458" s="100"/>
      <c r="BJ1458" s="100"/>
    </row>
    <row r="1459" spans="1:62" s="103" customFormat="1" ht="15.95" customHeight="1" x14ac:dyDescent="0.2">
      <c r="A1459" s="20" t="s">
        <v>1783</v>
      </c>
      <c r="B1459" s="20"/>
      <c r="D1459" s="20" t="s">
        <v>1784</v>
      </c>
      <c r="E1459" s="103" t="s">
        <v>1794</v>
      </c>
      <c r="F1459" s="20">
        <v>2017</v>
      </c>
      <c r="G1459" s="20" t="s">
        <v>1785</v>
      </c>
      <c r="H1459" s="166" t="s">
        <v>1390</v>
      </c>
      <c r="I1459" s="20" t="s">
        <v>1795</v>
      </c>
      <c r="J1459" s="20" t="s">
        <v>140</v>
      </c>
      <c r="K1459" s="35" t="s">
        <v>184</v>
      </c>
      <c r="L1459" s="20" t="s">
        <v>151</v>
      </c>
      <c r="M1459" s="20" t="s">
        <v>183</v>
      </c>
      <c r="O1459" s="20" t="s">
        <v>1251</v>
      </c>
      <c r="P1459" s="166" t="s">
        <v>1390</v>
      </c>
      <c r="R1459" s="20" t="s">
        <v>1309</v>
      </c>
      <c r="S1459" s="20" t="s">
        <v>1787</v>
      </c>
      <c r="T1459" s="20" t="s">
        <v>52</v>
      </c>
      <c r="U1459" s="20" t="s">
        <v>52</v>
      </c>
      <c r="V1459" s="103">
        <v>3</v>
      </c>
      <c r="W1459" s="20" t="s">
        <v>45</v>
      </c>
      <c r="X1459" s="20" t="s">
        <v>46</v>
      </c>
      <c r="AB1459" s="124">
        <v>15</v>
      </c>
      <c r="AC1459" s="20" t="s">
        <v>214</v>
      </c>
      <c r="AD1459" s="20" t="s">
        <v>1788</v>
      </c>
      <c r="AE1459" s="20">
        <v>42</v>
      </c>
      <c r="AF1459" s="20"/>
      <c r="AG1459" s="103">
        <v>6.5</v>
      </c>
      <c r="AH1459" s="65">
        <v>6.3</v>
      </c>
      <c r="AI1459" s="20"/>
      <c r="AJ1459" s="65">
        <v>7</v>
      </c>
      <c r="AM1459" s="20"/>
      <c r="AN1459" s="19"/>
      <c r="AO1459" s="19"/>
      <c r="AP1459" s="20" t="s">
        <v>1789</v>
      </c>
      <c r="AQ1459" s="20">
        <v>22</v>
      </c>
      <c r="AR1459" s="19"/>
      <c r="AS1459" s="19"/>
      <c r="AT1459" s="65" t="str">
        <f t="shared" si="541"/>
        <v>Y</v>
      </c>
      <c r="AU1459" s="65" t="str">
        <f t="shared" si="542"/>
        <v>Y</v>
      </c>
      <c r="AV1459" s="65" t="str">
        <f t="shared" si="543"/>
        <v>Y</v>
      </c>
      <c r="AW1459" s="99"/>
      <c r="AX1459" s="99"/>
      <c r="AY1459" s="20"/>
      <c r="AZ1459" s="96" t="str">
        <f t="shared" si="544"/>
        <v>NEC</v>
      </c>
      <c r="BA1459" s="96">
        <f>IF(AZ1459="n","n",VLOOKUP(AZ1459,'Conversion factors'!$C$4:$D$24,2,FALSE))</f>
        <v>1</v>
      </c>
      <c r="BB1459" s="96">
        <f t="shared" si="545"/>
        <v>15</v>
      </c>
      <c r="BC1459" s="97"/>
      <c r="BD1459" s="96" t="str">
        <f t="shared" si="546"/>
        <v>Chronic</v>
      </c>
      <c r="BE1459" s="96" t="str">
        <f t="shared" si="547"/>
        <v>y</v>
      </c>
      <c r="BF1459" s="98" t="str">
        <f t="shared" si="548"/>
        <v>NEC</v>
      </c>
      <c r="BG1459" s="96" t="str">
        <f>IF(BF1459="","",IF(ISNUMBER(VLOOKUP(BF1459,'Conversion factors'!$B$35:$C$52,2,FALSE)),"y","n"))</f>
        <v>y</v>
      </c>
      <c r="BH1459" s="131"/>
      <c r="BI1459" s="100"/>
      <c r="BJ1459" s="100"/>
    </row>
    <row r="1460" spans="1:62" s="103" customFormat="1" ht="15.95" customHeight="1" x14ac:dyDescent="0.2">
      <c r="A1460" s="18"/>
      <c r="B1460" s="19"/>
      <c r="C1460" s="19"/>
      <c r="D1460" s="19"/>
      <c r="E1460" s="19"/>
      <c r="F1460" s="93"/>
      <c r="G1460" s="19"/>
      <c r="H1460" s="19"/>
      <c r="I1460" s="19"/>
      <c r="J1460" s="19"/>
      <c r="K1460" s="19"/>
      <c r="L1460" s="19"/>
      <c r="M1460" s="99"/>
      <c r="N1460" s="19"/>
      <c r="O1460" s="19"/>
      <c r="P1460" s="19"/>
      <c r="Q1460" s="19"/>
      <c r="R1460" s="19"/>
      <c r="S1460" s="19"/>
      <c r="T1460" s="19"/>
      <c r="U1460" s="19"/>
      <c r="V1460" s="19"/>
      <c r="W1460" s="19"/>
      <c r="X1460" s="19"/>
      <c r="Y1460" s="29"/>
      <c r="Z1460" s="19"/>
      <c r="AA1460" s="19"/>
      <c r="AB1460" s="19"/>
      <c r="AC1460" s="19"/>
      <c r="AD1460" s="19"/>
      <c r="AE1460" s="19"/>
      <c r="AF1460" s="19"/>
      <c r="AG1460" s="19"/>
      <c r="AH1460" s="19"/>
      <c r="AI1460" s="19"/>
      <c r="AJ1460" s="19"/>
      <c r="AK1460" s="19"/>
      <c r="AL1460" s="19"/>
      <c r="AM1460" s="19"/>
      <c r="AN1460" s="19"/>
      <c r="AO1460" s="19"/>
      <c r="AP1460" s="94"/>
      <c r="AQ1460" s="19"/>
      <c r="AR1460" s="19"/>
      <c r="AS1460" s="19"/>
      <c r="AT1460" s="65"/>
      <c r="AU1460" s="65"/>
      <c r="AV1460" s="65"/>
      <c r="AW1460" s="99"/>
      <c r="AX1460" s="99"/>
      <c r="AY1460" s="93"/>
      <c r="AZ1460" s="96"/>
      <c r="BA1460" s="96"/>
      <c r="BB1460" s="96"/>
      <c r="BC1460" s="97"/>
      <c r="BD1460" s="98"/>
      <c r="BE1460" s="96"/>
      <c r="BF1460" s="98"/>
      <c r="BG1460" s="96"/>
      <c r="BH1460" s="99"/>
    </row>
    <row r="1461" spans="1:62" s="103" customFormat="1" ht="15.95" customHeight="1" x14ac:dyDescent="0.2">
      <c r="A1461" s="18"/>
      <c r="B1461" s="19"/>
      <c r="C1461" s="19"/>
      <c r="D1461" s="19"/>
      <c r="E1461" s="19"/>
      <c r="F1461" s="93"/>
      <c r="G1461" s="19"/>
      <c r="H1461" s="19"/>
      <c r="I1461" s="19"/>
      <c r="J1461" s="19"/>
      <c r="K1461" s="19"/>
      <c r="L1461" s="19"/>
      <c r="M1461" s="99"/>
      <c r="N1461" s="19"/>
      <c r="O1461" s="19"/>
      <c r="P1461" s="19"/>
      <c r="Q1461" s="19"/>
      <c r="R1461" s="19"/>
      <c r="S1461" s="19"/>
      <c r="T1461" s="19"/>
      <c r="U1461" s="19"/>
      <c r="V1461" s="19"/>
      <c r="W1461" s="19"/>
      <c r="X1461" s="19"/>
      <c r="Y1461" s="29"/>
      <c r="Z1461" s="19"/>
      <c r="AA1461" s="19"/>
      <c r="AB1461" s="19"/>
      <c r="AC1461" s="19"/>
      <c r="AD1461" s="19"/>
      <c r="AE1461" s="19"/>
      <c r="AF1461" s="19"/>
      <c r="AG1461" s="19"/>
      <c r="AH1461" s="19"/>
      <c r="AI1461" s="19"/>
      <c r="AJ1461" s="19"/>
      <c r="AK1461" s="19"/>
      <c r="AL1461" s="19"/>
      <c r="AM1461" s="19"/>
      <c r="AN1461" s="19"/>
      <c r="AO1461" s="19"/>
      <c r="AP1461" s="94"/>
      <c r="AQ1461" s="19"/>
      <c r="AR1461" s="108"/>
      <c r="AS1461" s="19"/>
      <c r="AT1461" s="65"/>
      <c r="AU1461" s="65"/>
      <c r="AV1461" s="65"/>
      <c r="AW1461" s="99"/>
      <c r="AX1461" s="99"/>
      <c r="AY1461" s="93"/>
      <c r="AZ1461" s="96"/>
      <c r="BA1461" s="96"/>
      <c r="BB1461" s="96"/>
      <c r="BC1461" s="97"/>
      <c r="BD1461" s="98"/>
      <c r="BE1461" s="96"/>
      <c r="BF1461" s="98"/>
      <c r="BG1461" s="96"/>
      <c r="BH1461" s="99"/>
      <c r="BI1461" s="100"/>
      <c r="BJ1461" s="100"/>
    </row>
    <row r="1462" spans="1:62" s="103" customFormat="1" ht="15.95" customHeight="1" x14ac:dyDescent="0.2">
      <c r="A1462" s="18"/>
      <c r="B1462" s="19"/>
      <c r="C1462" s="19"/>
      <c r="D1462" s="19"/>
      <c r="E1462" s="19"/>
      <c r="F1462" s="93"/>
      <c r="G1462" s="19"/>
      <c r="H1462" s="19"/>
      <c r="I1462" s="19"/>
      <c r="J1462" s="19"/>
      <c r="K1462" s="19"/>
      <c r="L1462" s="19"/>
      <c r="M1462" s="99"/>
      <c r="N1462" s="19"/>
      <c r="O1462" s="19"/>
      <c r="P1462" s="19"/>
      <c r="Q1462" s="19"/>
      <c r="R1462" s="19"/>
      <c r="S1462" s="19"/>
      <c r="T1462" s="19"/>
      <c r="U1462" s="19"/>
      <c r="V1462" s="19"/>
      <c r="W1462" s="19"/>
      <c r="X1462" s="19"/>
      <c r="Y1462" s="29"/>
      <c r="Z1462" s="19"/>
      <c r="AA1462" s="19"/>
      <c r="AB1462" s="19"/>
      <c r="AC1462" s="19"/>
      <c r="AD1462" s="19"/>
      <c r="AE1462" s="19"/>
      <c r="AF1462" s="19"/>
      <c r="AG1462" s="19"/>
      <c r="AH1462" s="19"/>
      <c r="AI1462" s="19"/>
      <c r="AJ1462" s="19"/>
      <c r="AK1462" s="19"/>
      <c r="AL1462" s="19"/>
      <c r="AM1462" s="19"/>
      <c r="AN1462" s="19"/>
      <c r="AO1462" s="19"/>
      <c r="AP1462" s="94"/>
      <c r="AQ1462" s="19"/>
      <c r="AR1462" s="108"/>
      <c r="AS1462" s="19"/>
      <c r="AT1462" s="65"/>
      <c r="AU1462" s="65"/>
      <c r="AV1462" s="65"/>
      <c r="AW1462" s="99"/>
      <c r="AX1462" s="99"/>
      <c r="AY1462" s="93"/>
      <c r="AZ1462" s="96"/>
      <c r="BA1462" s="96"/>
      <c r="BB1462" s="96"/>
      <c r="BC1462" s="97"/>
      <c r="BD1462" s="98"/>
      <c r="BE1462" s="96"/>
      <c r="BF1462" s="98"/>
      <c r="BG1462" s="96"/>
      <c r="BH1462" s="99"/>
      <c r="BI1462" s="100"/>
      <c r="BJ1462" s="100"/>
    </row>
    <row r="1463" spans="1:62" s="103" customFormat="1" ht="15.95" customHeight="1" x14ac:dyDescent="0.2">
      <c r="A1463" s="18"/>
      <c r="B1463" s="19"/>
      <c r="C1463" s="19"/>
      <c r="D1463" s="19"/>
      <c r="E1463" s="19"/>
      <c r="F1463" s="93"/>
      <c r="G1463" s="19"/>
      <c r="H1463" s="19"/>
      <c r="I1463" s="19"/>
      <c r="J1463" s="19"/>
      <c r="K1463" s="19"/>
      <c r="L1463" s="19"/>
      <c r="M1463" s="99"/>
      <c r="N1463" s="19"/>
      <c r="O1463" s="19"/>
      <c r="P1463" s="19"/>
      <c r="Q1463" s="19"/>
      <c r="R1463" s="19"/>
      <c r="S1463" s="19"/>
      <c r="T1463" s="19"/>
      <c r="U1463" s="19"/>
      <c r="V1463" s="19"/>
      <c r="W1463" s="19"/>
      <c r="X1463" s="19"/>
      <c r="Y1463" s="29"/>
      <c r="Z1463" s="19"/>
      <c r="AA1463" s="19"/>
      <c r="AB1463" s="19"/>
      <c r="AC1463" s="19"/>
      <c r="AD1463" s="19"/>
      <c r="AE1463" s="19"/>
      <c r="AF1463" s="19"/>
      <c r="AG1463" s="19"/>
      <c r="AH1463" s="19"/>
      <c r="AI1463" s="19"/>
      <c r="AJ1463" s="19"/>
      <c r="AK1463" s="19"/>
      <c r="AL1463" s="19"/>
      <c r="AM1463" s="19"/>
      <c r="AN1463" s="19"/>
      <c r="AO1463" s="19"/>
      <c r="AP1463" s="94"/>
      <c r="AQ1463" s="19"/>
      <c r="AR1463" s="108"/>
      <c r="AS1463" s="19"/>
      <c r="AT1463" s="65"/>
      <c r="AU1463" s="65"/>
      <c r="AV1463" s="65"/>
      <c r="AW1463" s="99"/>
      <c r="AX1463" s="99"/>
      <c r="AY1463" s="93"/>
      <c r="AZ1463" s="19"/>
      <c r="BA1463" s="114"/>
      <c r="BB1463" s="135"/>
      <c r="BC1463" s="97"/>
      <c r="BD1463" s="98"/>
      <c r="BE1463" s="96"/>
      <c r="BF1463" s="98"/>
      <c r="BG1463" s="96"/>
      <c r="BH1463" s="99"/>
      <c r="BI1463" s="100"/>
      <c r="BJ1463" s="100"/>
    </row>
    <row r="1464" spans="1:62" s="103" customFormat="1" ht="15.95" customHeight="1" x14ac:dyDescent="0.25">
      <c r="A1464" s="18"/>
      <c r="B1464" s="113"/>
      <c r="C1464" s="36"/>
      <c r="D1464" s="19"/>
      <c r="E1464" s="93"/>
      <c r="F1464" s="93"/>
      <c r="G1464" s="112"/>
      <c r="H1464" s="19"/>
      <c r="I1464" s="19"/>
      <c r="J1464" s="19"/>
      <c r="K1464" s="19"/>
      <c r="L1464" s="19"/>
      <c r="M1464" s="19"/>
      <c r="N1464" s="19"/>
      <c r="O1464" s="19"/>
      <c r="P1464" s="19"/>
      <c r="Q1464" s="19"/>
      <c r="R1464" s="19"/>
      <c r="S1464" s="19"/>
      <c r="T1464" s="19"/>
      <c r="U1464" s="19"/>
      <c r="V1464" s="93"/>
      <c r="W1464" s="93"/>
      <c r="X1464" s="19"/>
      <c r="Y1464" s="29"/>
      <c r="Z1464" s="93"/>
      <c r="AA1464" s="93"/>
      <c r="AB1464" s="24"/>
      <c r="AC1464" s="19"/>
      <c r="AD1464" s="93"/>
      <c r="AE1464" s="19"/>
      <c r="AF1464" s="19"/>
      <c r="AG1464" s="19"/>
      <c r="AH1464" s="19"/>
      <c r="AI1464" s="19"/>
      <c r="AJ1464" s="101"/>
      <c r="AK1464" s="19"/>
      <c r="AL1464" s="19"/>
      <c r="AM1464" s="19"/>
      <c r="AN1464" s="19"/>
      <c r="AO1464" s="19"/>
      <c r="AP1464" s="94"/>
      <c r="AQ1464" s="19"/>
      <c r="AR1464" s="19"/>
      <c r="AS1464" s="19"/>
      <c r="AT1464" s="65"/>
      <c r="AU1464" s="65"/>
      <c r="AV1464" s="65"/>
      <c r="AW1464" s="99"/>
      <c r="AX1464" s="99"/>
      <c r="AY1464" s="19"/>
      <c r="AZ1464" s="19"/>
      <c r="BA1464" s="114"/>
      <c r="BB1464" s="135"/>
      <c r="BC1464" s="97"/>
      <c r="BD1464" s="98"/>
      <c r="BE1464" s="96"/>
      <c r="BF1464" s="98"/>
      <c r="BG1464" s="96"/>
      <c r="BH1464" s="99"/>
    </row>
    <row r="1465" spans="1:62" s="103" customFormat="1" ht="15.95" customHeight="1" x14ac:dyDescent="0.25">
      <c r="A1465" s="18"/>
      <c r="B1465" s="113"/>
      <c r="C1465" s="36"/>
      <c r="D1465" s="19"/>
      <c r="E1465" s="93"/>
      <c r="F1465" s="93"/>
      <c r="G1465" s="112"/>
      <c r="H1465" s="19"/>
      <c r="I1465" s="19"/>
      <c r="J1465" s="19"/>
      <c r="K1465" s="19"/>
      <c r="L1465" s="19"/>
      <c r="M1465" s="19"/>
      <c r="N1465" s="19"/>
      <c r="O1465" s="19"/>
      <c r="P1465" s="19"/>
      <c r="Q1465" s="19"/>
      <c r="R1465" s="19"/>
      <c r="S1465" s="19"/>
      <c r="T1465" s="19"/>
      <c r="U1465" s="19"/>
      <c r="V1465" s="93"/>
      <c r="W1465" s="93"/>
      <c r="X1465" s="19"/>
      <c r="Y1465" s="29"/>
      <c r="Z1465" s="93"/>
      <c r="AA1465" s="93"/>
      <c r="AB1465" s="24"/>
      <c r="AC1465" s="19"/>
      <c r="AD1465" s="93"/>
      <c r="AE1465" s="19"/>
      <c r="AF1465" s="19"/>
      <c r="AG1465" s="19"/>
      <c r="AH1465" s="19"/>
      <c r="AI1465" s="19"/>
      <c r="AJ1465" s="101"/>
      <c r="AK1465" s="19"/>
      <c r="AL1465" s="19"/>
      <c r="AM1465" s="19"/>
      <c r="AN1465" s="19"/>
      <c r="AO1465" s="19"/>
      <c r="AP1465" s="94"/>
      <c r="AQ1465" s="19"/>
      <c r="AR1465" s="19"/>
      <c r="AS1465" s="19"/>
      <c r="AT1465" s="65"/>
      <c r="AU1465" s="65"/>
      <c r="AV1465" s="65"/>
      <c r="AW1465" s="99"/>
      <c r="AX1465" s="99"/>
      <c r="AY1465" s="19"/>
      <c r="AZ1465" s="19"/>
      <c r="BA1465" s="114"/>
      <c r="BB1465" s="135"/>
      <c r="BC1465" s="97"/>
      <c r="BD1465" s="98"/>
      <c r="BE1465" s="96"/>
      <c r="BF1465" s="98"/>
      <c r="BG1465" s="96"/>
      <c r="BH1465" s="99"/>
    </row>
    <row r="1466" spans="1:62" s="126" customFormat="1" ht="15.95" customHeight="1" x14ac:dyDescent="0.25">
      <c r="A1466" s="18"/>
      <c r="B1466" s="113"/>
      <c r="C1466" s="36"/>
      <c r="D1466" s="19"/>
      <c r="E1466" s="93"/>
      <c r="F1466" s="93"/>
      <c r="G1466" s="112"/>
      <c r="H1466" s="19"/>
      <c r="I1466" s="19"/>
      <c r="J1466" s="19"/>
      <c r="K1466" s="19"/>
      <c r="L1466" s="19"/>
      <c r="M1466" s="19"/>
      <c r="N1466" s="19"/>
      <c r="O1466" s="19"/>
      <c r="P1466" s="19"/>
      <c r="Q1466" s="19"/>
      <c r="R1466" s="19"/>
      <c r="S1466" s="19"/>
      <c r="T1466" s="19"/>
      <c r="U1466" s="19"/>
      <c r="V1466" s="93"/>
      <c r="W1466" s="93"/>
      <c r="X1466" s="19"/>
      <c r="Y1466" s="29"/>
      <c r="Z1466" s="93"/>
      <c r="AA1466" s="93"/>
      <c r="AB1466" s="24"/>
      <c r="AC1466" s="19"/>
      <c r="AD1466" s="93"/>
      <c r="AE1466" s="19"/>
      <c r="AF1466" s="19"/>
      <c r="AG1466" s="19"/>
      <c r="AH1466" s="19"/>
      <c r="AI1466" s="19"/>
      <c r="AJ1466" s="101"/>
      <c r="AK1466" s="19"/>
      <c r="AL1466" s="19"/>
      <c r="AM1466" s="19"/>
      <c r="AN1466" s="19"/>
      <c r="AO1466" s="19"/>
      <c r="AP1466" s="94"/>
      <c r="AQ1466" s="19"/>
      <c r="AT1466" s="130"/>
      <c r="AU1466" s="130"/>
      <c r="AV1466" s="130"/>
      <c r="AW1466" s="131"/>
      <c r="AX1466" s="131"/>
      <c r="BA1466" s="130"/>
      <c r="BB1466" s="136"/>
      <c r="BC1466" s="132"/>
      <c r="BD1466" s="133"/>
      <c r="BE1466" s="134"/>
      <c r="BF1466" s="133"/>
      <c r="BG1466" s="134"/>
      <c r="BH1466" s="131"/>
    </row>
    <row r="1467" spans="1:62" s="126" customFormat="1" ht="15.95" customHeight="1" x14ac:dyDescent="0.2">
      <c r="A1467" s="18"/>
      <c r="B1467" s="107"/>
      <c r="C1467" s="36"/>
      <c r="D1467" s="36"/>
      <c r="E1467" s="93"/>
      <c r="F1467" s="93"/>
      <c r="G1467" s="19"/>
      <c r="H1467" s="19"/>
      <c r="I1467" s="19"/>
      <c r="J1467" s="19"/>
      <c r="K1467" s="19"/>
      <c r="L1467" s="99"/>
      <c r="M1467" s="19"/>
      <c r="N1467" s="19"/>
      <c r="O1467" s="19"/>
      <c r="P1467" s="19"/>
      <c r="Q1467" s="19"/>
      <c r="R1467" s="19"/>
      <c r="S1467" s="19"/>
      <c r="T1467" s="19"/>
      <c r="U1467" s="19"/>
      <c r="V1467" s="93"/>
      <c r="W1467" s="93"/>
      <c r="X1467" s="19"/>
      <c r="Y1467" s="29"/>
      <c r="Z1467" s="93"/>
      <c r="AA1467" s="93"/>
      <c r="AB1467" s="93"/>
      <c r="AC1467" s="19"/>
      <c r="AD1467" s="93"/>
      <c r="AE1467" s="19"/>
      <c r="AF1467" s="19"/>
      <c r="AG1467" s="19"/>
      <c r="AH1467" s="19"/>
      <c r="AI1467" s="19"/>
      <c r="AJ1467" s="19"/>
      <c r="AK1467" s="19"/>
      <c r="AL1467" s="19"/>
      <c r="AM1467" s="19"/>
      <c r="AN1467" s="19"/>
      <c r="AO1467" s="19"/>
      <c r="AP1467" s="94"/>
      <c r="AQ1467" s="19"/>
      <c r="AT1467" s="130"/>
      <c r="AU1467" s="130"/>
      <c r="AV1467" s="130"/>
      <c r="AW1467" s="131"/>
      <c r="AX1467" s="131"/>
      <c r="BA1467" s="130"/>
      <c r="BB1467" s="136"/>
      <c r="BC1467" s="132"/>
      <c r="BD1467" s="133"/>
      <c r="BE1467" s="134"/>
      <c r="BF1467" s="133"/>
      <c r="BG1467" s="134"/>
      <c r="BH1467" s="131"/>
    </row>
    <row r="1468" spans="1:62" ht="15.95" customHeight="1" x14ac:dyDescent="0.2">
      <c r="A1468" s="18"/>
      <c r="B1468" s="107"/>
      <c r="C1468" s="36"/>
      <c r="D1468" s="36"/>
      <c r="E1468" s="93"/>
      <c r="F1468" s="93"/>
      <c r="G1468" s="19"/>
      <c r="H1468" s="19"/>
      <c r="I1468" s="19"/>
      <c r="J1468" s="19"/>
      <c r="K1468" s="19"/>
      <c r="L1468" s="99"/>
      <c r="M1468" s="19"/>
      <c r="N1468" s="19"/>
      <c r="O1468" s="19"/>
      <c r="P1468" s="19"/>
      <c r="Q1468" s="19"/>
      <c r="R1468" s="19"/>
      <c r="S1468" s="19"/>
      <c r="T1468" s="19"/>
      <c r="U1468" s="19"/>
      <c r="V1468" s="93"/>
      <c r="W1468" s="93"/>
      <c r="X1468" s="19"/>
      <c r="Y1468" s="29"/>
      <c r="Z1468" s="93"/>
      <c r="AA1468" s="93"/>
      <c r="AB1468" s="93"/>
      <c r="AC1468" s="19"/>
      <c r="AD1468" s="93"/>
      <c r="AE1468" s="19"/>
      <c r="AF1468" s="19"/>
      <c r="AG1468" s="19"/>
      <c r="AH1468" s="19"/>
      <c r="AI1468" s="19"/>
      <c r="AJ1468" s="19"/>
      <c r="AK1468" s="19"/>
      <c r="AL1468" s="19"/>
      <c r="AM1468" s="19"/>
      <c r="AN1468" s="19"/>
      <c r="AO1468" s="19"/>
      <c r="AP1468" s="94"/>
      <c r="AQ1468" s="19"/>
    </row>
    <row r="1469" spans="1:62" ht="15.95" customHeight="1" x14ac:dyDescent="0.2">
      <c r="A1469" s="18"/>
      <c r="B1469" s="107"/>
      <c r="C1469" s="36"/>
      <c r="D1469" s="36"/>
      <c r="E1469" s="93"/>
      <c r="F1469" s="93"/>
      <c r="G1469" s="19"/>
      <c r="H1469" s="19"/>
      <c r="I1469" s="19"/>
      <c r="J1469" s="19"/>
      <c r="K1469" s="19"/>
      <c r="L1469" s="99"/>
      <c r="M1469" s="19"/>
      <c r="N1469" s="19"/>
      <c r="O1469" s="19"/>
      <c r="P1469" s="19"/>
      <c r="Q1469" s="19"/>
      <c r="R1469" s="19"/>
      <c r="S1469" s="19"/>
      <c r="T1469" s="19"/>
      <c r="U1469" s="19"/>
      <c r="V1469" s="93"/>
      <c r="W1469" s="93"/>
      <c r="X1469" s="19"/>
      <c r="Y1469" s="29"/>
      <c r="Z1469" s="93"/>
      <c r="AA1469" s="93"/>
      <c r="AB1469" s="93"/>
      <c r="AC1469" s="19"/>
      <c r="AD1469" s="93"/>
      <c r="AE1469" s="19"/>
      <c r="AF1469" s="19"/>
      <c r="AG1469" s="19"/>
      <c r="AH1469" s="19"/>
      <c r="AI1469" s="19"/>
      <c r="AJ1469" s="19"/>
      <c r="AK1469" s="19"/>
      <c r="AL1469" s="19"/>
      <c r="AM1469" s="19"/>
      <c r="AN1469" s="19"/>
      <c r="AO1469" s="19"/>
      <c r="AP1469" s="94"/>
      <c r="AQ1469" s="19"/>
    </row>
    <row r="1470" spans="1:62" ht="15.95" customHeight="1" x14ac:dyDescent="0.2">
      <c r="A1470" s="18"/>
      <c r="B1470" s="19"/>
      <c r="C1470" s="19"/>
      <c r="D1470" s="19"/>
      <c r="E1470" s="19"/>
      <c r="F1470" s="93"/>
      <c r="G1470" s="19"/>
      <c r="H1470" s="19"/>
      <c r="I1470" s="19"/>
      <c r="J1470" s="19"/>
      <c r="K1470" s="19"/>
      <c r="L1470" s="99"/>
      <c r="M1470" s="19"/>
      <c r="N1470" s="19"/>
      <c r="O1470" s="19"/>
      <c r="P1470" s="19"/>
      <c r="Q1470" s="19"/>
      <c r="R1470" s="19"/>
      <c r="S1470" s="19"/>
      <c r="T1470" s="19"/>
      <c r="U1470" s="19"/>
      <c r="V1470" s="19"/>
      <c r="W1470" s="19"/>
      <c r="X1470" s="19"/>
      <c r="Y1470" s="29"/>
      <c r="Z1470" s="19"/>
      <c r="AA1470" s="19"/>
      <c r="AB1470" s="19"/>
      <c r="AC1470" s="19"/>
      <c r="AD1470" s="19"/>
      <c r="AE1470" s="19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94"/>
      <c r="AQ1470" s="19"/>
    </row>
    <row r="1471" spans="1:62" ht="15.95" customHeight="1" x14ac:dyDescent="0.2">
      <c r="A1471" s="18"/>
      <c r="B1471" s="19"/>
      <c r="C1471" s="19"/>
      <c r="D1471" s="19"/>
      <c r="E1471" s="19"/>
      <c r="F1471" s="93"/>
      <c r="G1471" s="19"/>
      <c r="H1471" s="19"/>
      <c r="I1471" s="19"/>
      <c r="J1471" s="19"/>
      <c r="K1471" s="19"/>
      <c r="L1471" s="99"/>
      <c r="M1471" s="19"/>
      <c r="N1471" s="19"/>
      <c r="O1471" s="19"/>
      <c r="P1471" s="19"/>
      <c r="Q1471" s="19"/>
      <c r="R1471" s="19"/>
      <c r="S1471" s="19"/>
      <c r="T1471" s="19"/>
      <c r="U1471" s="19"/>
      <c r="V1471" s="19"/>
      <c r="W1471" s="19"/>
      <c r="X1471" s="19"/>
      <c r="Y1471" s="29"/>
      <c r="Z1471" s="19"/>
      <c r="AA1471" s="19"/>
      <c r="AB1471" s="19"/>
      <c r="AC1471" s="19"/>
      <c r="AD1471" s="19"/>
      <c r="AE1471" s="19"/>
      <c r="AF1471" s="19"/>
      <c r="AG1471" s="19"/>
      <c r="AH1471" s="19"/>
      <c r="AI1471" s="19"/>
      <c r="AJ1471" s="19"/>
      <c r="AK1471" s="19"/>
      <c r="AL1471" s="19"/>
      <c r="AM1471" s="19"/>
      <c r="AN1471" s="19"/>
      <c r="AO1471" s="19"/>
      <c r="AP1471" s="94"/>
      <c r="AQ1471" s="19"/>
    </row>
    <row r="1472" spans="1:62" ht="15.95" customHeight="1" x14ac:dyDescent="0.2">
      <c r="A1472" s="125"/>
      <c r="B1472" s="126"/>
      <c r="C1472" s="126"/>
      <c r="D1472" s="126"/>
      <c r="E1472" s="126"/>
      <c r="F1472" s="127"/>
      <c r="G1472" s="126"/>
      <c r="H1472" s="126"/>
      <c r="I1472" s="126"/>
      <c r="J1472" s="126"/>
      <c r="K1472" s="126"/>
      <c r="L1472" s="126"/>
      <c r="M1472" s="126"/>
      <c r="N1472" s="126"/>
      <c r="O1472" s="126"/>
      <c r="P1472" s="126"/>
      <c r="Q1472" s="126"/>
      <c r="R1472" s="126"/>
      <c r="S1472" s="126"/>
      <c r="T1472" s="126"/>
      <c r="U1472" s="126"/>
      <c r="V1472" s="126"/>
      <c r="W1472" s="126"/>
      <c r="X1472" s="126"/>
      <c r="Y1472" s="128"/>
      <c r="Z1472" s="126"/>
      <c r="AA1472" s="126"/>
      <c r="AB1472" s="126"/>
      <c r="AC1472" s="126"/>
      <c r="AD1472" s="126"/>
      <c r="AE1472" s="126"/>
      <c r="AF1472" s="126"/>
      <c r="AG1472" s="126"/>
      <c r="AH1472" s="126"/>
      <c r="AI1472" s="126"/>
      <c r="AJ1472" s="126"/>
      <c r="AK1472" s="126"/>
      <c r="AL1472" s="126"/>
      <c r="AM1472" s="126"/>
      <c r="AN1472" s="126"/>
      <c r="AO1472" s="126"/>
      <c r="AP1472" s="129"/>
      <c r="AQ1472" s="126"/>
    </row>
    <row r="1473" spans="1:43" ht="15.95" customHeight="1" x14ac:dyDescent="0.2">
      <c r="A1473" s="125"/>
      <c r="B1473" s="126"/>
      <c r="C1473" s="126"/>
      <c r="D1473" s="126"/>
      <c r="E1473" s="126"/>
      <c r="F1473" s="127"/>
      <c r="G1473" s="126"/>
      <c r="H1473" s="126"/>
      <c r="I1473" s="126"/>
      <c r="J1473" s="126"/>
      <c r="K1473" s="126"/>
      <c r="L1473" s="126"/>
      <c r="M1473" s="126"/>
      <c r="N1473" s="126"/>
      <c r="O1473" s="126"/>
      <c r="P1473" s="126"/>
      <c r="Q1473" s="126"/>
      <c r="R1473" s="126"/>
      <c r="S1473" s="126"/>
      <c r="T1473" s="126"/>
      <c r="U1473" s="126"/>
      <c r="V1473" s="126"/>
      <c r="W1473" s="126"/>
      <c r="X1473" s="126"/>
      <c r="Y1473" s="128"/>
      <c r="Z1473" s="126"/>
      <c r="AA1473" s="126"/>
      <c r="AB1473" s="126"/>
      <c r="AC1473" s="126"/>
      <c r="AD1473" s="126"/>
      <c r="AE1473" s="126"/>
      <c r="AF1473" s="126"/>
      <c r="AG1473" s="126"/>
      <c r="AH1473" s="126"/>
      <c r="AI1473" s="126"/>
      <c r="AJ1473" s="126"/>
      <c r="AK1473" s="126"/>
      <c r="AL1473" s="126"/>
      <c r="AM1473" s="126"/>
      <c r="AN1473" s="126"/>
      <c r="AO1473" s="126"/>
      <c r="AP1473" s="129"/>
      <c r="AQ1473" s="126"/>
    </row>
  </sheetData>
  <autoFilter ref="A3:BJ1459" xr:uid="{8C39B3CE-5EBF-41A0-B7D2-2490721325E0}"/>
  <sortState xmlns:xlrd2="http://schemas.microsoft.com/office/spreadsheetml/2017/richdata2" ref="I1342:I1353">
    <sortCondition ref="I1353"/>
  </sortState>
  <phoneticPr fontId="55" type="noConversion"/>
  <conditionalFormatting sqref="X4:X163">
    <cfRule type="containsText" dxfId="101" priority="420" operator="containsText" text="Acute">
      <formula>NOT(ISERROR(SEARCH("Acute",X4)))</formula>
    </cfRule>
  </conditionalFormatting>
  <conditionalFormatting sqref="AT4:AV1467">
    <cfRule type="containsText" dxfId="100" priority="1" operator="containsText" text="n">
      <formula>NOT(ISERROR(SEARCH("n",AT4)))</formula>
    </cfRule>
  </conditionalFormatting>
  <conditionalFormatting sqref="AU2">
    <cfRule type="containsText" dxfId="99" priority="537" operator="containsText" text="n">
      <formula>NOT(ISERROR(SEARCH("n",AU2)))</formula>
    </cfRule>
  </conditionalFormatting>
  <conditionalFormatting sqref="BD4:BD980">
    <cfRule type="endsWith" dxfId="98" priority="333" operator="endsWith" text="n">
      <formula>RIGHT(BD4,LEN("n"))="n"</formula>
    </cfRule>
  </conditionalFormatting>
  <conditionalFormatting sqref="BD981:BD998">
    <cfRule type="endsWith" dxfId="97" priority="452" operator="endsWith" text="n">
      <formula>RIGHT(BD981,LEN("n"))="n"</formula>
    </cfRule>
  </conditionalFormatting>
  <conditionalFormatting sqref="BD992">
    <cfRule type="endsWith" dxfId="96" priority="449" operator="endsWith" text="n">
      <formula>RIGHT(BD992,LEN("n"))="n"</formula>
    </cfRule>
  </conditionalFormatting>
  <conditionalFormatting sqref="BD999:BD1459 AZ4:BB1462">
    <cfRule type="endsWith" dxfId="95" priority="31" operator="endsWith" text="n">
      <formula>RIGHT(AZ4,LEN("n"))="n"</formula>
    </cfRule>
  </conditionalFormatting>
  <conditionalFormatting sqref="BD5:BE69 BD1445:BF1467 BF1262:BF1263">
    <cfRule type="cellIs" dxfId="94" priority="757" operator="equal">
      <formula>""</formula>
    </cfRule>
  </conditionalFormatting>
  <conditionalFormatting sqref="BD1038:BE1287">
    <cfRule type="cellIs" dxfId="93" priority="448" operator="equal">
      <formula>""</formula>
    </cfRule>
  </conditionalFormatting>
  <conditionalFormatting sqref="BD4:BF4">
    <cfRule type="cellIs" dxfId="92" priority="735" operator="equal">
      <formula>""</formula>
    </cfRule>
  </conditionalFormatting>
  <conditionalFormatting sqref="BD70:BF980">
    <cfRule type="cellIs" dxfId="91" priority="335" operator="equal">
      <formula>""</formula>
    </cfRule>
  </conditionalFormatting>
  <conditionalFormatting sqref="BD981:BF998">
    <cfRule type="cellIs" dxfId="90" priority="454" operator="equal">
      <formula>""</formula>
    </cfRule>
  </conditionalFormatting>
  <conditionalFormatting sqref="BD992:BF992">
    <cfRule type="cellIs" dxfId="89" priority="451" operator="equal">
      <formula>""</formula>
    </cfRule>
  </conditionalFormatting>
  <conditionalFormatting sqref="BD999:BF1020">
    <cfRule type="cellIs" dxfId="88" priority="444" operator="equal">
      <formula>""</formula>
    </cfRule>
  </conditionalFormatting>
  <conditionalFormatting sqref="BD1021:BF1029">
    <cfRule type="cellIs" dxfId="87" priority="5" operator="equal">
      <formula>""</formula>
    </cfRule>
  </conditionalFormatting>
  <conditionalFormatting sqref="BD1030:BF1037">
    <cfRule type="cellIs" dxfId="86" priority="406" operator="equal">
      <formula>""</formula>
    </cfRule>
  </conditionalFormatting>
  <conditionalFormatting sqref="BD1288:BF1444">
    <cfRule type="cellIs" dxfId="85" priority="33" operator="equal">
      <formula>""</formula>
    </cfRule>
  </conditionalFormatting>
  <conditionalFormatting sqref="BD1460:BF1467">
    <cfRule type="cellIs" dxfId="84" priority="554" operator="equal">
      <formula>""</formula>
    </cfRule>
  </conditionalFormatting>
  <conditionalFormatting sqref="BE4:BE69 BE1445:BE1467">
    <cfRule type="containsText" dxfId="83" priority="755" operator="containsText" text="n">
      <formula>NOT(ISERROR(SEARCH("n",BE4)))</formula>
    </cfRule>
  </conditionalFormatting>
  <conditionalFormatting sqref="BE70:BE980">
    <cfRule type="containsText" dxfId="82" priority="334" operator="containsText" text="n">
      <formula>NOT(ISERROR(SEARCH("n",BE70)))</formula>
    </cfRule>
  </conditionalFormatting>
  <conditionalFormatting sqref="BE981:BE998">
    <cfRule type="containsText" dxfId="81" priority="453" operator="containsText" text="n">
      <formula>NOT(ISERROR(SEARCH("n",BE981)))</formula>
    </cfRule>
  </conditionalFormatting>
  <conditionalFormatting sqref="BE992">
    <cfRule type="containsText" dxfId="80" priority="450" operator="containsText" text="n">
      <formula>NOT(ISERROR(SEARCH("n",BE992)))</formula>
    </cfRule>
  </conditionalFormatting>
  <conditionalFormatting sqref="BE999:BE1444 BG4:BG1467">
    <cfRule type="containsText" dxfId="79" priority="32" operator="containsText" text="n">
      <formula>NOT(ISERROR(SEARCH("n",BE4)))</formula>
    </cfRule>
  </conditionalFormatting>
  <conditionalFormatting sqref="BE1460:BE1467">
    <cfRule type="containsText" dxfId="78" priority="553" operator="containsText" text="n">
      <formula>NOT(ISERROR(SEARCH("n",BE1460)))</formula>
    </cfRule>
  </conditionalFormatting>
  <conditionalFormatting sqref="BF5:BF69">
    <cfRule type="cellIs" dxfId="77" priority="754" operator="equal">
      <formula>""</formula>
    </cfRule>
  </conditionalFormatting>
  <conditionalFormatting sqref="BF1038:BF1260">
    <cfRule type="cellIs" dxfId="76" priority="446" operator="equal">
      <formula>""</formula>
    </cfRule>
  </conditionalFormatting>
  <conditionalFormatting sqref="BF1261">
    <cfRule type="containsText" dxfId="75" priority="580" operator="containsText" text="n">
      <formula>NOT(ISERROR(SEARCH("n",BF1261)))</formula>
    </cfRule>
  </conditionalFormatting>
  <conditionalFormatting sqref="BF1264">
    <cfRule type="containsText" dxfId="74" priority="579" operator="containsText" text="n">
      <formula>NOT(ISERROR(SEARCH("n",BF1264)))</formula>
    </cfRule>
  </conditionalFormatting>
  <conditionalFormatting sqref="BF1265:BF1283">
    <cfRule type="cellIs" dxfId="73" priority="725" operator="equal">
      <formula>""</formula>
    </cfRule>
  </conditionalFormatting>
  <conditionalFormatting sqref="BF1284">
    <cfRule type="containsText" dxfId="72" priority="578" operator="containsText" text="n">
      <formula>NOT(ISERROR(SEARCH("n",BF1284)))</formula>
    </cfRule>
  </conditionalFormatting>
  <conditionalFormatting sqref="BF1285:BF1287">
    <cfRule type="cellIs" dxfId="71" priority="538" operator="equal">
      <formula>""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2C537-640E-4197-A379-6AA3C7B38603}">
  <sheetPr codeName="Sheet5" filterMode="1">
    <tabColor theme="5" tint="0.79998168889431442"/>
  </sheetPr>
  <dimension ref="A1:BE352"/>
  <sheetViews>
    <sheetView workbookViewId="0"/>
  </sheetViews>
  <sheetFormatPr defaultColWidth="8" defaultRowHeight="15" x14ac:dyDescent="0.25"/>
  <cols>
    <col min="1" max="1" width="11.28515625" style="248" customWidth="1"/>
    <col min="2" max="3" width="8" style="248"/>
    <col min="4" max="4" width="10.7109375" style="248" customWidth="1"/>
    <col min="5" max="5" width="18.140625" style="248" customWidth="1"/>
    <col min="6" max="6" width="18.42578125" style="248" customWidth="1"/>
    <col min="7" max="7" width="8" style="248"/>
    <col min="8" max="8" width="13.42578125" style="248" customWidth="1"/>
    <col min="9" max="15" width="8" style="248"/>
    <col min="16" max="16" width="6.42578125" style="248" customWidth="1"/>
    <col min="17" max="17" width="11.85546875" style="248" customWidth="1"/>
    <col min="18" max="18" width="10.42578125" style="248" customWidth="1"/>
    <col min="19" max="19" width="8" style="248"/>
    <col min="20" max="20" width="8" style="244"/>
    <col min="21" max="21" width="28.42578125" style="244" customWidth="1"/>
    <col min="22" max="23" width="8" style="248"/>
    <col min="24" max="25" width="9.28515625" style="248" customWidth="1"/>
    <col min="26" max="26" width="8.42578125" style="248" customWidth="1"/>
    <col min="27" max="27" width="24.140625" style="248" customWidth="1"/>
    <col min="28" max="28" width="12.140625" style="244" customWidth="1"/>
    <col min="29" max="31" width="5.7109375" style="244" customWidth="1"/>
    <col min="32" max="32" width="8" style="248"/>
    <col min="33" max="33" width="23.28515625" style="304" bestFit="1" customWidth="1"/>
    <col min="34" max="34" width="19.28515625" style="248" bestFit="1" customWidth="1"/>
    <col min="35" max="35" width="8" style="248"/>
    <col min="36" max="36" width="17.28515625" style="248" customWidth="1"/>
    <col min="37" max="37" width="12.42578125" style="248" customWidth="1"/>
    <col min="38" max="41" width="8" style="248"/>
    <col min="42" max="42" width="23.28515625" style="248" bestFit="1" customWidth="1"/>
    <col min="43" max="43" width="19.28515625" style="248" bestFit="1" customWidth="1"/>
    <col min="44" max="16384" width="8" style="248"/>
  </cols>
  <sheetData>
    <row r="1" spans="1:57" s="183" customFormat="1" ht="15.75" customHeight="1" x14ac:dyDescent="0.2">
      <c r="B1" s="184"/>
      <c r="C1" s="185"/>
      <c r="D1" s="185"/>
      <c r="E1" s="186" t="s">
        <v>1</v>
      </c>
      <c r="F1" s="186"/>
      <c r="G1" s="186"/>
      <c r="H1" s="186"/>
      <c r="I1" s="187" t="s">
        <v>2</v>
      </c>
      <c r="J1" s="187"/>
      <c r="K1" s="187"/>
      <c r="L1" s="188"/>
      <c r="M1" s="189"/>
      <c r="N1" s="189"/>
      <c r="O1" s="189"/>
      <c r="P1" s="190"/>
      <c r="Q1" s="191"/>
      <c r="R1" s="190"/>
      <c r="S1" s="192"/>
      <c r="T1" s="162" t="s">
        <v>1538</v>
      </c>
      <c r="U1" s="162"/>
      <c r="V1" s="192"/>
      <c r="W1" s="192"/>
      <c r="X1" s="193" t="s">
        <v>1833</v>
      </c>
      <c r="Y1" s="193" t="s">
        <v>1833</v>
      </c>
      <c r="Z1" s="194"/>
      <c r="AA1" s="194"/>
      <c r="AB1" s="195"/>
      <c r="AC1" s="195" t="s">
        <v>1536</v>
      </c>
      <c r="AD1" s="196"/>
      <c r="AE1" s="196"/>
      <c r="AF1" s="197" t="s">
        <v>1834</v>
      </c>
      <c r="AG1" s="194"/>
      <c r="AH1" s="198" t="s">
        <v>1537</v>
      </c>
      <c r="AI1" s="199" t="s">
        <v>23</v>
      </c>
      <c r="AJ1" s="200" t="s">
        <v>1796</v>
      </c>
    </row>
    <row r="2" spans="1:57" s="183" customFormat="1" ht="15.75" customHeight="1" x14ac:dyDescent="0.25">
      <c r="B2" s="184"/>
      <c r="C2" s="185"/>
      <c r="D2" s="185"/>
      <c r="E2" s="186"/>
      <c r="F2" s="186"/>
      <c r="G2" s="186"/>
      <c r="H2" s="186"/>
      <c r="I2" s="187"/>
      <c r="J2" s="187"/>
      <c r="K2" s="187"/>
      <c r="L2" s="188"/>
      <c r="M2" s="189"/>
      <c r="N2" s="189"/>
      <c r="O2" s="189"/>
      <c r="P2" s="201"/>
      <c r="Q2" s="191"/>
      <c r="R2" s="191"/>
      <c r="S2" s="192"/>
      <c r="T2" s="202"/>
      <c r="U2" s="202"/>
      <c r="V2" s="192"/>
      <c r="W2" s="193">
        <f>COUNT(W4:W359)</f>
        <v>319</v>
      </c>
      <c r="X2" s="193" t="s">
        <v>1835</v>
      </c>
      <c r="Y2" s="193" t="s">
        <v>1835</v>
      </c>
      <c r="Z2" s="203"/>
      <c r="AA2" s="78"/>
      <c r="AB2" s="196"/>
      <c r="AC2" s="196"/>
      <c r="AD2" s="196"/>
      <c r="AE2" s="196"/>
      <c r="AG2" s="194"/>
      <c r="AH2" s="204">
        <v>30</v>
      </c>
      <c r="AI2" s="204">
        <v>7.5</v>
      </c>
      <c r="AJ2" s="204">
        <v>0.5</v>
      </c>
      <c r="AN2" s="183" t="s">
        <v>1836</v>
      </c>
    </row>
    <row r="3" spans="1:57" s="183" customFormat="1" ht="52.5" customHeight="1" x14ac:dyDescent="0.25">
      <c r="A3" s="183" t="s">
        <v>1837</v>
      </c>
      <c r="B3" s="4" t="s">
        <v>8</v>
      </c>
      <c r="C3" s="4" t="s">
        <v>1323</v>
      </c>
      <c r="D3" s="4" t="s">
        <v>1696</v>
      </c>
      <c r="E3" s="5" t="s">
        <v>10</v>
      </c>
      <c r="F3" s="5" t="s">
        <v>11</v>
      </c>
      <c r="G3" s="5" t="s">
        <v>152</v>
      </c>
      <c r="H3" s="5" t="s">
        <v>15</v>
      </c>
      <c r="I3" s="6" t="s">
        <v>17</v>
      </c>
      <c r="J3" s="6" t="s">
        <v>19</v>
      </c>
      <c r="K3" s="6" t="s">
        <v>1702</v>
      </c>
      <c r="L3" s="8" t="s">
        <v>30</v>
      </c>
      <c r="M3" s="7" t="s">
        <v>1812</v>
      </c>
      <c r="N3" s="7" t="s">
        <v>23</v>
      </c>
      <c r="O3" s="165" t="s">
        <v>1796</v>
      </c>
      <c r="P3" s="8" t="s">
        <v>1838</v>
      </c>
      <c r="Q3" s="163" t="s">
        <v>1799</v>
      </c>
      <c r="R3" s="205" t="s">
        <v>1839</v>
      </c>
      <c r="S3" s="206" t="s">
        <v>1840</v>
      </c>
      <c r="T3" s="164" t="s">
        <v>1287</v>
      </c>
      <c r="U3" s="164" t="s">
        <v>1841</v>
      </c>
      <c r="V3" s="206" t="s">
        <v>1842</v>
      </c>
      <c r="W3" s="206" t="s">
        <v>1843</v>
      </c>
      <c r="X3" s="206" t="s">
        <v>1844</v>
      </c>
      <c r="Y3" s="206" t="s">
        <v>1845</v>
      </c>
      <c r="Z3" s="91" t="s">
        <v>1286</v>
      </c>
      <c r="AA3" s="86" t="s">
        <v>211</v>
      </c>
      <c r="AB3" s="207" t="s">
        <v>1700</v>
      </c>
      <c r="AC3" s="208" t="s">
        <v>1701</v>
      </c>
      <c r="AD3" s="209" t="s">
        <v>1283</v>
      </c>
      <c r="AE3" s="210" t="s">
        <v>1284</v>
      </c>
      <c r="AG3" s="211" t="s">
        <v>1703</v>
      </c>
      <c r="AH3" s="198" t="s">
        <v>1537</v>
      </c>
      <c r="AI3" s="199" t="s">
        <v>23</v>
      </c>
      <c r="AJ3" s="200" t="s">
        <v>1796</v>
      </c>
      <c r="AK3" s="212" t="s">
        <v>1704</v>
      </c>
      <c r="AN3" s="213" t="s">
        <v>1703</v>
      </c>
      <c r="AO3" s="214" t="s">
        <v>1537</v>
      </c>
      <c r="AP3" s="215" t="s">
        <v>23</v>
      </c>
      <c r="AQ3" s="216" t="s">
        <v>1796</v>
      </c>
    </row>
    <row r="4" spans="1:57" s="183" customFormat="1" ht="15.75" hidden="1" customHeight="1" x14ac:dyDescent="0.2">
      <c r="C4" s="217">
        <v>1999</v>
      </c>
      <c r="D4" s="180" t="s">
        <v>903</v>
      </c>
      <c r="E4" s="180" t="s">
        <v>41</v>
      </c>
      <c r="F4" s="180" t="s">
        <v>1360</v>
      </c>
      <c r="G4" s="180" t="s">
        <v>167</v>
      </c>
      <c r="H4" s="180" t="s">
        <v>1251</v>
      </c>
      <c r="I4" s="180" t="s">
        <v>1309</v>
      </c>
      <c r="J4" s="180" t="s">
        <v>54</v>
      </c>
      <c r="K4" s="180">
        <v>28</v>
      </c>
      <c r="L4" s="180">
        <v>172</v>
      </c>
      <c r="M4" s="183">
        <v>57</v>
      </c>
      <c r="N4" s="181">
        <v>7.22</v>
      </c>
      <c r="O4" s="94">
        <v>0.5</v>
      </c>
      <c r="P4" s="218">
        <f>LN(L4)</f>
        <v>5.1474944768134527</v>
      </c>
      <c r="Q4" s="179" t="str">
        <f t="shared" ref="Q4:Q67" si="0">$AG$4</f>
        <v>CCME Fish</v>
      </c>
      <c r="R4" s="219">
        <f t="shared" ref="R4:R6" si="1">$AI$4*N4+$AH$4*LN(M4)+$AJ$4*LN(O4)</f>
        <v>-2.3314030272235389</v>
      </c>
      <c r="S4" s="220">
        <f>P4-R4</f>
        <v>7.4788975040369916</v>
      </c>
      <c r="T4" s="57">
        <v>1</v>
      </c>
      <c r="U4" s="221" t="str">
        <f>CONCATENATE(T4,"-",I4,"-",J4,"-",H4)</f>
        <v>1-DEV-NOEC-Larvae</v>
      </c>
      <c r="V4" s="222" cm="1">
        <f t="array" ref="V4">GEOMEAN(IF(U4=$U$4:$U$359,$S$4:$S$359))</f>
        <v>7.4788975040369916</v>
      </c>
      <c r="W4" s="223">
        <f t="shared" ref="W4:W7" si="2">V4+$AI$4*$AI$2+$AH$4*LN($AH$2)+$AJ$4*LN($AJ$2)</f>
        <v>4.3114588466081942</v>
      </c>
      <c r="X4" s="224">
        <f>EXP(W4)</f>
        <v>74.54916544705091</v>
      </c>
      <c r="Y4" s="225">
        <f>X4</f>
        <v>74.54916544705091</v>
      </c>
      <c r="Z4" s="226"/>
      <c r="AA4" s="194"/>
      <c r="AB4" s="227" t="s">
        <v>1846</v>
      </c>
      <c r="AC4" s="228" t="s">
        <v>1798</v>
      </c>
      <c r="AD4" s="228"/>
      <c r="AE4" s="229" t="s">
        <v>1584</v>
      </c>
      <c r="AG4" s="230" t="s">
        <v>1847</v>
      </c>
      <c r="AH4" s="231">
        <v>0.94699999999999995</v>
      </c>
      <c r="AI4" s="232">
        <v>-0.81499999999999995</v>
      </c>
      <c r="AJ4" s="233">
        <v>0.39800000000000002</v>
      </c>
      <c r="AN4" s="234" t="s">
        <v>1847</v>
      </c>
      <c r="AO4" s="235" t="s">
        <v>1813</v>
      </c>
      <c r="AP4" s="235" t="s">
        <v>1820</v>
      </c>
      <c r="AQ4" s="235" t="s">
        <v>1821</v>
      </c>
    </row>
    <row r="5" spans="1:57" s="183" customFormat="1" ht="15.75" hidden="1" customHeight="1" x14ac:dyDescent="0.2">
      <c r="C5" s="217">
        <v>1999</v>
      </c>
      <c r="D5" s="180" t="s">
        <v>903</v>
      </c>
      <c r="E5" s="180" t="s">
        <v>41</v>
      </c>
      <c r="F5" s="180" t="s">
        <v>1360</v>
      </c>
      <c r="G5" s="180" t="s">
        <v>167</v>
      </c>
      <c r="H5" s="180" t="s">
        <v>1251</v>
      </c>
      <c r="I5" s="180" t="s">
        <v>1309</v>
      </c>
      <c r="J5" s="180" t="s">
        <v>54</v>
      </c>
      <c r="K5" s="180">
        <v>42</v>
      </c>
      <c r="L5" s="180">
        <v>172</v>
      </c>
      <c r="M5" s="183">
        <v>57</v>
      </c>
      <c r="N5" s="181">
        <v>7.22</v>
      </c>
      <c r="O5" s="94">
        <v>0.5</v>
      </c>
      <c r="P5" s="218">
        <f t="shared" ref="P5:P68" si="3">LN(L5)</f>
        <v>5.1474944768134527</v>
      </c>
      <c r="Q5" s="179" t="str">
        <f t="shared" si="0"/>
        <v>CCME Fish</v>
      </c>
      <c r="R5" s="219">
        <f t="shared" si="1"/>
        <v>-2.3314030272235389</v>
      </c>
      <c r="S5" s="220">
        <f t="shared" ref="S5:S7" si="4">P5-R5</f>
        <v>7.4788975040369916</v>
      </c>
      <c r="T5" s="236">
        <f>IF(F5=F4,T4,T4+1)</f>
        <v>1</v>
      </c>
      <c r="U5" s="221" t="str">
        <f t="shared" ref="U5:U13" si="5">CONCATENATE(T5,"-",I5,"-",J5,"-",H5)</f>
        <v>1-DEV-NOEC-Larvae</v>
      </c>
      <c r="V5" s="222" cm="1">
        <f t="array" ref="V5">GEOMEAN(IF(U5=$U$4:$U$359,$S$4:$S$359))</f>
        <v>7.4788975040369916</v>
      </c>
      <c r="W5" s="223">
        <f t="shared" si="2"/>
        <v>4.3114588466081942</v>
      </c>
      <c r="X5" s="225">
        <f t="shared" ref="X5:X68" si="6">EXP(W5)</f>
        <v>74.54916544705091</v>
      </c>
      <c r="Y5" s="225">
        <f t="shared" ref="Y5:Y10" si="7">X5</f>
        <v>74.54916544705091</v>
      </c>
      <c r="Z5" s="226"/>
      <c r="AA5" s="194"/>
      <c r="AB5" s="227"/>
      <c r="AC5" s="228"/>
      <c r="AD5" s="228"/>
      <c r="AE5" s="229"/>
      <c r="AG5" s="230" t="s">
        <v>1848</v>
      </c>
      <c r="AH5" s="231">
        <v>0.31</v>
      </c>
      <c r="AI5" s="232">
        <v>-0.52</v>
      </c>
      <c r="AJ5" s="237">
        <v>-1.4</v>
      </c>
      <c r="AK5" s="183">
        <v>0.24</v>
      </c>
      <c r="AN5" s="234" t="s">
        <v>1848</v>
      </c>
      <c r="AO5" s="235" t="s">
        <v>1849</v>
      </c>
      <c r="AP5" s="235" t="s">
        <v>1850</v>
      </c>
      <c r="AQ5" s="235" t="s">
        <v>1851</v>
      </c>
    </row>
    <row r="6" spans="1:57" s="183" customFormat="1" ht="15.75" hidden="1" customHeight="1" x14ac:dyDescent="0.2">
      <c r="C6" s="217">
        <v>1999</v>
      </c>
      <c r="D6" s="180" t="s">
        <v>903</v>
      </c>
      <c r="E6" s="180" t="s">
        <v>41</v>
      </c>
      <c r="F6" s="180" t="s">
        <v>1360</v>
      </c>
      <c r="G6" s="180" t="s">
        <v>167</v>
      </c>
      <c r="H6" s="180" t="s">
        <v>1251</v>
      </c>
      <c r="I6" s="180" t="s">
        <v>81</v>
      </c>
      <c r="J6" s="180" t="s">
        <v>54</v>
      </c>
      <c r="K6" s="180">
        <v>14</v>
      </c>
      <c r="L6" s="180">
        <v>172</v>
      </c>
      <c r="M6" s="183">
        <v>57</v>
      </c>
      <c r="N6" s="181">
        <v>7.22</v>
      </c>
      <c r="O6" s="94">
        <v>0.5</v>
      </c>
      <c r="P6" s="218">
        <f t="shared" si="3"/>
        <v>5.1474944768134527</v>
      </c>
      <c r="Q6" s="179" t="str">
        <f t="shared" si="0"/>
        <v>CCME Fish</v>
      </c>
      <c r="R6" s="219">
        <f t="shared" si="1"/>
        <v>-2.3314030272235389</v>
      </c>
      <c r="S6" s="220">
        <f t="shared" si="4"/>
        <v>7.4788975040369916</v>
      </c>
      <c r="T6" s="236">
        <f t="shared" ref="T6:T69" si="8">IF(F6=F5,T5,T5+1)</f>
        <v>1</v>
      </c>
      <c r="U6" s="221" t="str">
        <f t="shared" si="5"/>
        <v>1-GRO-NOEC-Larvae</v>
      </c>
      <c r="V6" s="222" cm="1">
        <f t="array" ref="V6">GEOMEAN(IF(U6=$U$4:$U$359,$S$4:$S$359))</f>
        <v>7.4788975040369916</v>
      </c>
      <c r="W6" s="223">
        <f t="shared" si="2"/>
        <v>4.3114588466081942</v>
      </c>
      <c r="X6" s="225">
        <f t="shared" si="6"/>
        <v>74.54916544705091</v>
      </c>
      <c r="Y6" s="225">
        <f t="shared" si="7"/>
        <v>74.54916544705091</v>
      </c>
      <c r="Z6" s="226"/>
      <c r="AA6" s="194"/>
      <c r="AB6" s="227"/>
      <c r="AC6" s="228"/>
      <c r="AD6" s="228"/>
      <c r="AE6" s="229"/>
      <c r="AG6" s="238" t="s">
        <v>1811</v>
      </c>
      <c r="AH6" s="231">
        <v>0.67300000000000004</v>
      </c>
      <c r="AI6" s="232">
        <v>-0.35899999999999999</v>
      </c>
      <c r="AJ6" s="233">
        <v>0.35099999999999998</v>
      </c>
      <c r="AN6" s="234" t="s">
        <v>1811</v>
      </c>
      <c r="AO6" s="235" t="s">
        <v>1815</v>
      </c>
      <c r="AP6" s="235" t="s">
        <v>1814</v>
      </c>
      <c r="AQ6" s="235" t="s">
        <v>1816</v>
      </c>
    </row>
    <row r="7" spans="1:57" s="183" customFormat="1" ht="15.75" hidden="1" customHeight="1" x14ac:dyDescent="0.2">
      <c r="C7" s="217">
        <v>1999</v>
      </c>
      <c r="D7" s="180" t="s">
        <v>903</v>
      </c>
      <c r="E7" s="180" t="s">
        <v>41</v>
      </c>
      <c r="F7" s="180" t="s">
        <v>1360</v>
      </c>
      <c r="G7" s="180" t="s">
        <v>167</v>
      </c>
      <c r="H7" s="180" t="s">
        <v>1251</v>
      </c>
      <c r="I7" s="180" t="s">
        <v>237</v>
      </c>
      <c r="J7" s="180" t="s">
        <v>54</v>
      </c>
      <c r="K7" s="180">
        <v>14</v>
      </c>
      <c r="L7" s="180">
        <v>404</v>
      </c>
      <c r="M7" s="183">
        <v>57</v>
      </c>
      <c r="N7" s="181">
        <v>7.22</v>
      </c>
      <c r="O7" s="94">
        <v>0.5</v>
      </c>
      <c r="P7" s="239">
        <f t="shared" si="3"/>
        <v>6.0014148779611505</v>
      </c>
      <c r="Q7" s="179" t="str">
        <f t="shared" si="0"/>
        <v>CCME Fish</v>
      </c>
      <c r="R7" s="219">
        <f>$AI$4*N7+$AH$4*LN(M7)+$AJ$4*LN(O7)</f>
        <v>-2.3314030272235389</v>
      </c>
      <c r="S7" s="220">
        <f t="shared" si="4"/>
        <v>8.3328179051846902</v>
      </c>
      <c r="T7" s="236">
        <f t="shared" si="8"/>
        <v>1</v>
      </c>
      <c r="U7" s="221" t="str">
        <f t="shared" si="5"/>
        <v>1-MOR-NOEC-Larvae</v>
      </c>
      <c r="V7" s="222" cm="1">
        <f t="array" ref="V7">GEOMEAN(IF(U7=$U$4:$U$359,$S$4:$S$359))</f>
        <v>8.3328179051846902</v>
      </c>
      <c r="W7" s="223">
        <f t="shared" si="2"/>
        <v>5.1653792477558929</v>
      </c>
      <c r="X7" s="225">
        <f t="shared" si="6"/>
        <v>175.10385372446871</v>
      </c>
      <c r="Y7" s="225">
        <f t="shared" si="7"/>
        <v>175.10385372446871</v>
      </c>
      <c r="Z7" s="226"/>
      <c r="AA7" s="194"/>
      <c r="AB7" s="227" t="s">
        <v>1846</v>
      </c>
      <c r="AC7" s="228" t="s">
        <v>1798</v>
      </c>
      <c r="AD7" s="228"/>
      <c r="AE7" s="229" t="s">
        <v>1584</v>
      </c>
      <c r="AG7" s="230" t="s">
        <v>1852</v>
      </c>
      <c r="AH7" s="231"/>
      <c r="AI7" s="232">
        <v>-0.86499999999999999</v>
      </c>
      <c r="AJ7" s="233">
        <v>0.20899999999999999</v>
      </c>
      <c r="AK7" s="227"/>
      <c r="AN7" s="234" t="s">
        <v>1852</v>
      </c>
      <c r="AO7" s="240" t="s">
        <v>1818</v>
      </c>
      <c r="AP7" s="240" t="s">
        <v>1817</v>
      </c>
      <c r="AQ7" s="240" t="s">
        <v>1819</v>
      </c>
    </row>
    <row r="8" spans="1:57" s="183" customFormat="1" ht="15.75" hidden="1" customHeight="1" x14ac:dyDescent="0.2">
      <c r="C8" s="217">
        <v>1999</v>
      </c>
      <c r="D8" s="180" t="s">
        <v>903</v>
      </c>
      <c r="E8" s="180" t="s">
        <v>41</v>
      </c>
      <c r="F8" s="180" t="s">
        <v>1360</v>
      </c>
      <c r="G8" s="180" t="s">
        <v>167</v>
      </c>
      <c r="H8" s="180" t="s">
        <v>1251</v>
      </c>
      <c r="I8" s="180" t="s">
        <v>237</v>
      </c>
      <c r="J8" s="180" t="s">
        <v>54</v>
      </c>
      <c r="K8" s="180">
        <v>28</v>
      </c>
      <c r="L8" s="180">
        <v>404</v>
      </c>
      <c r="M8" s="183">
        <v>57</v>
      </c>
      <c r="N8" s="181">
        <v>7.22</v>
      </c>
      <c r="O8" s="94">
        <v>0.5</v>
      </c>
      <c r="P8" s="239">
        <f t="shared" si="3"/>
        <v>6.0014148779611505</v>
      </c>
      <c r="Q8" s="179" t="str">
        <f t="shared" si="0"/>
        <v>CCME Fish</v>
      </c>
      <c r="R8" s="219">
        <f t="shared" ref="R8:R71" si="9">$AI$4*N8+$AH$4*LN(M8)+$AJ$4*LN(O8)</f>
        <v>-2.3314030272235389</v>
      </c>
      <c r="S8" s="220">
        <f>P8-R8</f>
        <v>8.3328179051846902</v>
      </c>
      <c r="T8" s="236">
        <f t="shared" si="8"/>
        <v>1</v>
      </c>
      <c r="U8" s="221" t="str">
        <f t="shared" si="5"/>
        <v>1-MOR-NOEC-Larvae</v>
      </c>
      <c r="V8" s="222" cm="1">
        <f t="array" ref="V8">GEOMEAN(IF(U8=$U$4:$U$359,$S$4:$S$359))</f>
        <v>8.3328179051846902</v>
      </c>
      <c r="W8" s="223">
        <f>V8+$AI$4*$AI$2+$AH$4*LN($AH$2)+$AJ$4*LN($AJ$2)</f>
        <v>5.1653792477558929</v>
      </c>
      <c r="X8" s="225">
        <f t="shared" si="6"/>
        <v>175.10385372446871</v>
      </c>
      <c r="Y8" s="225">
        <f t="shared" si="7"/>
        <v>175.10385372446871</v>
      </c>
      <c r="Z8" s="226"/>
      <c r="AA8" s="194"/>
      <c r="AB8" s="227"/>
      <c r="AC8" s="228"/>
      <c r="AD8" s="228"/>
      <c r="AE8" s="229"/>
      <c r="AG8" s="230"/>
      <c r="AH8" s="231"/>
      <c r="AI8" s="232"/>
      <c r="AJ8" s="233"/>
      <c r="AK8" s="227"/>
    </row>
    <row r="9" spans="1:57" s="183" customFormat="1" ht="15.75" hidden="1" customHeight="1" x14ac:dyDescent="0.2">
      <c r="C9" s="217">
        <v>1999</v>
      </c>
      <c r="D9" s="180" t="s">
        <v>903</v>
      </c>
      <c r="E9" s="180" t="s">
        <v>41</v>
      </c>
      <c r="F9" s="180" t="s">
        <v>1360</v>
      </c>
      <c r="G9" s="180" t="s">
        <v>167</v>
      </c>
      <c r="H9" s="180" t="s">
        <v>1251</v>
      </c>
      <c r="I9" s="180" t="s">
        <v>237</v>
      </c>
      <c r="J9" s="180" t="s">
        <v>54</v>
      </c>
      <c r="K9" s="180">
        <v>42</v>
      </c>
      <c r="L9" s="180">
        <v>404</v>
      </c>
      <c r="M9" s="183">
        <v>57</v>
      </c>
      <c r="N9" s="181">
        <v>7.22</v>
      </c>
      <c r="O9" s="94">
        <v>0.5</v>
      </c>
      <c r="P9" s="239">
        <f t="shared" si="3"/>
        <v>6.0014148779611505</v>
      </c>
      <c r="Q9" s="179" t="str">
        <f t="shared" si="0"/>
        <v>CCME Fish</v>
      </c>
      <c r="R9" s="219">
        <f t="shared" si="9"/>
        <v>-2.3314030272235389</v>
      </c>
      <c r="S9" s="220">
        <f t="shared" ref="S9:S72" si="10">P9-R9</f>
        <v>8.3328179051846902</v>
      </c>
      <c r="T9" s="236">
        <f t="shared" si="8"/>
        <v>1</v>
      </c>
      <c r="U9" s="221" t="str">
        <f t="shared" si="5"/>
        <v>1-MOR-NOEC-Larvae</v>
      </c>
      <c r="V9" s="222" cm="1">
        <f t="array" ref="V9">GEOMEAN(IF(U9=$U$4:$U$359,$S$4:$S$359))</f>
        <v>8.3328179051846902</v>
      </c>
      <c r="W9" s="223">
        <f t="shared" ref="W9:W72" si="11">V9+$AI$4*$AI$2+$AH$4*LN($AH$2)+$AJ$4*LN($AJ$2)</f>
        <v>5.1653792477558929</v>
      </c>
      <c r="X9" s="225">
        <f t="shared" si="6"/>
        <v>175.10385372446871</v>
      </c>
      <c r="Y9" s="225">
        <f t="shared" si="7"/>
        <v>175.10385372446871</v>
      </c>
      <c r="Z9" s="226"/>
      <c r="AA9" s="194"/>
      <c r="AB9" s="227"/>
      <c r="AC9" s="228"/>
      <c r="AD9" s="228"/>
      <c r="AE9" s="229"/>
      <c r="AG9" s="230" t="s">
        <v>1853</v>
      </c>
      <c r="AH9" s="231"/>
      <c r="AI9" s="232"/>
      <c r="AJ9" s="233"/>
    </row>
    <row r="10" spans="1:57" s="183" customFormat="1" ht="15.75" customHeight="1" x14ac:dyDescent="0.2">
      <c r="B10" s="241">
        <v>84053</v>
      </c>
      <c r="C10" s="217">
        <v>2005</v>
      </c>
      <c r="D10" s="180" t="s">
        <v>863</v>
      </c>
      <c r="E10" s="180" t="s">
        <v>41</v>
      </c>
      <c r="F10" s="180" t="s">
        <v>574</v>
      </c>
      <c r="G10" s="180" t="s">
        <v>82</v>
      </c>
      <c r="H10" s="180" t="s">
        <v>235</v>
      </c>
      <c r="I10" s="180" t="s">
        <v>156</v>
      </c>
      <c r="J10" s="180" t="s">
        <v>49</v>
      </c>
      <c r="K10" s="217" t="s">
        <v>78</v>
      </c>
      <c r="L10" s="217">
        <v>155.69999999999999</v>
      </c>
      <c r="M10" s="180">
        <v>154</v>
      </c>
      <c r="N10" s="181">
        <v>7.5</v>
      </c>
      <c r="O10" s="242">
        <v>1.9</v>
      </c>
      <c r="P10" s="239">
        <f t="shared" si="3"/>
        <v>5.0479310788399525</v>
      </c>
      <c r="Q10" s="179" t="str">
        <f t="shared" si="0"/>
        <v>CCME Fish</v>
      </c>
      <c r="R10" s="219">
        <f t="shared" si="9"/>
        <v>-1.08704803881768</v>
      </c>
      <c r="S10" s="220">
        <f t="shared" si="10"/>
        <v>6.1349791176576325</v>
      </c>
      <c r="T10" s="236">
        <f t="shared" si="8"/>
        <v>2</v>
      </c>
      <c r="U10" s="221" t="str">
        <f t="shared" si="5"/>
        <v>2-Mortality-EC10-NR</v>
      </c>
      <c r="V10" s="222" cm="1">
        <f t="array" ref="V10">GEOMEAN(IF(U10=$U$4:$U$359,$S$4:$S$359))</f>
        <v>6.1349791176576325</v>
      </c>
      <c r="W10" s="223">
        <f t="shared" si="11"/>
        <v>2.9675404602288356</v>
      </c>
      <c r="X10" s="225">
        <f t="shared" si="6"/>
        <v>19.44403735284704</v>
      </c>
      <c r="Y10" s="225">
        <f t="shared" si="7"/>
        <v>19.44403735284704</v>
      </c>
      <c r="Z10" s="194"/>
      <c r="AA10" s="226" t="s">
        <v>1596</v>
      </c>
      <c r="AB10" s="227" t="s">
        <v>1846</v>
      </c>
      <c r="AC10" s="228" t="s">
        <v>1798</v>
      </c>
      <c r="AD10" s="229" t="s">
        <v>1596</v>
      </c>
      <c r="AE10" s="229" t="s">
        <v>1584</v>
      </c>
      <c r="AG10" s="230" t="s">
        <v>1853</v>
      </c>
      <c r="AH10" s="231"/>
      <c r="AI10" s="232"/>
      <c r="AJ10" s="233"/>
    </row>
    <row r="11" spans="1:57" s="183" customFormat="1" ht="15.75" customHeight="1" x14ac:dyDescent="0.2">
      <c r="B11" s="241">
        <v>84053</v>
      </c>
      <c r="C11" s="217">
        <v>2005</v>
      </c>
      <c r="D11" s="180" t="s">
        <v>863</v>
      </c>
      <c r="E11" s="180" t="s">
        <v>41</v>
      </c>
      <c r="F11" s="180" t="s">
        <v>574</v>
      </c>
      <c r="G11" s="180" t="s">
        <v>82</v>
      </c>
      <c r="H11" s="180" t="s">
        <v>235</v>
      </c>
      <c r="I11" s="180" t="s">
        <v>81</v>
      </c>
      <c r="J11" s="180" t="s">
        <v>54</v>
      </c>
      <c r="K11" s="217" t="s">
        <v>78</v>
      </c>
      <c r="L11" s="217">
        <v>379</v>
      </c>
      <c r="M11" s="180">
        <v>154</v>
      </c>
      <c r="N11" s="181">
        <v>7.5</v>
      </c>
      <c r="O11" s="242">
        <v>1.9</v>
      </c>
      <c r="P11" s="239">
        <f t="shared" si="3"/>
        <v>5.9375362050824263</v>
      </c>
      <c r="Q11" s="179" t="str">
        <f t="shared" si="0"/>
        <v>CCME Fish</v>
      </c>
      <c r="R11" s="219">
        <f t="shared" si="9"/>
        <v>-1.08704803881768</v>
      </c>
      <c r="S11" s="220">
        <f t="shared" si="10"/>
        <v>7.0245842439001063</v>
      </c>
      <c r="T11" s="236">
        <f t="shared" si="8"/>
        <v>2</v>
      </c>
      <c r="U11" s="221" t="str">
        <f t="shared" si="5"/>
        <v>2-GRO-NOEC-NR</v>
      </c>
      <c r="V11" s="222" cm="1">
        <f t="array" ref="V11">GEOMEAN(IF(U11=$U$4:$U$359,$S$4:$S$359))</f>
        <v>7.0245842439001063</v>
      </c>
      <c r="W11" s="223">
        <f t="shared" si="11"/>
        <v>3.8571455864713093</v>
      </c>
      <c r="X11" s="225">
        <f t="shared" si="6"/>
        <v>47.330058810077254</v>
      </c>
      <c r="Y11" s="225"/>
      <c r="Z11" s="194" t="s">
        <v>1854</v>
      </c>
      <c r="AA11" s="226" t="s">
        <v>1596</v>
      </c>
      <c r="AC11" s="243"/>
      <c r="AD11" s="229" t="s">
        <v>1596</v>
      </c>
      <c r="AE11" s="243"/>
      <c r="AG11" s="230" t="s">
        <v>1853</v>
      </c>
      <c r="AH11" s="231"/>
      <c r="AI11" s="232"/>
      <c r="AJ11" s="233"/>
      <c r="AL11" s="244"/>
    </row>
    <row r="12" spans="1:57" s="183" customFormat="1" ht="15.75" customHeight="1" x14ac:dyDescent="0.2">
      <c r="B12" s="241">
        <v>84053</v>
      </c>
      <c r="C12" s="217">
        <v>2005</v>
      </c>
      <c r="D12" s="180" t="s">
        <v>863</v>
      </c>
      <c r="E12" s="180" t="s">
        <v>41</v>
      </c>
      <c r="F12" s="180" t="s">
        <v>574</v>
      </c>
      <c r="G12" s="180" t="s">
        <v>82</v>
      </c>
      <c r="H12" s="180" t="s">
        <v>235</v>
      </c>
      <c r="I12" s="180" t="s">
        <v>81</v>
      </c>
      <c r="J12" s="180" t="s">
        <v>54</v>
      </c>
      <c r="K12" s="217" t="s">
        <v>78</v>
      </c>
      <c r="L12" s="217">
        <v>379</v>
      </c>
      <c r="M12" s="180">
        <v>154</v>
      </c>
      <c r="N12" s="181">
        <v>7.5</v>
      </c>
      <c r="O12" s="242">
        <v>1.9</v>
      </c>
      <c r="P12" s="239">
        <f t="shared" si="3"/>
        <v>5.9375362050824263</v>
      </c>
      <c r="Q12" s="179" t="str">
        <f t="shared" si="0"/>
        <v>CCME Fish</v>
      </c>
      <c r="R12" s="219">
        <f t="shared" si="9"/>
        <v>-1.08704803881768</v>
      </c>
      <c r="S12" s="220">
        <f t="shared" si="10"/>
        <v>7.0245842439001063</v>
      </c>
      <c r="T12" s="236">
        <f t="shared" si="8"/>
        <v>2</v>
      </c>
      <c r="U12" s="221" t="str">
        <f t="shared" si="5"/>
        <v>2-GRO-NOEC-NR</v>
      </c>
      <c r="V12" s="222" cm="1">
        <f t="array" ref="V12">GEOMEAN(IF(U12=$U$4:$U$359,$S$4:$S$359))</f>
        <v>7.0245842439001063</v>
      </c>
      <c r="W12" s="223">
        <f t="shared" si="11"/>
        <v>3.8571455864713093</v>
      </c>
      <c r="X12" s="225">
        <f t="shared" si="6"/>
        <v>47.330058810077254</v>
      </c>
      <c r="Y12" s="225"/>
      <c r="Z12" s="194" t="s">
        <v>1854</v>
      </c>
      <c r="AA12" s="226" t="s">
        <v>1596</v>
      </c>
      <c r="AC12" s="243"/>
      <c r="AD12" s="229" t="s">
        <v>1596</v>
      </c>
      <c r="AE12" s="243"/>
      <c r="AL12" s="244"/>
    </row>
    <row r="13" spans="1:57" s="183" customFormat="1" ht="15.75" customHeight="1" x14ac:dyDescent="0.2">
      <c r="B13" s="241">
        <v>84053</v>
      </c>
      <c r="C13" s="217">
        <v>2005</v>
      </c>
      <c r="D13" s="180" t="s">
        <v>863</v>
      </c>
      <c r="E13" s="180" t="s">
        <v>41</v>
      </c>
      <c r="F13" s="180" t="s">
        <v>574</v>
      </c>
      <c r="G13" s="180" t="s">
        <v>82</v>
      </c>
      <c r="H13" s="180" t="s">
        <v>235</v>
      </c>
      <c r="I13" s="180" t="s">
        <v>237</v>
      </c>
      <c r="J13" s="180" t="s">
        <v>54</v>
      </c>
      <c r="K13" s="217" t="s">
        <v>78</v>
      </c>
      <c r="L13" s="217">
        <v>172</v>
      </c>
      <c r="M13" s="180">
        <v>154</v>
      </c>
      <c r="N13" s="181">
        <v>7.5</v>
      </c>
      <c r="O13" s="242">
        <v>1.9</v>
      </c>
      <c r="P13" s="239">
        <f t="shared" si="3"/>
        <v>5.1474944768134527</v>
      </c>
      <c r="Q13" s="179" t="str">
        <f t="shared" si="0"/>
        <v>CCME Fish</v>
      </c>
      <c r="R13" s="219">
        <f t="shared" si="9"/>
        <v>-1.08704803881768</v>
      </c>
      <c r="S13" s="220">
        <f t="shared" si="10"/>
        <v>6.2345425156311327</v>
      </c>
      <c r="T13" s="236">
        <f t="shared" si="8"/>
        <v>2</v>
      </c>
      <c r="U13" s="221" t="str">
        <f t="shared" si="5"/>
        <v>2-MOR-NOEC-NR</v>
      </c>
      <c r="V13" s="222" cm="1">
        <f t="array" ref="V13">GEOMEAN(IF(U13=$U$4:$U$359,$S$4:$S$359))</f>
        <v>6.2345425156311327</v>
      </c>
      <c r="W13" s="223">
        <f t="shared" si="11"/>
        <v>3.0671038582023358</v>
      </c>
      <c r="X13" s="225">
        <f t="shared" si="6"/>
        <v>21.479604525945344</v>
      </c>
      <c r="Y13" s="225">
        <f t="shared" ref="Y13" si="12">X13</f>
        <v>21.479604525945344</v>
      </c>
      <c r="Z13" s="194"/>
      <c r="AA13" s="226" t="s">
        <v>1596</v>
      </c>
      <c r="AB13" s="227" t="s">
        <v>1846</v>
      </c>
      <c r="AC13" s="228" t="s">
        <v>1798</v>
      </c>
      <c r="AD13" s="229" t="s">
        <v>1596</v>
      </c>
      <c r="AE13" s="229" t="s">
        <v>1584</v>
      </c>
      <c r="AI13" s="182"/>
      <c r="AL13" s="244"/>
    </row>
    <row r="14" spans="1:57" s="244" customFormat="1" ht="15.75" customHeight="1" x14ac:dyDescent="0.25">
      <c r="B14" s="245" t="s">
        <v>1733</v>
      </c>
      <c r="C14" s="245">
        <v>2020</v>
      </c>
      <c r="D14" s="245" t="s">
        <v>1721</v>
      </c>
      <c r="E14" s="245" t="s">
        <v>1740</v>
      </c>
      <c r="F14" s="245" t="s">
        <v>1734</v>
      </c>
      <c r="G14" s="245" t="s">
        <v>82</v>
      </c>
      <c r="H14" s="245" t="s">
        <v>1735</v>
      </c>
      <c r="I14" s="245" t="s">
        <v>1253</v>
      </c>
      <c r="J14" s="245" t="s">
        <v>49</v>
      </c>
      <c r="K14" s="245">
        <v>7</v>
      </c>
      <c r="L14" s="245">
        <v>29</v>
      </c>
      <c r="M14" s="245">
        <v>3.5</v>
      </c>
      <c r="N14" s="245">
        <v>6.7</v>
      </c>
      <c r="O14" s="246">
        <v>1.4</v>
      </c>
      <c r="P14" s="239">
        <f t="shared" si="3"/>
        <v>3.3672958299864741</v>
      </c>
      <c r="Q14" s="179" t="str">
        <f t="shared" si="0"/>
        <v>CCME Fish</v>
      </c>
      <c r="R14" s="219">
        <f t="shared" si="9"/>
        <v>-4.1402175186596439</v>
      </c>
      <c r="S14" s="220">
        <f t="shared" si="10"/>
        <v>7.5075133486461176</v>
      </c>
      <c r="T14" s="236">
        <f t="shared" si="8"/>
        <v>3</v>
      </c>
      <c r="U14" s="221"/>
      <c r="V14" s="222" t="e" cm="1">
        <f t="array" ref="V14">GEOMEAN(IF(U14=$U$4:$U$359,$S$4:$S$359))</f>
        <v>#NUM!</v>
      </c>
      <c r="W14" s="223" t="e">
        <f t="shared" si="11"/>
        <v>#NUM!</v>
      </c>
      <c r="X14" s="225" t="e">
        <f t="shared" si="6"/>
        <v>#NUM!</v>
      </c>
      <c r="Y14" s="225"/>
      <c r="Z14" s="246" t="s">
        <v>1855</v>
      </c>
      <c r="AA14" s="246"/>
      <c r="AC14" s="247" t="s">
        <v>1772</v>
      </c>
      <c r="AD14" s="247">
        <v>0.9</v>
      </c>
      <c r="AE14" s="244" t="s">
        <v>1773</v>
      </c>
      <c r="AF14" s="183"/>
      <c r="AG14" s="244" t="s">
        <v>1539</v>
      </c>
      <c r="AH14" s="244" t="s">
        <v>1856</v>
      </c>
      <c r="AJ14" s="248"/>
      <c r="AK14" s="248"/>
      <c r="AM14" s="246"/>
      <c r="AN14" s="246"/>
      <c r="AO14" s="246"/>
      <c r="AP14" s="244" t="s">
        <v>1539</v>
      </c>
      <c r="AQ14" s="244" t="s">
        <v>1856</v>
      </c>
      <c r="AR14" s="246"/>
      <c r="AS14" s="246"/>
      <c r="AT14" s="246"/>
      <c r="AU14" s="246"/>
      <c r="AV14" s="246"/>
      <c r="AW14" s="246"/>
      <c r="AX14" s="246"/>
      <c r="AY14" s="246"/>
      <c r="AZ14" s="246"/>
      <c r="BA14" s="246"/>
      <c r="BB14" s="246"/>
      <c r="BC14" s="246"/>
      <c r="BE14" s="249"/>
    </row>
    <row r="15" spans="1:57" s="183" customFormat="1" ht="15.75" customHeight="1" x14ac:dyDescent="0.25">
      <c r="A15" s="183" t="s">
        <v>1857</v>
      </c>
      <c r="B15" s="241"/>
      <c r="C15" s="217">
        <v>2004</v>
      </c>
      <c r="D15" s="180" t="s">
        <v>1408</v>
      </c>
      <c r="E15" s="180" t="s">
        <v>1409</v>
      </c>
      <c r="F15" s="180" t="s">
        <v>1080</v>
      </c>
      <c r="G15" s="180" t="s">
        <v>82</v>
      </c>
      <c r="H15" s="180" t="s">
        <v>172</v>
      </c>
      <c r="I15" s="180" t="s">
        <v>237</v>
      </c>
      <c r="J15" s="180" t="s">
        <v>927</v>
      </c>
      <c r="K15" s="217">
        <v>30</v>
      </c>
      <c r="L15" s="217">
        <v>129</v>
      </c>
      <c r="M15" s="250">
        <v>31.1</v>
      </c>
      <c r="N15" s="181">
        <v>7.24</v>
      </c>
      <c r="O15" s="94">
        <v>0.5</v>
      </c>
      <c r="P15" s="239">
        <f t="shared" si="3"/>
        <v>4.8598124043616719</v>
      </c>
      <c r="Q15" s="179" t="str">
        <f t="shared" si="0"/>
        <v>CCME Fish</v>
      </c>
      <c r="R15" s="219">
        <f t="shared" si="9"/>
        <v>-2.9214367730944848</v>
      </c>
      <c r="S15" s="220">
        <f t="shared" si="10"/>
        <v>7.7812491774561572</v>
      </c>
      <c r="T15" s="236">
        <f t="shared" si="8"/>
        <v>4</v>
      </c>
      <c r="U15" s="221" t="str">
        <f t="shared" ref="U15:U50" si="13">CONCATENATE(T15,"-",I15,"-",J15,"-",H15)</f>
        <v>4-MOR-EC20-Larvae (fry)</v>
      </c>
      <c r="V15" s="222" cm="1">
        <f t="array" ref="V15">GEOMEAN(IF(U15=$U$4:$U$359,$S$4:$S$359))</f>
        <v>8.3660107785872579</v>
      </c>
      <c r="W15" s="223">
        <f t="shared" si="11"/>
        <v>5.1985721211584606</v>
      </c>
      <c r="X15" s="225">
        <f t="shared" si="6"/>
        <v>181.01359178086321</v>
      </c>
      <c r="Y15" s="225">
        <f t="shared" ref="Y15" si="14">X15</f>
        <v>181.01359178086321</v>
      </c>
      <c r="Z15" s="226"/>
      <c r="AA15" s="226"/>
      <c r="AC15" s="228" t="s">
        <v>1858</v>
      </c>
      <c r="AD15" s="251">
        <v>0.6</v>
      </c>
      <c r="AE15" s="252" t="s">
        <v>1859</v>
      </c>
      <c r="AG15" s="249" t="s">
        <v>1786</v>
      </c>
      <c r="AH15" s="253">
        <v>14.044289755578918</v>
      </c>
      <c r="AI15" s="244"/>
      <c r="AJ15" s="248"/>
      <c r="AK15" s="248"/>
      <c r="AL15" s="244"/>
      <c r="AP15" s="249" t="s">
        <v>1786</v>
      </c>
      <c r="AQ15" s="253">
        <v>14.044289755578918</v>
      </c>
    </row>
    <row r="16" spans="1:57" s="183" customFormat="1" ht="15.75" customHeight="1" x14ac:dyDescent="0.25">
      <c r="B16" s="241"/>
      <c r="C16" s="217">
        <v>2004</v>
      </c>
      <c r="D16" s="180" t="s">
        <v>1408</v>
      </c>
      <c r="E16" s="180" t="s">
        <v>1409</v>
      </c>
      <c r="F16" s="180" t="s">
        <v>1080</v>
      </c>
      <c r="G16" s="180" t="s">
        <v>82</v>
      </c>
      <c r="H16" s="180" t="s">
        <v>172</v>
      </c>
      <c r="I16" s="180" t="s">
        <v>237</v>
      </c>
      <c r="J16" s="180" t="s">
        <v>54</v>
      </c>
      <c r="K16" s="217">
        <v>30</v>
      </c>
      <c r="L16" s="217">
        <v>95</v>
      </c>
      <c r="M16" s="250">
        <v>31.1</v>
      </c>
      <c r="N16" s="181">
        <v>7.24</v>
      </c>
      <c r="O16" s="94">
        <v>0.5</v>
      </c>
      <c r="P16" s="239">
        <f t="shared" si="3"/>
        <v>4.5538768916005408</v>
      </c>
      <c r="Q16" s="179" t="str">
        <f t="shared" si="0"/>
        <v>CCME Fish</v>
      </c>
      <c r="R16" s="219">
        <f t="shared" si="9"/>
        <v>-2.9214367730944848</v>
      </c>
      <c r="S16" s="220">
        <f t="shared" si="10"/>
        <v>7.475313664695026</v>
      </c>
      <c r="T16" s="236">
        <f t="shared" si="8"/>
        <v>4</v>
      </c>
      <c r="U16" s="221" t="str">
        <f t="shared" si="13"/>
        <v>4-MOR-NOEC-Larvae (fry)</v>
      </c>
      <c r="V16" s="222" cm="1">
        <f t="array" ref="V16">GEOMEAN(IF(U16=$U$4:$U$359,$S$4:$S$359))</f>
        <v>7.9651981470925692</v>
      </c>
      <c r="W16" s="223">
        <f t="shared" si="11"/>
        <v>4.7977594896637719</v>
      </c>
      <c r="X16" s="225">
        <f t="shared" si="6"/>
        <v>121.23847692893513</v>
      </c>
      <c r="Y16" s="225"/>
      <c r="Z16" s="226"/>
      <c r="AA16" s="226"/>
      <c r="AB16" s="227" t="s">
        <v>1846</v>
      </c>
      <c r="AC16" s="228" t="s">
        <v>1798</v>
      </c>
      <c r="AD16" s="243"/>
      <c r="AE16" s="229" t="s">
        <v>1584</v>
      </c>
      <c r="AG16" s="249" t="s">
        <v>1722</v>
      </c>
      <c r="AH16" s="253" t="e">
        <v>#NUM!</v>
      </c>
      <c r="AI16" s="244"/>
      <c r="AJ16" s="248"/>
      <c r="AK16" s="248"/>
      <c r="AL16" s="244"/>
      <c r="AP16" s="249" t="s">
        <v>1722</v>
      </c>
      <c r="AQ16" s="253" t="e">
        <v>#NUM!</v>
      </c>
    </row>
    <row r="17" spans="1:43" s="183" customFormat="1" ht="15.75" customHeight="1" x14ac:dyDescent="0.25">
      <c r="A17" s="183" t="s">
        <v>1860</v>
      </c>
      <c r="B17" s="241"/>
      <c r="C17" s="217">
        <v>2004</v>
      </c>
      <c r="D17" s="180" t="s">
        <v>1408</v>
      </c>
      <c r="E17" s="180" t="s">
        <v>1410</v>
      </c>
      <c r="F17" s="180" t="s">
        <v>1080</v>
      </c>
      <c r="G17" s="180" t="s">
        <v>82</v>
      </c>
      <c r="H17" s="180" t="s">
        <v>172</v>
      </c>
      <c r="I17" s="180" t="s">
        <v>237</v>
      </c>
      <c r="J17" s="180" t="s">
        <v>927</v>
      </c>
      <c r="K17" s="217">
        <v>30</v>
      </c>
      <c r="L17" s="217">
        <v>1515</v>
      </c>
      <c r="M17" s="250">
        <v>149.4</v>
      </c>
      <c r="N17" s="181">
        <v>7.53</v>
      </c>
      <c r="O17" s="94">
        <v>0.5</v>
      </c>
      <c r="P17" s="239">
        <f t="shared" si="3"/>
        <v>7.3231707179434693</v>
      </c>
      <c r="Q17" s="179" t="str">
        <f t="shared" si="0"/>
        <v>CCME Fish</v>
      </c>
      <c r="R17" s="219">
        <f t="shared" si="9"/>
        <v>-1.6715465506171729</v>
      </c>
      <c r="S17" s="220">
        <f t="shared" si="10"/>
        <v>8.9947172685606418</v>
      </c>
      <c r="T17" s="236">
        <f t="shared" si="8"/>
        <v>4</v>
      </c>
      <c r="U17" s="221" t="str">
        <f t="shared" si="13"/>
        <v>4-MOR-EC20-Larvae (fry)</v>
      </c>
      <c r="V17" s="222" cm="1">
        <f t="array" ref="V17">GEOMEAN(IF(U17=$U$4:$U$359,$S$4:$S$359))</f>
        <v>8.3660107785872579</v>
      </c>
      <c r="W17" s="223">
        <f t="shared" si="11"/>
        <v>5.1985721211584606</v>
      </c>
      <c r="X17" s="225">
        <f t="shared" si="6"/>
        <v>181.01359178086321</v>
      </c>
      <c r="Y17" s="225">
        <f t="shared" ref="Y17" si="15">X17</f>
        <v>181.01359178086321</v>
      </c>
      <c r="Z17" s="226"/>
      <c r="AA17" s="226"/>
      <c r="AC17" s="228" t="s">
        <v>1858</v>
      </c>
      <c r="AD17" s="251">
        <v>0.6</v>
      </c>
      <c r="AE17" s="252" t="s">
        <v>1859</v>
      </c>
      <c r="AG17" s="249" t="s">
        <v>1567</v>
      </c>
      <c r="AH17" s="253">
        <v>82.935518498179519</v>
      </c>
      <c r="AI17" s="244"/>
      <c r="AJ17" s="248"/>
      <c r="AK17" s="248"/>
      <c r="AL17" s="244"/>
      <c r="AP17" s="249" t="s">
        <v>1567</v>
      </c>
      <c r="AQ17" s="253">
        <v>82.935518498179519</v>
      </c>
    </row>
    <row r="18" spans="1:43" s="183" customFormat="1" ht="15.75" customHeight="1" x14ac:dyDescent="0.25">
      <c r="B18" s="241"/>
      <c r="C18" s="217">
        <v>2004</v>
      </c>
      <c r="D18" s="180" t="s">
        <v>1408</v>
      </c>
      <c r="E18" s="180" t="s">
        <v>1410</v>
      </c>
      <c r="F18" s="180" t="s">
        <v>1080</v>
      </c>
      <c r="G18" s="180" t="s">
        <v>82</v>
      </c>
      <c r="H18" s="180" t="s">
        <v>172</v>
      </c>
      <c r="I18" s="180" t="s">
        <v>237</v>
      </c>
      <c r="J18" s="180" t="s">
        <v>54</v>
      </c>
      <c r="K18" s="217">
        <v>30</v>
      </c>
      <c r="L18" s="217">
        <v>912</v>
      </c>
      <c r="M18" s="250">
        <v>149.4</v>
      </c>
      <c r="N18" s="181">
        <v>7.53</v>
      </c>
      <c r="O18" s="94">
        <v>0.5</v>
      </c>
      <c r="P18" s="239">
        <f t="shared" si="3"/>
        <v>6.815639990074331</v>
      </c>
      <c r="Q18" s="179" t="str">
        <f t="shared" si="0"/>
        <v>CCME Fish</v>
      </c>
      <c r="R18" s="219">
        <f t="shared" si="9"/>
        <v>-1.6715465506171729</v>
      </c>
      <c r="S18" s="220">
        <f t="shared" si="10"/>
        <v>8.4871865406915035</v>
      </c>
      <c r="T18" s="236">
        <f t="shared" si="8"/>
        <v>4</v>
      </c>
      <c r="U18" s="221" t="str">
        <f t="shared" si="13"/>
        <v>4-MOR-NOEC-Larvae (fry)</v>
      </c>
      <c r="V18" s="222" cm="1">
        <f t="array" ref="V18">GEOMEAN(IF(U18=$U$4:$U$359,$S$4:$S$359))</f>
        <v>7.9651981470925692</v>
      </c>
      <c r="W18" s="223">
        <f t="shared" si="11"/>
        <v>4.7977594896637719</v>
      </c>
      <c r="X18" s="225">
        <f t="shared" si="6"/>
        <v>121.23847692893513</v>
      </c>
      <c r="Y18" s="225"/>
      <c r="Z18" s="226"/>
      <c r="AA18" s="226"/>
      <c r="AB18" s="227" t="s">
        <v>1846</v>
      </c>
      <c r="AC18" s="228" t="s">
        <v>1798</v>
      </c>
      <c r="AD18" s="243"/>
      <c r="AE18" s="229" t="s">
        <v>1584</v>
      </c>
      <c r="AG18" s="249" t="s">
        <v>1360</v>
      </c>
      <c r="AH18" s="253">
        <v>74.54916544705091</v>
      </c>
      <c r="AI18" s="244"/>
      <c r="AJ18" s="248"/>
      <c r="AK18" s="248"/>
      <c r="AL18" s="244"/>
      <c r="AP18" s="249" t="s">
        <v>1360</v>
      </c>
      <c r="AQ18" s="253">
        <v>74.54916544705091</v>
      </c>
    </row>
    <row r="19" spans="1:43" s="183" customFormat="1" ht="15.75" customHeight="1" x14ac:dyDescent="0.25">
      <c r="B19" s="241"/>
      <c r="C19" s="217">
        <v>2004</v>
      </c>
      <c r="D19" s="180" t="s">
        <v>1408</v>
      </c>
      <c r="E19" s="180" t="s">
        <v>1409</v>
      </c>
      <c r="F19" s="180" t="s">
        <v>89</v>
      </c>
      <c r="G19" s="180" t="s">
        <v>82</v>
      </c>
      <c r="H19" s="180" t="s">
        <v>203</v>
      </c>
      <c r="I19" s="180" t="s">
        <v>1309</v>
      </c>
      <c r="J19" s="180" t="s">
        <v>54</v>
      </c>
      <c r="K19" s="217">
        <v>63</v>
      </c>
      <c r="L19" s="217">
        <v>112</v>
      </c>
      <c r="M19" s="250">
        <v>33.299999999999997</v>
      </c>
      <c r="N19" s="181">
        <v>7.5</v>
      </c>
      <c r="O19" s="94">
        <v>0.5</v>
      </c>
      <c r="P19" s="239">
        <f t="shared" si="3"/>
        <v>4.7184988712950942</v>
      </c>
      <c r="Q19" s="179" t="str">
        <f t="shared" si="0"/>
        <v>CCME Fish</v>
      </c>
      <c r="R19" s="219">
        <f t="shared" si="9"/>
        <v>-3.0686097229167393</v>
      </c>
      <c r="S19" s="220">
        <f t="shared" si="10"/>
        <v>7.7871085942118334</v>
      </c>
      <c r="T19" s="236">
        <f t="shared" si="8"/>
        <v>5</v>
      </c>
      <c r="U19" s="221" t="str">
        <f t="shared" si="13"/>
        <v>5-DEV-NOEC-Eggs</v>
      </c>
      <c r="V19" s="222" cm="1">
        <f t="array" ref="V19">GEOMEAN(IF(U19=$U$4:$U$359,$S$4:$S$359))</f>
        <v>8.103917664350714</v>
      </c>
      <c r="W19" s="223">
        <f t="shared" si="11"/>
        <v>4.9364790069219167</v>
      </c>
      <c r="X19" s="225">
        <f t="shared" si="6"/>
        <v>139.27898485612445</v>
      </c>
      <c r="Y19" s="225"/>
      <c r="Z19" s="226" t="s">
        <v>1513</v>
      </c>
      <c r="AA19" s="226"/>
      <c r="AB19" s="227" t="s">
        <v>1846</v>
      </c>
      <c r="AC19" s="228" t="s">
        <v>1798</v>
      </c>
      <c r="AD19" s="243"/>
      <c r="AE19" s="229" t="s">
        <v>1584</v>
      </c>
      <c r="AG19" s="249" t="s">
        <v>63</v>
      </c>
      <c r="AH19" s="253">
        <v>16.330414534816853</v>
      </c>
      <c r="AI19" s="244"/>
      <c r="AJ19" s="248"/>
      <c r="AK19" s="248"/>
      <c r="AL19" s="244"/>
      <c r="AP19" s="249" t="s">
        <v>63</v>
      </c>
      <c r="AQ19" s="253">
        <v>16.330414534816853</v>
      </c>
    </row>
    <row r="20" spans="1:43" s="182" customFormat="1" ht="15.75" customHeight="1" x14ac:dyDescent="0.25">
      <c r="B20" s="241"/>
      <c r="C20" s="217">
        <v>2004</v>
      </c>
      <c r="D20" s="180" t="s">
        <v>1408</v>
      </c>
      <c r="E20" s="180" t="s">
        <v>1410</v>
      </c>
      <c r="F20" s="180" t="s">
        <v>89</v>
      </c>
      <c r="G20" s="180" t="s">
        <v>82</v>
      </c>
      <c r="H20" s="180" t="s">
        <v>203</v>
      </c>
      <c r="I20" s="180" t="s">
        <v>1309</v>
      </c>
      <c r="J20" s="180" t="s">
        <v>54</v>
      </c>
      <c r="K20" s="217">
        <v>63</v>
      </c>
      <c r="L20" s="217">
        <v>831</v>
      </c>
      <c r="M20" s="250">
        <v>150.9</v>
      </c>
      <c r="N20" s="181">
        <v>7.59</v>
      </c>
      <c r="O20" s="94">
        <v>0.5</v>
      </c>
      <c r="P20" s="239">
        <f t="shared" si="3"/>
        <v>6.7226297948554485</v>
      </c>
      <c r="Q20" s="179" t="str">
        <f t="shared" si="0"/>
        <v>CCME Fish</v>
      </c>
      <c r="R20" s="219">
        <f t="shared" si="9"/>
        <v>-1.7109859324750656</v>
      </c>
      <c r="S20" s="220">
        <f t="shared" si="10"/>
        <v>8.4336157273305137</v>
      </c>
      <c r="T20" s="236">
        <f t="shared" si="8"/>
        <v>5</v>
      </c>
      <c r="U20" s="221" t="str">
        <f t="shared" si="13"/>
        <v>5-DEV-NOEC-Eggs</v>
      </c>
      <c r="V20" s="222" cm="1">
        <f t="array" ref="V20">GEOMEAN(IF(U20=$U$4:$U$359,$S$4:$S$359))</f>
        <v>8.103917664350714</v>
      </c>
      <c r="W20" s="223">
        <f t="shared" si="11"/>
        <v>4.9364790069219167</v>
      </c>
      <c r="X20" s="225">
        <f t="shared" si="6"/>
        <v>139.27898485612445</v>
      </c>
      <c r="Y20" s="225"/>
      <c r="Z20" s="226" t="s">
        <v>1513</v>
      </c>
      <c r="AA20" s="226"/>
      <c r="AB20" s="227" t="s">
        <v>1846</v>
      </c>
      <c r="AC20" s="228" t="s">
        <v>1798</v>
      </c>
      <c r="AD20" s="243"/>
      <c r="AE20" s="229" t="s">
        <v>1584</v>
      </c>
      <c r="AG20" s="249" t="s">
        <v>111</v>
      </c>
      <c r="AH20" s="253">
        <v>50.345007907439019</v>
      </c>
      <c r="AI20" s="244"/>
      <c r="AJ20" s="248"/>
      <c r="AK20" s="248"/>
      <c r="AL20" s="244"/>
      <c r="AP20" s="249" t="s">
        <v>111</v>
      </c>
      <c r="AQ20" s="253">
        <v>50.345007907439019</v>
      </c>
    </row>
    <row r="21" spans="1:43" s="182" customFormat="1" ht="15.75" customHeight="1" x14ac:dyDescent="0.25">
      <c r="B21" s="241"/>
      <c r="C21" s="217">
        <v>2004</v>
      </c>
      <c r="D21" s="180" t="s">
        <v>1408</v>
      </c>
      <c r="E21" s="180" t="s">
        <v>1410</v>
      </c>
      <c r="F21" s="180" t="s">
        <v>89</v>
      </c>
      <c r="G21" s="180" t="s">
        <v>82</v>
      </c>
      <c r="H21" s="180" t="s">
        <v>203</v>
      </c>
      <c r="I21" s="180" t="s">
        <v>81</v>
      </c>
      <c r="J21" s="180" t="s">
        <v>54</v>
      </c>
      <c r="K21" s="217">
        <v>63</v>
      </c>
      <c r="L21" s="217">
        <v>831</v>
      </c>
      <c r="M21" s="180">
        <v>150.9</v>
      </c>
      <c r="N21" s="181">
        <v>7.59</v>
      </c>
      <c r="O21" s="94">
        <v>0.5</v>
      </c>
      <c r="P21" s="239">
        <f t="shared" si="3"/>
        <v>6.7226297948554485</v>
      </c>
      <c r="Q21" s="179" t="str">
        <f t="shared" si="0"/>
        <v>CCME Fish</v>
      </c>
      <c r="R21" s="219">
        <f t="shared" si="9"/>
        <v>-1.7109859324750656</v>
      </c>
      <c r="S21" s="220">
        <f t="shared" si="10"/>
        <v>8.4336157273305137</v>
      </c>
      <c r="T21" s="236">
        <f t="shared" si="8"/>
        <v>5</v>
      </c>
      <c r="U21" s="221" t="str">
        <f t="shared" si="13"/>
        <v>5-GRO-NOEC-Eggs</v>
      </c>
      <c r="V21" s="222" cm="1">
        <f t="array" ref="V21">GEOMEAN(IF(U21=$U$4:$U$359,$S$4:$S$359))</f>
        <v>8.4336157273305137</v>
      </c>
      <c r="W21" s="223">
        <f t="shared" si="11"/>
        <v>5.2661770699017163</v>
      </c>
      <c r="X21" s="225">
        <f t="shared" si="6"/>
        <v>193.67414267699533</v>
      </c>
      <c r="Y21" s="225"/>
      <c r="Z21" s="226" t="s">
        <v>1513</v>
      </c>
      <c r="AA21" s="226"/>
      <c r="AB21" s="227" t="s">
        <v>1846</v>
      </c>
      <c r="AC21" s="228" t="s">
        <v>1798</v>
      </c>
      <c r="AD21" s="243"/>
      <c r="AE21" s="229" t="s">
        <v>1584</v>
      </c>
      <c r="AG21" s="249" t="s">
        <v>567</v>
      </c>
      <c r="AH21" s="253">
        <v>0.90625925119845641</v>
      </c>
      <c r="AI21" s="244"/>
      <c r="AJ21" s="248"/>
      <c r="AK21" s="248"/>
      <c r="AL21" s="244"/>
      <c r="AP21" s="249" t="s">
        <v>567</v>
      </c>
      <c r="AQ21" s="253">
        <v>0.90625925119845641</v>
      </c>
    </row>
    <row r="22" spans="1:43" s="182" customFormat="1" ht="15.75" customHeight="1" x14ac:dyDescent="0.25">
      <c r="B22" s="241"/>
      <c r="C22" s="217">
        <v>2004</v>
      </c>
      <c r="D22" s="180" t="s">
        <v>1408</v>
      </c>
      <c r="E22" s="180" t="s">
        <v>1409</v>
      </c>
      <c r="F22" s="180" t="s">
        <v>89</v>
      </c>
      <c r="G22" s="180" t="s">
        <v>82</v>
      </c>
      <c r="H22" s="180" t="s">
        <v>172</v>
      </c>
      <c r="I22" s="180" t="s">
        <v>237</v>
      </c>
      <c r="J22" s="180" t="s">
        <v>54</v>
      </c>
      <c r="K22" s="217">
        <v>30</v>
      </c>
      <c r="L22" s="217">
        <v>52</v>
      </c>
      <c r="M22" s="180">
        <v>33.200000000000003</v>
      </c>
      <c r="N22" s="180">
        <v>7.35</v>
      </c>
      <c r="O22" s="94">
        <v>0.5</v>
      </c>
      <c r="P22" s="239">
        <f t="shared" si="3"/>
        <v>3.9512437185814275</v>
      </c>
      <c r="Q22" s="179" t="str">
        <f t="shared" si="0"/>
        <v>CCME Fish</v>
      </c>
      <c r="R22" s="219">
        <f t="shared" si="9"/>
        <v>-2.9492078453643042</v>
      </c>
      <c r="S22" s="220">
        <f t="shared" si="10"/>
        <v>6.9004515639457313</v>
      </c>
      <c r="T22" s="236">
        <f t="shared" si="8"/>
        <v>5</v>
      </c>
      <c r="U22" s="221" t="str">
        <f t="shared" si="13"/>
        <v>5-MOR-NOEC-Larvae (fry)</v>
      </c>
      <c r="V22" s="222" cm="1">
        <f t="array" ref="V22">GEOMEAN(IF(U22=$U$4:$U$359,$S$4:$S$359))</f>
        <v>7.0417960906346835</v>
      </c>
      <c r="W22" s="223">
        <f t="shared" si="11"/>
        <v>3.8743574332058865</v>
      </c>
      <c r="X22" s="225">
        <f t="shared" si="6"/>
        <v>48.151747634123325</v>
      </c>
      <c r="Y22" s="225"/>
      <c r="Z22" s="226" t="s">
        <v>1517</v>
      </c>
      <c r="AA22" s="226"/>
      <c r="AB22" s="227" t="s">
        <v>1846</v>
      </c>
      <c r="AC22" s="228" t="s">
        <v>1798</v>
      </c>
      <c r="AD22" s="243"/>
      <c r="AE22" s="229" t="s">
        <v>1584</v>
      </c>
      <c r="AG22" s="249" t="s">
        <v>1724</v>
      </c>
      <c r="AH22" s="253">
        <v>569.9745755015324</v>
      </c>
      <c r="AI22" s="244"/>
      <c r="AJ22" s="248"/>
      <c r="AK22" s="248"/>
      <c r="AL22" s="244"/>
      <c r="AP22" s="249" t="s">
        <v>1724</v>
      </c>
      <c r="AQ22" s="253">
        <v>569.9745755015324</v>
      </c>
    </row>
    <row r="23" spans="1:43" s="182" customFormat="1" ht="15.75" customHeight="1" x14ac:dyDescent="0.25">
      <c r="B23" s="241"/>
      <c r="C23" s="217">
        <v>2004</v>
      </c>
      <c r="D23" s="180" t="s">
        <v>1408</v>
      </c>
      <c r="E23" s="180" t="s">
        <v>1410</v>
      </c>
      <c r="F23" s="180" t="s">
        <v>89</v>
      </c>
      <c r="G23" s="180" t="s">
        <v>82</v>
      </c>
      <c r="H23" s="180" t="s">
        <v>172</v>
      </c>
      <c r="I23" s="180" t="s">
        <v>237</v>
      </c>
      <c r="J23" s="180" t="s">
        <v>54</v>
      </c>
      <c r="K23" s="217">
        <v>30</v>
      </c>
      <c r="L23" s="217">
        <v>240</v>
      </c>
      <c r="M23" s="180">
        <v>145.4</v>
      </c>
      <c r="N23" s="180">
        <v>7.54</v>
      </c>
      <c r="O23" s="94">
        <v>0.5</v>
      </c>
      <c r="P23" s="239">
        <f t="shared" si="3"/>
        <v>5.4806389233419912</v>
      </c>
      <c r="Q23" s="179" t="str">
        <f t="shared" si="0"/>
        <v>CCME Fish</v>
      </c>
      <c r="R23" s="219">
        <f t="shared" si="9"/>
        <v>-1.7053969067137085</v>
      </c>
      <c r="S23" s="220">
        <f t="shared" si="10"/>
        <v>7.1860358300556992</v>
      </c>
      <c r="T23" s="236">
        <f t="shared" si="8"/>
        <v>5</v>
      </c>
      <c r="U23" s="221" t="str">
        <f t="shared" si="13"/>
        <v>5-MOR-NOEC-Larvae (fry)</v>
      </c>
      <c r="V23" s="222" cm="1">
        <f t="array" ref="V23">GEOMEAN(IF(U23=$U$4:$U$359,$S$4:$S$359))</f>
        <v>7.0417960906346835</v>
      </c>
      <c r="W23" s="223">
        <f t="shared" si="11"/>
        <v>3.8743574332058865</v>
      </c>
      <c r="X23" s="225">
        <f t="shared" si="6"/>
        <v>48.151747634123325</v>
      </c>
      <c r="Y23" s="225"/>
      <c r="Z23" s="226" t="s">
        <v>1517</v>
      </c>
      <c r="AA23" s="226"/>
      <c r="AB23" s="227" t="s">
        <v>1846</v>
      </c>
      <c r="AC23" s="228" t="s">
        <v>1798</v>
      </c>
      <c r="AD23" s="243"/>
      <c r="AE23" s="229" t="s">
        <v>1584</v>
      </c>
      <c r="AG23" s="249" t="s">
        <v>574</v>
      </c>
      <c r="AH23" s="253">
        <v>19.44403735284704</v>
      </c>
      <c r="AI23" s="244"/>
      <c r="AJ23" s="248"/>
      <c r="AK23" s="248"/>
      <c r="AL23" s="244"/>
      <c r="AP23" s="249" t="s">
        <v>574</v>
      </c>
      <c r="AQ23" s="253">
        <v>19.44403735284704</v>
      </c>
    </row>
    <row r="24" spans="1:43" s="182" customFormat="1" ht="15.75" customHeight="1" x14ac:dyDescent="0.25">
      <c r="B24" s="180"/>
      <c r="C24" s="217">
        <v>1982</v>
      </c>
      <c r="D24" s="180" t="s">
        <v>1613</v>
      </c>
      <c r="E24" s="180" t="s">
        <v>41</v>
      </c>
      <c r="F24" s="180" t="s">
        <v>89</v>
      </c>
      <c r="G24" s="180" t="s">
        <v>82</v>
      </c>
      <c r="H24" s="180" t="s">
        <v>1615</v>
      </c>
      <c r="I24" s="180" t="s">
        <v>237</v>
      </c>
      <c r="J24" s="180" t="s">
        <v>174</v>
      </c>
      <c r="K24" s="180">
        <v>72</v>
      </c>
      <c r="L24" s="180">
        <v>458</v>
      </c>
      <c r="M24" s="180">
        <v>25</v>
      </c>
      <c r="N24" s="180">
        <v>7</v>
      </c>
      <c r="O24" s="94">
        <v>1.6</v>
      </c>
      <c r="P24" s="239">
        <f t="shared" si="3"/>
        <v>6.1268691841141854</v>
      </c>
      <c r="Q24" s="179" t="str">
        <f t="shared" si="0"/>
        <v>CCME Fish</v>
      </c>
      <c r="R24" s="219">
        <f t="shared" si="9"/>
        <v>-2.4696631494100116</v>
      </c>
      <c r="S24" s="220">
        <f t="shared" si="10"/>
        <v>8.5965323335241965</v>
      </c>
      <c r="T24" s="236">
        <f t="shared" si="8"/>
        <v>5</v>
      </c>
      <c r="U24" s="221" t="str">
        <f t="shared" si="13"/>
        <v>5-MOR-LC10-Embryo</v>
      </c>
      <c r="V24" s="222" cm="1">
        <f t="array" ref="V24">GEOMEAN(IF(U24=$U$4:$U$359,$S$4:$S$359))</f>
        <v>8.5965323335241965</v>
      </c>
      <c r="W24" s="223">
        <f t="shared" si="11"/>
        <v>5.4290936760953992</v>
      </c>
      <c r="X24" s="225">
        <f t="shared" si="6"/>
        <v>227.94256198427851</v>
      </c>
      <c r="Y24" s="225">
        <f t="shared" ref="Y24" si="16">X24</f>
        <v>227.94256198427851</v>
      </c>
      <c r="Z24" s="226"/>
      <c r="AA24" s="226" t="s">
        <v>1614</v>
      </c>
      <c r="AB24" s="227" t="s">
        <v>1846</v>
      </c>
      <c r="AC24" s="228" t="s">
        <v>1861</v>
      </c>
      <c r="AD24" s="243"/>
      <c r="AE24" s="229" t="s">
        <v>1584</v>
      </c>
      <c r="AG24" s="249" t="s">
        <v>1790</v>
      </c>
      <c r="AH24" s="253">
        <v>8.4265738533473513</v>
      </c>
      <c r="AI24" s="244"/>
      <c r="AJ24" s="248"/>
      <c r="AK24" s="248"/>
      <c r="AL24" s="244"/>
      <c r="AP24" s="249" t="s">
        <v>1790</v>
      </c>
      <c r="AQ24" s="253">
        <v>8.4265738533473513</v>
      </c>
    </row>
    <row r="25" spans="1:43" s="182" customFormat="1" ht="15.75" customHeight="1" x14ac:dyDescent="0.25">
      <c r="B25" s="180"/>
      <c r="C25" s="217">
        <v>1982</v>
      </c>
      <c r="D25" s="180" t="s">
        <v>1613</v>
      </c>
      <c r="E25" s="180" t="s">
        <v>41</v>
      </c>
      <c r="F25" s="180" t="s">
        <v>89</v>
      </c>
      <c r="G25" s="180" t="s">
        <v>82</v>
      </c>
      <c r="H25" s="180" t="s">
        <v>1615</v>
      </c>
      <c r="I25" s="180" t="s">
        <v>237</v>
      </c>
      <c r="J25" s="180" t="s">
        <v>54</v>
      </c>
      <c r="K25" s="180">
        <v>72</v>
      </c>
      <c r="L25" s="180">
        <v>444</v>
      </c>
      <c r="M25" s="180">
        <v>25</v>
      </c>
      <c r="N25" s="180">
        <v>7</v>
      </c>
      <c r="O25" s="94">
        <v>1.6</v>
      </c>
      <c r="P25" s="239">
        <f t="shared" si="3"/>
        <v>6.0958245624322247</v>
      </c>
      <c r="Q25" s="179" t="str">
        <f t="shared" si="0"/>
        <v>CCME Fish</v>
      </c>
      <c r="R25" s="219">
        <f t="shared" si="9"/>
        <v>-2.4696631494100116</v>
      </c>
      <c r="S25" s="220">
        <f t="shared" si="10"/>
        <v>8.5654877118422359</v>
      </c>
      <c r="T25" s="236">
        <f t="shared" si="8"/>
        <v>5</v>
      </c>
      <c r="U25" s="221" t="str">
        <f t="shared" si="13"/>
        <v>5-MOR-NOEC-Embryo</v>
      </c>
      <c r="V25" s="222" cm="1">
        <f t="array" ref="V25">GEOMEAN(IF(U25=$U$4:$U$359,$S$4:$S$359))</f>
        <v>8.5654877118422359</v>
      </c>
      <c r="W25" s="223">
        <f t="shared" si="11"/>
        <v>5.3980490544134385</v>
      </c>
      <c r="X25" s="225">
        <f t="shared" si="6"/>
        <v>220.97488541707338</v>
      </c>
      <c r="Y25" s="225"/>
      <c r="Z25" s="226" t="s">
        <v>1517</v>
      </c>
      <c r="AA25" s="226"/>
      <c r="AB25" s="227" t="s">
        <v>1846</v>
      </c>
      <c r="AC25" s="228" t="s">
        <v>1861</v>
      </c>
      <c r="AD25" s="243"/>
      <c r="AE25" s="229" t="s">
        <v>1584</v>
      </c>
      <c r="AG25" s="249" t="s">
        <v>87</v>
      </c>
      <c r="AH25" s="253">
        <v>42.314541000879686</v>
      </c>
      <c r="AI25" s="244"/>
      <c r="AJ25" s="248"/>
      <c r="AK25" s="248"/>
      <c r="AL25" s="244"/>
      <c r="AP25" s="249" t="s">
        <v>87</v>
      </c>
      <c r="AQ25" s="253">
        <v>42.314541000879686</v>
      </c>
    </row>
    <row r="26" spans="1:43" s="182" customFormat="1" ht="15.75" customHeight="1" x14ac:dyDescent="0.25">
      <c r="B26" s="180">
        <v>84051</v>
      </c>
      <c r="C26" s="217">
        <v>2004</v>
      </c>
      <c r="D26" s="180" t="s">
        <v>711</v>
      </c>
      <c r="E26" s="180" t="s">
        <v>41</v>
      </c>
      <c r="F26" s="180" t="s">
        <v>89</v>
      </c>
      <c r="G26" s="180" t="s">
        <v>82</v>
      </c>
      <c r="H26" s="180" t="s">
        <v>160</v>
      </c>
      <c r="I26" s="180" t="s">
        <v>237</v>
      </c>
      <c r="J26" s="180" t="s">
        <v>174</v>
      </c>
      <c r="K26" s="180" t="s">
        <v>78</v>
      </c>
      <c r="L26" s="180">
        <v>99.1</v>
      </c>
      <c r="M26" s="250">
        <v>28.722304178000002</v>
      </c>
      <c r="N26" s="181">
        <v>6.7</v>
      </c>
      <c r="O26" s="94">
        <v>0.3</v>
      </c>
      <c r="P26" s="239">
        <f t="shared" si="3"/>
        <v>4.5961294413359424</v>
      </c>
      <c r="Q26" s="179" t="str">
        <f t="shared" si="0"/>
        <v>CCME Fish</v>
      </c>
      <c r="R26" s="219">
        <f t="shared" si="9"/>
        <v>-2.7599639265309239</v>
      </c>
      <c r="S26" s="220">
        <f t="shared" si="10"/>
        <v>7.3560933678668663</v>
      </c>
      <c r="T26" s="236">
        <f t="shared" si="8"/>
        <v>5</v>
      </c>
      <c r="U26" s="221" t="str">
        <f t="shared" si="13"/>
        <v>5-MOR-LC10-Juvenile</v>
      </c>
      <c r="V26" s="222" cm="1">
        <f t="array" ref="V26">GEOMEAN(IF(U26=$U$4:$U$359,$S$4:$S$359))</f>
        <v>7.3117177830372153</v>
      </c>
      <c r="W26" s="223">
        <f t="shared" si="11"/>
        <v>4.1442791256084179</v>
      </c>
      <c r="X26" s="225">
        <f t="shared" si="6"/>
        <v>63.072138420366656</v>
      </c>
      <c r="Y26" s="225">
        <f t="shared" ref="Y26" si="17">X26</f>
        <v>63.072138420366656</v>
      </c>
      <c r="Z26" s="226" t="s">
        <v>1592</v>
      </c>
      <c r="AA26" s="226"/>
      <c r="AB26" s="227" t="s">
        <v>1846</v>
      </c>
      <c r="AC26" s="228" t="s">
        <v>1798</v>
      </c>
      <c r="AD26" s="243"/>
      <c r="AE26" s="229" t="s">
        <v>1584</v>
      </c>
      <c r="AG26" s="249" t="s">
        <v>1657</v>
      </c>
      <c r="AH26" s="253">
        <v>21.544082508738349</v>
      </c>
      <c r="AI26" s="244"/>
      <c r="AJ26" s="248"/>
      <c r="AK26" s="248"/>
      <c r="AL26" s="244"/>
      <c r="AP26" s="249" t="s">
        <v>1657</v>
      </c>
      <c r="AQ26" s="253">
        <v>21.544082508738349</v>
      </c>
    </row>
    <row r="27" spans="1:43" s="182" customFormat="1" ht="15.75" customHeight="1" x14ac:dyDescent="0.25">
      <c r="B27" s="180">
        <v>84051</v>
      </c>
      <c r="C27" s="217">
        <v>2004</v>
      </c>
      <c r="D27" s="180" t="s">
        <v>711</v>
      </c>
      <c r="E27" s="180" t="s">
        <v>41</v>
      </c>
      <c r="F27" s="180" t="s">
        <v>89</v>
      </c>
      <c r="G27" s="180" t="s">
        <v>82</v>
      </c>
      <c r="H27" s="180" t="s">
        <v>160</v>
      </c>
      <c r="I27" s="180" t="s">
        <v>237</v>
      </c>
      <c r="J27" s="180" t="s">
        <v>54</v>
      </c>
      <c r="K27" s="180" t="s">
        <v>78</v>
      </c>
      <c r="L27" s="180">
        <v>256</v>
      </c>
      <c r="M27" s="250">
        <v>28.722304178000002</v>
      </c>
      <c r="N27" s="180">
        <v>6.7</v>
      </c>
      <c r="O27" s="94">
        <v>0.3</v>
      </c>
      <c r="P27" s="239">
        <f t="shared" si="3"/>
        <v>5.5451774444795623</v>
      </c>
      <c r="Q27" s="179" t="str">
        <f t="shared" si="0"/>
        <v>CCME Fish</v>
      </c>
      <c r="R27" s="219">
        <f t="shared" si="9"/>
        <v>-2.7599639265309239</v>
      </c>
      <c r="S27" s="220">
        <f t="shared" si="10"/>
        <v>8.3051413710104853</v>
      </c>
      <c r="T27" s="236">
        <f t="shared" si="8"/>
        <v>5</v>
      </c>
      <c r="U27" s="221" t="str">
        <f t="shared" si="13"/>
        <v>5-MOR-NOEC-Juvenile</v>
      </c>
      <c r="V27" s="222" cm="1">
        <f t="array" ref="V27">GEOMEAN(IF(U27=$U$4:$U$359,$S$4:$S$359))</f>
        <v>7.3366652494384184</v>
      </c>
      <c r="W27" s="223">
        <f t="shared" si="11"/>
        <v>4.169226592009621</v>
      </c>
      <c r="X27" s="225">
        <f t="shared" si="6"/>
        <v>64.665420009748175</v>
      </c>
      <c r="Y27" s="225"/>
      <c r="Z27" s="226" t="s">
        <v>1466</v>
      </c>
      <c r="AA27" s="226"/>
      <c r="AB27" s="254"/>
      <c r="AC27" s="243"/>
      <c r="AD27" s="243"/>
      <c r="AE27" s="243"/>
      <c r="AG27" s="249" t="s">
        <v>149</v>
      </c>
      <c r="AH27" s="253">
        <v>94.999872907632408</v>
      </c>
      <c r="AI27" s="244"/>
      <c r="AJ27" s="248"/>
      <c r="AK27" s="248"/>
      <c r="AL27" s="244"/>
      <c r="AP27" s="249" t="s">
        <v>149</v>
      </c>
      <c r="AQ27" s="253">
        <v>94.999872907632408</v>
      </c>
    </row>
    <row r="28" spans="1:43" s="182" customFormat="1" ht="15.75" customHeight="1" x14ac:dyDescent="0.25">
      <c r="B28" s="180">
        <v>84051</v>
      </c>
      <c r="C28" s="217">
        <v>2004</v>
      </c>
      <c r="D28" s="180" t="s">
        <v>711</v>
      </c>
      <c r="E28" s="180" t="s">
        <v>41</v>
      </c>
      <c r="F28" s="180" t="s">
        <v>89</v>
      </c>
      <c r="G28" s="180" t="s">
        <v>82</v>
      </c>
      <c r="H28" s="180" t="s">
        <v>160</v>
      </c>
      <c r="I28" s="180" t="s">
        <v>237</v>
      </c>
      <c r="J28" s="180" t="s">
        <v>54</v>
      </c>
      <c r="K28" s="180" t="s">
        <v>78</v>
      </c>
      <c r="L28" s="180">
        <v>90.3</v>
      </c>
      <c r="M28" s="250">
        <v>332.08934569199999</v>
      </c>
      <c r="N28" s="180">
        <v>7.39</v>
      </c>
      <c r="O28" s="94">
        <v>0.3</v>
      </c>
      <c r="P28" s="239">
        <f t="shared" si="3"/>
        <v>4.5031374604229395</v>
      </c>
      <c r="Q28" s="179" t="str">
        <f t="shared" si="0"/>
        <v>CCME Fish</v>
      </c>
      <c r="R28" s="219">
        <f t="shared" si="9"/>
        <v>-1.0043135443304929</v>
      </c>
      <c r="S28" s="220">
        <f t="shared" si="10"/>
        <v>5.5074510047534329</v>
      </c>
      <c r="T28" s="236">
        <f t="shared" si="8"/>
        <v>5</v>
      </c>
      <c r="U28" s="221" t="str">
        <f t="shared" si="13"/>
        <v>5-MOR-NOEC-Juvenile</v>
      </c>
      <c r="V28" s="222" cm="1">
        <f t="array" ref="V28">GEOMEAN(IF(U28=$U$4:$U$359,$S$4:$S$359))</f>
        <v>7.3366652494384184</v>
      </c>
      <c r="W28" s="223">
        <f t="shared" si="11"/>
        <v>4.169226592009621</v>
      </c>
      <c r="X28" s="225">
        <f t="shared" si="6"/>
        <v>64.665420009748175</v>
      </c>
      <c r="Y28" s="225"/>
      <c r="Z28" s="226" t="s">
        <v>1466</v>
      </c>
      <c r="AA28" s="226"/>
      <c r="AB28" s="254"/>
      <c r="AC28" s="243"/>
      <c r="AD28" s="243"/>
      <c r="AE28" s="243"/>
      <c r="AG28" s="249" t="s">
        <v>1771</v>
      </c>
      <c r="AH28" s="253">
        <v>76.499702470774594</v>
      </c>
      <c r="AI28" s="244"/>
      <c r="AJ28" s="248"/>
      <c r="AK28" s="248"/>
      <c r="AL28" s="244"/>
      <c r="AP28" s="249" t="s">
        <v>1771</v>
      </c>
      <c r="AQ28" s="253">
        <v>76.499702470774594</v>
      </c>
    </row>
    <row r="29" spans="1:43" s="182" customFormat="1" ht="15.75" customHeight="1" x14ac:dyDescent="0.25">
      <c r="B29" s="180">
        <v>84051</v>
      </c>
      <c r="C29" s="217">
        <v>2004</v>
      </c>
      <c r="D29" s="180" t="s">
        <v>711</v>
      </c>
      <c r="E29" s="180" t="s">
        <v>41</v>
      </c>
      <c r="F29" s="180" t="s">
        <v>89</v>
      </c>
      <c r="G29" s="180" t="s">
        <v>82</v>
      </c>
      <c r="H29" s="180" t="s">
        <v>160</v>
      </c>
      <c r="I29" s="180" t="s">
        <v>237</v>
      </c>
      <c r="J29" s="180" t="s">
        <v>174</v>
      </c>
      <c r="K29" s="180" t="s">
        <v>78</v>
      </c>
      <c r="L29" s="180">
        <v>38.4</v>
      </c>
      <c r="M29" s="250">
        <v>29.623122536</v>
      </c>
      <c r="N29" s="181">
        <v>7.45</v>
      </c>
      <c r="O29" s="94">
        <v>0.3</v>
      </c>
      <c r="P29" s="239">
        <f t="shared" si="3"/>
        <v>3.648057459593681</v>
      </c>
      <c r="Q29" s="179" t="str">
        <f t="shared" si="0"/>
        <v>CCME Fish</v>
      </c>
      <c r="R29" s="219">
        <f t="shared" si="9"/>
        <v>-3.3419693798130456</v>
      </c>
      <c r="S29" s="220">
        <f t="shared" si="10"/>
        <v>6.9900268394067266</v>
      </c>
      <c r="T29" s="236">
        <f t="shared" si="8"/>
        <v>5</v>
      </c>
      <c r="U29" s="221" t="str">
        <f t="shared" si="13"/>
        <v>5-MOR-LC10-Juvenile</v>
      </c>
      <c r="V29" s="222" cm="1">
        <f t="array" ref="V29">GEOMEAN(IF(U29=$U$4:$U$359,$S$4:$S$359))</f>
        <v>7.3117177830372153</v>
      </c>
      <c r="W29" s="223">
        <f t="shared" si="11"/>
        <v>4.1442791256084179</v>
      </c>
      <c r="X29" s="225">
        <f t="shared" si="6"/>
        <v>63.072138420366656</v>
      </c>
      <c r="Y29" s="225">
        <f t="shared" ref="Y29" si="18">X29</f>
        <v>63.072138420366656</v>
      </c>
      <c r="Z29" s="226" t="s">
        <v>1592</v>
      </c>
      <c r="AA29" s="226"/>
      <c r="AB29" s="227" t="s">
        <v>1846</v>
      </c>
      <c r="AC29" s="228" t="s">
        <v>1798</v>
      </c>
      <c r="AD29" s="243"/>
      <c r="AE29" s="229" t="s">
        <v>1584</v>
      </c>
      <c r="AG29" s="249" t="s">
        <v>553</v>
      </c>
      <c r="AH29" s="253">
        <v>44.924759856634694</v>
      </c>
      <c r="AI29" s="244"/>
      <c r="AJ29" s="248"/>
      <c r="AK29" s="248"/>
      <c r="AP29" s="249" t="s">
        <v>553</v>
      </c>
      <c r="AQ29" s="253">
        <v>44.924759856634694</v>
      </c>
    </row>
    <row r="30" spans="1:43" s="182" customFormat="1" ht="15.75" customHeight="1" x14ac:dyDescent="0.25">
      <c r="B30" s="180">
        <v>84051</v>
      </c>
      <c r="C30" s="217">
        <v>2004</v>
      </c>
      <c r="D30" s="180" t="s">
        <v>711</v>
      </c>
      <c r="E30" s="180" t="s">
        <v>41</v>
      </c>
      <c r="F30" s="180" t="s">
        <v>89</v>
      </c>
      <c r="G30" s="180" t="s">
        <v>82</v>
      </c>
      <c r="H30" s="180" t="s">
        <v>160</v>
      </c>
      <c r="I30" s="180" t="s">
        <v>237</v>
      </c>
      <c r="J30" s="180" t="s">
        <v>54</v>
      </c>
      <c r="K30" s="180" t="s">
        <v>78</v>
      </c>
      <c r="L30" s="180">
        <v>31.5</v>
      </c>
      <c r="M30" s="250">
        <v>29.623122536</v>
      </c>
      <c r="N30" s="180">
        <v>7.45</v>
      </c>
      <c r="O30" s="94">
        <v>0.3</v>
      </c>
      <c r="P30" s="239">
        <f t="shared" si="3"/>
        <v>3.4499875458315872</v>
      </c>
      <c r="Q30" s="179" t="str">
        <f t="shared" si="0"/>
        <v>CCME Fish</v>
      </c>
      <c r="R30" s="219">
        <f t="shared" si="9"/>
        <v>-3.3419693798130456</v>
      </c>
      <c r="S30" s="220">
        <f t="shared" si="10"/>
        <v>6.7919569256446328</v>
      </c>
      <c r="T30" s="236">
        <f t="shared" si="8"/>
        <v>5</v>
      </c>
      <c r="U30" s="221" t="str">
        <f t="shared" si="13"/>
        <v>5-MOR-NOEC-Juvenile</v>
      </c>
      <c r="V30" s="222" cm="1">
        <f t="array" ref="V30">GEOMEAN(IF(U30=$U$4:$U$359,$S$4:$S$359))</f>
        <v>7.3366652494384184</v>
      </c>
      <c r="W30" s="223">
        <f t="shared" si="11"/>
        <v>4.169226592009621</v>
      </c>
      <c r="X30" s="225">
        <f t="shared" si="6"/>
        <v>64.665420009748175</v>
      </c>
      <c r="Y30" s="225"/>
      <c r="Z30" s="226" t="s">
        <v>1466</v>
      </c>
      <c r="AA30" s="226"/>
      <c r="AB30" s="227" t="s">
        <v>1846</v>
      </c>
      <c r="AC30" s="228" t="s">
        <v>1798</v>
      </c>
      <c r="AD30" s="243"/>
      <c r="AE30" s="229" t="s">
        <v>1584</v>
      </c>
      <c r="AG30" s="249" t="s">
        <v>517</v>
      </c>
      <c r="AH30" s="253" t="e">
        <v>#NUM!</v>
      </c>
      <c r="AI30" s="244"/>
      <c r="AJ30" s="248"/>
      <c r="AK30" s="248"/>
      <c r="AP30" s="249" t="s">
        <v>517</v>
      </c>
      <c r="AQ30" s="253" t="e">
        <v>#NUM!</v>
      </c>
    </row>
    <row r="31" spans="1:43" s="182" customFormat="1" ht="15.75" customHeight="1" x14ac:dyDescent="0.25">
      <c r="B31" s="180">
        <v>84051</v>
      </c>
      <c r="C31" s="217">
        <v>2004</v>
      </c>
      <c r="D31" s="180" t="s">
        <v>711</v>
      </c>
      <c r="E31" s="180" t="s">
        <v>41</v>
      </c>
      <c r="F31" s="180" t="s">
        <v>89</v>
      </c>
      <c r="G31" s="180" t="s">
        <v>82</v>
      </c>
      <c r="H31" s="180" t="s">
        <v>160</v>
      </c>
      <c r="I31" s="180" t="s">
        <v>237</v>
      </c>
      <c r="J31" s="180" t="s">
        <v>54</v>
      </c>
      <c r="K31" s="180" t="s">
        <v>78</v>
      </c>
      <c r="L31" s="180">
        <v>95.1</v>
      </c>
      <c r="M31" s="250">
        <v>30.023381927999999</v>
      </c>
      <c r="N31" s="180">
        <v>7.49</v>
      </c>
      <c r="O31" s="94">
        <v>0.3</v>
      </c>
      <c r="P31" s="239">
        <f t="shared" si="3"/>
        <v>4.5549289695513444</v>
      </c>
      <c r="Q31" s="179" t="str">
        <f t="shared" si="0"/>
        <v>CCME Fish</v>
      </c>
      <c r="R31" s="219">
        <f t="shared" si="9"/>
        <v>-3.3618594536436985</v>
      </c>
      <c r="S31" s="220">
        <f t="shared" si="10"/>
        <v>7.9167884231950429</v>
      </c>
      <c r="T31" s="236">
        <f t="shared" si="8"/>
        <v>5</v>
      </c>
      <c r="U31" s="221" t="str">
        <f t="shared" si="13"/>
        <v>5-MOR-NOEC-Juvenile</v>
      </c>
      <c r="V31" s="222" cm="1">
        <f t="array" ref="V31">GEOMEAN(IF(U31=$U$4:$U$359,$S$4:$S$359))</f>
        <v>7.3366652494384184</v>
      </c>
      <c r="W31" s="223">
        <f t="shared" si="11"/>
        <v>4.169226592009621</v>
      </c>
      <c r="X31" s="225">
        <f t="shared" si="6"/>
        <v>64.665420009748175</v>
      </c>
      <c r="Y31" s="225"/>
      <c r="Z31" s="226" t="s">
        <v>1466</v>
      </c>
      <c r="AA31" s="226"/>
      <c r="AB31" s="254"/>
      <c r="AC31" s="243"/>
      <c r="AD31" s="243"/>
      <c r="AE31" s="243"/>
      <c r="AG31" s="249" t="s">
        <v>1791</v>
      </c>
      <c r="AH31" s="253">
        <v>8.7275229195383233</v>
      </c>
      <c r="AI31" s="244"/>
      <c r="AJ31" s="248"/>
      <c r="AK31" s="248"/>
      <c r="AP31" s="249" t="s">
        <v>1791</v>
      </c>
      <c r="AQ31" s="253">
        <v>8.7275229195383233</v>
      </c>
    </row>
    <row r="32" spans="1:43" s="182" customFormat="1" ht="15.75" customHeight="1" x14ac:dyDescent="0.25">
      <c r="B32" s="180">
        <v>84051</v>
      </c>
      <c r="C32" s="217">
        <v>2004</v>
      </c>
      <c r="D32" s="180" t="s">
        <v>711</v>
      </c>
      <c r="E32" s="180" t="s">
        <v>41</v>
      </c>
      <c r="F32" s="180" t="s">
        <v>89</v>
      </c>
      <c r="G32" s="180" t="s">
        <v>82</v>
      </c>
      <c r="H32" s="180" t="s">
        <v>160</v>
      </c>
      <c r="I32" s="180" t="s">
        <v>237</v>
      </c>
      <c r="J32" s="180" t="s">
        <v>174</v>
      </c>
      <c r="K32" s="180" t="s">
        <v>78</v>
      </c>
      <c r="L32" s="180">
        <v>73.599999999999994</v>
      </c>
      <c r="M32" s="250">
        <v>28.422066655999998</v>
      </c>
      <c r="N32" s="181">
        <v>7.58</v>
      </c>
      <c r="O32" s="94">
        <v>0.3</v>
      </c>
      <c r="P32" s="239">
        <f t="shared" si="3"/>
        <v>4.2986450257348308</v>
      </c>
      <c r="Q32" s="179" t="str">
        <f t="shared" si="0"/>
        <v>CCME Fish</v>
      </c>
      <c r="R32" s="219">
        <f t="shared" si="9"/>
        <v>-3.4871151271640732</v>
      </c>
      <c r="S32" s="220">
        <f t="shared" si="10"/>
        <v>7.785760152898904</v>
      </c>
      <c r="T32" s="236">
        <f t="shared" si="8"/>
        <v>5</v>
      </c>
      <c r="U32" s="221" t="str">
        <f t="shared" si="13"/>
        <v>5-MOR-LC10-Juvenile</v>
      </c>
      <c r="V32" s="222" cm="1">
        <f t="array" ref="V32">GEOMEAN(IF(U32=$U$4:$U$359,$S$4:$S$359))</f>
        <v>7.3117177830372153</v>
      </c>
      <c r="W32" s="223">
        <f t="shared" si="11"/>
        <v>4.1442791256084179</v>
      </c>
      <c r="X32" s="225">
        <f t="shared" si="6"/>
        <v>63.072138420366656</v>
      </c>
      <c r="Y32" s="225">
        <f t="shared" ref="Y32:Y33" si="19">X32</f>
        <v>63.072138420366656</v>
      </c>
      <c r="AA32" s="226"/>
      <c r="AB32" s="252" t="s">
        <v>1846</v>
      </c>
      <c r="AC32" s="228" t="s">
        <v>1798</v>
      </c>
      <c r="AD32" s="243"/>
      <c r="AE32" s="229" t="s">
        <v>1584</v>
      </c>
      <c r="AG32" s="249" t="s">
        <v>1792</v>
      </c>
      <c r="AH32" s="253">
        <v>10.031635539699227</v>
      </c>
      <c r="AJ32" s="248"/>
      <c r="AK32" s="248"/>
      <c r="AP32" s="249" t="s">
        <v>1792</v>
      </c>
      <c r="AQ32" s="253">
        <v>10.031635539699227</v>
      </c>
    </row>
    <row r="33" spans="2:43" s="182" customFormat="1" ht="15.75" customHeight="1" x14ac:dyDescent="0.25">
      <c r="B33" s="180">
        <v>84051</v>
      </c>
      <c r="C33" s="217">
        <v>2004</v>
      </c>
      <c r="D33" s="180" t="s">
        <v>711</v>
      </c>
      <c r="E33" s="180" t="s">
        <v>41</v>
      </c>
      <c r="F33" s="180" t="s">
        <v>89</v>
      </c>
      <c r="G33" s="180" t="s">
        <v>82</v>
      </c>
      <c r="H33" s="180" t="s">
        <v>160</v>
      </c>
      <c r="I33" s="180" t="s">
        <v>237</v>
      </c>
      <c r="J33" s="180" t="s">
        <v>174</v>
      </c>
      <c r="K33" s="180" t="s">
        <v>78</v>
      </c>
      <c r="L33" s="180">
        <v>171</v>
      </c>
      <c r="M33" s="250">
        <v>102.17723531799999</v>
      </c>
      <c r="N33" s="181">
        <v>7.58</v>
      </c>
      <c r="O33" s="94">
        <v>0.3</v>
      </c>
      <c r="P33" s="239">
        <f t="shared" si="3"/>
        <v>5.1416635565026603</v>
      </c>
      <c r="Q33" s="179" t="str">
        <f t="shared" si="0"/>
        <v>CCME Fish</v>
      </c>
      <c r="R33" s="219">
        <f t="shared" si="9"/>
        <v>-2.2753878416106121</v>
      </c>
      <c r="S33" s="220">
        <f t="shared" si="10"/>
        <v>7.4170513981132729</v>
      </c>
      <c r="T33" s="236">
        <f t="shared" si="8"/>
        <v>5</v>
      </c>
      <c r="U33" s="221" t="str">
        <f t="shared" si="13"/>
        <v>5-MOR-LC10-Juvenile</v>
      </c>
      <c r="V33" s="222" cm="1">
        <f t="array" ref="V33">GEOMEAN(IF(U33=$U$4:$U$359,$S$4:$S$359))</f>
        <v>7.3117177830372153</v>
      </c>
      <c r="W33" s="223">
        <f t="shared" si="11"/>
        <v>4.1442791256084179</v>
      </c>
      <c r="X33" s="225">
        <f t="shared" si="6"/>
        <v>63.072138420366656</v>
      </c>
      <c r="Y33" s="225">
        <f t="shared" si="19"/>
        <v>63.072138420366656</v>
      </c>
      <c r="AA33" s="226"/>
      <c r="AB33" s="227" t="s">
        <v>1846</v>
      </c>
      <c r="AC33" s="228" t="s">
        <v>1798</v>
      </c>
      <c r="AD33" s="243"/>
      <c r="AE33" s="229" t="s">
        <v>1584</v>
      </c>
      <c r="AG33" s="249" t="s">
        <v>1793</v>
      </c>
      <c r="AH33" s="253">
        <v>11.034799093669148</v>
      </c>
      <c r="AJ33" s="248"/>
      <c r="AK33" s="248"/>
      <c r="AP33" s="249" t="s">
        <v>1793</v>
      </c>
      <c r="AQ33" s="253">
        <v>11.034799093669148</v>
      </c>
    </row>
    <row r="34" spans="2:43" s="182" customFormat="1" ht="15.75" customHeight="1" x14ac:dyDescent="0.25">
      <c r="B34" s="180">
        <v>84051</v>
      </c>
      <c r="C34" s="217">
        <v>2004</v>
      </c>
      <c r="D34" s="180" t="s">
        <v>711</v>
      </c>
      <c r="E34" s="180" t="s">
        <v>41</v>
      </c>
      <c r="F34" s="180" t="s">
        <v>89</v>
      </c>
      <c r="G34" s="180" t="s">
        <v>82</v>
      </c>
      <c r="H34" s="180" t="s">
        <v>160</v>
      </c>
      <c r="I34" s="180" t="s">
        <v>237</v>
      </c>
      <c r="J34" s="180" t="s">
        <v>54</v>
      </c>
      <c r="K34" s="180" t="s">
        <v>78</v>
      </c>
      <c r="L34" s="180">
        <v>157</v>
      </c>
      <c r="M34" s="250">
        <v>28.422066655999998</v>
      </c>
      <c r="N34" s="180">
        <v>7.58</v>
      </c>
      <c r="O34" s="94">
        <v>0.3</v>
      </c>
      <c r="P34" s="239">
        <f t="shared" si="3"/>
        <v>5.0562458053483077</v>
      </c>
      <c r="Q34" s="179" t="str">
        <f t="shared" si="0"/>
        <v>CCME Fish</v>
      </c>
      <c r="R34" s="219">
        <f t="shared" si="9"/>
        <v>-3.4871151271640732</v>
      </c>
      <c r="S34" s="220">
        <f t="shared" si="10"/>
        <v>8.5433609325123818</v>
      </c>
      <c r="T34" s="236">
        <f t="shared" si="8"/>
        <v>5</v>
      </c>
      <c r="U34" s="221" t="str">
        <f t="shared" si="13"/>
        <v>5-MOR-NOEC-Juvenile</v>
      </c>
      <c r="V34" s="222" cm="1">
        <f t="array" ref="V34">GEOMEAN(IF(U34=$U$4:$U$359,$S$4:$S$359))</f>
        <v>7.3366652494384184</v>
      </c>
      <c r="W34" s="223">
        <f t="shared" si="11"/>
        <v>4.169226592009621</v>
      </c>
      <c r="X34" s="225">
        <f t="shared" si="6"/>
        <v>64.665420009748175</v>
      </c>
      <c r="Y34" s="225"/>
      <c r="Z34" s="226" t="s">
        <v>1466</v>
      </c>
      <c r="AA34" s="226"/>
      <c r="AB34" s="254"/>
      <c r="AC34" s="243"/>
      <c r="AD34" s="243"/>
      <c r="AE34" s="243"/>
      <c r="AG34" s="249" t="s">
        <v>1380</v>
      </c>
      <c r="AH34" s="253">
        <v>40.488598573045472</v>
      </c>
      <c r="AJ34" s="248"/>
      <c r="AK34" s="248"/>
      <c r="AP34" s="249" t="s">
        <v>1380</v>
      </c>
      <c r="AQ34" s="253">
        <v>40.488598573045472</v>
      </c>
    </row>
    <row r="35" spans="2:43" s="182" customFormat="1" ht="15.75" customHeight="1" x14ac:dyDescent="0.25">
      <c r="B35" s="180">
        <v>84051</v>
      </c>
      <c r="C35" s="217">
        <v>2004</v>
      </c>
      <c r="D35" s="180" t="s">
        <v>711</v>
      </c>
      <c r="E35" s="180" t="s">
        <v>41</v>
      </c>
      <c r="F35" s="180" t="s">
        <v>89</v>
      </c>
      <c r="G35" s="180" t="s">
        <v>82</v>
      </c>
      <c r="H35" s="180" t="s">
        <v>160</v>
      </c>
      <c r="I35" s="180" t="s">
        <v>237</v>
      </c>
      <c r="J35" s="180" t="s">
        <v>54</v>
      </c>
      <c r="K35" s="180" t="s">
        <v>78</v>
      </c>
      <c r="L35" s="180">
        <v>169</v>
      </c>
      <c r="M35" s="250">
        <v>102.17723531799999</v>
      </c>
      <c r="N35" s="180">
        <v>7.58</v>
      </c>
      <c r="O35" s="94">
        <v>0.3</v>
      </c>
      <c r="P35" s="239">
        <f t="shared" si="3"/>
        <v>5.1298987149230735</v>
      </c>
      <c r="Q35" s="179" t="str">
        <f t="shared" si="0"/>
        <v>CCME Fish</v>
      </c>
      <c r="R35" s="219">
        <f t="shared" si="9"/>
        <v>-2.2753878416106121</v>
      </c>
      <c r="S35" s="220">
        <f t="shared" si="10"/>
        <v>7.4052865565336852</v>
      </c>
      <c r="T35" s="236">
        <f t="shared" si="8"/>
        <v>5</v>
      </c>
      <c r="U35" s="221" t="str">
        <f t="shared" si="13"/>
        <v>5-MOR-NOEC-Juvenile</v>
      </c>
      <c r="V35" s="222" cm="1">
        <f t="array" ref="V35">GEOMEAN(IF(U35=$U$4:$U$359,$S$4:$S$359))</f>
        <v>7.3366652494384184</v>
      </c>
      <c r="W35" s="223">
        <f t="shared" si="11"/>
        <v>4.169226592009621</v>
      </c>
      <c r="X35" s="225">
        <f t="shared" si="6"/>
        <v>64.665420009748175</v>
      </c>
      <c r="Y35" s="225"/>
      <c r="Z35" s="226" t="s">
        <v>1466</v>
      </c>
      <c r="AA35" s="226"/>
      <c r="AB35" s="254"/>
      <c r="AC35" s="243"/>
      <c r="AD35" s="243"/>
      <c r="AE35" s="243"/>
      <c r="AG35" s="249" t="s">
        <v>1549</v>
      </c>
      <c r="AH35" s="253">
        <v>171.05747623683536</v>
      </c>
      <c r="AJ35" s="248"/>
      <c r="AK35" s="248"/>
      <c r="AP35" s="249" t="s">
        <v>1549</v>
      </c>
      <c r="AQ35" s="253">
        <v>171.05747623683536</v>
      </c>
    </row>
    <row r="36" spans="2:43" s="182" customFormat="1" ht="15.75" customHeight="1" x14ac:dyDescent="0.25">
      <c r="B36" s="180">
        <v>84051</v>
      </c>
      <c r="C36" s="217">
        <v>2004</v>
      </c>
      <c r="D36" s="180" t="s">
        <v>711</v>
      </c>
      <c r="E36" s="180" t="s">
        <v>41</v>
      </c>
      <c r="F36" s="180" t="s">
        <v>89</v>
      </c>
      <c r="G36" s="180" t="s">
        <v>82</v>
      </c>
      <c r="H36" s="180" t="s">
        <v>160</v>
      </c>
      <c r="I36" s="180" t="s">
        <v>237</v>
      </c>
      <c r="J36" s="180" t="s">
        <v>174</v>
      </c>
      <c r="K36" s="180" t="s">
        <v>78</v>
      </c>
      <c r="L36" s="180">
        <v>34.5</v>
      </c>
      <c r="M36" s="250">
        <v>29.122590018000004</v>
      </c>
      <c r="N36" s="181">
        <v>7.61</v>
      </c>
      <c r="O36" s="94">
        <v>0.3</v>
      </c>
      <c r="P36" s="239">
        <f t="shared" si="3"/>
        <v>3.5409593240373143</v>
      </c>
      <c r="Q36" s="179" t="str">
        <f t="shared" si="0"/>
        <v>CCME Fish</v>
      </c>
      <c r="R36" s="219">
        <f t="shared" si="9"/>
        <v>-3.4885072644244537</v>
      </c>
      <c r="S36" s="220">
        <f t="shared" si="10"/>
        <v>7.0294665884617675</v>
      </c>
      <c r="T36" s="236">
        <f t="shared" si="8"/>
        <v>5</v>
      </c>
      <c r="U36" s="221" t="str">
        <f t="shared" si="13"/>
        <v>5-MOR-LC10-Juvenile</v>
      </c>
      <c r="V36" s="222" cm="1">
        <f t="array" ref="V36">GEOMEAN(IF(U36=$U$4:$U$359,$S$4:$S$359))</f>
        <v>7.3117177830372153</v>
      </c>
      <c r="W36" s="223">
        <f t="shared" si="11"/>
        <v>4.1442791256084179</v>
      </c>
      <c r="X36" s="225">
        <f t="shared" si="6"/>
        <v>63.072138420366656</v>
      </c>
      <c r="Y36" s="225">
        <f t="shared" ref="Y36" si="20">X36</f>
        <v>63.072138420366656</v>
      </c>
      <c r="AA36" s="226"/>
      <c r="AB36" s="227" t="s">
        <v>1846</v>
      </c>
      <c r="AC36" s="228" t="s">
        <v>1798</v>
      </c>
      <c r="AD36" s="243"/>
      <c r="AE36" s="229" t="s">
        <v>1584</v>
      </c>
      <c r="AG36" s="249" t="s">
        <v>1734</v>
      </c>
      <c r="AH36" s="253"/>
      <c r="AJ36" s="248"/>
      <c r="AK36" s="248"/>
      <c r="AP36" s="249" t="s">
        <v>1734</v>
      </c>
      <c r="AQ36" s="253"/>
    </row>
    <row r="37" spans="2:43" s="182" customFormat="1" ht="15.75" customHeight="1" x14ac:dyDescent="0.25">
      <c r="B37" s="180">
        <v>84051</v>
      </c>
      <c r="C37" s="217">
        <v>2004</v>
      </c>
      <c r="D37" s="180" t="s">
        <v>711</v>
      </c>
      <c r="E37" s="180" t="s">
        <v>41</v>
      </c>
      <c r="F37" s="180" t="s">
        <v>89</v>
      </c>
      <c r="G37" s="180" t="s">
        <v>82</v>
      </c>
      <c r="H37" s="180" t="s">
        <v>160</v>
      </c>
      <c r="I37" s="180" t="s">
        <v>237</v>
      </c>
      <c r="J37" s="180" t="s">
        <v>54</v>
      </c>
      <c r="K37" s="180" t="s">
        <v>78</v>
      </c>
      <c r="L37" s="180">
        <v>78.900000000000006</v>
      </c>
      <c r="M37" s="250">
        <v>29.122590018000004</v>
      </c>
      <c r="N37" s="180">
        <v>7.61</v>
      </c>
      <c r="O37" s="94">
        <v>0.3</v>
      </c>
      <c r="P37" s="239">
        <f t="shared" si="3"/>
        <v>4.3681812278518288</v>
      </c>
      <c r="Q37" s="179" t="str">
        <f t="shared" si="0"/>
        <v>CCME Fish</v>
      </c>
      <c r="R37" s="219">
        <f t="shared" si="9"/>
        <v>-3.4885072644244537</v>
      </c>
      <c r="S37" s="220">
        <f t="shared" si="10"/>
        <v>7.8566884922762821</v>
      </c>
      <c r="T37" s="236">
        <f t="shared" si="8"/>
        <v>5</v>
      </c>
      <c r="U37" s="221" t="str">
        <f t="shared" si="13"/>
        <v>5-MOR-NOEC-Juvenile</v>
      </c>
      <c r="V37" s="222" cm="1">
        <f t="array" ref="V37">GEOMEAN(IF(U37=$U$4:$U$359,$S$4:$S$359))</f>
        <v>7.3366652494384184</v>
      </c>
      <c r="W37" s="223">
        <f t="shared" si="11"/>
        <v>4.169226592009621</v>
      </c>
      <c r="X37" s="225">
        <f t="shared" si="6"/>
        <v>64.665420009748175</v>
      </c>
      <c r="Y37" s="225"/>
      <c r="Z37" s="226" t="s">
        <v>1466</v>
      </c>
      <c r="AA37" s="226"/>
      <c r="AB37" s="227" t="s">
        <v>1846</v>
      </c>
      <c r="AC37" s="228" t="s">
        <v>1798</v>
      </c>
      <c r="AD37" s="243"/>
      <c r="AE37" s="229" t="s">
        <v>1584</v>
      </c>
      <c r="AG37" s="249" t="s">
        <v>1737</v>
      </c>
      <c r="AH37" s="253"/>
      <c r="AJ37" s="248"/>
      <c r="AK37" s="248"/>
      <c r="AP37" s="249" t="s">
        <v>1737</v>
      </c>
      <c r="AQ37" s="253"/>
    </row>
    <row r="38" spans="2:43" s="182" customFormat="1" ht="15.75" customHeight="1" x14ac:dyDescent="0.25">
      <c r="B38" s="180">
        <v>84051</v>
      </c>
      <c r="C38" s="217">
        <v>2004</v>
      </c>
      <c r="D38" s="180" t="s">
        <v>711</v>
      </c>
      <c r="E38" s="180" t="s">
        <v>41</v>
      </c>
      <c r="F38" s="180" t="s">
        <v>89</v>
      </c>
      <c r="G38" s="180" t="s">
        <v>82</v>
      </c>
      <c r="H38" s="180" t="s">
        <v>160</v>
      </c>
      <c r="I38" s="180" t="s">
        <v>81</v>
      </c>
      <c r="J38" s="180" t="s">
        <v>54</v>
      </c>
      <c r="K38" s="180" t="s">
        <v>78</v>
      </c>
      <c r="L38" s="180">
        <v>166</v>
      </c>
      <c r="M38" s="250">
        <v>29.122590018000004</v>
      </c>
      <c r="N38" s="181">
        <v>7.61</v>
      </c>
      <c r="O38" s="94">
        <v>0.3</v>
      </c>
      <c r="P38" s="239">
        <f t="shared" si="3"/>
        <v>5.1119877883565437</v>
      </c>
      <c r="Q38" s="179" t="str">
        <f t="shared" si="0"/>
        <v>CCME Fish</v>
      </c>
      <c r="R38" s="219">
        <f t="shared" si="9"/>
        <v>-3.4885072644244537</v>
      </c>
      <c r="S38" s="220">
        <f t="shared" si="10"/>
        <v>8.6004950527809978</v>
      </c>
      <c r="T38" s="236">
        <f t="shared" si="8"/>
        <v>5</v>
      </c>
      <c r="U38" s="221" t="str">
        <f t="shared" si="13"/>
        <v>5-GRO-NOEC-Juvenile</v>
      </c>
      <c r="V38" s="222" cm="1">
        <f t="array" ref="V38">GEOMEAN(IF(U38=$U$4:$U$359,$S$4:$S$359))</f>
        <v>7.9957832588069442</v>
      </c>
      <c r="W38" s="223">
        <f t="shared" si="11"/>
        <v>4.8283446013781468</v>
      </c>
      <c r="X38" s="225">
        <f t="shared" si="6"/>
        <v>125.00385806901828</v>
      </c>
      <c r="Y38" s="225"/>
      <c r="Z38" s="226" t="s">
        <v>1466</v>
      </c>
      <c r="AA38" s="226"/>
      <c r="AB38" s="227" t="s">
        <v>1846</v>
      </c>
      <c r="AC38" s="228" t="s">
        <v>1798</v>
      </c>
      <c r="AD38" s="243"/>
      <c r="AE38" s="229" t="s">
        <v>1584</v>
      </c>
      <c r="AG38" s="249" t="s">
        <v>1712</v>
      </c>
      <c r="AH38" s="253">
        <v>7.3053522602736782</v>
      </c>
      <c r="AJ38" s="248"/>
      <c r="AK38" s="248"/>
      <c r="AP38" s="249" t="s">
        <v>1712</v>
      </c>
      <c r="AQ38" s="253">
        <v>7.3053522602736782</v>
      </c>
    </row>
    <row r="39" spans="2:43" s="182" customFormat="1" ht="15.75" customHeight="1" x14ac:dyDescent="0.25">
      <c r="B39" s="180">
        <v>84051</v>
      </c>
      <c r="C39" s="217">
        <v>2004</v>
      </c>
      <c r="D39" s="180" t="s">
        <v>711</v>
      </c>
      <c r="E39" s="180" t="s">
        <v>41</v>
      </c>
      <c r="F39" s="180" t="s">
        <v>89</v>
      </c>
      <c r="G39" s="180" t="s">
        <v>82</v>
      </c>
      <c r="H39" s="180" t="s">
        <v>160</v>
      </c>
      <c r="I39" s="180" t="s">
        <v>237</v>
      </c>
      <c r="J39" s="180" t="s">
        <v>174</v>
      </c>
      <c r="K39" s="180" t="s">
        <v>78</v>
      </c>
      <c r="L39" s="180">
        <v>46.1</v>
      </c>
      <c r="M39" s="250">
        <v>29.222863144000002</v>
      </c>
      <c r="N39" s="181">
        <v>7.65</v>
      </c>
      <c r="O39" s="94">
        <v>0.3</v>
      </c>
      <c r="P39" s="239">
        <f t="shared" si="3"/>
        <v>3.8308129500026027</v>
      </c>
      <c r="Q39" s="179" t="str">
        <f t="shared" si="0"/>
        <v>CCME Fish</v>
      </c>
      <c r="R39" s="219">
        <f t="shared" si="9"/>
        <v>-3.517852212362413</v>
      </c>
      <c r="S39" s="220">
        <f t="shared" si="10"/>
        <v>7.3486651623650161</v>
      </c>
      <c r="T39" s="236">
        <f t="shared" si="8"/>
        <v>5</v>
      </c>
      <c r="U39" s="221" t="str">
        <f t="shared" si="13"/>
        <v>5-MOR-LC10-Juvenile</v>
      </c>
      <c r="V39" s="222" cm="1">
        <f t="array" ref="V39">GEOMEAN(IF(U39=$U$4:$U$359,$S$4:$S$359))</f>
        <v>7.3117177830372153</v>
      </c>
      <c r="W39" s="223">
        <f t="shared" si="11"/>
        <v>4.1442791256084179</v>
      </c>
      <c r="X39" s="225">
        <f t="shared" si="6"/>
        <v>63.072138420366656</v>
      </c>
      <c r="Y39" s="225">
        <f t="shared" ref="Y39" si="21">X39</f>
        <v>63.072138420366656</v>
      </c>
      <c r="AA39" s="226"/>
      <c r="AB39" s="227" t="s">
        <v>1846</v>
      </c>
      <c r="AC39" s="228" t="s">
        <v>1798</v>
      </c>
      <c r="AD39" s="243"/>
      <c r="AE39" s="229" t="s">
        <v>1584</v>
      </c>
      <c r="AG39" s="249" t="s">
        <v>1080</v>
      </c>
      <c r="AH39" s="253">
        <v>181.01359178086321</v>
      </c>
      <c r="AJ39" s="248"/>
      <c r="AK39" s="248"/>
      <c r="AP39" s="249" t="s">
        <v>1080</v>
      </c>
      <c r="AQ39" s="253">
        <v>181.01359178086321</v>
      </c>
    </row>
    <row r="40" spans="2:43" s="182" customFormat="1" ht="15.75" customHeight="1" x14ac:dyDescent="0.25">
      <c r="B40" s="180">
        <v>84051</v>
      </c>
      <c r="C40" s="217">
        <v>2004</v>
      </c>
      <c r="D40" s="180" t="s">
        <v>711</v>
      </c>
      <c r="E40" s="180" t="s">
        <v>41</v>
      </c>
      <c r="F40" s="180" t="s">
        <v>89</v>
      </c>
      <c r="G40" s="180" t="s">
        <v>82</v>
      </c>
      <c r="H40" s="180" t="s">
        <v>160</v>
      </c>
      <c r="I40" s="180" t="s">
        <v>237</v>
      </c>
      <c r="J40" s="180" t="s">
        <v>54</v>
      </c>
      <c r="K40" s="180" t="s">
        <v>78</v>
      </c>
      <c r="L40" s="180">
        <v>165</v>
      </c>
      <c r="M40" s="250">
        <v>333.59049363000003</v>
      </c>
      <c r="N40" s="180">
        <v>7.65</v>
      </c>
      <c r="O40" s="94">
        <v>0.3</v>
      </c>
      <c r="P40" s="239">
        <f t="shared" si="3"/>
        <v>5.1059454739005803</v>
      </c>
      <c r="Q40" s="179" t="str">
        <f t="shared" si="0"/>
        <v>CCME Fish</v>
      </c>
      <c r="R40" s="219">
        <f t="shared" si="9"/>
        <v>-1.2119424535656864</v>
      </c>
      <c r="S40" s="220">
        <f t="shared" si="10"/>
        <v>6.3178879274662663</v>
      </c>
      <c r="T40" s="236">
        <f t="shared" si="8"/>
        <v>5</v>
      </c>
      <c r="U40" s="221" t="str">
        <f t="shared" si="13"/>
        <v>5-MOR-NOEC-Juvenile</v>
      </c>
      <c r="V40" s="222" cm="1">
        <f t="array" ref="V40">GEOMEAN(IF(U40=$U$4:$U$359,$S$4:$S$359))</f>
        <v>7.3366652494384184</v>
      </c>
      <c r="W40" s="223">
        <f t="shared" si="11"/>
        <v>4.169226592009621</v>
      </c>
      <c r="X40" s="225">
        <f t="shared" si="6"/>
        <v>64.665420009748175</v>
      </c>
      <c r="Y40" s="225"/>
      <c r="Z40" s="226" t="s">
        <v>1466</v>
      </c>
      <c r="AA40" s="226"/>
      <c r="AB40" s="227" t="s">
        <v>1846</v>
      </c>
      <c r="AC40" s="228" t="s">
        <v>1798</v>
      </c>
      <c r="AD40" s="243"/>
      <c r="AE40" s="229" t="s">
        <v>1584</v>
      </c>
      <c r="AG40" s="249" t="s">
        <v>89</v>
      </c>
      <c r="AH40" s="253">
        <v>63.072138420366656</v>
      </c>
      <c r="AJ40" s="248"/>
      <c r="AK40" s="248"/>
      <c r="AP40" s="249" t="s">
        <v>89</v>
      </c>
      <c r="AQ40" s="253">
        <v>63.072138420366656</v>
      </c>
    </row>
    <row r="41" spans="2:43" s="182" customFormat="1" ht="15.75" customHeight="1" x14ac:dyDescent="0.25">
      <c r="B41" s="180">
        <v>84051</v>
      </c>
      <c r="C41" s="217">
        <v>2004</v>
      </c>
      <c r="D41" s="180" t="s">
        <v>711</v>
      </c>
      <c r="E41" s="180" t="s">
        <v>41</v>
      </c>
      <c r="F41" s="180" t="s">
        <v>89</v>
      </c>
      <c r="G41" s="180" t="s">
        <v>82</v>
      </c>
      <c r="H41" s="180" t="s">
        <v>160</v>
      </c>
      <c r="I41" s="180" t="s">
        <v>237</v>
      </c>
      <c r="J41" s="180" t="s">
        <v>54</v>
      </c>
      <c r="K41" s="180" t="s">
        <v>78</v>
      </c>
      <c r="L41" s="180">
        <v>48</v>
      </c>
      <c r="M41" s="250">
        <v>29.222863144000002</v>
      </c>
      <c r="N41" s="180">
        <v>7.65</v>
      </c>
      <c r="O41" s="94">
        <v>0.3</v>
      </c>
      <c r="P41" s="239">
        <f t="shared" si="3"/>
        <v>3.8712010109078911</v>
      </c>
      <c r="Q41" s="179" t="str">
        <f t="shared" si="0"/>
        <v>CCME Fish</v>
      </c>
      <c r="R41" s="219">
        <f t="shared" si="9"/>
        <v>-3.517852212362413</v>
      </c>
      <c r="S41" s="220">
        <f t="shared" si="10"/>
        <v>7.3890532232703041</v>
      </c>
      <c r="T41" s="236">
        <f t="shared" si="8"/>
        <v>5</v>
      </c>
      <c r="U41" s="221" t="str">
        <f t="shared" si="13"/>
        <v>5-MOR-NOEC-Juvenile</v>
      </c>
      <c r="V41" s="222" cm="1">
        <f t="array" ref="V41">GEOMEAN(IF(U41=$U$4:$U$359,$S$4:$S$359))</f>
        <v>7.3366652494384184</v>
      </c>
      <c r="W41" s="223">
        <f t="shared" si="11"/>
        <v>4.169226592009621</v>
      </c>
      <c r="X41" s="225">
        <f t="shared" si="6"/>
        <v>64.665420009748175</v>
      </c>
      <c r="Y41" s="225"/>
      <c r="Z41" s="226" t="s">
        <v>1466</v>
      </c>
      <c r="AA41" s="226"/>
      <c r="AB41" s="254"/>
      <c r="AC41" s="243"/>
      <c r="AD41" s="243"/>
      <c r="AE41" s="243"/>
      <c r="AG41" s="249" t="s">
        <v>146</v>
      </c>
      <c r="AH41" s="253">
        <v>5533.2436974696711</v>
      </c>
      <c r="AJ41" s="248"/>
      <c r="AK41" s="248"/>
      <c r="AP41" s="249" t="s">
        <v>146</v>
      </c>
      <c r="AQ41" s="253">
        <v>5533.2436974696711</v>
      </c>
    </row>
    <row r="42" spans="2:43" s="182" customFormat="1" ht="15.75" customHeight="1" x14ac:dyDescent="0.25">
      <c r="B42" s="180">
        <v>84051</v>
      </c>
      <c r="C42" s="217">
        <v>2004</v>
      </c>
      <c r="D42" s="180" t="s">
        <v>711</v>
      </c>
      <c r="E42" s="180" t="s">
        <v>41</v>
      </c>
      <c r="F42" s="180" t="s">
        <v>89</v>
      </c>
      <c r="G42" s="180" t="s">
        <v>82</v>
      </c>
      <c r="H42" s="180" t="s">
        <v>160</v>
      </c>
      <c r="I42" s="180" t="s">
        <v>237</v>
      </c>
      <c r="J42" s="180" t="s">
        <v>174</v>
      </c>
      <c r="K42" s="180" t="s">
        <v>78</v>
      </c>
      <c r="L42" s="180">
        <v>337</v>
      </c>
      <c r="M42" s="250">
        <v>395.79661198600002</v>
      </c>
      <c r="N42" s="181">
        <v>7.68</v>
      </c>
      <c r="O42" s="94">
        <v>0.3</v>
      </c>
      <c r="P42" s="239">
        <f t="shared" si="3"/>
        <v>5.8200829303523616</v>
      </c>
      <c r="Q42" s="179" t="str">
        <f t="shared" si="0"/>
        <v>CCME Fish</v>
      </c>
      <c r="R42" s="219">
        <f t="shared" si="9"/>
        <v>-1.0744684279845305</v>
      </c>
      <c r="S42" s="220">
        <f t="shared" si="10"/>
        <v>6.8945513583368925</v>
      </c>
      <c r="T42" s="236">
        <f t="shared" si="8"/>
        <v>5</v>
      </c>
      <c r="U42" s="221" t="str">
        <f t="shared" si="13"/>
        <v>5-MOR-LC10-Juvenile</v>
      </c>
      <c r="V42" s="222" cm="1">
        <f t="array" ref="V42">GEOMEAN(IF(U42=$U$4:$U$359,$S$4:$S$359))</f>
        <v>7.3117177830372153</v>
      </c>
      <c r="W42" s="223">
        <f t="shared" si="11"/>
        <v>4.1442791256084179</v>
      </c>
      <c r="X42" s="225">
        <f t="shared" si="6"/>
        <v>63.072138420366656</v>
      </c>
      <c r="Y42" s="225">
        <f t="shared" ref="Y42" si="22">X42</f>
        <v>63.072138420366656</v>
      </c>
      <c r="AA42" s="226"/>
      <c r="AB42" s="227" t="s">
        <v>1846</v>
      </c>
      <c r="AC42" s="228" t="s">
        <v>1798</v>
      </c>
      <c r="AD42" s="243"/>
      <c r="AE42" s="229" t="s">
        <v>1584</v>
      </c>
      <c r="AG42" s="249" t="s">
        <v>147</v>
      </c>
      <c r="AH42" s="253">
        <v>356.84570312534936</v>
      </c>
      <c r="AJ42" s="248"/>
      <c r="AK42" s="248"/>
      <c r="AP42" s="249" t="s">
        <v>147</v>
      </c>
      <c r="AQ42" s="253">
        <v>356.84570312534936</v>
      </c>
    </row>
    <row r="43" spans="2:43" s="182" customFormat="1" ht="15.75" customHeight="1" x14ac:dyDescent="0.25">
      <c r="B43" s="180">
        <v>84051</v>
      </c>
      <c r="C43" s="217">
        <v>2004</v>
      </c>
      <c r="D43" s="180" t="s">
        <v>711</v>
      </c>
      <c r="E43" s="180" t="s">
        <v>41</v>
      </c>
      <c r="F43" s="180" t="s">
        <v>89</v>
      </c>
      <c r="G43" s="180" t="s">
        <v>82</v>
      </c>
      <c r="H43" s="180" t="s">
        <v>160</v>
      </c>
      <c r="I43" s="180" t="s">
        <v>237</v>
      </c>
      <c r="J43" s="180" t="s">
        <v>54</v>
      </c>
      <c r="K43" s="180" t="s">
        <v>78</v>
      </c>
      <c r="L43" s="180">
        <v>786</v>
      </c>
      <c r="M43" s="250">
        <v>395.79661198600002</v>
      </c>
      <c r="N43" s="180">
        <v>7.68</v>
      </c>
      <c r="O43" s="94">
        <v>0.3</v>
      </c>
      <c r="P43" s="239">
        <f t="shared" si="3"/>
        <v>6.6669567924292066</v>
      </c>
      <c r="Q43" s="179" t="str">
        <f t="shared" si="0"/>
        <v>CCME Fish</v>
      </c>
      <c r="R43" s="219">
        <f t="shared" si="9"/>
        <v>-1.0744684279845305</v>
      </c>
      <c r="S43" s="220">
        <f t="shared" si="10"/>
        <v>7.7414252204137366</v>
      </c>
      <c r="T43" s="236">
        <f t="shared" si="8"/>
        <v>5</v>
      </c>
      <c r="U43" s="221" t="str">
        <f t="shared" si="13"/>
        <v>5-MOR-NOEC-Juvenile</v>
      </c>
      <c r="V43" s="222" cm="1">
        <f t="array" ref="V43">GEOMEAN(IF(U43=$U$4:$U$359,$S$4:$S$359))</f>
        <v>7.3366652494384184</v>
      </c>
      <c r="W43" s="223">
        <f t="shared" si="11"/>
        <v>4.169226592009621</v>
      </c>
      <c r="X43" s="225">
        <f t="shared" si="6"/>
        <v>64.665420009748175</v>
      </c>
      <c r="Y43" s="225"/>
      <c r="Z43" s="226" t="s">
        <v>1466</v>
      </c>
      <c r="AA43" s="226"/>
      <c r="AB43" s="254"/>
      <c r="AC43" s="243"/>
      <c r="AD43" s="243"/>
      <c r="AE43" s="243"/>
      <c r="AG43" s="249" t="s">
        <v>84</v>
      </c>
      <c r="AH43" s="253">
        <v>42.61584562542928</v>
      </c>
      <c r="AJ43" s="248"/>
      <c r="AK43" s="248"/>
      <c r="AP43" s="249" t="s">
        <v>84</v>
      </c>
      <c r="AQ43" s="253">
        <v>42.61584562542928</v>
      </c>
    </row>
    <row r="44" spans="2:43" s="182" customFormat="1" ht="15.75" customHeight="1" x14ac:dyDescent="0.25">
      <c r="B44" s="180">
        <v>84051</v>
      </c>
      <c r="C44" s="217">
        <v>2004</v>
      </c>
      <c r="D44" s="180" t="s">
        <v>711</v>
      </c>
      <c r="E44" s="180" t="s">
        <v>41</v>
      </c>
      <c r="F44" s="180" t="s">
        <v>89</v>
      </c>
      <c r="G44" s="180" t="s">
        <v>82</v>
      </c>
      <c r="H44" s="180" t="s">
        <v>160</v>
      </c>
      <c r="I44" s="180" t="s">
        <v>237</v>
      </c>
      <c r="J44" s="180" t="s">
        <v>54</v>
      </c>
      <c r="K44" s="180" t="s">
        <v>78</v>
      </c>
      <c r="L44" s="180">
        <v>45.4</v>
      </c>
      <c r="M44" s="250">
        <v>44.836497016000003</v>
      </c>
      <c r="N44" s="180">
        <v>7.73</v>
      </c>
      <c r="O44" s="94">
        <v>0.3</v>
      </c>
      <c r="P44" s="239">
        <f t="shared" si="3"/>
        <v>3.8155121050473024</v>
      </c>
      <c r="Q44" s="179" t="str">
        <f t="shared" si="0"/>
        <v>CCME Fish</v>
      </c>
      <c r="R44" s="219">
        <f t="shared" si="9"/>
        <v>-3.1776688939096513</v>
      </c>
      <c r="S44" s="220">
        <f t="shared" si="10"/>
        <v>6.9931809989569533</v>
      </c>
      <c r="T44" s="236">
        <f t="shared" si="8"/>
        <v>5</v>
      </c>
      <c r="U44" s="221" t="str">
        <f t="shared" si="13"/>
        <v>5-MOR-NOEC-Juvenile</v>
      </c>
      <c r="V44" s="222" cm="1">
        <f t="array" ref="V44">GEOMEAN(IF(U44=$U$4:$U$359,$S$4:$S$359))</f>
        <v>7.3366652494384184</v>
      </c>
      <c r="W44" s="223">
        <f t="shared" si="11"/>
        <v>4.169226592009621</v>
      </c>
      <c r="X44" s="225">
        <f t="shared" si="6"/>
        <v>64.665420009748175</v>
      </c>
      <c r="Y44" s="225"/>
      <c r="Z44" s="226" t="s">
        <v>1466</v>
      </c>
      <c r="AA44" s="226"/>
      <c r="AB44" s="227" t="s">
        <v>1846</v>
      </c>
      <c r="AC44" s="228" t="s">
        <v>1798</v>
      </c>
      <c r="AD44" s="243"/>
      <c r="AE44" s="229" t="s">
        <v>1584</v>
      </c>
      <c r="AG44" s="249" t="s">
        <v>1316</v>
      </c>
      <c r="AH44" s="253">
        <v>17.437383184816362</v>
      </c>
      <c r="AJ44" s="248"/>
      <c r="AK44" s="248"/>
      <c r="AP44" s="249" t="s">
        <v>1316</v>
      </c>
      <c r="AQ44" s="253">
        <v>17.437383184816362</v>
      </c>
    </row>
    <row r="45" spans="2:43" s="182" customFormat="1" ht="15.75" customHeight="1" x14ac:dyDescent="0.25">
      <c r="B45" s="180">
        <v>84051</v>
      </c>
      <c r="C45" s="217">
        <v>2004</v>
      </c>
      <c r="D45" s="180" t="s">
        <v>711</v>
      </c>
      <c r="E45" s="180" t="s">
        <v>41</v>
      </c>
      <c r="F45" s="180" t="s">
        <v>89</v>
      </c>
      <c r="G45" s="180" t="s">
        <v>82</v>
      </c>
      <c r="H45" s="180" t="s">
        <v>160</v>
      </c>
      <c r="I45" s="180" t="s">
        <v>237</v>
      </c>
      <c r="J45" s="180" t="s">
        <v>54</v>
      </c>
      <c r="K45" s="180" t="s">
        <v>78</v>
      </c>
      <c r="L45" s="180">
        <v>151</v>
      </c>
      <c r="M45" s="250">
        <v>139.41938308599998</v>
      </c>
      <c r="N45" s="180">
        <v>7.74</v>
      </c>
      <c r="O45" s="94">
        <v>0.3</v>
      </c>
      <c r="P45" s="239">
        <f t="shared" si="3"/>
        <v>5.0172798368149243</v>
      </c>
      <c r="Q45" s="179" t="str">
        <f t="shared" si="0"/>
        <v>CCME Fish</v>
      </c>
      <c r="R45" s="219">
        <f t="shared" si="9"/>
        <v>-2.1114814272983753</v>
      </c>
      <c r="S45" s="220">
        <f t="shared" si="10"/>
        <v>7.1287612641132991</v>
      </c>
      <c r="T45" s="236">
        <f t="shared" si="8"/>
        <v>5</v>
      </c>
      <c r="U45" s="221" t="str">
        <f t="shared" si="13"/>
        <v>5-MOR-NOEC-Juvenile</v>
      </c>
      <c r="V45" s="222" cm="1">
        <f t="array" ref="V45">GEOMEAN(IF(U45=$U$4:$U$359,$S$4:$S$359))</f>
        <v>7.3366652494384184</v>
      </c>
      <c r="W45" s="223">
        <f t="shared" si="11"/>
        <v>4.169226592009621</v>
      </c>
      <c r="X45" s="225">
        <f t="shared" si="6"/>
        <v>64.665420009748175</v>
      </c>
      <c r="Y45" s="225"/>
      <c r="Z45" s="226" t="s">
        <v>1466</v>
      </c>
      <c r="AA45" s="226"/>
      <c r="AB45" s="254"/>
      <c r="AC45" s="243"/>
      <c r="AD45" s="243"/>
      <c r="AE45" s="243"/>
      <c r="AG45" s="249" t="s">
        <v>1094</v>
      </c>
      <c r="AH45" s="253">
        <v>81.887918768257578</v>
      </c>
      <c r="AJ45" s="248"/>
      <c r="AK45" s="248"/>
      <c r="AP45" s="249" t="s">
        <v>1094</v>
      </c>
      <c r="AQ45" s="253">
        <v>81.887918768257578</v>
      </c>
    </row>
    <row r="46" spans="2:43" s="182" customFormat="1" ht="15.75" customHeight="1" x14ac:dyDescent="0.25">
      <c r="B46" s="180">
        <v>84051</v>
      </c>
      <c r="C46" s="217">
        <v>2004</v>
      </c>
      <c r="D46" s="180" t="s">
        <v>711</v>
      </c>
      <c r="E46" s="180" t="s">
        <v>41</v>
      </c>
      <c r="F46" s="180" t="s">
        <v>89</v>
      </c>
      <c r="G46" s="180" t="s">
        <v>82</v>
      </c>
      <c r="H46" s="180" t="s">
        <v>160</v>
      </c>
      <c r="I46" s="180" t="s">
        <v>237</v>
      </c>
      <c r="J46" s="180" t="s">
        <v>54</v>
      </c>
      <c r="K46" s="180" t="s">
        <v>78</v>
      </c>
      <c r="L46" s="180">
        <v>159</v>
      </c>
      <c r="M46" s="250">
        <v>229.09838081400002</v>
      </c>
      <c r="N46" s="180">
        <v>7.79</v>
      </c>
      <c r="O46" s="94">
        <v>0.3</v>
      </c>
      <c r="P46" s="239">
        <f t="shared" si="3"/>
        <v>5.0689042022202315</v>
      </c>
      <c r="Q46" s="179" t="str">
        <f t="shared" si="0"/>
        <v>CCME Fish</v>
      </c>
      <c r="R46" s="219">
        <f t="shared" si="9"/>
        <v>-1.6818896849396805</v>
      </c>
      <c r="S46" s="220">
        <f t="shared" si="10"/>
        <v>6.7507938871599116</v>
      </c>
      <c r="T46" s="236">
        <f t="shared" si="8"/>
        <v>5</v>
      </c>
      <c r="U46" s="221" t="str">
        <f t="shared" si="13"/>
        <v>5-MOR-NOEC-Juvenile</v>
      </c>
      <c r="V46" s="222" cm="1">
        <f t="array" ref="V46">GEOMEAN(IF(U46=$U$4:$U$359,$S$4:$S$359))</f>
        <v>7.3366652494384184</v>
      </c>
      <c r="W46" s="223">
        <f t="shared" si="11"/>
        <v>4.169226592009621</v>
      </c>
      <c r="X46" s="225">
        <f t="shared" si="6"/>
        <v>64.665420009748175</v>
      </c>
      <c r="Y46" s="225"/>
      <c r="Z46" s="226" t="s">
        <v>1466</v>
      </c>
      <c r="AA46" s="226"/>
      <c r="AB46" s="254"/>
      <c r="AC46" s="243"/>
      <c r="AD46" s="243"/>
      <c r="AE46" s="243"/>
      <c r="AG46" s="249" t="s">
        <v>344</v>
      </c>
      <c r="AH46" s="253">
        <v>16.883638711368956</v>
      </c>
      <c r="AJ46" s="248"/>
      <c r="AK46" s="248"/>
      <c r="AP46" s="249" t="s">
        <v>344</v>
      </c>
      <c r="AQ46" s="253">
        <v>16.883638711368956</v>
      </c>
    </row>
    <row r="47" spans="2:43" s="182" customFormat="1" ht="15.75" customHeight="1" x14ac:dyDescent="0.25">
      <c r="B47" s="180">
        <v>84051</v>
      </c>
      <c r="C47" s="217">
        <v>2004</v>
      </c>
      <c r="D47" s="180" t="s">
        <v>711</v>
      </c>
      <c r="E47" s="180" t="s">
        <v>41</v>
      </c>
      <c r="F47" s="180" t="s">
        <v>89</v>
      </c>
      <c r="G47" s="180" t="s">
        <v>82</v>
      </c>
      <c r="H47" s="180" t="s">
        <v>160</v>
      </c>
      <c r="I47" s="180" t="s">
        <v>81</v>
      </c>
      <c r="J47" s="180" t="s">
        <v>54</v>
      </c>
      <c r="K47" s="180" t="s">
        <v>78</v>
      </c>
      <c r="L47" s="180">
        <v>159</v>
      </c>
      <c r="M47" s="250">
        <v>229.09838081400002</v>
      </c>
      <c r="N47" s="180">
        <v>7.79</v>
      </c>
      <c r="O47" s="94">
        <v>0.3</v>
      </c>
      <c r="P47" s="239">
        <f t="shared" si="3"/>
        <v>5.0689042022202315</v>
      </c>
      <c r="Q47" s="179" t="str">
        <f t="shared" si="0"/>
        <v>CCME Fish</v>
      </c>
      <c r="R47" s="219">
        <f t="shared" si="9"/>
        <v>-1.6818896849396805</v>
      </c>
      <c r="S47" s="220">
        <f t="shared" si="10"/>
        <v>6.7507938871599116</v>
      </c>
      <c r="T47" s="236">
        <f t="shared" si="8"/>
        <v>5</v>
      </c>
      <c r="U47" s="221" t="str">
        <f t="shared" si="13"/>
        <v>5-GRO-NOEC-Juvenile</v>
      </c>
      <c r="V47" s="222" cm="1">
        <f t="array" ref="V47">GEOMEAN(IF(U47=$U$4:$U$359,$S$4:$S$359))</f>
        <v>7.9957832588069442</v>
      </c>
      <c r="W47" s="223">
        <f t="shared" si="11"/>
        <v>4.8283446013781468</v>
      </c>
      <c r="X47" s="225">
        <f t="shared" si="6"/>
        <v>125.00385806901828</v>
      </c>
      <c r="Y47" s="225"/>
      <c r="Z47" s="226" t="s">
        <v>1466</v>
      </c>
      <c r="AA47" s="226"/>
      <c r="AB47" s="254"/>
      <c r="AC47" s="243"/>
      <c r="AD47" s="243"/>
      <c r="AE47" s="243"/>
      <c r="AG47" s="249" t="s">
        <v>981</v>
      </c>
      <c r="AH47" s="253">
        <v>2205.4795080758822</v>
      </c>
      <c r="AJ47" s="248"/>
      <c r="AK47" s="248"/>
      <c r="AP47" s="249" t="s">
        <v>981</v>
      </c>
      <c r="AQ47" s="253">
        <v>2205.4795080758822</v>
      </c>
    </row>
    <row r="48" spans="2:43" s="182" customFormat="1" ht="15.75" customHeight="1" x14ac:dyDescent="0.25">
      <c r="B48" s="180">
        <v>84051</v>
      </c>
      <c r="C48" s="217">
        <v>2004</v>
      </c>
      <c r="D48" s="180" t="s">
        <v>711</v>
      </c>
      <c r="E48" s="180" t="s">
        <v>41</v>
      </c>
      <c r="F48" s="180" t="s">
        <v>89</v>
      </c>
      <c r="G48" s="180" t="s">
        <v>82</v>
      </c>
      <c r="H48" s="180" t="s">
        <v>160</v>
      </c>
      <c r="I48" s="180" t="s">
        <v>237</v>
      </c>
      <c r="J48" s="180" t="s">
        <v>174</v>
      </c>
      <c r="K48" s="180" t="s">
        <v>78</v>
      </c>
      <c r="L48" s="180">
        <v>290</v>
      </c>
      <c r="M48" s="250">
        <v>190.24288393400002</v>
      </c>
      <c r="N48" s="181">
        <v>7.87</v>
      </c>
      <c r="O48" s="94">
        <v>0.3</v>
      </c>
      <c r="P48" s="239">
        <f t="shared" si="3"/>
        <v>5.6698809229805196</v>
      </c>
      <c r="Q48" s="179" t="str">
        <f t="shared" si="0"/>
        <v>CCME Fish</v>
      </c>
      <c r="R48" s="219">
        <f t="shared" si="9"/>
        <v>-1.9230895682337095</v>
      </c>
      <c r="S48" s="220">
        <f t="shared" si="10"/>
        <v>7.5929704912142295</v>
      </c>
      <c r="T48" s="236">
        <f t="shared" si="8"/>
        <v>5</v>
      </c>
      <c r="U48" s="221" t="str">
        <f t="shared" si="13"/>
        <v>5-MOR-LC10-Juvenile</v>
      </c>
      <c r="V48" s="222" cm="1">
        <f t="array" ref="V48">GEOMEAN(IF(U48=$U$4:$U$359,$S$4:$S$359))</f>
        <v>7.3117177830372153</v>
      </c>
      <c r="W48" s="223">
        <f t="shared" si="11"/>
        <v>4.1442791256084179</v>
      </c>
      <c r="X48" s="225">
        <f t="shared" si="6"/>
        <v>63.072138420366656</v>
      </c>
      <c r="Y48" s="225">
        <f t="shared" ref="Y48" si="23">X48</f>
        <v>63.072138420366656</v>
      </c>
      <c r="AA48" s="226"/>
      <c r="AB48" s="227" t="s">
        <v>1846</v>
      </c>
      <c r="AC48" s="228" t="s">
        <v>1798</v>
      </c>
      <c r="AD48" s="243"/>
      <c r="AE48" s="229" t="s">
        <v>1584</v>
      </c>
      <c r="AG48" s="249" t="s">
        <v>904</v>
      </c>
      <c r="AH48" s="253">
        <v>57.490709017714408</v>
      </c>
      <c r="AJ48" s="248"/>
      <c r="AK48" s="248"/>
      <c r="AP48" s="249" t="s">
        <v>904</v>
      </c>
      <c r="AQ48" s="253">
        <v>57.490709017714408</v>
      </c>
    </row>
    <row r="49" spans="2:43" s="182" customFormat="1" ht="15.75" customHeight="1" x14ac:dyDescent="0.25">
      <c r="B49" s="180">
        <v>84051</v>
      </c>
      <c r="C49" s="217">
        <v>2004</v>
      </c>
      <c r="D49" s="180" t="s">
        <v>711</v>
      </c>
      <c r="E49" s="180" t="s">
        <v>41</v>
      </c>
      <c r="F49" s="180" t="s">
        <v>89</v>
      </c>
      <c r="G49" s="180" t="s">
        <v>82</v>
      </c>
      <c r="H49" s="180" t="s">
        <v>160</v>
      </c>
      <c r="I49" s="180" t="s">
        <v>237</v>
      </c>
      <c r="J49" s="180" t="s">
        <v>54</v>
      </c>
      <c r="K49" s="180" t="s">
        <v>78</v>
      </c>
      <c r="L49" s="180">
        <v>974</v>
      </c>
      <c r="M49" s="250">
        <v>190.24288393400002</v>
      </c>
      <c r="N49" s="180">
        <v>7.87</v>
      </c>
      <c r="O49" s="94">
        <v>0.3</v>
      </c>
      <c r="P49" s="239">
        <f t="shared" si="3"/>
        <v>6.8814113036425351</v>
      </c>
      <c r="Q49" s="179" t="str">
        <f t="shared" si="0"/>
        <v>CCME Fish</v>
      </c>
      <c r="R49" s="219">
        <f t="shared" si="9"/>
        <v>-1.9230895682337095</v>
      </c>
      <c r="S49" s="220">
        <f t="shared" si="10"/>
        <v>8.804500871876245</v>
      </c>
      <c r="T49" s="236">
        <f t="shared" si="8"/>
        <v>5</v>
      </c>
      <c r="U49" s="221" t="str">
        <f t="shared" si="13"/>
        <v>5-MOR-NOEC-Juvenile</v>
      </c>
      <c r="V49" s="222" cm="1">
        <f t="array" ref="V49">GEOMEAN(IF(U49=$U$4:$U$359,$S$4:$S$359))</f>
        <v>7.3366652494384184</v>
      </c>
      <c r="W49" s="223">
        <f t="shared" si="11"/>
        <v>4.169226592009621</v>
      </c>
      <c r="X49" s="225">
        <f t="shared" si="6"/>
        <v>64.665420009748175</v>
      </c>
      <c r="Y49" s="225"/>
      <c r="Z49" s="226" t="s">
        <v>1466</v>
      </c>
      <c r="AA49" s="226"/>
      <c r="AB49" s="227" t="s">
        <v>1846</v>
      </c>
      <c r="AC49" s="228" t="s">
        <v>1798</v>
      </c>
      <c r="AD49" s="243"/>
      <c r="AE49" s="229" t="s">
        <v>1584</v>
      </c>
      <c r="AG49" s="249" t="s">
        <v>140</v>
      </c>
      <c r="AH49" s="253">
        <v>15.047453309548844</v>
      </c>
      <c r="AJ49" s="248"/>
      <c r="AK49" s="248"/>
      <c r="AP49" s="249" t="s">
        <v>140</v>
      </c>
      <c r="AQ49" s="253">
        <v>15.047453309548844</v>
      </c>
    </row>
    <row r="50" spans="2:43" s="182" customFormat="1" ht="15.75" customHeight="1" x14ac:dyDescent="0.25">
      <c r="B50" s="180">
        <v>84051</v>
      </c>
      <c r="C50" s="217">
        <v>2004</v>
      </c>
      <c r="D50" s="180" t="s">
        <v>711</v>
      </c>
      <c r="E50" s="180" t="s">
        <v>41</v>
      </c>
      <c r="F50" s="180" t="s">
        <v>89</v>
      </c>
      <c r="G50" s="180" t="s">
        <v>82</v>
      </c>
      <c r="H50" s="180" t="s">
        <v>160</v>
      </c>
      <c r="I50" s="180" t="s">
        <v>81</v>
      </c>
      <c r="J50" s="180" t="s">
        <v>54</v>
      </c>
      <c r="K50" s="180" t="s">
        <v>78</v>
      </c>
      <c r="L50" s="180">
        <v>974</v>
      </c>
      <c r="M50" s="250">
        <v>190.24288393400002</v>
      </c>
      <c r="N50" s="180">
        <v>7.87</v>
      </c>
      <c r="O50" s="94">
        <v>0.3</v>
      </c>
      <c r="P50" s="239">
        <f t="shared" si="3"/>
        <v>6.8814113036425351</v>
      </c>
      <c r="Q50" s="179" t="str">
        <f t="shared" si="0"/>
        <v>CCME Fish</v>
      </c>
      <c r="R50" s="219">
        <f t="shared" si="9"/>
        <v>-1.9230895682337095</v>
      </c>
      <c r="S50" s="220">
        <f t="shared" si="10"/>
        <v>8.804500871876245</v>
      </c>
      <c r="T50" s="236">
        <f t="shared" si="8"/>
        <v>5</v>
      </c>
      <c r="U50" s="221" t="str">
        <f t="shared" si="13"/>
        <v>5-GRO-NOEC-Juvenile</v>
      </c>
      <c r="V50" s="222" cm="1">
        <f t="array" ref="V50">GEOMEAN(IF(U50=$U$4:$U$359,$S$4:$S$359))</f>
        <v>7.9957832588069442</v>
      </c>
      <c r="W50" s="223">
        <f t="shared" si="11"/>
        <v>4.8283446013781468</v>
      </c>
      <c r="X50" s="225">
        <f t="shared" si="6"/>
        <v>125.00385806901828</v>
      </c>
      <c r="Y50" s="225"/>
      <c r="Z50" s="226" t="s">
        <v>1505</v>
      </c>
      <c r="AA50" s="226"/>
      <c r="AB50" s="227" t="s">
        <v>1846</v>
      </c>
      <c r="AC50" s="228" t="s">
        <v>1798</v>
      </c>
      <c r="AD50" s="243"/>
      <c r="AE50" s="229" t="s">
        <v>1584</v>
      </c>
      <c r="AG50" s="244"/>
      <c r="AH50" s="244"/>
      <c r="AJ50" s="248"/>
      <c r="AK50" s="248"/>
    </row>
    <row r="51" spans="2:43" s="182" customFormat="1" ht="15.75" customHeight="1" x14ac:dyDescent="0.2">
      <c r="B51" s="180">
        <v>84052</v>
      </c>
      <c r="C51" s="217">
        <v>2005</v>
      </c>
      <c r="D51" s="180" t="s">
        <v>785</v>
      </c>
      <c r="E51" s="180" t="s">
        <v>41</v>
      </c>
      <c r="F51" s="180" t="s">
        <v>89</v>
      </c>
      <c r="G51" s="180" t="s">
        <v>82</v>
      </c>
      <c r="H51" s="180" t="s">
        <v>160</v>
      </c>
      <c r="I51" s="180" t="s">
        <v>237</v>
      </c>
      <c r="J51" s="180" t="s">
        <v>174</v>
      </c>
      <c r="K51" s="180" t="s">
        <v>78</v>
      </c>
      <c r="L51" s="180">
        <v>259</v>
      </c>
      <c r="M51" s="250">
        <v>23.386569999999999</v>
      </c>
      <c r="N51" s="180">
        <v>6.15</v>
      </c>
      <c r="O51" s="94">
        <v>4.25</v>
      </c>
      <c r="P51" s="239">
        <f t="shared" si="3"/>
        <v>5.5568280616995374</v>
      </c>
      <c r="Q51" s="179" t="str">
        <f t="shared" si="0"/>
        <v>CCME Fish</v>
      </c>
      <c r="R51" s="219">
        <f t="shared" si="9"/>
        <v>-1.4512789008902471</v>
      </c>
      <c r="S51" s="220">
        <f t="shared" si="10"/>
        <v>7.0081069625897845</v>
      </c>
      <c r="T51" s="236">
        <f t="shared" si="8"/>
        <v>5</v>
      </c>
      <c r="U51" s="221"/>
      <c r="V51" s="222" t="e" cm="1">
        <f t="array" ref="V51">GEOMEAN(IF(U51=$U$4:$U$359,$S$4:$S$359))</f>
        <v>#NUM!</v>
      </c>
      <c r="W51" s="223" t="e">
        <f t="shared" si="11"/>
        <v>#NUM!</v>
      </c>
      <c r="X51" s="225" t="e">
        <f t="shared" si="6"/>
        <v>#NUM!</v>
      </c>
      <c r="Y51" s="225"/>
      <c r="Z51" s="226"/>
      <c r="AA51" s="226" t="s">
        <v>1862</v>
      </c>
      <c r="AB51" s="227" t="s">
        <v>1846</v>
      </c>
      <c r="AC51" s="228" t="s">
        <v>1861</v>
      </c>
      <c r="AD51" s="243"/>
      <c r="AE51" s="229" t="s">
        <v>1584</v>
      </c>
      <c r="AG51" s="244"/>
      <c r="AH51" s="244"/>
    </row>
    <row r="52" spans="2:43" s="182" customFormat="1" ht="15.75" customHeight="1" x14ac:dyDescent="0.2">
      <c r="B52" s="180">
        <v>84052</v>
      </c>
      <c r="C52" s="217">
        <v>2005</v>
      </c>
      <c r="D52" s="180" t="s">
        <v>785</v>
      </c>
      <c r="E52" s="180" t="s">
        <v>41</v>
      </c>
      <c r="F52" s="180" t="s">
        <v>89</v>
      </c>
      <c r="G52" s="180" t="s">
        <v>82</v>
      </c>
      <c r="H52" s="180" t="s">
        <v>160</v>
      </c>
      <c r="I52" s="180" t="s">
        <v>237</v>
      </c>
      <c r="J52" s="180" t="s">
        <v>174</v>
      </c>
      <c r="K52" s="180" t="s">
        <v>78</v>
      </c>
      <c r="L52" s="180">
        <v>902</v>
      </c>
      <c r="M52" s="250">
        <v>103.66486</v>
      </c>
      <c r="N52" s="180">
        <v>7.76</v>
      </c>
      <c r="O52" s="94">
        <v>22.9</v>
      </c>
      <c r="P52" s="239">
        <f t="shared" si="3"/>
        <v>6.804614520062624</v>
      </c>
      <c r="Q52" s="179" t="str">
        <f t="shared" si="0"/>
        <v>CCME Fish</v>
      </c>
      <c r="R52" s="219">
        <f t="shared" si="9"/>
        <v>-0.6830259632629605</v>
      </c>
      <c r="S52" s="220">
        <f t="shared" si="10"/>
        <v>7.4876404833255847</v>
      </c>
      <c r="T52" s="236">
        <f t="shared" si="8"/>
        <v>5</v>
      </c>
      <c r="U52" s="221" t="str">
        <f t="shared" ref="U52:U89" si="24">CONCATENATE(T52,"-",I52,"-",J52,"-",H52)</f>
        <v>5-MOR-LC10-Juvenile</v>
      </c>
      <c r="V52" s="222" cm="1">
        <f t="array" ref="V52">GEOMEAN(IF(U52=$U$4:$U$359,$S$4:$S$359))</f>
        <v>7.3117177830372153</v>
      </c>
      <c r="W52" s="223">
        <f t="shared" si="11"/>
        <v>4.1442791256084179</v>
      </c>
      <c r="X52" s="225">
        <f t="shared" si="6"/>
        <v>63.072138420366656</v>
      </c>
      <c r="Y52" s="225">
        <f t="shared" ref="Y52:Y55" si="25">X52</f>
        <v>63.072138420366656</v>
      </c>
      <c r="Z52" s="226"/>
      <c r="AA52" s="226"/>
      <c r="AB52" s="227" t="s">
        <v>1846</v>
      </c>
      <c r="AC52" s="228" t="s">
        <v>1861</v>
      </c>
      <c r="AD52" s="243"/>
      <c r="AE52" s="229" t="s">
        <v>1584</v>
      </c>
      <c r="AG52" s="244"/>
      <c r="AH52" s="244"/>
    </row>
    <row r="53" spans="2:43" s="182" customFormat="1" ht="15.75" customHeight="1" x14ac:dyDescent="0.2">
      <c r="B53" s="180">
        <v>84052</v>
      </c>
      <c r="C53" s="217">
        <v>2005</v>
      </c>
      <c r="D53" s="180" t="s">
        <v>785</v>
      </c>
      <c r="E53" s="180" t="s">
        <v>41</v>
      </c>
      <c r="F53" s="180" t="s">
        <v>89</v>
      </c>
      <c r="G53" s="180" t="s">
        <v>82</v>
      </c>
      <c r="H53" s="180" t="s">
        <v>160</v>
      </c>
      <c r="I53" s="180" t="s">
        <v>237</v>
      </c>
      <c r="J53" s="180" t="s">
        <v>174</v>
      </c>
      <c r="K53" s="180" t="s">
        <v>78</v>
      </c>
      <c r="L53" s="180">
        <v>578</v>
      </c>
      <c r="M53" s="250">
        <v>176.2988</v>
      </c>
      <c r="N53" s="180">
        <v>8.1300000000000008</v>
      </c>
      <c r="O53" s="94">
        <v>6.22</v>
      </c>
      <c r="P53" s="239">
        <f t="shared" si="3"/>
        <v>6.3595738686723777</v>
      </c>
      <c r="Q53" s="179" t="str">
        <f t="shared" si="0"/>
        <v>CCME Fish</v>
      </c>
      <c r="R53" s="219">
        <f t="shared" si="9"/>
        <v>-1.000442849300553</v>
      </c>
      <c r="S53" s="220">
        <f t="shared" si="10"/>
        <v>7.3600167179729308</v>
      </c>
      <c r="T53" s="236">
        <f t="shared" si="8"/>
        <v>5</v>
      </c>
      <c r="U53" s="221" t="str">
        <f t="shared" si="24"/>
        <v>5-MOR-LC10-Juvenile</v>
      </c>
      <c r="V53" s="222" cm="1">
        <f t="array" ref="V53">GEOMEAN(IF(U53=$U$4:$U$359,$S$4:$S$359))</f>
        <v>7.3117177830372153</v>
      </c>
      <c r="W53" s="223">
        <f t="shared" si="11"/>
        <v>4.1442791256084179</v>
      </c>
      <c r="X53" s="225">
        <f t="shared" si="6"/>
        <v>63.072138420366656</v>
      </c>
      <c r="Y53" s="225">
        <f t="shared" si="25"/>
        <v>63.072138420366656</v>
      </c>
      <c r="Z53" s="226"/>
      <c r="AA53" s="226"/>
      <c r="AB53" s="227" t="s">
        <v>1846</v>
      </c>
      <c r="AC53" s="228" t="s">
        <v>1861</v>
      </c>
      <c r="AD53" s="243"/>
      <c r="AE53" s="229" t="s">
        <v>1584</v>
      </c>
      <c r="AG53" s="244"/>
      <c r="AH53" s="244"/>
    </row>
    <row r="54" spans="2:43" s="182" customFormat="1" ht="15.75" customHeight="1" x14ac:dyDescent="0.2">
      <c r="B54" s="180">
        <v>84052</v>
      </c>
      <c r="C54" s="217">
        <v>2005</v>
      </c>
      <c r="D54" s="180" t="s">
        <v>785</v>
      </c>
      <c r="E54" s="180" t="s">
        <v>41</v>
      </c>
      <c r="F54" s="180" t="s">
        <v>89</v>
      </c>
      <c r="G54" s="180" t="s">
        <v>82</v>
      </c>
      <c r="H54" s="180" t="s">
        <v>160</v>
      </c>
      <c r="I54" s="180" t="s">
        <v>237</v>
      </c>
      <c r="J54" s="180" t="s">
        <v>174</v>
      </c>
      <c r="K54" s="180" t="s">
        <v>78</v>
      </c>
      <c r="L54" s="180">
        <v>185</v>
      </c>
      <c r="M54" s="250">
        <v>28.186459999999997</v>
      </c>
      <c r="N54" s="180">
        <v>6.8</v>
      </c>
      <c r="O54" s="94">
        <v>3.92</v>
      </c>
      <c r="P54" s="239">
        <f t="shared" si="3"/>
        <v>5.2203558250783244</v>
      </c>
      <c r="Q54" s="179" t="str">
        <f t="shared" si="0"/>
        <v>CCME Fish</v>
      </c>
      <c r="R54" s="219">
        <f t="shared" si="9"/>
        <v>-1.8364124121937051</v>
      </c>
      <c r="S54" s="220">
        <f t="shared" si="10"/>
        <v>7.0567682372720295</v>
      </c>
      <c r="T54" s="236">
        <f t="shared" si="8"/>
        <v>5</v>
      </c>
      <c r="U54" s="221" t="str">
        <f t="shared" si="24"/>
        <v>5-MOR-LC10-Juvenile</v>
      </c>
      <c r="V54" s="222" cm="1">
        <f t="array" ref="V54">GEOMEAN(IF(U54=$U$4:$U$359,$S$4:$S$359))</f>
        <v>7.3117177830372153</v>
      </c>
      <c r="W54" s="223">
        <f t="shared" si="11"/>
        <v>4.1442791256084179</v>
      </c>
      <c r="X54" s="225">
        <f t="shared" si="6"/>
        <v>63.072138420366656</v>
      </c>
      <c r="Y54" s="225">
        <f t="shared" si="25"/>
        <v>63.072138420366656</v>
      </c>
      <c r="Z54" s="226"/>
      <c r="AA54" s="226"/>
      <c r="AB54" s="227" t="s">
        <v>1846</v>
      </c>
      <c r="AC54" s="228" t="s">
        <v>1861</v>
      </c>
      <c r="AD54" s="243"/>
      <c r="AE54" s="229" t="s">
        <v>1584</v>
      </c>
      <c r="AG54" s="244"/>
      <c r="AH54" s="244"/>
    </row>
    <row r="55" spans="2:43" s="182" customFormat="1" ht="15.75" customHeight="1" x14ac:dyDescent="0.2">
      <c r="B55" s="180">
        <v>84052</v>
      </c>
      <c r="C55" s="217">
        <v>2005</v>
      </c>
      <c r="D55" s="180" t="s">
        <v>785</v>
      </c>
      <c r="E55" s="180" t="s">
        <v>41</v>
      </c>
      <c r="F55" s="180" t="s">
        <v>89</v>
      </c>
      <c r="G55" s="180" t="s">
        <v>82</v>
      </c>
      <c r="H55" s="180" t="s">
        <v>160</v>
      </c>
      <c r="I55" s="180" t="s">
        <v>237</v>
      </c>
      <c r="J55" s="180" t="s">
        <v>174</v>
      </c>
      <c r="K55" s="180" t="s">
        <v>78</v>
      </c>
      <c r="L55" s="180">
        <v>219</v>
      </c>
      <c r="M55" s="250">
        <v>31.507710000000003</v>
      </c>
      <c r="N55" s="180">
        <v>7.08</v>
      </c>
      <c r="O55" s="94">
        <v>2.84</v>
      </c>
      <c r="P55" s="239">
        <f t="shared" si="3"/>
        <v>5.389071729816501</v>
      </c>
      <c r="Q55" s="179" t="str">
        <f t="shared" si="0"/>
        <v>CCME Fish</v>
      </c>
      <c r="R55" s="219">
        <f t="shared" si="9"/>
        <v>-2.0873960201707726</v>
      </c>
      <c r="S55" s="220">
        <f t="shared" si="10"/>
        <v>7.4764677499872736</v>
      </c>
      <c r="T55" s="236">
        <f t="shared" si="8"/>
        <v>5</v>
      </c>
      <c r="U55" s="221" t="str">
        <f t="shared" si="24"/>
        <v>5-MOR-LC10-Juvenile</v>
      </c>
      <c r="V55" s="222" cm="1">
        <f t="array" ref="V55">GEOMEAN(IF(U55=$U$4:$U$359,$S$4:$S$359))</f>
        <v>7.3117177830372153</v>
      </c>
      <c r="W55" s="223">
        <f t="shared" si="11"/>
        <v>4.1442791256084179</v>
      </c>
      <c r="X55" s="225">
        <f t="shared" si="6"/>
        <v>63.072138420366656</v>
      </c>
      <c r="Y55" s="225">
        <f t="shared" si="25"/>
        <v>63.072138420366656</v>
      </c>
      <c r="Z55" s="226"/>
      <c r="AA55" s="226"/>
      <c r="AB55" s="227" t="s">
        <v>1846</v>
      </c>
      <c r="AC55" s="228" t="s">
        <v>1861</v>
      </c>
      <c r="AD55" s="243"/>
      <c r="AE55" s="229" t="s">
        <v>1584</v>
      </c>
      <c r="AG55" s="244"/>
      <c r="AH55" s="244"/>
    </row>
    <row r="56" spans="2:43" s="182" customFormat="1" ht="15.75" customHeight="1" x14ac:dyDescent="0.2">
      <c r="B56" s="180">
        <v>111766</v>
      </c>
      <c r="C56" s="217">
        <v>2008</v>
      </c>
      <c r="D56" s="180" t="s">
        <v>920</v>
      </c>
      <c r="E56" s="180" t="s">
        <v>41</v>
      </c>
      <c r="F56" s="180" t="s">
        <v>89</v>
      </c>
      <c r="G56" s="180" t="s">
        <v>82</v>
      </c>
      <c r="H56" s="180" t="s">
        <v>1046</v>
      </c>
      <c r="I56" s="180" t="s">
        <v>81</v>
      </c>
      <c r="J56" s="180" t="s">
        <v>49</v>
      </c>
      <c r="K56" s="180" t="s">
        <v>1020</v>
      </c>
      <c r="L56" s="180">
        <v>199</v>
      </c>
      <c r="M56" s="180">
        <v>19.7</v>
      </c>
      <c r="N56" s="181">
        <v>6.75</v>
      </c>
      <c r="O56" s="94">
        <v>0.5</v>
      </c>
      <c r="P56" s="239">
        <f t="shared" si="3"/>
        <v>5.2933048247244923</v>
      </c>
      <c r="Q56" s="179" t="str">
        <f t="shared" si="0"/>
        <v>CCME Fish</v>
      </c>
      <c r="R56" s="219">
        <f t="shared" si="9"/>
        <v>-2.9544767298133445</v>
      </c>
      <c r="S56" s="220">
        <f t="shared" si="10"/>
        <v>8.2477815545378377</v>
      </c>
      <c r="T56" s="236">
        <f t="shared" si="8"/>
        <v>5</v>
      </c>
      <c r="U56" s="221" t="str">
        <f t="shared" si="24"/>
        <v>5-GRO-EC10-EY</v>
      </c>
      <c r="V56" s="222" cm="1">
        <f t="array" ref="V56">GEOMEAN(IF(U56=$U$4:$U$359,$S$4:$S$359))</f>
        <v>8.4505284190416976</v>
      </c>
      <c r="W56" s="223">
        <f t="shared" si="11"/>
        <v>5.2830897616129002</v>
      </c>
      <c r="X56" s="225">
        <f t="shared" si="6"/>
        <v>196.97754975567682</v>
      </c>
      <c r="Y56" s="225"/>
      <c r="Z56" s="246"/>
      <c r="AA56" s="246"/>
      <c r="AB56" s="227" t="s">
        <v>1846</v>
      </c>
      <c r="AC56" s="243" t="s">
        <v>1798</v>
      </c>
      <c r="AD56" s="243"/>
      <c r="AE56" s="229" t="s">
        <v>1584</v>
      </c>
      <c r="AG56" s="244"/>
      <c r="AH56" s="244"/>
    </row>
    <row r="57" spans="2:43" s="182" customFormat="1" ht="15.75" customHeight="1" x14ac:dyDescent="0.2">
      <c r="B57" s="180">
        <v>111766</v>
      </c>
      <c r="C57" s="217">
        <v>2008</v>
      </c>
      <c r="D57" s="180" t="s">
        <v>920</v>
      </c>
      <c r="E57" s="180" t="s">
        <v>41</v>
      </c>
      <c r="F57" s="180" t="s">
        <v>89</v>
      </c>
      <c r="G57" s="180" t="s">
        <v>82</v>
      </c>
      <c r="H57" s="180" t="s">
        <v>1046</v>
      </c>
      <c r="I57" s="180" t="s">
        <v>81</v>
      </c>
      <c r="J57" s="180" t="s">
        <v>927</v>
      </c>
      <c r="K57" s="180" t="s">
        <v>1020</v>
      </c>
      <c r="L57" s="180">
        <v>387</v>
      </c>
      <c r="M57" s="180">
        <v>19.7</v>
      </c>
      <c r="N57" s="180">
        <v>6.75</v>
      </c>
      <c r="O57" s="94">
        <v>0.5</v>
      </c>
      <c r="P57" s="239">
        <f t="shared" si="3"/>
        <v>5.9584246930297819</v>
      </c>
      <c r="Q57" s="179" t="str">
        <f t="shared" si="0"/>
        <v>CCME Fish</v>
      </c>
      <c r="R57" s="219">
        <f t="shared" si="9"/>
        <v>-2.9544767298133445</v>
      </c>
      <c r="S57" s="220">
        <f t="shared" si="10"/>
        <v>8.9129014228431274</v>
      </c>
      <c r="T57" s="236">
        <f t="shared" si="8"/>
        <v>5</v>
      </c>
      <c r="U57" s="221" t="str">
        <f t="shared" si="24"/>
        <v>5-GRO-EC20-EY</v>
      </c>
      <c r="V57" s="222" cm="1">
        <f t="array" ref="V57">GEOMEAN(IF(U57=$U$4:$U$359,$S$4:$S$359))</f>
        <v>8.9129014228431274</v>
      </c>
      <c r="W57" s="223">
        <f t="shared" si="11"/>
        <v>5.74546276541433</v>
      </c>
      <c r="X57" s="225">
        <f t="shared" si="6"/>
        <v>312.76833271234153</v>
      </c>
      <c r="Y57" s="225"/>
      <c r="Z57" s="226" t="s">
        <v>1467</v>
      </c>
      <c r="AA57" s="226"/>
      <c r="AB57" s="227" t="s">
        <v>1846</v>
      </c>
      <c r="AC57" s="243" t="s">
        <v>1798</v>
      </c>
      <c r="AD57" s="243"/>
      <c r="AE57" s="229" t="s">
        <v>1584</v>
      </c>
      <c r="AG57" s="244"/>
      <c r="AH57" s="244"/>
    </row>
    <row r="58" spans="2:43" s="182" customFormat="1" ht="15.75" customHeight="1" x14ac:dyDescent="0.2">
      <c r="B58" s="180">
        <v>111766</v>
      </c>
      <c r="C58" s="217">
        <v>2008</v>
      </c>
      <c r="D58" s="180" t="s">
        <v>920</v>
      </c>
      <c r="E58" s="180" t="s">
        <v>41</v>
      </c>
      <c r="F58" s="180" t="s">
        <v>89</v>
      </c>
      <c r="G58" s="180" t="s">
        <v>82</v>
      </c>
      <c r="H58" s="180" t="s">
        <v>1046</v>
      </c>
      <c r="I58" s="180" t="s">
        <v>81</v>
      </c>
      <c r="J58" s="180" t="s">
        <v>54</v>
      </c>
      <c r="K58" s="180" t="s">
        <v>1020</v>
      </c>
      <c r="L58" s="180">
        <v>214</v>
      </c>
      <c r="M58" s="180">
        <v>19.7</v>
      </c>
      <c r="N58" s="180">
        <v>6.75</v>
      </c>
      <c r="O58" s="94">
        <v>0.5</v>
      </c>
      <c r="P58" s="239">
        <f t="shared" si="3"/>
        <v>5.3659760150218512</v>
      </c>
      <c r="Q58" s="179" t="str">
        <f t="shared" si="0"/>
        <v>CCME Fish</v>
      </c>
      <c r="R58" s="219">
        <f t="shared" si="9"/>
        <v>-2.9544767298133445</v>
      </c>
      <c r="S58" s="220">
        <f t="shared" si="10"/>
        <v>8.3204527448351957</v>
      </c>
      <c r="T58" s="236">
        <f t="shared" si="8"/>
        <v>5</v>
      </c>
      <c r="U58" s="221" t="str">
        <f t="shared" si="24"/>
        <v>5-GRO-NOEC-EY</v>
      </c>
      <c r="V58" s="222" cm="1">
        <f t="array" ref="V58">GEOMEAN(IF(U58=$U$4:$U$359,$S$4:$S$359))</f>
        <v>8.3204527448351957</v>
      </c>
      <c r="W58" s="223">
        <f t="shared" si="11"/>
        <v>5.1530140874063983</v>
      </c>
      <c r="X58" s="225">
        <f t="shared" si="6"/>
        <v>172.95199793395608</v>
      </c>
      <c r="Y58" s="225"/>
      <c r="Z58" s="226" t="s">
        <v>1467</v>
      </c>
      <c r="AA58" s="226"/>
      <c r="AB58" s="227" t="s">
        <v>1846</v>
      </c>
      <c r="AC58" s="243" t="s">
        <v>1798</v>
      </c>
      <c r="AD58" s="243"/>
      <c r="AE58" s="229" t="s">
        <v>1584</v>
      </c>
      <c r="AG58" s="244"/>
      <c r="AH58" s="244"/>
    </row>
    <row r="59" spans="2:43" s="182" customFormat="1" ht="15.75" customHeight="1" x14ac:dyDescent="0.2">
      <c r="B59" s="180">
        <v>111766</v>
      </c>
      <c r="C59" s="217">
        <v>2008</v>
      </c>
      <c r="D59" s="180" t="s">
        <v>920</v>
      </c>
      <c r="E59" s="180" t="s">
        <v>41</v>
      </c>
      <c r="F59" s="180" t="s">
        <v>89</v>
      </c>
      <c r="G59" s="180" t="s">
        <v>82</v>
      </c>
      <c r="H59" s="180" t="s">
        <v>1046</v>
      </c>
      <c r="I59" s="180" t="s">
        <v>81</v>
      </c>
      <c r="J59" s="180" t="s">
        <v>54</v>
      </c>
      <c r="K59" s="180" t="s">
        <v>1020</v>
      </c>
      <c r="L59" s="180">
        <v>214</v>
      </c>
      <c r="M59" s="180">
        <v>19.7</v>
      </c>
      <c r="N59" s="180">
        <v>6.75</v>
      </c>
      <c r="O59" s="94">
        <v>0.5</v>
      </c>
      <c r="P59" s="239">
        <f t="shared" si="3"/>
        <v>5.3659760150218512</v>
      </c>
      <c r="Q59" s="179" t="str">
        <f t="shared" si="0"/>
        <v>CCME Fish</v>
      </c>
      <c r="R59" s="219">
        <f t="shared" si="9"/>
        <v>-2.9544767298133445</v>
      </c>
      <c r="S59" s="220">
        <f t="shared" si="10"/>
        <v>8.3204527448351957</v>
      </c>
      <c r="T59" s="236">
        <f t="shared" si="8"/>
        <v>5</v>
      </c>
      <c r="U59" s="221" t="str">
        <f t="shared" si="24"/>
        <v>5-GRO-NOEC-EY</v>
      </c>
      <c r="V59" s="222" cm="1">
        <f t="array" ref="V59">GEOMEAN(IF(U59=$U$4:$U$359,$S$4:$S$359))</f>
        <v>8.3204527448351957</v>
      </c>
      <c r="W59" s="223">
        <f t="shared" si="11"/>
        <v>5.1530140874063983</v>
      </c>
      <c r="X59" s="225">
        <f t="shared" si="6"/>
        <v>172.95199793395608</v>
      </c>
      <c r="Y59" s="225"/>
      <c r="Z59" s="226" t="s">
        <v>1467</v>
      </c>
      <c r="AA59" s="226"/>
      <c r="AB59" s="227" t="s">
        <v>1846</v>
      </c>
      <c r="AC59" s="243" t="s">
        <v>1798</v>
      </c>
      <c r="AD59" s="243"/>
      <c r="AE59" s="229" t="s">
        <v>1584</v>
      </c>
      <c r="AG59" s="244"/>
      <c r="AH59" s="244"/>
    </row>
    <row r="60" spans="2:43" s="182" customFormat="1" ht="15.75" customHeight="1" x14ac:dyDescent="0.2">
      <c r="B60" s="180">
        <v>111766</v>
      </c>
      <c r="C60" s="217">
        <v>2008</v>
      </c>
      <c r="D60" s="180" t="s">
        <v>920</v>
      </c>
      <c r="E60" s="180" t="s">
        <v>41</v>
      </c>
      <c r="F60" s="180" t="s">
        <v>89</v>
      </c>
      <c r="G60" s="180" t="s">
        <v>82</v>
      </c>
      <c r="H60" s="180" t="s">
        <v>1046</v>
      </c>
      <c r="I60" s="180" t="s">
        <v>81</v>
      </c>
      <c r="J60" s="180" t="s">
        <v>49</v>
      </c>
      <c r="K60" s="180" t="s">
        <v>1020</v>
      </c>
      <c r="L60" s="180">
        <v>300</v>
      </c>
      <c r="M60" s="180">
        <v>19.7</v>
      </c>
      <c r="N60" s="181">
        <v>6.75</v>
      </c>
      <c r="O60" s="94">
        <v>0.5</v>
      </c>
      <c r="P60" s="239">
        <f t="shared" si="3"/>
        <v>5.7037824746562009</v>
      </c>
      <c r="Q60" s="179" t="str">
        <f t="shared" si="0"/>
        <v>CCME Fish</v>
      </c>
      <c r="R60" s="219">
        <f t="shared" si="9"/>
        <v>-2.9544767298133445</v>
      </c>
      <c r="S60" s="220">
        <f t="shared" si="10"/>
        <v>8.6582592044695446</v>
      </c>
      <c r="T60" s="236">
        <f t="shared" si="8"/>
        <v>5</v>
      </c>
      <c r="U60" s="221" t="str">
        <f t="shared" si="24"/>
        <v>5-GRO-EC10-EY</v>
      </c>
      <c r="V60" s="222" cm="1">
        <f t="array" ref="V60">GEOMEAN(IF(U60=$U$4:$U$359,$S$4:$S$359))</f>
        <v>8.4505284190416976</v>
      </c>
      <c r="W60" s="223">
        <f t="shared" si="11"/>
        <v>5.2830897616129002</v>
      </c>
      <c r="X60" s="225">
        <f t="shared" si="6"/>
        <v>196.97754975567682</v>
      </c>
      <c r="Y60" s="225"/>
      <c r="Z60" s="226"/>
      <c r="AA60" s="226"/>
      <c r="AB60" s="227" t="s">
        <v>1846</v>
      </c>
      <c r="AC60" s="243" t="s">
        <v>1798</v>
      </c>
      <c r="AD60" s="243"/>
      <c r="AE60" s="229" t="s">
        <v>1584</v>
      </c>
      <c r="AG60" s="244"/>
      <c r="AH60" s="244"/>
    </row>
    <row r="61" spans="2:43" s="182" customFormat="1" ht="15.75" customHeight="1" x14ac:dyDescent="0.2">
      <c r="B61" s="180">
        <v>111766</v>
      </c>
      <c r="C61" s="217">
        <v>2008</v>
      </c>
      <c r="D61" s="180" t="s">
        <v>920</v>
      </c>
      <c r="E61" s="180" t="s">
        <v>41</v>
      </c>
      <c r="F61" s="180" t="s">
        <v>89</v>
      </c>
      <c r="G61" s="180" t="s">
        <v>82</v>
      </c>
      <c r="H61" s="180" t="s">
        <v>1046</v>
      </c>
      <c r="I61" s="180" t="s">
        <v>237</v>
      </c>
      <c r="J61" s="180" t="s">
        <v>49</v>
      </c>
      <c r="K61" s="180" t="s">
        <v>1020</v>
      </c>
      <c r="L61" s="180">
        <v>88</v>
      </c>
      <c r="M61" s="180">
        <v>19.7</v>
      </c>
      <c r="N61" s="181">
        <v>6.75</v>
      </c>
      <c r="O61" s="94">
        <v>0.5</v>
      </c>
      <c r="P61" s="239">
        <f t="shared" si="3"/>
        <v>4.4773368144782069</v>
      </c>
      <c r="Q61" s="179" t="str">
        <f t="shared" si="0"/>
        <v>CCME Fish</v>
      </c>
      <c r="R61" s="219">
        <f t="shared" si="9"/>
        <v>-2.9544767298133445</v>
      </c>
      <c r="S61" s="220">
        <f t="shared" si="10"/>
        <v>7.4318135442915514</v>
      </c>
      <c r="T61" s="236">
        <f t="shared" si="8"/>
        <v>5</v>
      </c>
      <c r="U61" s="221" t="str">
        <f t="shared" si="24"/>
        <v>5-MOR-EC10-EY</v>
      </c>
      <c r="V61" s="222" cm="1">
        <f t="array" ref="V61">GEOMEAN(IF(U61=$U$4:$U$359,$S$4:$S$359))</f>
        <v>7.4318135442915514</v>
      </c>
      <c r="W61" s="223">
        <f t="shared" si="11"/>
        <v>4.264374886862754</v>
      </c>
      <c r="X61" s="225">
        <f t="shared" si="6"/>
        <v>71.12044774854273</v>
      </c>
      <c r="Y61" s="225"/>
      <c r="Z61" s="226"/>
      <c r="AA61" s="226"/>
      <c r="AB61" s="227" t="s">
        <v>1846</v>
      </c>
      <c r="AC61" s="243" t="s">
        <v>1798</v>
      </c>
      <c r="AD61" s="243"/>
      <c r="AE61" s="229" t="s">
        <v>1584</v>
      </c>
      <c r="AG61" s="244"/>
      <c r="AH61" s="244"/>
    </row>
    <row r="62" spans="2:43" s="182" customFormat="1" ht="15.75" customHeight="1" x14ac:dyDescent="0.2">
      <c r="B62" s="180">
        <v>111766</v>
      </c>
      <c r="C62" s="217">
        <v>2008</v>
      </c>
      <c r="D62" s="180" t="s">
        <v>920</v>
      </c>
      <c r="E62" s="180" t="s">
        <v>41</v>
      </c>
      <c r="F62" s="180" t="s">
        <v>89</v>
      </c>
      <c r="G62" s="180" t="s">
        <v>82</v>
      </c>
      <c r="H62" s="180" t="s">
        <v>1046</v>
      </c>
      <c r="I62" s="180" t="s">
        <v>237</v>
      </c>
      <c r="J62" s="180" t="s">
        <v>927</v>
      </c>
      <c r="K62" s="180" t="s">
        <v>1020</v>
      </c>
      <c r="L62" s="180">
        <v>147</v>
      </c>
      <c r="M62" s="180">
        <v>19.7</v>
      </c>
      <c r="N62" s="180">
        <v>6.75</v>
      </c>
      <c r="O62" s="94">
        <v>0.5</v>
      </c>
      <c r="P62" s="239">
        <f t="shared" si="3"/>
        <v>4.990432586778736</v>
      </c>
      <c r="Q62" s="179" t="str">
        <f t="shared" si="0"/>
        <v>CCME Fish</v>
      </c>
      <c r="R62" s="219">
        <f t="shared" si="9"/>
        <v>-2.9544767298133445</v>
      </c>
      <c r="S62" s="220">
        <f t="shared" si="10"/>
        <v>7.9449093165920806</v>
      </c>
      <c r="T62" s="236">
        <f t="shared" si="8"/>
        <v>5</v>
      </c>
      <c r="U62" s="221" t="str">
        <f t="shared" si="24"/>
        <v>5-MOR-EC20-EY</v>
      </c>
      <c r="V62" s="222" cm="1">
        <f t="array" ref="V62">GEOMEAN(IF(U62=$U$4:$U$359,$S$4:$S$359))</f>
        <v>7.9449093165920806</v>
      </c>
      <c r="W62" s="223">
        <f t="shared" si="11"/>
        <v>4.7774706591632832</v>
      </c>
      <c r="X62" s="225">
        <f t="shared" si="6"/>
        <v>118.80347521631562</v>
      </c>
      <c r="Y62" s="225"/>
      <c r="Z62" s="226" t="s">
        <v>1467</v>
      </c>
      <c r="AA62" s="226"/>
      <c r="AB62" s="227" t="s">
        <v>1846</v>
      </c>
      <c r="AC62" s="243" t="s">
        <v>1798</v>
      </c>
      <c r="AD62" s="243"/>
      <c r="AE62" s="229" t="s">
        <v>1584</v>
      </c>
      <c r="AG62" s="244"/>
      <c r="AH62" s="244"/>
    </row>
    <row r="63" spans="2:43" s="182" customFormat="1" ht="15.75" customHeight="1" x14ac:dyDescent="0.2">
      <c r="B63" s="241"/>
      <c r="C63" s="217">
        <v>1980</v>
      </c>
      <c r="D63" s="180" t="s">
        <v>1227</v>
      </c>
      <c r="E63" s="180" t="s">
        <v>41</v>
      </c>
      <c r="F63" s="180" t="s">
        <v>89</v>
      </c>
      <c r="G63" s="180" t="s">
        <v>82</v>
      </c>
      <c r="H63" s="180" t="s">
        <v>1237</v>
      </c>
      <c r="I63" s="180" t="s">
        <v>156</v>
      </c>
      <c r="J63" s="180" t="s">
        <v>169</v>
      </c>
      <c r="K63" s="217">
        <v>28</v>
      </c>
      <c r="L63" s="180">
        <v>216</v>
      </c>
      <c r="M63" s="180">
        <v>101</v>
      </c>
      <c r="N63" s="180">
        <v>7.35</v>
      </c>
      <c r="O63" s="94">
        <v>0.5</v>
      </c>
      <c r="P63" s="239">
        <f t="shared" si="3"/>
        <v>5.3752784076841653</v>
      </c>
      <c r="Q63" s="179" t="str">
        <f t="shared" si="0"/>
        <v>CCME Fish</v>
      </c>
      <c r="R63" s="219">
        <f t="shared" si="9"/>
        <v>-1.8956034484141848</v>
      </c>
      <c r="S63" s="220">
        <f t="shared" si="10"/>
        <v>7.2708818560983506</v>
      </c>
      <c r="T63" s="236">
        <f t="shared" si="8"/>
        <v>5</v>
      </c>
      <c r="U63" s="221" t="str">
        <f t="shared" si="24"/>
        <v>5-Mortality-LC1-Embryo-larval</v>
      </c>
      <c r="V63" s="222" cm="1">
        <f t="array" ref="V63">GEOMEAN(IF(U63=$U$4:$U$359,$S$4:$S$359))</f>
        <v>7.2708818560983506</v>
      </c>
      <c r="W63" s="223">
        <f t="shared" si="11"/>
        <v>4.1034431986695532</v>
      </c>
      <c r="X63" s="225">
        <f t="shared" si="6"/>
        <v>60.548409291890962</v>
      </c>
      <c r="Y63" s="225"/>
      <c r="Z63" s="226" t="s">
        <v>1466</v>
      </c>
      <c r="AA63" s="226" t="s">
        <v>1465</v>
      </c>
      <c r="AB63" s="254"/>
      <c r="AC63" s="243"/>
      <c r="AD63" s="243"/>
      <c r="AE63" s="243"/>
      <c r="AG63" s="244"/>
      <c r="AH63" s="244"/>
    </row>
    <row r="64" spans="2:43" s="182" customFormat="1" ht="15.75" customHeight="1" x14ac:dyDescent="0.2">
      <c r="B64" s="180">
        <v>8695</v>
      </c>
      <c r="C64" s="217">
        <v>1990</v>
      </c>
      <c r="D64" s="180" t="s">
        <v>266</v>
      </c>
      <c r="E64" s="180" t="s">
        <v>41</v>
      </c>
      <c r="F64" s="180" t="s">
        <v>84</v>
      </c>
      <c r="G64" s="180" t="s">
        <v>82</v>
      </c>
      <c r="H64" s="180" t="s">
        <v>267</v>
      </c>
      <c r="I64" s="180" t="s">
        <v>237</v>
      </c>
      <c r="J64" s="180" t="s">
        <v>54</v>
      </c>
      <c r="K64" s="180" t="s">
        <v>605</v>
      </c>
      <c r="L64" s="180">
        <v>460</v>
      </c>
      <c r="M64" s="180">
        <v>159.5</v>
      </c>
      <c r="N64" s="181">
        <v>7.95</v>
      </c>
      <c r="O64" s="94">
        <v>0.5</v>
      </c>
      <c r="P64" s="239">
        <f t="shared" si="3"/>
        <v>6.131226489483141</v>
      </c>
      <c r="Q64" s="179" t="str">
        <f t="shared" si="0"/>
        <v>CCME Fish</v>
      </c>
      <c r="R64" s="219">
        <f t="shared" si="9"/>
        <v>-1.9518969835158786</v>
      </c>
      <c r="S64" s="220">
        <f t="shared" si="10"/>
        <v>8.08312347299902</v>
      </c>
      <c r="T64" s="236">
        <f t="shared" si="8"/>
        <v>6</v>
      </c>
      <c r="U64" s="221" t="str">
        <f t="shared" si="24"/>
        <v>6-MOR-NOEC-EM/L</v>
      </c>
      <c r="V64" s="222" cm="1">
        <f t="array" ref="V64">GEOMEAN(IF(U64=$U$4:$U$359,$S$4:$S$359))</f>
        <v>8.1573598137770809</v>
      </c>
      <c r="W64" s="223">
        <f t="shared" si="11"/>
        <v>4.9899211563482835</v>
      </c>
      <c r="X64" s="225">
        <f t="shared" si="6"/>
        <v>146.92483894818625</v>
      </c>
      <c r="Y64" s="225"/>
      <c r="Z64" s="226" t="s">
        <v>1467</v>
      </c>
      <c r="AA64" s="226"/>
      <c r="AB64" s="254"/>
      <c r="AC64" s="243"/>
      <c r="AD64" s="243"/>
      <c r="AE64" s="243"/>
      <c r="AG64" s="244"/>
      <c r="AH64" s="244"/>
    </row>
    <row r="65" spans="2:37" s="182" customFormat="1" ht="15.75" customHeight="1" x14ac:dyDescent="0.2">
      <c r="B65" s="180">
        <v>8695</v>
      </c>
      <c r="C65" s="217">
        <v>1990</v>
      </c>
      <c r="D65" s="180" t="s">
        <v>266</v>
      </c>
      <c r="E65" s="180" t="s">
        <v>41</v>
      </c>
      <c r="F65" s="180" t="s">
        <v>84</v>
      </c>
      <c r="G65" s="180" t="s">
        <v>82</v>
      </c>
      <c r="H65" s="180" t="s">
        <v>267</v>
      </c>
      <c r="I65" s="180" t="s">
        <v>237</v>
      </c>
      <c r="J65" s="180" t="s">
        <v>54</v>
      </c>
      <c r="K65" s="180" t="s">
        <v>605</v>
      </c>
      <c r="L65" s="180">
        <v>940</v>
      </c>
      <c r="M65" s="180">
        <v>159.5</v>
      </c>
      <c r="N65" s="181">
        <v>7.95</v>
      </c>
      <c r="O65" s="94">
        <v>0.5</v>
      </c>
      <c r="P65" s="239">
        <f t="shared" si="3"/>
        <v>6.8458798752640497</v>
      </c>
      <c r="Q65" s="179" t="str">
        <f t="shared" si="0"/>
        <v>CCME Fish</v>
      </c>
      <c r="R65" s="219">
        <f t="shared" si="9"/>
        <v>-1.9518969835158786</v>
      </c>
      <c r="S65" s="220">
        <f t="shared" si="10"/>
        <v>8.7977768587799279</v>
      </c>
      <c r="T65" s="236">
        <f t="shared" si="8"/>
        <v>6</v>
      </c>
      <c r="U65" s="221" t="str">
        <f t="shared" si="24"/>
        <v>6-MOR-NOEC-EM/L</v>
      </c>
      <c r="V65" s="222" cm="1">
        <f t="array" ref="V65">GEOMEAN(IF(U65=$U$4:$U$359,$S$4:$S$359))</f>
        <v>8.1573598137770809</v>
      </c>
      <c r="W65" s="223">
        <f t="shared" si="11"/>
        <v>4.9899211563482835</v>
      </c>
      <c r="X65" s="225">
        <f t="shared" si="6"/>
        <v>146.92483894818625</v>
      </c>
      <c r="Y65" s="225"/>
      <c r="Z65" s="226" t="s">
        <v>1467</v>
      </c>
      <c r="AA65" s="226"/>
      <c r="AB65" s="255"/>
      <c r="AC65" s="228"/>
      <c r="AD65" s="228"/>
      <c r="AE65" s="228"/>
      <c r="AG65" s="244"/>
      <c r="AH65" s="244"/>
    </row>
    <row r="66" spans="2:37" s="182" customFormat="1" ht="15.75" customHeight="1" x14ac:dyDescent="0.2">
      <c r="B66" s="180">
        <v>8695</v>
      </c>
      <c r="C66" s="217">
        <v>1990</v>
      </c>
      <c r="D66" s="180" t="s">
        <v>266</v>
      </c>
      <c r="E66" s="180" t="s">
        <v>41</v>
      </c>
      <c r="F66" s="180" t="s">
        <v>84</v>
      </c>
      <c r="G66" s="180" t="s">
        <v>82</v>
      </c>
      <c r="H66" s="180" t="s">
        <v>267</v>
      </c>
      <c r="I66" s="180" t="s">
        <v>237</v>
      </c>
      <c r="J66" s="180" t="s">
        <v>54</v>
      </c>
      <c r="K66" s="180" t="s">
        <v>605</v>
      </c>
      <c r="L66" s="180">
        <v>430</v>
      </c>
      <c r="M66" s="180">
        <v>93.9</v>
      </c>
      <c r="N66" s="180">
        <v>8.25</v>
      </c>
      <c r="O66" s="94">
        <v>0.5</v>
      </c>
      <c r="P66" s="239">
        <f t="shared" si="3"/>
        <v>6.0637852086876078</v>
      </c>
      <c r="Q66" s="179" t="str">
        <f t="shared" si="0"/>
        <v>CCME Fish</v>
      </c>
      <c r="R66" s="219">
        <f t="shared" si="9"/>
        <v>-2.6981304021179944</v>
      </c>
      <c r="S66" s="220">
        <f t="shared" si="10"/>
        <v>8.7619156108056018</v>
      </c>
      <c r="T66" s="236">
        <f t="shared" si="8"/>
        <v>6</v>
      </c>
      <c r="U66" s="221" t="str">
        <f t="shared" si="24"/>
        <v>6-MOR-NOEC-EM/L</v>
      </c>
      <c r="V66" s="222" cm="1">
        <f t="array" ref="V66">GEOMEAN(IF(U66=$U$4:$U$359,$S$4:$S$359))</f>
        <v>8.1573598137770809</v>
      </c>
      <c r="W66" s="223">
        <f t="shared" si="11"/>
        <v>4.9899211563482835</v>
      </c>
      <c r="X66" s="225">
        <f t="shared" si="6"/>
        <v>146.92483894818625</v>
      </c>
      <c r="Y66" s="225"/>
      <c r="Z66" s="226" t="s">
        <v>1467</v>
      </c>
      <c r="AA66" s="226"/>
      <c r="AB66" s="254"/>
      <c r="AC66" s="228"/>
      <c r="AD66" s="228"/>
      <c r="AE66" s="228"/>
      <c r="AG66" s="244"/>
      <c r="AH66" s="244"/>
    </row>
    <row r="67" spans="2:37" s="182" customFormat="1" ht="15.75" customHeight="1" x14ac:dyDescent="0.2">
      <c r="B67" s="180">
        <v>8695</v>
      </c>
      <c r="C67" s="217">
        <v>1990</v>
      </c>
      <c r="D67" s="180" t="s">
        <v>266</v>
      </c>
      <c r="E67" s="180" t="s">
        <v>41</v>
      </c>
      <c r="F67" s="180" t="s">
        <v>84</v>
      </c>
      <c r="G67" s="180" t="s">
        <v>82</v>
      </c>
      <c r="H67" s="180" t="s">
        <v>267</v>
      </c>
      <c r="I67" s="180" t="s">
        <v>237</v>
      </c>
      <c r="J67" s="180" t="s">
        <v>54</v>
      </c>
      <c r="K67" s="180" t="s">
        <v>605</v>
      </c>
      <c r="L67" s="180">
        <v>150</v>
      </c>
      <c r="M67" s="180">
        <v>63.5</v>
      </c>
      <c r="N67" s="180">
        <v>8.2100000000000009</v>
      </c>
      <c r="O67" s="94">
        <v>0.5</v>
      </c>
      <c r="P67" s="239">
        <f t="shared" si="3"/>
        <v>5.0106352940962555</v>
      </c>
      <c r="Q67" s="179" t="str">
        <f t="shared" si="0"/>
        <v>CCME Fish</v>
      </c>
      <c r="R67" s="219">
        <f t="shared" si="9"/>
        <v>-3.035987786976841</v>
      </c>
      <c r="S67" s="220">
        <f t="shared" si="10"/>
        <v>8.046623081073097</v>
      </c>
      <c r="T67" s="236">
        <f t="shared" si="8"/>
        <v>6</v>
      </c>
      <c r="U67" s="221" t="str">
        <f t="shared" si="24"/>
        <v>6-MOR-NOEC-EM/L</v>
      </c>
      <c r="V67" s="222" cm="1">
        <f t="array" ref="V67">GEOMEAN(IF(U67=$U$4:$U$359,$S$4:$S$359))</f>
        <v>8.1573598137770809</v>
      </c>
      <c r="W67" s="223">
        <f t="shared" si="11"/>
        <v>4.9899211563482835</v>
      </c>
      <c r="X67" s="225">
        <f t="shared" si="6"/>
        <v>146.92483894818625</v>
      </c>
      <c r="Y67" s="225"/>
      <c r="Z67" s="226" t="s">
        <v>1467</v>
      </c>
      <c r="AA67" s="226"/>
      <c r="AB67" s="254"/>
      <c r="AC67" s="228"/>
      <c r="AD67" s="228"/>
      <c r="AE67" s="228"/>
      <c r="AG67" s="244"/>
      <c r="AH67" s="244"/>
    </row>
    <row r="68" spans="2:37" s="182" customFormat="1" ht="15.75" customHeight="1" x14ac:dyDescent="0.2">
      <c r="B68" s="180">
        <v>8695</v>
      </c>
      <c r="C68" s="217">
        <v>1990</v>
      </c>
      <c r="D68" s="180" t="s">
        <v>266</v>
      </c>
      <c r="E68" s="180" t="s">
        <v>41</v>
      </c>
      <c r="F68" s="180" t="s">
        <v>84</v>
      </c>
      <c r="G68" s="180" t="s">
        <v>82</v>
      </c>
      <c r="H68" s="180" t="s">
        <v>267</v>
      </c>
      <c r="I68" s="180" t="s">
        <v>237</v>
      </c>
      <c r="J68" s="180" t="s">
        <v>54</v>
      </c>
      <c r="K68" s="180" t="s">
        <v>605</v>
      </c>
      <c r="L68" s="180">
        <v>100</v>
      </c>
      <c r="M68" s="180">
        <v>93.9</v>
      </c>
      <c r="N68" s="180">
        <v>8.25</v>
      </c>
      <c r="O68" s="94">
        <v>0.5</v>
      </c>
      <c r="P68" s="239">
        <f t="shared" si="3"/>
        <v>4.6051701859880918</v>
      </c>
      <c r="Q68" s="179" t="str">
        <f t="shared" ref="Q68:Q91" si="26">$AG$4</f>
        <v>CCME Fish</v>
      </c>
      <c r="R68" s="219">
        <f t="shared" si="9"/>
        <v>-2.6981304021179944</v>
      </c>
      <c r="S68" s="220">
        <f t="shared" si="10"/>
        <v>7.3033005881060866</v>
      </c>
      <c r="T68" s="236">
        <f t="shared" si="8"/>
        <v>6</v>
      </c>
      <c r="U68" s="221" t="str">
        <f t="shared" si="24"/>
        <v>6-MOR-NOEC-EM/L</v>
      </c>
      <c r="V68" s="222" cm="1">
        <f t="array" ref="V68">GEOMEAN(IF(U68=$U$4:$U$359,$S$4:$S$359))</f>
        <v>8.1573598137770809</v>
      </c>
      <c r="W68" s="223">
        <f t="shared" si="11"/>
        <v>4.9899211563482835</v>
      </c>
      <c r="X68" s="225">
        <f t="shared" si="6"/>
        <v>146.92483894818625</v>
      </c>
      <c r="Y68" s="225"/>
      <c r="Z68" s="226" t="s">
        <v>1467</v>
      </c>
      <c r="AA68" s="226"/>
      <c r="AB68" s="254"/>
      <c r="AC68" s="228"/>
      <c r="AD68" s="228"/>
      <c r="AE68" s="228"/>
      <c r="AG68" s="244"/>
      <c r="AH68" s="244"/>
    </row>
    <row r="69" spans="2:37" s="182" customFormat="1" ht="15.75" customHeight="1" x14ac:dyDescent="0.2">
      <c r="B69" s="180">
        <v>8695</v>
      </c>
      <c r="C69" s="217">
        <v>1990</v>
      </c>
      <c r="D69" s="180" t="s">
        <v>266</v>
      </c>
      <c r="E69" s="180" t="s">
        <v>41</v>
      </c>
      <c r="F69" s="180" t="s">
        <v>84</v>
      </c>
      <c r="G69" s="180" t="s">
        <v>82</v>
      </c>
      <c r="H69" s="180" t="s">
        <v>267</v>
      </c>
      <c r="I69" s="180" t="s">
        <v>237</v>
      </c>
      <c r="J69" s="180" t="s">
        <v>54</v>
      </c>
      <c r="K69" s="180" t="s">
        <v>605</v>
      </c>
      <c r="L69" s="180">
        <v>150</v>
      </c>
      <c r="M69" s="180">
        <v>63.5</v>
      </c>
      <c r="N69" s="180">
        <v>8.2100000000000009</v>
      </c>
      <c r="O69" s="94">
        <v>0.5</v>
      </c>
      <c r="P69" s="239">
        <f t="shared" ref="P69:P118" si="27">LN(L69)</f>
        <v>5.0106352940962555</v>
      </c>
      <c r="Q69" s="179" t="str">
        <f t="shared" si="26"/>
        <v>CCME Fish</v>
      </c>
      <c r="R69" s="219">
        <f t="shared" si="9"/>
        <v>-3.035987786976841</v>
      </c>
      <c r="S69" s="220">
        <f t="shared" si="10"/>
        <v>8.046623081073097</v>
      </c>
      <c r="T69" s="236">
        <f t="shared" si="8"/>
        <v>6</v>
      </c>
      <c r="U69" s="221" t="str">
        <f t="shared" si="24"/>
        <v>6-MOR-NOEC-EM/L</v>
      </c>
      <c r="V69" s="222" cm="1">
        <f t="array" ref="V69">GEOMEAN(IF(U69=$U$4:$U$359,$S$4:$S$359))</f>
        <v>8.1573598137770809</v>
      </c>
      <c r="W69" s="223">
        <f t="shared" si="11"/>
        <v>4.9899211563482835</v>
      </c>
      <c r="X69" s="225">
        <f t="shared" ref="X69:X111" si="28">EXP(W69)</f>
        <v>146.92483894818625</v>
      </c>
      <c r="Y69" s="225"/>
      <c r="Z69" s="226" t="s">
        <v>1467</v>
      </c>
      <c r="AA69" s="226"/>
      <c r="AB69" s="254"/>
      <c r="AC69" s="228"/>
      <c r="AD69" s="228"/>
      <c r="AE69" s="228"/>
      <c r="AG69" s="244"/>
      <c r="AH69" s="244"/>
    </row>
    <row r="70" spans="2:37" s="182" customFormat="1" ht="15.75" customHeight="1" x14ac:dyDescent="0.2">
      <c r="B70" s="241"/>
      <c r="C70" s="217">
        <v>1995</v>
      </c>
      <c r="D70" s="180" t="s">
        <v>1231</v>
      </c>
      <c r="E70" s="180" t="s">
        <v>1338</v>
      </c>
      <c r="F70" s="180" t="s">
        <v>84</v>
      </c>
      <c r="G70" s="180" t="s">
        <v>82</v>
      </c>
      <c r="H70" s="180" t="s">
        <v>1251</v>
      </c>
      <c r="I70" s="180" t="s">
        <v>81</v>
      </c>
      <c r="J70" s="180" t="s">
        <v>54</v>
      </c>
      <c r="K70" s="217">
        <v>7</v>
      </c>
      <c r="L70" s="217">
        <v>290</v>
      </c>
      <c r="M70" s="180">
        <v>190</v>
      </c>
      <c r="N70" s="181">
        <v>7.5</v>
      </c>
      <c r="O70" s="94">
        <v>0.5</v>
      </c>
      <c r="P70" s="239">
        <f t="shared" si="27"/>
        <v>5.6698809229805196</v>
      </c>
      <c r="Q70" s="179" t="str">
        <f t="shared" si="26"/>
        <v>CCME Fish</v>
      </c>
      <c r="R70" s="219">
        <f t="shared" si="9"/>
        <v>-1.4194407815268781</v>
      </c>
      <c r="S70" s="220">
        <f t="shared" si="10"/>
        <v>7.0893217045073982</v>
      </c>
      <c r="T70" s="236">
        <f t="shared" ref="T70:T90" si="29">IF(F70=F69,T69,T69+1)</f>
        <v>6</v>
      </c>
      <c r="U70" s="221" t="str">
        <f t="shared" si="24"/>
        <v>6-GRO-NOEC-Larvae</v>
      </c>
      <c r="V70" s="222" cm="1">
        <f t="array" ref="V70">GEOMEAN(IF(U70=$U$4:$U$359,$S$4:$S$359))</f>
        <v>7.0893217045073982</v>
      </c>
      <c r="W70" s="223">
        <f t="shared" si="11"/>
        <v>3.9218830470786012</v>
      </c>
      <c r="X70" s="225">
        <f t="shared" si="28"/>
        <v>50.495440601098345</v>
      </c>
      <c r="Y70" s="225"/>
      <c r="Z70" s="226" t="s">
        <v>1467</v>
      </c>
      <c r="AA70" s="226"/>
      <c r="AB70" s="227" t="s">
        <v>1846</v>
      </c>
      <c r="AC70" s="228" t="s">
        <v>1863</v>
      </c>
      <c r="AD70" s="228" t="s">
        <v>1864</v>
      </c>
      <c r="AE70" s="229" t="s">
        <v>1584</v>
      </c>
      <c r="AG70" s="244"/>
      <c r="AH70" s="244"/>
    </row>
    <row r="71" spans="2:37" s="182" customFormat="1" ht="15.75" customHeight="1" x14ac:dyDescent="0.2">
      <c r="B71" s="241"/>
      <c r="C71" s="217">
        <v>1985</v>
      </c>
      <c r="D71" s="180" t="s">
        <v>1233</v>
      </c>
      <c r="E71" s="180" t="s">
        <v>41</v>
      </c>
      <c r="F71" s="180" t="s">
        <v>84</v>
      </c>
      <c r="G71" s="180" t="s">
        <v>82</v>
      </c>
      <c r="H71" s="180" t="s">
        <v>1252</v>
      </c>
      <c r="I71" s="180" t="s">
        <v>81</v>
      </c>
      <c r="J71" s="180" t="s">
        <v>1062</v>
      </c>
      <c r="K71" s="217">
        <v>7</v>
      </c>
      <c r="L71" s="217">
        <v>83.9</v>
      </c>
      <c r="M71" s="180">
        <v>48</v>
      </c>
      <c r="N71" s="181">
        <v>7.6</v>
      </c>
      <c r="O71" s="94">
        <v>1.1000000000000001</v>
      </c>
      <c r="P71" s="239">
        <f t="shared" si="27"/>
        <v>4.4296256134731609</v>
      </c>
      <c r="Q71" s="179" t="str">
        <f t="shared" si="26"/>
        <v>CCME Fish</v>
      </c>
      <c r="R71" s="219">
        <f t="shared" si="9"/>
        <v>-2.4900391911081052</v>
      </c>
      <c r="S71" s="220">
        <f t="shared" si="10"/>
        <v>6.9196648045812665</v>
      </c>
      <c r="T71" s="236">
        <f t="shared" si="29"/>
        <v>6</v>
      </c>
      <c r="U71" s="221" t="str">
        <f t="shared" si="24"/>
        <v>6-GRO-IC10-Larval (&lt;24h old)</v>
      </c>
      <c r="V71" s="222" cm="1">
        <f t="array" ref="V71">GEOMEAN(IF(U71=$U$4:$U$359,$S$4:$S$359))</f>
        <v>6.9196648045812665</v>
      </c>
      <c r="W71" s="223">
        <f t="shared" si="11"/>
        <v>3.7522261471524696</v>
      </c>
      <c r="X71" s="225">
        <f t="shared" si="28"/>
        <v>42.61584562542928</v>
      </c>
      <c r="Y71" s="225">
        <f t="shared" ref="Y71" si="30">X71</f>
        <v>42.61584562542928</v>
      </c>
      <c r="Z71" s="226"/>
      <c r="AA71" s="180"/>
      <c r="AB71" s="227" t="s">
        <v>1846</v>
      </c>
      <c r="AC71" s="228" t="s">
        <v>1863</v>
      </c>
      <c r="AD71" s="228"/>
      <c r="AE71" s="229" t="s">
        <v>1584</v>
      </c>
      <c r="AG71" s="244"/>
      <c r="AH71" s="244"/>
    </row>
    <row r="72" spans="2:37" s="182" customFormat="1" ht="15.75" customHeight="1" x14ac:dyDescent="0.2">
      <c r="B72" s="241"/>
      <c r="C72" s="217">
        <v>1985</v>
      </c>
      <c r="D72" s="180" t="s">
        <v>1233</v>
      </c>
      <c r="E72" s="180" t="s">
        <v>41</v>
      </c>
      <c r="F72" s="180" t="s">
        <v>84</v>
      </c>
      <c r="G72" s="180" t="s">
        <v>82</v>
      </c>
      <c r="H72" s="180" t="s">
        <v>1252</v>
      </c>
      <c r="I72" s="180" t="s">
        <v>237</v>
      </c>
      <c r="J72" s="180" t="s">
        <v>54</v>
      </c>
      <c r="K72" s="217">
        <v>7</v>
      </c>
      <c r="L72" s="217">
        <v>84.6</v>
      </c>
      <c r="M72" s="180">
        <v>48</v>
      </c>
      <c r="N72" s="181">
        <v>7.5</v>
      </c>
      <c r="O72" s="94">
        <v>1.1000000000000001</v>
      </c>
      <c r="P72" s="239">
        <f t="shared" si="27"/>
        <v>4.4379342666121779</v>
      </c>
      <c r="Q72" s="179" t="str">
        <f t="shared" si="26"/>
        <v>CCME Fish</v>
      </c>
      <c r="R72" s="219">
        <f t="shared" ref="R72:R91" si="31">$AI$4*N72+$AH$4*LN(M72)+$AJ$4*LN(O72)</f>
        <v>-2.408539191108106</v>
      </c>
      <c r="S72" s="220">
        <f t="shared" si="10"/>
        <v>6.8464734577202844</v>
      </c>
      <c r="T72" s="236">
        <f t="shared" si="29"/>
        <v>6</v>
      </c>
      <c r="U72" s="221" t="str">
        <f t="shared" si="24"/>
        <v>6-MOR-NOEC-Larval (&lt;24h old)</v>
      </c>
      <c r="V72" s="222" cm="1">
        <f t="array" ref="V72">GEOMEAN(IF(U72=$U$4:$U$359,$S$4:$S$359))</f>
        <v>6.8464734577202844</v>
      </c>
      <c r="W72" s="223">
        <f t="shared" si="11"/>
        <v>3.6790348002914874</v>
      </c>
      <c r="X72" s="225">
        <f t="shared" si="28"/>
        <v>39.608145846128053</v>
      </c>
      <c r="Y72" s="225"/>
      <c r="Z72" s="226" t="s">
        <v>1467</v>
      </c>
      <c r="AA72" s="180"/>
      <c r="AB72" s="227" t="s">
        <v>1846</v>
      </c>
      <c r="AC72" s="228" t="s">
        <v>1863</v>
      </c>
      <c r="AD72" s="228"/>
      <c r="AE72" s="229" t="s">
        <v>1584</v>
      </c>
      <c r="AG72" s="244"/>
      <c r="AH72" s="244"/>
    </row>
    <row r="73" spans="2:37" s="182" customFormat="1" ht="15.75" customHeight="1" x14ac:dyDescent="0.2">
      <c r="B73" s="241"/>
      <c r="C73" s="217">
        <v>1989</v>
      </c>
      <c r="D73" s="180" t="s">
        <v>1232</v>
      </c>
      <c r="E73" s="180" t="s">
        <v>41</v>
      </c>
      <c r="F73" s="180" t="s">
        <v>84</v>
      </c>
      <c r="G73" s="180" t="s">
        <v>82</v>
      </c>
      <c r="H73" s="180" t="s">
        <v>1259</v>
      </c>
      <c r="I73" s="180" t="s">
        <v>237</v>
      </c>
      <c r="J73" s="180" t="s">
        <v>54</v>
      </c>
      <c r="K73" s="217">
        <v>7</v>
      </c>
      <c r="L73" s="256">
        <v>173.16960245815955</v>
      </c>
      <c r="M73" s="180">
        <v>46.5</v>
      </c>
      <c r="N73" s="181">
        <v>7.5</v>
      </c>
      <c r="O73" s="94">
        <v>1.1000000000000001</v>
      </c>
      <c r="P73" s="239">
        <f t="shared" si="27"/>
        <v>5.1542714752875751</v>
      </c>
      <c r="Q73" s="179" t="str">
        <f t="shared" si="26"/>
        <v>CCME Fish</v>
      </c>
      <c r="R73" s="219">
        <f t="shared" si="31"/>
        <v>-2.4386052084120138</v>
      </c>
      <c r="S73" s="220">
        <f t="shared" ref="S73:S111" si="32">P73-R73</f>
        <v>7.5928766836995889</v>
      </c>
      <c r="T73" s="236">
        <f t="shared" si="29"/>
        <v>6</v>
      </c>
      <c r="U73" s="221" t="str">
        <f t="shared" si="24"/>
        <v>6-MOR-NOEC-Larval</v>
      </c>
      <c r="V73" s="222" cm="1">
        <f t="array" ref="V73">GEOMEAN(IF(U73=$U$4:$U$359,$S$4:$S$359))</f>
        <v>7.5928766836995889</v>
      </c>
      <c r="W73" s="223">
        <f t="shared" ref="W73:W91" si="33">V73+$AI$4*$AI$2+$AH$4*LN($AH$2)+$AJ$4*LN($AJ$2)</f>
        <v>4.4254380262707915</v>
      </c>
      <c r="X73" s="225">
        <f t="shared" si="28"/>
        <v>83.549396038398385</v>
      </c>
      <c r="Y73" s="225"/>
      <c r="Z73" s="226" t="s">
        <v>1467</v>
      </c>
      <c r="AA73" s="226"/>
      <c r="AB73" s="227" t="s">
        <v>1846</v>
      </c>
      <c r="AC73" s="228" t="s">
        <v>1863</v>
      </c>
      <c r="AD73" s="228"/>
      <c r="AE73" s="229" t="s">
        <v>1584</v>
      </c>
      <c r="AG73" s="244"/>
      <c r="AH73" s="244"/>
    </row>
    <row r="74" spans="2:37" s="182" customFormat="1" ht="15.75" customHeight="1" x14ac:dyDescent="0.2">
      <c r="B74" s="241"/>
      <c r="C74" s="217">
        <v>1989</v>
      </c>
      <c r="D74" s="180" t="s">
        <v>1232</v>
      </c>
      <c r="E74" s="180" t="s">
        <v>41</v>
      </c>
      <c r="F74" s="180" t="s">
        <v>84</v>
      </c>
      <c r="G74" s="180" t="s">
        <v>82</v>
      </c>
      <c r="H74" s="180" t="s">
        <v>1237</v>
      </c>
      <c r="I74" s="180" t="s">
        <v>237</v>
      </c>
      <c r="J74" s="180" t="s">
        <v>54</v>
      </c>
      <c r="K74" s="217">
        <v>32</v>
      </c>
      <c r="L74" s="217">
        <v>129</v>
      </c>
      <c r="M74" s="180">
        <v>46.5</v>
      </c>
      <c r="N74" s="181">
        <v>7.5</v>
      </c>
      <c r="O74" s="94">
        <v>1.1000000000000001</v>
      </c>
      <c r="P74" s="239">
        <f t="shared" si="27"/>
        <v>4.8598124043616719</v>
      </c>
      <c r="Q74" s="179" t="str">
        <f t="shared" si="26"/>
        <v>CCME Fish</v>
      </c>
      <c r="R74" s="219">
        <f t="shared" si="31"/>
        <v>-2.4386052084120138</v>
      </c>
      <c r="S74" s="220">
        <f t="shared" si="32"/>
        <v>7.2984176127736857</v>
      </c>
      <c r="T74" s="236">
        <f t="shared" si="29"/>
        <v>6</v>
      </c>
      <c r="U74" s="221" t="str">
        <f t="shared" si="24"/>
        <v>6-MOR-NOEC-Embryo-larval</v>
      </c>
      <c r="V74" s="222" cm="1">
        <f t="array" ref="V74">GEOMEAN(IF(U74=$U$4:$U$359,$S$4:$S$359))</f>
        <v>7.2984176127736857</v>
      </c>
      <c r="W74" s="223">
        <f t="shared" si="33"/>
        <v>4.1309789553448883</v>
      </c>
      <c r="X74" s="225">
        <f t="shared" si="28"/>
        <v>62.23882214869375</v>
      </c>
      <c r="Y74" s="225"/>
      <c r="Z74" s="226" t="s">
        <v>1467</v>
      </c>
      <c r="AA74" s="226"/>
      <c r="AB74" s="227" t="s">
        <v>1846</v>
      </c>
      <c r="AC74" s="228" t="s">
        <v>1863</v>
      </c>
      <c r="AD74" s="243"/>
      <c r="AE74" s="229" t="s">
        <v>1584</v>
      </c>
      <c r="AG74" s="244"/>
      <c r="AH74" s="244"/>
    </row>
    <row r="75" spans="2:37" s="182" customFormat="1" ht="15.75" customHeight="1" x14ac:dyDescent="0.2">
      <c r="B75" s="180">
        <v>117718</v>
      </c>
      <c r="C75" s="217">
        <v>2008</v>
      </c>
      <c r="D75" s="180" t="s">
        <v>1093</v>
      </c>
      <c r="E75" s="180" t="s">
        <v>41</v>
      </c>
      <c r="F75" s="180" t="s">
        <v>1094</v>
      </c>
      <c r="G75" s="180" t="s">
        <v>82</v>
      </c>
      <c r="H75" s="257" t="s">
        <v>1590</v>
      </c>
      <c r="I75" s="180" t="s">
        <v>81</v>
      </c>
      <c r="J75" s="180" t="s">
        <v>1062</v>
      </c>
      <c r="K75" s="180" t="s">
        <v>557</v>
      </c>
      <c r="L75" s="180">
        <v>380</v>
      </c>
      <c r="M75" s="180">
        <v>47.8</v>
      </c>
      <c r="N75" s="181">
        <v>6.81</v>
      </c>
      <c r="O75" s="94">
        <v>1.9</v>
      </c>
      <c r="P75" s="239">
        <f t="shared" si="27"/>
        <v>5.9401712527204316</v>
      </c>
      <c r="Q75" s="179" t="str">
        <f t="shared" si="26"/>
        <v>CCME Fish</v>
      </c>
      <c r="R75" s="219">
        <f t="shared" si="31"/>
        <v>-1.6326188726993394</v>
      </c>
      <c r="S75" s="220">
        <f t="shared" si="32"/>
        <v>7.5727901254197709</v>
      </c>
      <c r="T75" s="236">
        <f t="shared" si="29"/>
        <v>7</v>
      </c>
      <c r="U75" s="221" t="str">
        <f t="shared" si="24"/>
        <v>7-GRO-IC10-Eyed egg to fry</v>
      </c>
      <c r="V75" s="222" cm="1">
        <f t="array" ref="V75">GEOMEAN(IF(U75=$U$4:$U$359,$S$4:$S$359))</f>
        <v>7.5727901254197709</v>
      </c>
      <c r="W75" s="223">
        <f t="shared" si="33"/>
        <v>4.4053514679909735</v>
      </c>
      <c r="X75" s="225">
        <f t="shared" si="28"/>
        <v>81.887918768257578</v>
      </c>
      <c r="Y75" s="225">
        <f t="shared" ref="Y75" si="34">X75</f>
        <v>81.887918768257578</v>
      </c>
      <c r="Z75" s="226"/>
      <c r="AA75" s="226"/>
      <c r="AB75" s="227" t="s">
        <v>1846</v>
      </c>
      <c r="AC75" s="243" t="s">
        <v>1798</v>
      </c>
      <c r="AD75" s="243"/>
      <c r="AE75" s="229" t="s">
        <v>1584</v>
      </c>
      <c r="AG75" s="244"/>
      <c r="AH75" s="244"/>
    </row>
    <row r="76" spans="2:37" s="182" customFormat="1" ht="15.75" customHeight="1" x14ac:dyDescent="0.2">
      <c r="B76" s="180">
        <v>117718</v>
      </c>
      <c r="C76" s="217">
        <v>2008</v>
      </c>
      <c r="D76" s="180" t="s">
        <v>1093</v>
      </c>
      <c r="E76" s="180" t="s">
        <v>41</v>
      </c>
      <c r="F76" s="180" t="s">
        <v>1094</v>
      </c>
      <c r="G76" s="180" t="s">
        <v>82</v>
      </c>
      <c r="H76" s="180" t="s">
        <v>1046</v>
      </c>
      <c r="I76" s="180" t="s">
        <v>81</v>
      </c>
      <c r="J76" s="180" t="s">
        <v>355</v>
      </c>
      <c r="K76" s="180" t="s">
        <v>557</v>
      </c>
      <c r="L76" s="180">
        <v>422</v>
      </c>
      <c r="M76" s="180">
        <v>47.8</v>
      </c>
      <c r="N76" s="181">
        <v>6.81</v>
      </c>
      <c r="O76" s="94">
        <v>1.9</v>
      </c>
      <c r="P76" s="239">
        <f t="shared" si="27"/>
        <v>6.045005314036012</v>
      </c>
      <c r="Q76" s="179" t="str">
        <f t="shared" si="26"/>
        <v>CCME Fish</v>
      </c>
      <c r="R76" s="219">
        <f t="shared" si="31"/>
        <v>-1.6326188726993394</v>
      </c>
      <c r="S76" s="220">
        <f t="shared" si="32"/>
        <v>7.6776241867353514</v>
      </c>
      <c r="T76" s="236">
        <f t="shared" si="29"/>
        <v>7</v>
      </c>
      <c r="U76" s="221" t="str">
        <f t="shared" si="24"/>
        <v>7-GRO-IC20-EY</v>
      </c>
      <c r="V76" s="222" cm="1">
        <f t="array" ref="V76">GEOMEAN(IF(U76=$U$4:$U$359,$S$4:$S$359))</f>
        <v>7.6776241867353514</v>
      </c>
      <c r="W76" s="223">
        <f t="shared" si="33"/>
        <v>4.510185529306554</v>
      </c>
      <c r="X76" s="225">
        <f t="shared" si="28"/>
        <v>90.938688737380801</v>
      </c>
      <c r="Y76" s="225"/>
      <c r="Z76" s="226" t="s">
        <v>1865</v>
      </c>
      <c r="AA76" s="226"/>
      <c r="AB76" s="227" t="s">
        <v>1846</v>
      </c>
      <c r="AC76" s="243" t="s">
        <v>1798</v>
      </c>
      <c r="AD76" s="251"/>
      <c r="AE76" s="229" t="s">
        <v>1584</v>
      </c>
      <c r="AG76" s="244"/>
      <c r="AH76" s="244"/>
    </row>
    <row r="77" spans="2:37" s="182" customFormat="1" ht="15.75" customHeight="1" x14ac:dyDescent="0.2">
      <c r="B77" s="180">
        <v>117718</v>
      </c>
      <c r="C77" s="217">
        <v>2008</v>
      </c>
      <c r="D77" s="180" t="s">
        <v>1093</v>
      </c>
      <c r="E77" s="180" t="s">
        <v>41</v>
      </c>
      <c r="F77" s="180" t="s">
        <v>1094</v>
      </c>
      <c r="G77" s="180" t="s">
        <v>82</v>
      </c>
      <c r="H77" s="180" t="s">
        <v>1046</v>
      </c>
      <c r="I77" s="180" t="s">
        <v>81</v>
      </c>
      <c r="J77" s="180" t="s">
        <v>54</v>
      </c>
      <c r="K77" s="180" t="s">
        <v>557</v>
      </c>
      <c r="L77" s="180">
        <v>380</v>
      </c>
      <c r="M77" s="180">
        <v>47.8</v>
      </c>
      <c r="N77" s="180">
        <v>6.81</v>
      </c>
      <c r="O77" s="94">
        <v>1.9</v>
      </c>
      <c r="P77" s="239">
        <f t="shared" si="27"/>
        <v>5.9401712527204316</v>
      </c>
      <c r="Q77" s="179" t="str">
        <f t="shared" si="26"/>
        <v>CCME Fish</v>
      </c>
      <c r="R77" s="219">
        <f t="shared" si="31"/>
        <v>-1.6326188726993394</v>
      </c>
      <c r="S77" s="220">
        <f t="shared" si="32"/>
        <v>7.5727901254197709</v>
      </c>
      <c r="T77" s="236">
        <f t="shared" si="29"/>
        <v>7</v>
      </c>
      <c r="U77" s="221" t="str">
        <f t="shared" si="24"/>
        <v>7-GRO-NOEC-EY</v>
      </c>
      <c r="V77" s="222" cm="1">
        <f t="array" ref="V77">GEOMEAN(IF(U77=$U$4:$U$359,$S$4:$S$359))</f>
        <v>7.5727901254197709</v>
      </c>
      <c r="W77" s="223">
        <f t="shared" si="33"/>
        <v>4.4053514679909735</v>
      </c>
      <c r="X77" s="225">
        <f t="shared" si="28"/>
        <v>81.887918768257578</v>
      </c>
      <c r="Y77" s="225"/>
      <c r="Z77" s="226" t="s">
        <v>1865</v>
      </c>
      <c r="AA77" s="226"/>
      <c r="AB77" s="254"/>
      <c r="AC77" s="243"/>
      <c r="AD77" s="251"/>
      <c r="AE77" s="243"/>
      <c r="AG77" s="244"/>
      <c r="AH77" s="244"/>
    </row>
    <row r="78" spans="2:37" s="182" customFormat="1" ht="15.75" customHeight="1" x14ac:dyDescent="0.2">
      <c r="B78" s="180">
        <v>117718</v>
      </c>
      <c r="C78" s="217">
        <v>2008</v>
      </c>
      <c r="D78" s="180" t="s">
        <v>1093</v>
      </c>
      <c r="E78" s="180" t="s">
        <v>41</v>
      </c>
      <c r="F78" s="180" t="s">
        <v>1094</v>
      </c>
      <c r="G78" s="180" t="s">
        <v>82</v>
      </c>
      <c r="H78" s="180" t="s">
        <v>909</v>
      </c>
      <c r="I78" s="180" t="s">
        <v>81</v>
      </c>
      <c r="J78" s="180" t="s">
        <v>54</v>
      </c>
      <c r="K78" s="180" t="s">
        <v>1221</v>
      </c>
      <c r="L78" s="180">
        <v>422</v>
      </c>
      <c r="M78" s="180">
        <v>47.8</v>
      </c>
      <c r="N78" s="180">
        <v>6.81</v>
      </c>
      <c r="O78" s="94">
        <v>1.9</v>
      </c>
      <c r="P78" s="239">
        <f t="shared" si="27"/>
        <v>6.045005314036012</v>
      </c>
      <c r="Q78" s="179" t="str">
        <f t="shared" si="26"/>
        <v>CCME Fish</v>
      </c>
      <c r="R78" s="219">
        <f t="shared" si="31"/>
        <v>-1.6326188726993394</v>
      </c>
      <c r="S78" s="220">
        <f t="shared" si="32"/>
        <v>7.6776241867353514</v>
      </c>
      <c r="T78" s="236">
        <f t="shared" si="29"/>
        <v>7</v>
      </c>
      <c r="U78" s="221" t="str">
        <f t="shared" si="24"/>
        <v>7-GRO-NOEC-FY</v>
      </c>
      <c r="V78" s="222" cm="1">
        <f t="array" ref="V78">GEOMEAN(IF(U78=$U$4:$U$359,$S$4:$S$359))</f>
        <v>7.6776241867353514</v>
      </c>
      <c r="W78" s="223">
        <f t="shared" si="33"/>
        <v>4.510185529306554</v>
      </c>
      <c r="X78" s="225">
        <f t="shared" si="28"/>
        <v>90.938688737380801</v>
      </c>
      <c r="Y78" s="225"/>
      <c r="Z78" s="226" t="s">
        <v>1865</v>
      </c>
      <c r="AA78" s="226"/>
      <c r="AB78" s="243"/>
      <c r="AD78" s="243"/>
      <c r="AE78" s="243"/>
      <c r="AG78" s="244"/>
      <c r="AH78" s="244"/>
    </row>
    <row r="79" spans="2:37" s="182" customFormat="1" ht="15.75" customHeight="1" x14ac:dyDescent="0.2">
      <c r="B79" s="180">
        <v>117718</v>
      </c>
      <c r="C79" s="217">
        <v>2008</v>
      </c>
      <c r="D79" s="180" t="s">
        <v>1093</v>
      </c>
      <c r="E79" s="180" t="s">
        <v>41</v>
      </c>
      <c r="F79" s="180" t="s">
        <v>1094</v>
      </c>
      <c r="G79" s="180" t="s">
        <v>82</v>
      </c>
      <c r="H79" s="180" t="s">
        <v>909</v>
      </c>
      <c r="I79" s="180" t="s">
        <v>237</v>
      </c>
      <c r="J79" s="180" t="s">
        <v>54</v>
      </c>
      <c r="K79" s="180" t="s">
        <v>78</v>
      </c>
      <c r="L79" s="180">
        <v>208</v>
      </c>
      <c r="M79" s="180">
        <v>47.8</v>
      </c>
      <c r="N79" s="180">
        <v>6.81</v>
      </c>
      <c r="O79" s="94">
        <v>1.9</v>
      </c>
      <c r="P79" s="239">
        <f t="shared" si="27"/>
        <v>5.3375380797013179</v>
      </c>
      <c r="Q79" s="179" t="str">
        <f t="shared" si="26"/>
        <v>CCME Fish</v>
      </c>
      <c r="R79" s="219">
        <f t="shared" si="31"/>
        <v>-1.6326188726993394</v>
      </c>
      <c r="S79" s="220">
        <f t="shared" si="32"/>
        <v>6.9701569524006572</v>
      </c>
      <c r="T79" s="236">
        <f t="shared" si="29"/>
        <v>7</v>
      </c>
      <c r="U79" s="221" t="str">
        <f t="shared" si="24"/>
        <v>7-MOR-NOEC-FY</v>
      </c>
      <c r="V79" s="222" cm="1">
        <f t="array" ref="V79">GEOMEAN(IF(U79=$U$4:$U$359,$S$4:$S$359))</f>
        <v>6.9701569524006572</v>
      </c>
      <c r="W79" s="223">
        <f t="shared" si="33"/>
        <v>3.8027182949718603</v>
      </c>
      <c r="X79" s="225">
        <f t="shared" si="28"/>
        <v>44.822860799467314</v>
      </c>
      <c r="Y79" s="225"/>
      <c r="Z79" s="226" t="s">
        <v>1865</v>
      </c>
      <c r="AA79" s="226"/>
      <c r="AB79" s="243"/>
      <c r="AD79" s="251"/>
      <c r="AE79" s="243"/>
      <c r="AG79" s="244"/>
      <c r="AH79" s="244"/>
    </row>
    <row r="80" spans="2:37" s="182" customFormat="1" ht="15.75" customHeight="1" x14ac:dyDescent="0.2">
      <c r="B80" s="180">
        <v>117718</v>
      </c>
      <c r="C80" s="217">
        <v>2008</v>
      </c>
      <c r="D80" s="180" t="s">
        <v>1093</v>
      </c>
      <c r="E80" s="180" t="s">
        <v>41</v>
      </c>
      <c r="F80" s="180" t="s">
        <v>1094</v>
      </c>
      <c r="G80" s="180" t="s">
        <v>82</v>
      </c>
      <c r="H80" s="180" t="s">
        <v>1046</v>
      </c>
      <c r="I80" s="180" t="s">
        <v>237</v>
      </c>
      <c r="J80" s="180" t="s">
        <v>54</v>
      </c>
      <c r="K80" s="180" t="s">
        <v>557</v>
      </c>
      <c r="L80" s="180">
        <v>380</v>
      </c>
      <c r="M80" s="180">
        <v>47.8</v>
      </c>
      <c r="N80" s="180">
        <v>6.81</v>
      </c>
      <c r="O80" s="94">
        <v>1.9</v>
      </c>
      <c r="P80" s="239">
        <f t="shared" si="27"/>
        <v>5.9401712527204316</v>
      </c>
      <c r="Q80" s="179" t="str">
        <f t="shared" si="26"/>
        <v>CCME Fish</v>
      </c>
      <c r="R80" s="219">
        <f t="shared" si="31"/>
        <v>-1.6326188726993394</v>
      </c>
      <c r="S80" s="220">
        <f t="shared" si="32"/>
        <v>7.5727901254197709</v>
      </c>
      <c r="T80" s="236">
        <f t="shared" si="29"/>
        <v>7</v>
      </c>
      <c r="U80" s="221" t="str">
        <f t="shared" si="24"/>
        <v>7-MOR-NOEC-EY</v>
      </c>
      <c r="V80" s="222" cm="1">
        <f t="array" ref="V80">GEOMEAN(IF(U80=$U$4:$U$359,$S$4:$S$359))</f>
        <v>7.9015871276096092</v>
      </c>
      <c r="W80" s="223">
        <f t="shared" si="33"/>
        <v>4.7341484701808119</v>
      </c>
      <c r="X80" s="225">
        <f t="shared" si="28"/>
        <v>113.76654185745033</v>
      </c>
      <c r="Y80" s="225"/>
      <c r="Z80" s="226" t="s">
        <v>1865</v>
      </c>
      <c r="AA80" s="226"/>
      <c r="AB80" s="243"/>
      <c r="AD80" s="243"/>
      <c r="AE80" s="243"/>
      <c r="AG80" s="244"/>
      <c r="AH80" s="244"/>
      <c r="AI80" s="258"/>
      <c r="AJ80" s="258"/>
      <c r="AK80" s="258"/>
    </row>
    <row r="81" spans="1:38" s="182" customFormat="1" ht="15.75" customHeight="1" x14ac:dyDescent="0.2">
      <c r="B81" s="180">
        <v>117718</v>
      </c>
      <c r="C81" s="217">
        <v>2008</v>
      </c>
      <c r="D81" s="180" t="s">
        <v>1093</v>
      </c>
      <c r="E81" s="180" t="s">
        <v>41</v>
      </c>
      <c r="F81" s="180" t="s">
        <v>1094</v>
      </c>
      <c r="G81" s="180" t="s">
        <v>82</v>
      </c>
      <c r="H81" s="180" t="s">
        <v>1046</v>
      </c>
      <c r="I81" s="180" t="s">
        <v>237</v>
      </c>
      <c r="J81" s="180" t="s">
        <v>54</v>
      </c>
      <c r="K81" s="180" t="s">
        <v>230</v>
      </c>
      <c r="L81" s="180">
        <v>744</v>
      </c>
      <c r="M81" s="180">
        <v>47.8</v>
      </c>
      <c r="N81" s="180">
        <v>6.81</v>
      </c>
      <c r="O81" s="94">
        <v>1.9</v>
      </c>
      <c r="P81" s="239">
        <f t="shared" si="27"/>
        <v>6.6120410348330916</v>
      </c>
      <c r="Q81" s="179" t="str">
        <f t="shared" si="26"/>
        <v>CCME Fish</v>
      </c>
      <c r="R81" s="219">
        <f t="shared" si="31"/>
        <v>-1.6326188726993394</v>
      </c>
      <c r="S81" s="220">
        <f t="shared" si="32"/>
        <v>8.2446599075324301</v>
      </c>
      <c r="T81" s="236">
        <f t="shared" si="29"/>
        <v>7</v>
      </c>
      <c r="U81" s="221" t="str">
        <f t="shared" si="24"/>
        <v>7-MOR-NOEC-EY</v>
      </c>
      <c r="V81" s="222" cm="1">
        <f t="array" ref="V81">GEOMEAN(IF(U81=$U$4:$U$359,$S$4:$S$359))</f>
        <v>7.9015871276096092</v>
      </c>
      <c r="W81" s="223">
        <f t="shared" si="33"/>
        <v>4.7341484701808119</v>
      </c>
      <c r="X81" s="225">
        <f t="shared" si="28"/>
        <v>113.76654185745033</v>
      </c>
      <c r="Y81" s="225"/>
      <c r="Z81" s="226" t="s">
        <v>1865</v>
      </c>
      <c r="AA81" s="226"/>
      <c r="AB81" s="243"/>
      <c r="AD81" s="243"/>
      <c r="AE81" s="243"/>
      <c r="AG81" s="244"/>
      <c r="AH81" s="244"/>
      <c r="AI81" s="258"/>
      <c r="AJ81" s="258"/>
      <c r="AK81" s="258"/>
    </row>
    <row r="82" spans="1:38" s="182" customFormat="1" ht="15.75" customHeight="1" x14ac:dyDescent="0.2">
      <c r="B82" s="180">
        <v>117718</v>
      </c>
      <c r="C82" s="217">
        <v>2008</v>
      </c>
      <c r="D82" s="180" t="s">
        <v>1093</v>
      </c>
      <c r="E82" s="180" t="s">
        <v>41</v>
      </c>
      <c r="F82" s="180" t="s">
        <v>1094</v>
      </c>
      <c r="G82" s="180" t="s">
        <v>82</v>
      </c>
      <c r="H82" s="180" t="s">
        <v>1046</v>
      </c>
      <c r="I82" s="180" t="s">
        <v>256</v>
      </c>
      <c r="J82" s="180" t="s">
        <v>54</v>
      </c>
      <c r="K82" s="180" t="s">
        <v>557</v>
      </c>
      <c r="L82" s="180">
        <v>380</v>
      </c>
      <c r="M82" s="180">
        <v>47.8</v>
      </c>
      <c r="N82" s="180">
        <v>6.81</v>
      </c>
      <c r="O82" s="94">
        <v>1.9</v>
      </c>
      <c r="P82" s="239">
        <f t="shared" si="27"/>
        <v>5.9401712527204316</v>
      </c>
      <c r="Q82" s="179" t="str">
        <f t="shared" si="26"/>
        <v>CCME Fish</v>
      </c>
      <c r="R82" s="219">
        <f t="shared" si="31"/>
        <v>-1.6326188726993394</v>
      </c>
      <c r="S82" s="220">
        <f t="shared" si="32"/>
        <v>7.5727901254197709</v>
      </c>
      <c r="T82" s="236">
        <f t="shared" si="29"/>
        <v>7</v>
      </c>
      <c r="U82" s="221" t="str">
        <f t="shared" si="24"/>
        <v>7-POP-NOEC-EY</v>
      </c>
      <c r="V82" s="222" cm="1">
        <f t="array" ref="V82">GEOMEAN(IF(U82=$U$4:$U$359,$S$4:$S$359))</f>
        <v>7.5727901254197709</v>
      </c>
      <c r="W82" s="223">
        <f t="shared" si="33"/>
        <v>4.4053514679909735</v>
      </c>
      <c r="X82" s="225">
        <f t="shared" si="28"/>
        <v>81.887918768257578</v>
      </c>
      <c r="Y82" s="225"/>
      <c r="Z82" s="226" t="s">
        <v>1865</v>
      </c>
      <c r="AA82" s="226"/>
      <c r="AB82" s="243"/>
      <c r="AD82" s="243"/>
      <c r="AE82" s="243"/>
      <c r="AG82" s="244"/>
      <c r="AH82" s="244"/>
      <c r="AI82" s="258"/>
      <c r="AJ82" s="258"/>
      <c r="AK82" s="258"/>
    </row>
    <row r="83" spans="1:38" s="182" customFormat="1" ht="15.75" customHeight="1" x14ac:dyDescent="0.2">
      <c r="B83" s="180">
        <v>117718</v>
      </c>
      <c r="C83" s="217">
        <v>2008</v>
      </c>
      <c r="D83" s="180" t="s">
        <v>1093</v>
      </c>
      <c r="E83" s="180" t="s">
        <v>41</v>
      </c>
      <c r="F83" s="180" t="s">
        <v>1094</v>
      </c>
      <c r="G83" s="180" t="s">
        <v>82</v>
      </c>
      <c r="H83" s="180" t="s">
        <v>909</v>
      </c>
      <c r="I83" s="180" t="s">
        <v>256</v>
      </c>
      <c r="J83" s="180" t="s">
        <v>54</v>
      </c>
      <c r="K83" s="180" t="s">
        <v>1221</v>
      </c>
      <c r="L83" s="180">
        <v>208</v>
      </c>
      <c r="M83" s="180">
        <v>47.8</v>
      </c>
      <c r="N83" s="180">
        <v>6.81</v>
      </c>
      <c r="O83" s="94">
        <v>1.9</v>
      </c>
      <c r="P83" s="239">
        <f t="shared" si="27"/>
        <v>5.3375380797013179</v>
      </c>
      <c r="Q83" s="179" t="str">
        <f t="shared" si="26"/>
        <v>CCME Fish</v>
      </c>
      <c r="R83" s="219">
        <f t="shared" si="31"/>
        <v>-1.6326188726993394</v>
      </c>
      <c r="S83" s="220">
        <f t="shared" si="32"/>
        <v>6.9701569524006572</v>
      </c>
      <c r="T83" s="236">
        <f t="shared" si="29"/>
        <v>7</v>
      </c>
      <c r="U83" s="221" t="str">
        <f t="shared" si="24"/>
        <v>7-POP-NOEC-FY</v>
      </c>
      <c r="V83" s="222" cm="1">
        <f t="array" ref="V83">GEOMEAN(IF(U83=$U$4:$U$359,$S$4:$S$359))</f>
        <v>6.9701569524006572</v>
      </c>
      <c r="W83" s="223">
        <f t="shared" si="33"/>
        <v>3.8027182949718603</v>
      </c>
      <c r="X83" s="225">
        <f t="shared" si="28"/>
        <v>44.822860799467314</v>
      </c>
      <c r="Y83" s="225"/>
      <c r="Z83" s="226" t="s">
        <v>1865</v>
      </c>
      <c r="AA83" s="226"/>
      <c r="AB83" s="254"/>
      <c r="AC83" s="243"/>
      <c r="AD83" s="243"/>
      <c r="AE83" s="243"/>
      <c r="AG83" s="244"/>
      <c r="AH83" s="244"/>
      <c r="AI83" s="258"/>
      <c r="AJ83" s="258"/>
      <c r="AK83" s="258"/>
    </row>
    <row r="84" spans="1:38" s="182" customFormat="1" ht="15.75" customHeight="1" x14ac:dyDescent="0.2">
      <c r="B84" s="180">
        <v>169219</v>
      </c>
      <c r="C84" s="217">
        <v>2014</v>
      </c>
      <c r="D84" s="180" t="s">
        <v>1182</v>
      </c>
      <c r="E84" s="180" t="s">
        <v>41</v>
      </c>
      <c r="F84" s="180" t="s">
        <v>904</v>
      </c>
      <c r="G84" s="180" t="s">
        <v>82</v>
      </c>
      <c r="H84" s="180" t="s">
        <v>1046</v>
      </c>
      <c r="I84" s="180" t="s">
        <v>81</v>
      </c>
      <c r="J84" s="180" t="s">
        <v>54</v>
      </c>
      <c r="K84" s="180" t="s">
        <v>506</v>
      </c>
      <c r="L84" s="180">
        <v>416</v>
      </c>
      <c r="M84" s="180">
        <v>54.1</v>
      </c>
      <c r="N84" s="181">
        <v>7.4</v>
      </c>
      <c r="O84" s="94">
        <v>1.4</v>
      </c>
      <c r="P84" s="239">
        <f t="shared" si="27"/>
        <v>6.0306852602612633</v>
      </c>
      <c r="Q84" s="179" t="str">
        <f t="shared" si="26"/>
        <v>CCME Fish</v>
      </c>
      <c r="R84" s="219">
        <f t="shared" si="31"/>
        <v>-2.1177640758225005</v>
      </c>
      <c r="S84" s="220">
        <f t="shared" si="32"/>
        <v>8.1484493360837646</v>
      </c>
      <c r="T84" s="236">
        <f t="shared" si="29"/>
        <v>8</v>
      </c>
      <c r="U84" s="221" t="str">
        <f t="shared" si="24"/>
        <v>8-GRO-NOEC-EY</v>
      </c>
      <c r="V84" s="222" cm="1">
        <f t="array" ref="V84">GEOMEAN(IF(U84=$U$4:$U$359,$S$4:$S$359))</f>
        <v>8.1484493360837646</v>
      </c>
      <c r="W84" s="223">
        <f t="shared" si="33"/>
        <v>4.9810106786549673</v>
      </c>
      <c r="X84" s="225">
        <f t="shared" si="28"/>
        <v>145.62148382998501</v>
      </c>
      <c r="Y84" s="225">
        <f t="shared" ref="Y84:Y89" si="35">X84</f>
        <v>145.62148382998501</v>
      </c>
      <c r="Z84" s="226" t="s">
        <v>1507</v>
      </c>
      <c r="AA84" s="226"/>
      <c r="AB84" s="254"/>
      <c r="AC84" s="243"/>
      <c r="AD84" s="243"/>
      <c r="AE84" s="243"/>
      <c r="AG84" s="244"/>
      <c r="AH84" s="244"/>
      <c r="AI84" s="258"/>
      <c r="AJ84" s="258"/>
      <c r="AK84" s="258"/>
    </row>
    <row r="85" spans="1:38" s="182" customFormat="1" ht="15.75" customHeight="1" x14ac:dyDescent="0.2">
      <c r="B85" s="180">
        <v>169219</v>
      </c>
      <c r="C85" s="217">
        <v>2014</v>
      </c>
      <c r="D85" s="180" t="s">
        <v>1182</v>
      </c>
      <c r="E85" s="180" t="s">
        <v>41</v>
      </c>
      <c r="F85" s="180" t="s">
        <v>904</v>
      </c>
      <c r="G85" s="180" t="s">
        <v>82</v>
      </c>
      <c r="H85" s="180" t="s">
        <v>1046</v>
      </c>
      <c r="I85" s="180" t="s">
        <v>237</v>
      </c>
      <c r="J85" s="180" t="s">
        <v>54</v>
      </c>
      <c r="K85" s="180" t="s">
        <v>230</v>
      </c>
      <c r="L85" s="180">
        <v>416</v>
      </c>
      <c r="M85" s="180">
        <v>54.1</v>
      </c>
      <c r="N85" s="181">
        <v>7.4</v>
      </c>
      <c r="O85" s="94">
        <v>1.4</v>
      </c>
      <c r="P85" s="239">
        <f t="shared" si="27"/>
        <v>6.0306852602612633</v>
      </c>
      <c r="Q85" s="179" t="str">
        <f t="shared" si="26"/>
        <v>CCME Fish</v>
      </c>
      <c r="R85" s="219">
        <f t="shared" si="31"/>
        <v>-2.1177640758225005</v>
      </c>
      <c r="S85" s="220">
        <f t="shared" si="32"/>
        <v>8.1484493360837646</v>
      </c>
      <c r="T85" s="236">
        <f t="shared" si="29"/>
        <v>8</v>
      </c>
      <c r="U85" s="221" t="str">
        <f t="shared" si="24"/>
        <v>8-MOR-NOEC-EY</v>
      </c>
      <c r="V85" s="222" cm="1">
        <f t="array" ref="V85">GEOMEAN(IF(U85=$U$4:$U$359,$S$4:$S$359))</f>
        <v>8.1484493360837646</v>
      </c>
      <c r="W85" s="223">
        <f t="shared" si="33"/>
        <v>4.9810106786549673</v>
      </c>
      <c r="X85" s="225">
        <f t="shared" si="28"/>
        <v>145.62148382998501</v>
      </c>
      <c r="Y85" s="225">
        <f t="shared" si="35"/>
        <v>145.62148382998501</v>
      </c>
      <c r="Z85" s="226" t="s">
        <v>1507</v>
      </c>
      <c r="AA85" s="226"/>
      <c r="AB85" s="254"/>
      <c r="AC85" s="243"/>
      <c r="AD85" s="243"/>
      <c r="AE85" s="243"/>
      <c r="AG85" s="244"/>
      <c r="AH85" s="244"/>
      <c r="AI85" s="258"/>
      <c r="AJ85" s="258"/>
      <c r="AK85" s="258"/>
    </row>
    <row r="86" spans="1:38" s="182" customFormat="1" ht="15.75" customHeight="1" x14ac:dyDescent="0.2">
      <c r="B86" s="180">
        <v>169219</v>
      </c>
      <c r="C86" s="217">
        <v>2014</v>
      </c>
      <c r="D86" s="180" t="s">
        <v>1182</v>
      </c>
      <c r="E86" s="180" t="s">
        <v>41</v>
      </c>
      <c r="F86" s="180" t="s">
        <v>904</v>
      </c>
      <c r="G86" s="180" t="s">
        <v>82</v>
      </c>
      <c r="H86" s="180" t="s">
        <v>1046</v>
      </c>
      <c r="I86" s="180" t="s">
        <v>237</v>
      </c>
      <c r="J86" s="180" t="s">
        <v>54</v>
      </c>
      <c r="K86" s="180" t="s">
        <v>230</v>
      </c>
      <c r="L86" s="180">
        <v>416</v>
      </c>
      <c r="M86" s="180">
        <v>54.1</v>
      </c>
      <c r="N86" s="181">
        <v>7.4</v>
      </c>
      <c r="O86" s="94">
        <v>1.4</v>
      </c>
      <c r="P86" s="239">
        <f t="shared" si="27"/>
        <v>6.0306852602612633</v>
      </c>
      <c r="Q86" s="179" t="str">
        <f t="shared" si="26"/>
        <v>CCME Fish</v>
      </c>
      <c r="R86" s="219">
        <f t="shared" si="31"/>
        <v>-2.1177640758225005</v>
      </c>
      <c r="S86" s="220">
        <f t="shared" si="32"/>
        <v>8.1484493360837646</v>
      </c>
      <c r="T86" s="236">
        <f t="shared" si="29"/>
        <v>8</v>
      </c>
      <c r="U86" s="221" t="str">
        <f t="shared" si="24"/>
        <v>8-MOR-NOEC-EY</v>
      </c>
      <c r="V86" s="222" cm="1">
        <f t="array" ref="V86">GEOMEAN(IF(U86=$U$4:$U$359,$S$4:$S$359))</f>
        <v>8.1484493360837646</v>
      </c>
      <c r="W86" s="223">
        <f t="shared" si="33"/>
        <v>4.9810106786549673</v>
      </c>
      <c r="X86" s="225">
        <f t="shared" si="28"/>
        <v>145.62148382998501</v>
      </c>
      <c r="Y86" s="225">
        <f t="shared" si="35"/>
        <v>145.62148382998501</v>
      </c>
      <c r="Z86" s="226" t="s">
        <v>1507</v>
      </c>
      <c r="AA86" s="226"/>
      <c r="AB86" s="254"/>
      <c r="AC86" s="243"/>
      <c r="AD86" s="243"/>
      <c r="AE86" s="243"/>
      <c r="AG86" s="244"/>
      <c r="AH86" s="244"/>
      <c r="AI86" s="258"/>
      <c r="AJ86" s="258"/>
      <c r="AK86" s="258"/>
    </row>
    <row r="87" spans="1:38" s="182" customFormat="1" ht="15.75" customHeight="1" x14ac:dyDescent="0.2">
      <c r="B87" s="180">
        <v>169219</v>
      </c>
      <c r="C87" s="217">
        <v>2014</v>
      </c>
      <c r="D87" s="180" t="s">
        <v>1182</v>
      </c>
      <c r="E87" s="180" t="s">
        <v>41</v>
      </c>
      <c r="F87" s="180" t="s">
        <v>904</v>
      </c>
      <c r="G87" s="180" t="s">
        <v>82</v>
      </c>
      <c r="H87" s="180" t="s">
        <v>1046</v>
      </c>
      <c r="I87" s="180" t="s">
        <v>237</v>
      </c>
      <c r="J87" s="180" t="s">
        <v>54</v>
      </c>
      <c r="K87" s="180" t="s">
        <v>230</v>
      </c>
      <c r="L87" s="180">
        <v>416</v>
      </c>
      <c r="M87" s="180">
        <v>54.1</v>
      </c>
      <c r="N87" s="181">
        <v>7.4</v>
      </c>
      <c r="O87" s="94">
        <v>1.4</v>
      </c>
      <c r="P87" s="239">
        <f t="shared" si="27"/>
        <v>6.0306852602612633</v>
      </c>
      <c r="Q87" s="179" t="str">
        <f t="shared" si="26"/>
        <v>CCME Fish</v>
      </c>
      <c r="R87" s="219">
        <f t="shared" si="31"/>
        <v>-2.1177640758225005</v>
      </c>
      <c r="S87" s="220">
        <f t="shared" si="32"/>
        <v>8.1484493360837646</v>
      </c>
      <c r="T87" s="236">
        <f t="shared" si="29"/>
        <v>8</v>
      </c>
      <c r="U87" s="221" t="str">
        <f t="shared" si="24"/>
        <v>8-MOR-NOEC-EY</v>
      </c>
      <c r="V87" s="222" cm="1">
        <f t="array" ref="V87">GEOMEAN(IF(U87=$U$4:$U$359,$S$4:$S$359))</f>
        <v>8.1484493360837646</v>
      </c>
      <c r="W87" s="223">
        <f t="shared" si="33"/>
        <v>4.9810106786549673</v>
      </c>
      <c r="X87" s="225">
        <f t="shared" si="28"/>
        <v>145.62148382998501</v>
      </c>
      <c r="Y87" s="225">
        <f t="shared" si="35"/>
        <v>145.62148382998501</v>
      </c>
      <c r="Z87" s="226" t="s">
        <v>1507</v>
      </c>
      <c r="AA87" s="226"/>
      <c r="AB87" s="254"/>
      <c r="AC87" s="243"/>
      <c r="AD87" s="243"/>
      <c r="AE87" s="243"/>
      <c r="AG87" s="244"/>
      <c r="AH87" s="244"/>
      <c r="AI87" s="258"/>
      <c r="AJ87" s="258"/>
      <c r="AK87" s="258"/>
      <c r="AL87" s="259"/>
    </row>
    <row r="88" spans="1:38" s="182" customFormat="1" ht="15.75" customHeight="1" x14ac:dyDescent="0.2">
      <c r="B88" s="180"/>
      <c r="C88" s="217">
        <v>2002</v>
      </c>
      <c r="D88" s="180" t="s">
        <v>1343</v>
      </c>
      <c r="E88" s="180" t="s">
        <v>41</v>
      </c>
      <c r="F88" s="180" t="s">
        <v>904</v>
      </c>
      <c r="G88" s="180" t="s">
        <v>82</v>
      </c>
      <c r="H88" s="180" t="s">
        <v>1116</v>
      </c>
      <c r="I88" s="180" t="s">
        <v>81</v>
      </c>
      <c r="J88" s="180" t="s">
        <v>54</v>
      </c>
      <c r="K88" s="180">
        <v>58</v>
      </c>
      <c r="L88" s="180">
        <v>141</v>
      </c>
      <c r="M88" s="180">
        <v>47.7</v>
      </c>
      <c r="N88" s="181">
        <v>7.59</v>
      </c>
      <c r="O88" s="260">
        <v>1.9</v>
      </c>
      <c r="P88" s="239">
        <f t="shared" si="27"/>
        <v>4.9487598903781684</v>
      </c>
      <c r="Q88" s="179" t="str">
        <f t="shared" si="26"/>
        <v>CCME Fish</v>
      </c>
      <c r="R88" s="219">
        <f t="shared" si="31"/>
        <v>-2.2703021194974884</v>
      </c>
      <c r="S88" s="220">
        <f t="shared" si="32"/>
        <v>7.2190620098756568</v>
      </c>
      <c r="T88" s="236">
        <f t="shared" si="29"/>
        <v>8</v>
      </c>
      <c r="U88" s="221" t="str">
        <f t="shared" si="24"/>
        <v>8-GRO-NOEC-EM</v>
      </c>
      <c r="V88" s="222" cm="1">
        <f t="array" ref="V88">GEOMEAN(IF(U88=$U$4:$U$359,$S$4:$S$359))</f>
        <v>7.2190620098756568</v>
      </c>
      <c r="W88" s="223">
        <f t="shared" si="33"/>
        <v>4.0516233524468594</v>
      </c>
      <c r="X88" s="225">
        <f t="shared" si="28"/>
        <v>57.490709017714408</v>
      </c>
      <c r="Y88" s="225">
        <f t="shared" si="35"/>
        <v>57.490709017714408</v>
      </c>
      <c r="Z88" s="226" t="s">
        <v>1507</v>
      </c>
      <c r="AA88" s="180" t="s">
        <v>1348</v>
      </c>
      <c r="AB88" s="227" t="s">
        <v>1846</v>
      </c>
      <c r="AC88" s="243" t="s">
        <v>1798</v>
      </c>
      <c r="AD88" s="243"/>
      <c r="AE88" s="229" t="s">
        <v>1584</v>
      </c>
      <c r="AG88" s="244"/>
      <c r="AH88" s="244"/>
      <c r="AI88" s="258"/>
      <c r="AJ88" s="258"/>
      <c r="AK88" s="258"/>
    </row>
    <row r="89" spans="1:38" s="182" customFormat="1" ht="15.75" customHeight="1" x14ac:dyDescent="0.2">
      <c r="B89" s="180"/>
      <c r="C89" s="217">
        <v>2002</v>
      </c>
      <c r="D89" s="180" t="s">
        <v>1343</v>
      </c>
      <c r="E89" s="180" t="s">
        <v>41</v>
      </c>
      <c r="F89" s="180" t="s">
        <v>904</v>
      </c>
      <c r="G89" s="180" t="s">
        <v>82</v>
      </c>
      <c r="H89" s="180" t="s">
        <v>1116</v>
      </c>
      <c r="I89" s="180" t="s">
        <v>237</v>
      </c>
      <c r="J89" s="180" t="s">
        <v>54</v>
      </c>
      <c r="K89" s="180">
        <v>58</v>
      </c>
      <c r="L89" s="180">
        <v>1090</v>
      </c>
      <c r="M89" s="180">
        <v>47.7</v>
      </c>
      <c r="N89" s="181">
        <v>7.59</v>
      </c>
      <c r="O89" s="260">
        <v>1.9</v>
      </c>
      <c r="P89" s="239">
        <f t="shared" si="27"/>
        <v>6.9939329752231894</v>
      </c>
      <c r="Q89" s="179" t="str">
        <f t="shared" si="26"/>
        <v>CCME Fish</v>
      </c>
      <c r="R89" s="219">
        <f t="shared" si="31"/>
        <v>-2.2703021194974884</v>
      </c>
      <c r="S89" s="220">
        <f t="shared" si="32"/>
        <v>9.2642350947206786</v>
      </c>
      <c r="T89" s="236">
        <f t="shared" si="29"/>
        <v>8</v>
      </c>
      <c r="U89" s="221" t="str">
        <f t="shared" si="24"/>
        <v>8-MOR-NOEC-EM</v>
      </c>
      <c r="V89" s="222" cm="1">
        <f t="array" ref="V89">GEOMEAN(IF(U89=$U$4:$U$359,$S$4:$S$359))</f>
        <v>9.2642350947206786</v>
      </c>
      <c r="W89" s="223">
        <f t="shared" si="33"/>
        <v>6.0967964372918813</v>
      </c>
      <c r="X89" s="225">
        <f t="shared" si="28"/>
        <v>444.43172219367909</v>
      </c>
      <c r="Y89" s="225">
        <f t="shared" si="35"/>
        <v>444.43172219367909</v>
      </c>
      <c r="Z89" s="226" t="s">
        <v>1507</v>
      </c>
      <c r="AA89" s="180" t="s">
        <v>1348</v>
      </c>
      <c r="AB89" s="227" t="s">
        <v>1846</v>
      </c>
      <c r="AC89" s="243" t="s">
        <v>1798</v>
      </c>
      <c r="AD89" s="243"/>
      <c r="AE89" s="229" t="s">
        <v>1584</v>
      </c>
      <c r="AG89" s="244"/>
      <c r="AH89" s="244"/>
      <c r="AI89" s="258"/>
      <c r="AJ89" s="258"/>
      <c r="AK89" s="258"/>
    </row>
    <row r="90" spans="1:38" s="182" customFormat="1" ht="15.75" customHeight="1" x14ac:dyDescent="0.25">
      <c r="A90" s="182" t="s">
        <v>1866</v>
      </c>
      <c r="B90" s="183"/>
      <c r="C90" s="217">
        <v>2003</v>
      </c>
      <c r="D90" s="261" t="s">
        <v>1385</v>
      </c>
      <c r="E90" s="180" t="s">
        <v>1386</v>
      </c>
      <c r="F90" s="180" t="s">
        <v>904</v>
      </c>
      <c r="G90" s="180" t="s">
        <v>82</v>
      </c>
      <c r="H90" s="180" t="s">
        <v>1387</v>
      </c>
      <c r="I90" s="180" t="s">
        <v>158</v>
      </c>
      <c r="J90" s="180" t="s">
        <v>54</v>
      </c>
      <c r="K90" s="180">
        <v>120</v>
      </c>
      <c r="L90" s="180">
        <v>56</v>
      </c>
      <c r="M90" s="180">
        <v>6.7</v>
      </c>
      <c r="N90" s="181">
        <v>6.5</v>
      </c>
      <c r="O90" s="94">
        <v>0.5</v>
      </c>
      <c r="P90" s="239">
        <f t="shared" si="27"/>
        <v>4.0253516907351496</v>
      </c>
      <c r="Q90" s="179" t="str">
        <f t="shared" si="26"/>
        <v>CCME Fish</v>
      </c>
      <c r="R90" s="219">
        <f t="shared" si="31"/>
        <v>-3.7720767503649739</v>
      </c>
      <c r="S90" s="220">
        <f t="shared" si="32"/>
        <v>7.7974284411001236</v>
      </c>
      <c r="T90" s="236">
        <f t="shared" si="29"/>
        <v>8</v>
      </c>
      <c r="U90" s="221"/>
      <c r="V90" s="222" t="e" cm="1">
        <f t="array" ref="V90">GEOMEAN(IF(U90=$U$4:$U$359,$S$4:$S$359))</f>
        <v>#NUM!</v>
      </c>
      <c r="W90" s="223" t="e">
        <f t="shared" si="33"/>
        <v>#NUM!</v>
      </c>
      <c r="X90" s="225" t="e">
        <f t="shared" si="28"/>
        <v>#NUM!</v>
      </c>
      <c r="Y90" s="225"/>
      <c r="Z90" s="226" t="s">
        <v>1507</v>
      </c>
      <c r="AA90" s="194" t="s">
        <v>1867</v>
      </c>
      <c r="AB90" s="254"/>
      <c r="AC90" s="243" t="s">
        <v>1772</v>
      </c>
      <c r="AD90" s="251">
        <v>0.83</v>
      </c>
      <c r="AE90" s="243" t="s">
        <v>1859</v>
      </c>
      <c r="AG90" s="244"/>
      <c r="AH90" s="244"/>
      <c r="AI90" s="258"/>
      <c r="AJ90" s="258"/>
      <c r="AK90" s="258"/>
    </row>
    <row r="91" spans="1:38" s="259" customFormat="1" ht="15.75" customHeight="1" x14ac:dyDescent="0.25">
      <c r="A91" s="259" t="s">
        <v>1868</v>
      </c>
      <c r="B91" s="183"/>
      <c r="C91" s="217">
        <v>2003</v>
      </c>
      <c r="D91" s="261" t="s">
        <v>1385</v>
      </c>
      <c r="E91" s="180" t="s">
        <v>1389</v>
      </c>
      <c r="F91" s="180" t="s">
        <v>904</v>
      </c>
      <c r="G91" s="180" t="s">
        <v>82</v>
      </c>
      <c r="H91" s="180" t="s">
        <v>1387</v>
      </c>
      <c r="I91" s="180" t="s">
        <v>158</v>
      </c>
      <c r="J91" s="180" t="s">
        <v>54</v>
      </c>
      <c r="K91" s="180">
        <v>120</v>
      </c>
      <c r="L91" s="180">
        <v>61</v>
      </c>
      <c r="M91" s="180">
        <v>8.6</v>
      </c>
      <c r="N91" s="181">
        <v>6.7</v>
      </c>
      <c r="O91" s="94">
        <v>0.5</v>
      </c>
      <c r="P91" s="239">
        <f t="shared" si="27"/>
        <v>4.1108738641733114</v>
      </c>
      <c r="Q91" s="179" t="str">
        <f t="shared" si="26"/>
        <v>CCME Fish</v>
      </c>
      <c r="R91" s="219">
        <f t="shared" si="31"/>
        <v>-3.6986537713761476</v>
      </c>
      <c r="S91" s="220">
        <f t="shared" si="32"/>
        <v>7.8095276355494594</v>
      </c>
      <c r="T91" s="236">
        <f>IF(F91=F90,T90,T90+1)</f>
        <v>8</v>
      </c>
      <c r="U91" s="221"/>
      <c r="V91" s="222" t="e" cm="1">
        <f t="array" ref="V91">GEOMEAN(IF(U91=$U$4:$U$359,$S$4:$S$359))</f>
        <v>#NUM!</v>
      </c>
      <c r="W91" s="223" t="e">
        <f t="shared" si="33"/>
        <v>#NUM!</v>
      </c>
      <c r="X91" s="225" t="e">
        <f t="shared" si="28"/>
        <v>#NUM!</v>
      </c>
      <c r="Y91" s="225"/>
      <c r="Z91" s="226" t="s">
        <v>1507</v>
      </c>
      <c r="AA91" s="194" t="s">
        <v>1867</v>
      </c>
      <c r="AB91" s="254"/>
      <c r="AC91" s="243" t="s">
        <v>1772</v>
      </c>
      <c r="AD91" s="251">
        <v>0.83</v>
      </c>
      <c r="AE91" s="243" t="s">
        <v>1859</v>
      </c>
      <c r="AG91" s="244"/>
      <c r="AH91" s="244"/>
      <c r="AI91" s="258"/>
      <c r="AJ91" s="258"/>
      <c r="AK91" s="258"/>
      <c r="AL91" s="182"/>
    </row>
    <row r="92" spans="1:38" s="182" customFormat="1" ht="15.75" hidden="1" customHeight="1" x14ac:dyDescent="0.2">
      <c r="B92" s="241">
        <v>2124</v>
      </c>
      <c r="C92" s="217">
        <v>1986</v>
      </c>
      <c r="D92" s="180" t="s">
        <v>1473</v>
      </c>
      <c r="E92" s="180" t="s">
        <v>41</v>
      </c>
      <c r="F92" s="180" t="s">
        <v>63</v>
      </c>
      <c r="G92" s="180" t="s">
        <v>260</v>
      </c>
      <c r="H92" s="180" t="s">
        <v>67</v>
      </c>
      <c r="I92" s="180" t="s">
        <v>237</v>
      </c>
      <c r="J92" s="180" t="s">
        <v>54</v>
      </c>
      <c r="K92" s="217">
        <v>7</v>
      </c>
      <c r="L92" s="217">
        <v>102</v>
      </c>
      <c r="M92" s="180">
        <v>32</v>
      </c>
      <c r="N92" s="181">
        <v>7.7</v>
      </c>
      <c r="O92" s="94">
        <v>0.5</v>
      </c>
      <c r="P92" s="239">
        <f t="shared" si="27"/>
        <v>4.6249728132842707</v>
      </c>
      <c r="Q92" s="262" t="str">
        <f t="shared" ref="Q92:Q118" si="36">$AG$5</f>
        <v>Gadd Daph</v>
      </c>
      <c r="R92" s="263">
        <f>$AI$5*N92+$AH$5*LN(M92)+$AJ$5*LN(O92)+$AK$5*LN(O92)*N92</f>
        <v>-3.2401518070229409</v>
      </c>
      <c r="S92" s="220">
        <f t="shared" si="32"/>
        <v>7.8651246203072116</v>
      </c>
      <c r="T92" s="236">
        <f>IF(F92=F90,T90,T90+1)</f>
        <v>9</v>
      </c>
      <c r="U92" s="221" t="str">
        <f t="shared" ref="U92" si="37">CONCATENATE(T92,"-",I92,"-",J92,"-",H92)</f>
        <v>9-MOR-NOEC-Neonates, &lt;24-h old</v>
      </c>
      <c r="V92" s="222" cm="1">
        <f t="array" ref="V92">GEOMEAN(IF(U92=$U$4:$U$359,$S$4:$S$359))</f>
        <v>7.8651246203072116</v>
      </c>
      <c r="W92" s="264">
        <f>V92+$AI$5*$AI$2+$AH$5*LN($AH$2)+$AJ$5*LN($AJ$2)+$AK$5*LN($AJ$2)*$AI$2</f>
        <v>4.742236936398502</v>
      </c>
      <c r="X92" s="225">
        <f t="shared" si="28"/>
        <v>114.69047023249529</v>
      </c>
      <c r="Y92" s="225"/>
      <c r="Z92" s="226" t="s">
        <v>1467</v>
      </c>
      <c r="AA92" s="226"/>
      <c r="AB92" s="227"/>
      <c r="AC92" s="265" t="s">
        <v>1858</v>
      </c>
      <c r="AD92" s="251">
        <v>0.77</v>
      </c>
      <c r="AE92" s="243" t="s">
        <v>1773</v>
      </c>
      <c r="AG92" s="244"/>
      <c r="AH92" s="244"/>
      <c r="AI92" s="258"/>
      <c r="AJ92" s="258"/>
      <c r="AK92" s="258"/>
    </row>
    <row r="93" spans="1:38" s="182" customFormat="1" ht="15.75" hidden="1" customHeight="1" x14ac:dyDescent="0.2">
      <c r="B93" s="180"/>
      <c r="C93" s="217">
        <v>1990</v>
      </c>
      <c r="D93" s="180" t="s">
        <v>1575</v>
      </c>
      <c r="E93" s="180" t="s">
        <v>1869</v>
      </c>
      <c r="F93" s="180" t="s">
        <v>63</v>
      </c>
      <c r="G93" s="180" t="s">
        <v>260</v>
      </c>
      <c r="H93" s="180" t="s">
        <v>67</v>
      </c>
      <c r="I93" s="180" t="s">
        <v>76</v>
      </c>
      <c r="J93" s="180" t="s">
        <v>54</v>
      </c>
      <c r="K93" s="180" t="s">
        <v>85</v>
      </c>
      <c r="L93" s="180">
        <v>25</v>
      </c>
      <c r="M93" s="180">
        <v>97.6</v>
      </c>
      <c r="N93" s="266">
        <v>9</v>
      </c>
      <c r="O93" s="94">
        <v>2</v>
      </c>
      <c r="P93" s="239">
        <f t="shared" si="27"/>
        <v>3.2188758248682006</v>
      </c>
      <c r="Q93" s="262" t="str">
        <f t="shared" si="36"/>
        <v>Gadd Daph</v>
      </c>
      <c r="R93" s="263">
        <f t="shared" ref="R93:R118" si="38">$AI$5*N93+$AH$5*LN(M93)+$AJ$5*LN(O93)+$AK$5*LN(O93)*N93</f>
        <v>-2.733136119814537</v>
      </c>
      <c r="S93" s="220">
        <f t="shared" si="32"/>
        <v>5.952011944682738</v>
      </c>
      <c r="T93" s="236">
        <f t="shared" ref="T93:T97" si="39">IF(F93=F92,T92,T92+1)</f>
        <v>9</v>
      </c>
      <c r="U93" s="221"/>
      <c r="V93" s="222" t="e" cm="1">
        <f t="array" ref="V93">GEOMEAN(IF(U93=$U$4:$U$359,$S$4:$S$359))</f>
        <v>#NUM!</v>
      </c>
      <c r="W93" s="264" t="e">
        <f t="shared" ref="W93:W111" si="40">V93+$AI$5*$AI$2+$AH$5*LN($AH$2)+$AJ$5*LN($AJ$2)+$AK$5*LN($AJ$2)*$AI$2</f>
        <v>#NUM!</v>
      </c>
      <c r="X93" s="225" t="e">
        <f t="shared" si="28"/>
        <v>#NUM!</v>
      </c>
      <c r="Y93" s="225"/>
      <c r="Z93" s="226" t="s">
        <v>1483</v>
      </c>
      <c r="AA93" s="194" t="s">
        <v>1870</v>
      </c>
      <c r="AB93" s="227" t="s">
        <v>1846</v>
      </c>
      <c r="AC93" s="243" t="s">
        <v>1798</v>
      </c>
      <c r="AD93" s="243"/>
      <c r="AE93" s="229" t="s">
        <v>1584</v>
      </c>
      <c r="AG93" s="244"/>
      <c r="AH93" s="244"/>
      <c r="AI93" s="258"/>
      <c r="AJ93" s="258"/>
      <c r="AK93" s="258"/>
    </row>
    <row r="94" spans="1:38" s="182" customFormat="1" ht="15.75" hidden="1" customHeight="1" x14ac:dyDescent="0.2">
      <c r="B94" s="180"/>
      <c r="C94" s="217">
        <v>1990</v>
      </c>
      <c r="D94" s="180" t="s">
        <v>1575</v>
      </c>
      <c r="E94" s="180" t="s">
        <v>1871</v>
      </c>
      <c r="F94" s="180" t="s">
        <v>63</v>
      </c>
      <c r="G94" s="180" t="s">
        <v>260</v>
      </c>
      <c r="H94" s="180" t="s">
        <v>67</v>
      </c>
      <c r="I94" s="180" t="s">
        <v>76</v>
      </c>
      <c r="J94" s="180" t="s">
        <v>54</v>
      </c>
      <c r="K94" s="180" t="s">
        <v>85</v>
      </c>
      <c r="L94" s="180">
        <v>50</v>
      </c>
      <c r="M94" s="180">
        <v>182</v>
      </c>
      <c r="N94" s="180">
        <v>8</v>
      </c>
      <c r="O94" s="94">
        <v>2.2999999999999998</v>
      </c>
      <c r="P94" s="239">
        <f t="shared" si="27"/>
        <v>3.912023005428146</v>
      </c>
      <c r="Q94" s="262" t="str">
        <f t="shared" si="36"/>
        <v>Gadd Daph</v>
      </c>
      <c r="R94" s="263">
        <f t="shared" si="38"/>
        <v>-2.1136451830799396</v>
      </c>
      <c r="S94" s="220">
        <f t="shared" si="32"/>
        <v>6.0256681885080852</v>
      </c>
      <c r="T94" s="236">
        <f t="shared" si="39"/>
        <v>9</v>
      </c>
      <c r="U94" s="221" t="str">
        <f t="shared" ref="U94:U96" si="41">CONCATENATE(T94,"-",I94,"-",J94,"-",H94)</f>
        <v>9-REP-NOEC-Neonates, &lt;24-h old</v>
      </c>
      <c r="V94" s="222" cm="1">
        <f t="array" ref="V94">GEOMEAN(IF(U94=$U$4:$U$359,$S$4:$S$359))</f>
        <v>5.7607295397231137</v>
      </c>
      <c r="W94" s="264">
        <f t="shared" si="40"/>
        <v>2.6378418558144037</v>
      </c>
      <c r="X94" s="225">
        <f t="shared" si="28"/>
        <v>13.982993704235232</v>
      </c>
      <c r="Y94" s="225"/>
      <c r="Z94" s="226" t="s">
        <v>1467</v>
      </c>
      <c r="AA94" s="226"/>
      <c r="AB94" s="227" t="s">
        <v>1846</v>
      </c>
      <c r="AC94" s="243" t="s">
        <v>1798</v>
      </c>
      <c r="AD94" s="244"/>
      <c r="AE94" s="229" t="s">
        <v>1584</v>
      </c>
      <c r="AG94" s="244"/>
      <c r="AH94" s="244"/>
      <c r="AI94" s="258"/>
      <c r="AJ94" s="258"/>
      <c r="AK94" s="258"/>
    </row>
    <row r="95" spans="1:38" s="182" customFormat="1" ht="15.75" hidden="1" customHeight="1" x14ac:dyDescent="0.2">
      <c r="B95" s="180"/>
      <c r="C95" s="217">
        <v>1990</v>
      </c>
      <c r="D95" s="180" t="s">
        <v>1575</v>
      </c>
      <c r="E95" s="180" t="s">
        <v>1872</v>
      </c>
      <c r="F95" s="180" t="s">
        <v>63</v>
      </c>
      <c r="G95" s="180" t="s">
        <v>260</v>
      </c>
      <c r="H95" s="180" t="s">
        <v>67</v>
      </c>
      <c r="I95" s="180" t="s">
        <v>76</v>
      </c>
      <c r="J95" s="180" t="s">
        <v>54</v>
      </c>
      <c r="K95" s="180" t="s">
        <v>85</v>
      </c>
      <c r="L95" s="180">
        <v>50</v>
      </c>
      <c r="M95" s="180">
        <v>113.6</v>
      </c>
      <c r="N95" s="180">
        <v>6</v>
      </c>
      <c r="O95" s="94">
        <v>5</v>
      </c>
      <c r="P95" s="239">
        <f t="shared" si="27"/>
        <v>3.912023005428146</v>
      </c>
      <c r="Q95" s="262" t="str">
        <f t="shared" si="36"/>
        <v>Gadd Daph</v>
      </c>
      <c r="R95" s="263">
        <f t="shared" si="38"/>
        <v>-1.5884905965536507</v>
      </c>
      <c r="S95" s="220">
        <f t="shared" si="32"/>
        <v>5.5005136019817966</v>
      </c>
      <c r="T95" s="236">
        <f t="shared" si="39"/>
        <v>9</v>
      </c>
      <c r="U95" s="221" t="str">
        <f t="shared" si="41"/>
        <v>9-REP-NOEC-Neonates, &lt;24-h old</v>
      </c>
      <c r="V95" s="222" cm="1">
        <f t="array" ref="V95">GEOMEAN(IF(U95=$U$4:$U$359,$S$4:$S$359))</f>
        <v>5.7607295397231137</v>
      </c>
      <c r="W95" s="264">
        <f t="shared" si="40"/>
        <v>2.6378418558144037</v>
      </c>
      <c r="X95" s="225">
        <f t="shared" si="28"/>
        <v>13.982993704235232</v>
      </c>
      <c r="Y95" s="225"/>
      <c r="Z95" s="226" t="s">
        <v>1467</v>
      </c>
      <c r="AA95" s="226"/>
      <c r="AB95" s="227" t="s">
        <v>1846</v>
      </c>
      <c r="AC95" s="243" t="s">
        <v>1798</v>
      </c>
      <c r="AD95" s="243"/>
      <c r="AE95" s="229" t="s">
        <v>1584</v>
      </c>
      <c r="AG95" s="244"/>
      <c r="AH95" s="244"/>
      <c r="AI95" s="258"/>
      <c r="AJ95" s="258"/>
      <c r="AK95" s="258"/>
    </row>
    <row r="96" spans="1:38" s="182" customFormat="1" ht="15.75" hidden="1" customHeight="1" x14ac:dyDescent="0.2">
      <c r="B96" s="180"/>
      <c r="C96" s="217">
        <v>1990</v>
      </c>
      <c r="D96" s="180" t="s">
        <v>1575</v>
      </c>
      <c r="E96" s="180" t="s">
        <v>1872</v>
      </c>
      <c r="F96" s="180" t="s">
        <v>63</v>
      </c>
      <c r="G96" s="180" t="s">
        <v>260</v>
      </c>
      <c r="H96" s="180" t="s">
        <v>67</v>
      </c>
      <c r="I96" s="180" t="s">
        <v>76</v>
      </c>
      <c r="J96" s="180" t="s">
        <v>54</v>
      </c>
      <c r="K96" s="180" t="s">
        <v>85</v>
      </c>
      <c r="L96" s="180">
        <v>50</v>
      </c>
      <c r="M96" s="180">
        <v>113.6</v>
      </c>
      <c r="N96" s="180">
        <v>8</v>
      </c>
      <c r="O96" s="94">
        <v>5</v>
      </c>
      <c r="P96" s="239">
        <f t="shared" si="27"/>
        <v>3.912023005428146</v>
      </c>
      <c r="Q96" s="262" t="str">
        <f t="shared" si="36"/>
        <v>Gadd Daph</v>
      </c>
      <c r="R96" s="263">
        <f t="shared" si="38"/>
        <v>-1.8559603985852826</v>
      </c>
      <c r="S96" s="220">
        <f t="shared" si="32"/>
        <v>5.7679834040134281</v>
      </c>
      <c r="T96" s="236">
        <f t="shared" si="39"/>
        <v>9</v>
      </c>
      <c r="U96" s="221" t="str">
        <f t="shared" si="41"/>
        <v>9-REP-NOEC-Neonates, &lt;24-h old</v>
      </c>
      <c r="V96" s="222" cm="1">
        <f t="array" ref="V96">GEOMEAN(IF(U96=$U$4:$U$359,$S$4:$S$359))</f>
        <v>5.7607295397231137</v>
      </c>
      <c r="W96" s="264">
        <f t="shared" si="40"/>
        <v>2.6378418558144037</v>
      </c>
      <c r="X96" s="225">
        <f t="shared" si="28"/>
        <v>13.982993704235232</v>
      </c>
      <c r="Y96" s="225"/>
      <c r="Z96" s="226" t="s">
        <v>1467</v>
      </c>
      <c r="AA96" s="226"/>
      <c r="AB96" s="227" t="s">
        <v>1846</v>
      </c>
      <c r="AC96" s="243" t="s">
        <v>1798</v>
      </c>
      <c r="AD96" s="243"/>
      <c r="AE96" s="229" t="s">
        <v>1584</v>
      </c>
      <c r="AG96" s="244"/>
      <c r="AH96" s="244"/>
      <c r="AI96" s="258"/>
      <c r="AJ96" s="258"/>
      <c r="AK96" s="258"/>
    </row>
    <row r="97" spans="2:37" s="182" customFormat="1" ht="15.75" hidden="1" customHeight="1" x14ac:dyDescent="0.2">
      <c r="B97" s="180"/>
      <c r="C97" s="217">
        <v>1990</v>
      </c>
      <c r="D97" s="180" t="s">
        <v>1575</v>
      </c>
      <c r="E97" s="180" t="s">
        <v>1872</v>
      </c>
      <c r="F97" s="180" t="s">
        <v>63</v>
      </c>
      <c r="G97" s="180" t="s">
        <v>260</v>
      </c>
      <c r="H97" s="180" t="s">
        <v>67</v>
      </c>
      <c r="I97" s="180" t="s">
        <v>76</v>
      </c>
      <c r="J97" s="180" t="s">
        <v>54</v>
      </c>
      <c r="K97" s="180" t="s">
        <v>85</v>
      </c>
      <c r="L97" s="180">
        <v>50</v>
      </c>
      <c r="M97" s="180">
        <v>113.6</v>
      </c>
      <c r="N97" s="266">
        <v>9</v>
      </c>
      <c r="O97" s="94">
        <v>5</v>
      </c>
      <c r="P97" s="239">
        <f t="shared" si="27"/>
        <v>3.912023005428146</v>
      </c>
      <c r="Q97" s="262" t="str">
        <f t="shared" si="36"/>
        <v>Gadd Daph</v>
      </c>
      <c r="R97" s="263">
        <f t="shared" si="38"/>
        <v>-1.9896952996010979</v>
      </c>
      <c r="S97" s="220">
        <f t="shared" si="32"/>
        <v>5.9017183050292434</v>
      </c>
      <c r="T97" s="236">
        <f t="shared" si="39"/>
        <v>9</v>
      </c>
      <c r="U97" s="221"/>
      <c r="V97" s="222" t="e" cm="1">
        <f t="array" ref="V97">GEOMEAN(IF(U97=$U$4:$U$359,$S$4:$S$359))</f>
        <v>#NUM!</v>
      </c>
      <c r="W97" s="264" t="e">
        <f t="shared" si="40"/>
        <v>#NUM!</v>
      </c>
      <c r="X97" s="225" t="e">
        <f t="shared" si="28"/>
        <v>#NUM!</v>
      </c>
      <c r="Y97" s="225"/>
      <c r="Z97" s="226" t="s">
        <v>1467</v>
      </c>
      <c r="AA97" s="194" t="s">
        <v>1870</v>
      </c>
      <c r="AB97" s="227" t="s">
        <v>1846</v>
      </c>
      <c r="AC97" s="243" t="s">
        <v>1798</v>
      </c>
      <c r="AD97" s="243"/>
      <c r="AE97" s="229" t="s">
        <v>1584</v>
      </c>
      <c r="AG97" s="244"/>
      <c r="AH97" s="244"/>
      <c r="AI97" s="258"/>
      <c r="AJ97" s="258"/>
      <c r="AK97" s="258"/>
    </row>
    <row r="98" spans="2:37" s="182" customFormat="1" ht="15.75" hidden="1" customHeight="1" x14ac:dyDescent="0.2">
      <c r="B98" s="180"/>
      <c r="C98" s="217">
        <v>1990</v>
      </c>
      <c r="D98" s="180" t="s">
        <v>1575</v>
      </c>
      <c r="E98" s="180" t="s">
        <v>41</v>
      </c>
      <c r="F98" s="180" t="s">
        <v>63</v>
      </c>
      <c r="G98" s="180" t="s">
        <v>260</v>
      </c>
      <c r="H98" s="180" t="s">
        <v>67</v>
      </c>
      <c r="I98" s="180" t="s">
        <v>76</v>
      </c>
      <c r="J98" s="180" t="s">
        <v>54</v>
      </c>
      <c r="K98" s="180" t="s">
        <v>85</v>
      </c>
      <c r="L98" s="180">
        <v>100</v>
      </c>
      <c r="M98" s="180">
        <v>182</v>
      </c>
      <c r="N98" s="266">
        <v>9</v>
      </c>
      <c r="O98" s="94">
        <v>2.2999999999999998</v>
      </c>
      <c r="P98" s="239">
        <f t="shared" si="27"/>
        <v>4.6051701859880918</v>
      </c>
      <c r="Q98" s="262" t="str">
        <f t="shared" si="36"/>
        <v>Gadd Daph</v>
      </c>
      <c r="R98" s="263">
        <f t="shared" si="38"/>
        <v>-2.4337469935755145</v>
      </c>
      <c r="S98" s="220">
        <f t="shared" si="32"/>
        <v>7.0389171795636063</v>
      </c>
      <c r="T98" s="236">
        <f>IF(F98=F95,T95,T95+1)</f>
        <v>9</v>
      </c>
      <c r="U98" s="221"/>
      <c r="V98" s="222" t="e" cm="1">
        <f t="array" ref="V98">GEOMEAN(IF(U98=$U$4:$U$359,$S$4:$S$359))</f>
        <v>#NUM!</v>
      </c>
      <c r="W98" s="264" t="e">
        <f t="shared" si="40"/>
        <v>#NUM!</v>
      </c>
      <c r="X98" s="225" t="e">
        <f t="shared" si="28"/>
        <v>#NUM!</v>
      </c>
      <c r="Y98" s="225"/>
      <c r="Z98" s="226" t="s">
        <v>1467</v>
      </c>
      <c r="AA98" s="194" t="s">
        <v>1870</v>
      </c>
      <c r="AB98" s="227" t="s">
        <v>1846</v>
      </c>
      <c r="AC98" s="243" t="s">
        <v>1798</v>
      </c>
      <c r="AD98" s="243"/>
      <c r="AE98" s="229" t="s">
        <v>1584</v>
      </c>
      <c r="AG98" s="244"/>
      <c r="AH98" s="244"/>
      <c r="AI98" s="258"/>
      <c r="AJ98" s="258"/>
      <c r="AK98" s="258"/>
    </row>
    <row r="99" spans="2:37" s="182" customFormat="1" ht="15.75" hidden="1" customHeight="1" x14ac:dyDescent="0.2">
      <c r="B99" s="180">
        <v>115778</v>
      </c>
      <c r="C99" s="217">
        <v>2009</v>
      </c>
      <c r="D99" s="180" t="s">
        <v>1066</v>
      </c>
      <c r="E99" s="180" t="s">
        <v>41</v>
      </c>
      <c r="F99" s="180" t="s">
        <v>63</v>
      </c>
      <c r="G99" s="180" t="s">
        <v>260</v>
      </c>
      <c r="H99" s="180" t="s">
        <v>338</v>
      </c>
      <c r="I99" s="180" t="s">
        <v>237</v>
      </c>
      <c r="J99" s="180" t="s">
        <v>54</v>
      </c>
      <c r="K99" s="180" t="s">
        <v>85</v>
      </c>
      <c r="L99" s="180">
        <v>101.1</v>
      </c>
      <c r="M99" s="180">
        <v>82.4</v>
      </c>
      <c r="N99" s="181">
        <v>7.5</v>
      </c>
      <c r="O99" s="94">
        <v>0.5</v>
      </c>
      <c r="P99" s="239">
        <f t="shared" si="27"/>
        <v>4.6161101260264257</v>
      </c>
      <c r="Q99" s="262" t="str">
        <f t="shared" si="36"/>
        <v>Gadd Daph</v>
      </c>
      <c r="R99" s="263">
        <f t="shared" si="38"/>
        <v>-2.8096673867801965</v>
      </c>
      <c r="S99" s="220">
        <f t="shared" si="32"/>
        <v>7.4257775128066221</v>
      </c>
      <c r="T99" s="236">
        <f t="shared" ref="T99:T162" si="42">IF(F99=F98,T98,T98+1)</f>
        <v>9</v>
      </c>
      <c r="U99" s="221" t="str">
        <f t="shared" ref="U99:U101" si="43">CONCATENATE(T99,"-",I99,"-",J99,"-",H99)</f>
        <v>9-MOR-NOEC-NE</v>
      </c>
      <c r="V99" s="222" cm="1">
        <f t="array" ref="V99">GEOMEAN(IF(U99=$U$4:$U$359,$S$4:$S$359))</f>
        <v>7.4257775128066221</v>
      </c>
      <c r="W99" s="264">
        <f t="shared" si="40"/>
        <v>4.3028898288979125</v>
      </c>
      <c r="X99" s="225">
        <f t="shared" si="28"/>
        <v>73.913081527430791</v>
      </c>
      <c r="Y99" s="225"/>
      <c r="Z99" s="226" t="s">
        <v>1467</v>
      </c>
      <c r="AA99" s="226"/>
      <c r="AB99" s="246"/>
      <c r="AC99" s="243" t="s">
        <v>1772</v>
      </c>
      <c r="AD99" s="251">
        <v>0.87</v>
      </c>
      <c r="AE99" s="243" t="s">
        <v>1873</v>
      </c>
      <c r="AG99" s="244"/>
      <c r="AH99" s="244"/>
      <c r="AI99" s="258"/>
      <c r="AJ99" s="258"/>
      <c r="AK99" s="258"/>
    </row>
    <row r="100" spans="2:37" s="182" customFormat="1" ht="15.75" hidden="1" customHeight="1" x14ac:dyDescent="0.2">
      <c r="B100" s="180">
        <v>115778</v>
      </c>
      <c r="C100" s="217">
        <v>2009</v>
      </c>
      <c r="D100" s="180" t="s">
        <v>1066</v>
      </c>
      <c r="E100" s="180" t="s">
        <v>41</v>
      </c>
      <c r="F100" s="180" t="s">
        <v>63</v>
      </c>
      <c r="G100" s="180" t="s">
        <v>260</v>
      </c>
      <c r="H100" s="180" t="s">
        <v>338</v>
      </c>
      <c r="I100" s="180" t="s">
        <v>76</v>
      </c>
      <c r="J100" s="180" t="s">
        <v>54</v>
      </c>
      <c r="K100" s="180" t="s">
        <v>85</v>
      </c>
      <c r="L100" s="180">
        <v>13</v>
      </c>
      <c r="M100" s="180">
        <v>82.4</v>
      </c>
      <c r="N100" s="181">
        <v>7.5</v>
      </c>
      <c r="O100" s="94">
        <v>0.5</v>
      </c>
      <c r="P100" s="239">
        <f t="shared" si="27"/>
        <v>2.5649493574615367</v>
      </c>
      <c r="Q100" s="262" t="str">
        <f t="shared" si="36"/>
        <v>Gadd Daph</v>
      </c>
      <c r="R100" s="263">
        <f t="shared" si="38"/>
        <v>-2.8096673867801965</v>
      </c>
      <c r="S100" s="220">
        <f t="shared" si="32"/>
        <v>5.3746167442417327</v>
      </c>
      <c r="T100" s="236">
        <f t="shared" si="42"/>
        <v>9</v>
      </c>
      <c r="U100" s="221" t="str">
        <f t="shared" si="43"/>
        <v>9-REP-NOEC-NE</v>
      </c>
      <c r="V100" s="222" cm="1">
        <f t="array" ref="V100">GEOMEAN(IF(U100=$U$4:$U$359,$S$4:$S$359))</f>
        <v>5.3746167442417327</v>
      </c>
      <c r="W100" s="264">
        <f t="shared" si="40"/>
        <v>2.2517290603330227</v>
      </c>
      <c r="X100" s="225">
        <f t="shared" si="28"/>
        <v>9.5041548947240315</v>
      </c>
      <c r="Y100" s="225"/>
      <c r="Z100" s="226" t="s">
        <v>1467</v>
      </c>
      <c r="AA100" s="226"/>
      <c r="AB100" s="246"/>
      <c r="AC100" s="243" t="s">
        <v>1772</v>
      </c>
      <c r="AD100" s="251">
        <v>0.87</v>
      </c>
      <c r="AE100" s="243" t="s">
        <v>1873</v>
      </c>
      <c r="AG100" s="244"/>
      <c r="AH100" s="244"/>
      <c r="AI100" s="258"/>
      <c r="AJ100" s="258"/>
      <c r="AK100" s="258"/>
    </row>
    <row r="101" spans="2:37" s="182" customFormat="1" ht="15.75" hidden="1" customHeight="1" x14ac:dyDescent="0.2">
      <c r="B101" s="267"/>
      <c r="C101" s="217">
        <v>2015</v>
      </c>
      <c r="D101" s="180" t="s">
        <v>1491</v>
      </c>
      <c r="E101" s="180" t="s">
        <v>41</v>
      </c>
      <c r="F101" s="180" t="s">
        <v>63</v>
      </c>
      <c r="G101" s="180" t="s">
        <v>260</v>
      </c>
      <c r="H101" s="180" t="s">
        <v>67</v>
      </c>
      <c r="I101" s="180" t="s">
        <v>68</v>
      </c>
      <c r="J101" s="180" t="s">
        <v>49</v>
      </c>
      <c r="K101" s="180" t="s">
        <v>70</v>
      </c>
      <c r="L101" s="180">
        <v>46.6</v>
      </c>
      <c r="M101" s="180">
        <v>40</v>
      </c>
      <c r="N101" s="180">
        <v>7.5</v>
      </c>
      <c r="O101" s="94">
        <v>0.5</v>
      </c>
      <c r="P101" s="239">
        <f t="shared" si="27"/>
        <v>3.8416005411316001</v>
      </c>
      <c r="Q101" s="262" t="str">
        <f t="shared" si="36"/>
        <v>Gadd Daph</v>
      </c>
      <c r="R101" s="263">
        <f t="shared" si="38"/>
        <v>-3.033706241448658</v>
      </c>
      <c r="S101" s="220">
        <f t="shared" si="32"/>
        <v>6.8753067825802585</v>
      </c>
      <c r="T101" s="236">
        <f t="shared" si="42"/>
        <v>9</v>
      </c>
      <c r="U101" s="221" t="str">
        <f t="shared" si="43"/>
        <v>9-Survival &amp; reproduction-EC10-Neonates, &lt;24-h old</v>
      </c>
      <c r="V101" s="222" cm="1">
        <f t="array" ref="V101">GEOMEAN(IF(U101=$U$4:$U$359,$S$4:$S$359))</f>
        <v>6.8753067825802585</v>
      </c>
      <c r="W101" s="264">
        <f t="shared" si="40"/>
        <v>3.7524190986715484</v>
      </c>
      <c r="X101" s="225">
        <f t="shared" si="28"/>
        <v>42.624069210930678</v>
      </c>
      <c r="Y101" s="225">
        <f t="shared" ref="Y101" si="44">X101</f>
        <v>42.624069210930678</v>
      </c>
      <c r="Z101" s="268"/>
      <c r="AA101" s="268"/>
      <c r="AB101" s="246"/>
      <c r="AC101" s="269" t="s">
        <v>1772</v>
      </c>
      <c r="AD101" s="270">
        <v>0.84</v>
      </c>
      <c r="AE101" s="269" t="s">
        <v>1859</v>
      </c>
      <c r="AG101" s="244"/>
      <c r="AH101" s="244"/>
    </row>
    <row r="102" spans="2:37" s="182" customFormat="1" ht="15.75" hidden="1" customHeight="1" x14ac:dyDescent="0.2">
      <c r="B102" s="180"/>
      <c r="C102" s="217">
        <v>2022</v>
      </c>
      <c r="D102" s="180" t="s">
        <v>1654</v>
      </c>
      <c r="E102" s="180" t="s">
        <v>1673</v>
      </c>
      <c r="F102" s="180" t="s">
        <v>63</v>
      </c>
      <c r="G102" s="180" t="s">
        <v>260</v>
      </c>
      <c r="H102" s="180" t="s">
        <v>67</v>
      </c>
      <c r="I102" s="180" t="s">
        <v>76</v>
      </c>
      <c r="J102" s="180" t="s">
        <v>49</v>
      </c>
      <c r="K102" s="180">
        <v>7</v>
      </c>
      <c r="L102" s="180">
        <v>52</v>
      </c>
      <c r="M102" s="180">
        <v>18</v>
      </c>
      <c r="N102" s="180">
        <v>7.2</v>
      </c>
      <c r="O102" s="94">
        <v>5</v>
      </c>
      <c r="P102" s="239">
        <f t="shared" si="27"/>
        <v>3.9512437185814275</v>
      </c>
      <c r="Q102" s="262" t="str">
        <f t="shared" si="36"/>
        <v>Gadd Daph</v>
      </c>
      <c r="R102" s="263">
        <f t="shared" si="38"/>
        <v>-2.3200891197738041</v>
      </c>
      <c r="S102" s="220">
        <f t="shared" si="32"/>
        <v>6.2713328383552316</v>
      </c>
      <c r="T102" s="236">
        <f t="shared" si="42"/>
        <v>9</v>
      </c>
      <c r="U102" s="221"/>
      <c r="V102" s="222" t="e" cm="1">
        <f t="array" ref="V102">GEOMEAN(IF(U102=$U$4:$U$359,$S$4:$S$359))</f>
        <v>#NUM!</v>
      </c>
      <c r="W102" s="264" t="e">
        <f t="shared" si="40"/>
        <v>#NUM!</v>
      </c>
      <c r="X102" s="225" t="e">
        <f t="shared" si="28"/>
        <v>#NUM!</v>
      </c>
      <c r="Y102" s="225"/>
      <c r="Z102" s="226"/>
      <c r="AA102" s="194" t="s">
        <v>1874</v>
      </c>
      <c r="AB102" s="246"/>
      <c r="AC102" s="243" t="s">
        <v>1772</v>
      </c>
      <c r="AD102" s="251">
        <v>0.87</v>
      </c>
      <c r="AE102" s="243" t="s">
        <v>1859</v>
      </c>
      <c r="AG102" s="244"/>
      <c r="AH102" s="244"/>
    </row>
    <row r="103" spans="2:37" s="182" customFormat="1" ht="15.75" hidden="1" customHeight="1" x14ac:dyDescent="0.2">
      <c r="B103" s="180"/>
      <c r="C103" s="217">
        <v>2022</v>
      </c>
      <c r="D103" s="180" t="s">
        <v>1654</v>
      </c>
      <c r="E103" s="180" t="s">
        <v>1674</v>
      </c>
      <c r="F103" s="180" t="s">
        <v>63</v>
      </c>
      <c r="G103" s="180" t="s">
        <v>260</v>
      </c>
      <c r="H103" s="180" t="s">
        <v>67</v>
      </c>
      <c r="I103" s="180" t="s">
        <v>76</v>
      </c>
      <c r="J103" s="180" t="s">
        <v>49</v>
      </c>
      <c r="K103" s="180">
        <v>7</v>
      </c>
      <c r="L103" s="180">
        <v>83</v>
      </c>
      <c r="M103" s="180">
        <v>23</v>
      </c>
      <c r="N103" s="180">
        <v>7.68</v>
      </c>
      <c r="O103" s="94">
        <v>2</v>
      </c>
      <c r="P103" s="239">
        <f t="shared" si="27"/>
        <v>4.4188406077965983</v>
      </c>
      <c r="Q103" s="262" t="str">
        <f t="shared" si="36"/>
        <v>Gadd Daph</v>
      </c>
      <c r="R103" s="263">
        <f t="shared" si="38"/>
        <v>-2.714393962637796</v>
      </c>
      <c r="S103" s="220">
        <f t="shared" si="32"/>
        <v>7.1332345704343947</v>
      </c>
      <c r="T103" s="236">
        <f t="shared" si="42"/>
        <v>9</v>
      </c>
      <c r="U103" s="221" t="str">
        <f t="shared" ref="U103" si="45">CONCATENATE(T103,"-",I103,"-",J103,"-",H103)</f>
        <v>9-REP-EC10-Neonates, &lt;24-h old</v>
      </c>
      <c r="V103" s="222" cm="1">
        <f t="array" ref="V103">GEOMEAN(IF(U103=$U$4:$U$359,$S$4:$S$359))</f>
        <v>5.9159169754321423</v>
      </c>
      <c r="W103" s="264">
        <f t="shared" si="40"/>
        <v>2.7930292915234323</v>
      </c>
      <c r="X103" s="225">
        <f t="shared" si="28"/>
        <v>16.330414534816853</v>
      </c>
      <c r="Y103" s="225">
        <f t="shared" ref="Y103" si="46">X103</f>
        <v>16.330414534816853</v>
      </c>
      <c r="Z103" s="226"/>
      <c r="AA103" s="226"/>
      <c r="AB103" s="246"/>
      <c r="AC103" s="243" t="s">
        <v>1772</v>
      </c>
      <c r="AD103" s="251">
        <v>0.87</v>
      </c>
      <c r="AE103" s="243" t="s">
        <v>1859</v>
      </c>
      <c r="AG103" s="244"/>
      <c r="AH103" s="244"/>
    </row>
    <row r="104" spans="2:37" s="182" customFormat="1" ht="15.75" hidden="1" customHeight="1" x14ac:dyDescent="0.2">
      <c r="B104" s="180"/>
      <c r="C104" s="217">
        <v>2022</v>
      </c>
      <c r="D104" s="180" t="s">
        <v>1654</v>
      </c>
      <c r="E104" s="180" t="s">
        <v>1673</v>
      </c>
      <c r="F104" s="180" t="s">
        <v>63</v>
      </c>
      <c r="G104" s="180" t="s">
        <v>260</v>
      </c>
      <c r="H104" s="180" t="s">
        <v>67</v>
      </c>
      <c r="I104" s="180" t="s">
        <v>76</v>
      </c>
      <c r="J104" s="180" t="s">
        <v>927</v>
      </c>
      <c r="K104" s="180">
        <v>7</v>
      </c>
      <c r="L104" s="180">
        <v>73</v>
      </c>
      <c r="M104" s="180">
        <v>18</v>
      </c>
      <c r="N104" s="180">
        <v>7.2</v>
      </c>
      <c r="O104" s="94">
        <v>5</v>
      </c>
      <c r="P104" s="239">
        <f t="shared" si="27"/>
        <v>4.290459441148391</v>
      </c>
      <c r="Q104" s="262" t="str">
        <f t="shared" si="36"/>
        <v>Gadd Daph</v>
      </c>
      <c r="R104" s="263">
        <f t="shared" si="38"/>
        <v>-2.3200891197738041</v>
      </c>
      <c r="S104" s="220">
        <f t="shared" si="32"/>
        <v>6.6105485609221954</v>
      </c>
      <c r="T104" s="236">
        <f t="shared" si="42"/>
        <v>9</v>
      </c>
      <c r="U104" s="221"/>
      <c r="V104" s="222" t="e" cm="1">
        <f t="array" ref="V104">GEOMEAN(IF(U104=$U$4:$U$359,$S$4:$S$359))</f>
        <v>#NUM!</v>
      </c>
      <c r="W104" s="264" t="e">
        <f t="shared" si="40"/>
        <v>#NUM!</v>
      </c>
      <c r="X104" s="225" t="e">
        <f t="shared" si="28"/>
        <v>#NUM!</v>
      </c>
      <c r="Y104" s="225"/>
      <c r="Z104" s="226" t="s">
        <v>1467</v>
      </c>
      <c r="AA104" s="194" t="s">
        <v>1874</v>
      </c>
      <c r="AB104" s="271"/>
      <c r="AC104" s="243"/>
      <c r="AD104" s="243"/>
      <c r="AE104" s="243"/>
      <c r="AG104" s="244"/>
      <c r="AH104" s="244"/>
    </row>
    <row r="105" spans="2:37" s="182" customFormat="1" ht="15.75" hidden="1" customHeight="1" x14ac:dyDescent="0.2">
      <c r="B105" s="180"/>
      <c r="C105" s="217">
        <v>2022</v>
      </c>
      <c r="D105" s="180" t="s">
        <v>1654</v>
      </c>
      <c r="E105" s="180" t="s">
        <v>1674</v>
      </c>
      <c r="F105" s="180" t="s">
        <v>63</v>
      </c>
      <c r="G105" s="180" t="s">
        <v>260</v>
      </c>
      <c r="H105" s="180" t="s">
        <v>67</v>
      </c>
      <c r="I105" s="180" t="s">
        <v>76</v>
      </c>
      <c r="J105" s="180" t="s">
        <v>927</v>
      </c>
      <c r="K105" s="180">
        <v>7</v>
      </c>
      <c r="L105" s="180">
        <v>101</v>
      </c>
      <c r="M105" s="180">
        <v>23</v>
      </c>
      <c r="N105" s="180">
        <v>7.68</v>
      </c>
      <c r="O105" s="94">
        <v>2</v>
      </c>
      <c r="P105" s="239">
        <f t="shared" si="27"/>
        <v>4.6151205168412597</v>
      </c>
      <c r="Q105" s="262" t="str">
        <f t="shared" si="36"/>
        <v>Gadd Daph</v>
      </c>
      <c r="R105" s="263">
        <f t="shared" si="38"/>
        <v>-2.714393962637796</v>
      </c>
      <c r="S105" s="220">
        <f t="shared" si="32"/>
        <v>7.3295144794790552</v>
      </c>
      <c r="T105" s="236">
        <f t="shared" si="42"/>
        <v>9</v>
      </c>
      <c r="U105" s="221" t="str">
        <f t="shared" ref="U105:U111" si="47">CONCATENATE(T105,"-",I105,"-",J105,"-",H105)</f>
        <v>9-REP-EC20-Neonates, &lt;24-h old</v>
      </c>
      <c r="V105" s="222" cm="1">
        <f t="array" ref="V105">GEOMEAN(IF(U105=$U$4:$U$359,$S$4:$S$359))</f>
        <v>6.1590331950720723</v>
      </c>
      <c r="W105" s="264">
        <f t="shared" si="40"/>
        <v>3.0361455111633622</v>
      </c>
      <c r="X105" s="225">
        <f t="shared" si="28"/>
        <v>20.824819304559181</v>
      </c>
      <c r="Y105" s="225"/>
      <c r="Z105" s="226" t="s">
        <v>1467</v>
      </c>
      <c r="AA105" s="226"/>
      <c r="AB105" s="254"/>
      <c r="AC105" s="243"/>
      <c r="AD105" s="243"/>
      <c r="AE105" s="243"/>
      <c r="AG105" s="244"/>
      <c r="AH105" s="244"/>
    </row>
    <row r="106" spans="2:37" s="182" customFormat="1" ht="15.75" hidden="1" customHeight="1" x14ac:dyDescent="0.2">
      <c r="B106" s="180"/>
      <c r="C106" s="217">
        <v>2017</v>
      </c>
      <c r="D106" s="180" t="s">
        <v>1685</v>
      </c>
      <c r="E106" s="180" t="s">
        <v>1687</v>
      </c>
      <c r="F106" s="180" t="s">
        <v>63</v>
      </c>
      <c r="G106" s="180" t="s">
        <v>260</v>
      </c>
      <c r="H106" s="180" t="s">
        <v>67</v>
      </c>
      <c r="I106" s="180" t="s">
        <v>76</v>
      </c>
      <c r="J106" s="180" t="s">
        <v>927</v>
      </c>
      <c r="K106" s="180">
        <v>7</v>
      </c>
      <c r="L106" s="180">
        <v>88</v>
      </c>
      <c r="M106" s="250">
        <v>213.11359999999996</v>
      </c>
      <c r="N106" s="180">
        <v>8.3000000000000007</v>
      </c>
      <c r="O106" s="94">
        <v>16.399999999999999</v>
      </c>
      <c r="P106" s="239">
        <f t="shared" si="27"/>
        <v>4.4773368144782069</v>
      </c>
      <c r="Q106" s="262" t="str">
        <f t="shared" si="36"/>
        <v>Gadd Daph</v>
      </c>
      <c r="R106" s="263">
        <f t="shared" si="38"/>
        <v>-0.99784358915051374</v>
      </c>
      <c r="S106" s="220">
        <f t="shared" si="32"/>
        <v>5.4751804036287206</v>
      </c>
      <c r="T106" s="236">
        <f t="shared" si="42"/>
        <v>9</v>
      </c>
      <c r="U106" s="221" t="str">
        <f t="shared" si="47"/>
        <v>9-REP-EC20-Neonates, &lt;24-h old</v>
      </c>
      <c r="V106" s="222" cm="1">
        <f t="array" ref="V106">GEOMEAN(IF(U106=$U$4:$U$359,$S$4:$S$359))</f>
        <v>6.1590331950720723</v>
      </c>
      <c r="W106" s="264">
        <f t="shared" si="40"/>
        <v>3.0361455111633622</v>
      </c>
      <c r="X106" s="225">
        <f t="shared" si="28"/>
        <v>20.824819304559181</v>
      </c>
      <c r="Y106" s="225"/>
      <c r="Z106" s="226" t="s">
        <v>1467</v>
      </c>
      <c r="AA106" s="226"/>
      <c r="AB106" s="254"/>
      <c r="AC106" s="243" t="s">
        <v>1772</v>
      </c>
      <c r="AD106" s="251">
        <v>0.84</v>
      </c>
      <c r="AE106" s="243" t="s">
        <v>1859</v>
      </c>
      <c r="AG106" s="244"/>
      <c r="AH106" s="244"/>
    </row>
    <row r="107" spans="2:37" s="182" customFormat="1" ht="15.75" hidden="1" customHeight="1" x14ac:dyDescent="0.2">
      <c r="B107" s="180"/>
      <c r="C107" s="217">
        <v>2017</v>
      </c>
      <c r="D107" s="180" t="s">
        <v>1685</v>
      </c>
      <c r="E107" s="180" t="s">
        <v>1688</v>
      </c>
      <c r="F107" s="180" t="s">
        <v>63</v>
      </c>
      <c r="G107" s="180" t="s">
        <v>260</v>
      </c>
      <c r="H107" s="180" t="s">
        <v>67</v>
      </c>
      <c r="I107" s="180" t="s">
        <v>76</v>
      </c>
      <c r="J107" s="180" t="s">
        <v>927</v>
      </c>
      <c r="K107" s="180">
        <v>7</v>
      </c>
      <c r="L107" s="180">
        <v>124</v>
      </c>
      <c r="M107" s="250">
        <v>225.565</v>
      </c>
      <c r="N107" s="180">
        <v>8.1</v>
      </c>
      <c r="O107" s="94">
        <v>9.5</v>
      </c>
      <c r="P107" s="239">
        <f t="shared" si="27"/>
        <v>4.8202815656050371</v>
      </c>
      <c r="Q107" s="262" t="str">
        <f t="shared" si="36"/>
        <v>Gadd Daph</v>
      </c>
      <c r="R107" s="263">
        <f t="shared" si="38"/>
        <v>-1.3075286681773663</v>
      </c>
      <c r="S107" s="220">
        <f t="shared" si="32"/>
        <v>6.1278102337824034</v>
      </c>
      <c r="T107" s="236">
        <f t="shared" si="42"/>
        <v>9</v>
      </c>
      <c r="U107" s="221" t="str">
        <f t="shared" si="47"/>
        <v>9-REP-EC20-Neonates, &lt;24-h old</v>
      </c>
      <c r="V107" s="222" cm="1">
        <f t="array" ref="V107">GEOMEAN(IF(U107=$U$4:$U$359,$S$4:$S$359))</f>
        <v>6.1590331950720723</v>
      </c>
      <c r="W107" s="264">
        <f t="shared" si="40"/>
        <v>3.0361455111633622</v>
      </c>
      <c r="X107" s="225">
        <f t="shared" si="28"/>
        <v>20.824819304559181</v>
      </c>
      <c r="Y107" s="225"/>
      <c r="Z107" s="226" t="s">
        <v>1467</v>
      </c>
      <c r="AA107" s="226"/>
      <c r="AB107" s="254"/>
      <c r="AC107" s="243" t="s">
        <v>1772</v>
      </c>
      <c r="AD107" s="251">
        <v>0.84</v>
      </c>
      <c r="AE107" s="243" t="s">
        <v>1859</v>
      </c>
      <c r="AG107" s="244"/>
      <c r="AH107" s="244"/>
    </row>
    <row r="108" spans="2:37" s="182" customFormat="1" ht="15.75" hidden="1" customHeight="1" x14ac:dyDescent="0.2">
      <c r="B108" s="180"/>
      <c r="C108" s="217">
        <v>2017</v>
      </c>
      <c r="D108" s="180" t="s">
        <v>1685</v>
      </c>
      <c r="E108" s="180" t="s">
        <v>1689</v>
      </c>
      <c r="F108" s="180" t="s">
        <v>63</v>
      </c>
      <c r="G108" s="180" t="s">
        <v>260</v>
      </c>
      <c r="H108" s="180" t="s">
        <v>67</v>
      </c>
      <c r="I108" s="180" t="s">
        <v>76</v>
      </c>
      <c r="J108" s="180" t="s">
        <v>927</v>
      </c>
      <c r="K108" s="180">
        <v>7</v>
      </c>
      <c r="L108" s="180">
        <v>77</v>
      </c>
      <c r="M108" s="250">
        <v>80.413200000000003</v>
      </c>
      <c r="N108" s="180">
        <v>8</v>
      </c>
      <c r="O108" s="94">
        <v>13.1</v>
      </c>
      <c r="P108" s="239">
        <f t="shared" si="27"/>
        <v>4.3438054218536841</v>
      </c>
      <c r="Q108" s="262" t="str">
        <f t="shared" si="36"/>
        <v>Gadd Daph</v>
      </c>
      <c r="R108" s="263">
        <f t="shared" si="38"/>
        <v>-1.462216354330125</v>
      </c>
      <c r="S108" s="220">
        <f t="shared" si="32"/>
        <v>5.8060217761838091</v>
      </c>
      <c r="T108" s="236">
        <f t="shared" si="42"/>
        <v>9</v>
      </c>
      <c r="U108" s="221" t="str">
        <f t="shared" si="47"/>
        <v>9-REP-EC20-Neonates, &lt;24-h old</v>
      </c>
      <c r="V108" s="222" cm="1">
        <f t="array" ref="V108">GEOMEAN(IF(U108=$U$4:$U$359,$S$4:$S$359))</f>
        <v>6.1590331950720723</v>
      </c>
      <c r="W108" s="264">
        <f t="shared" si="40"/>
        <v>3.0361455111633622</v>
      </c>
      <c r="X108" s="225">
        <f t="shared" si="28"/>
        <v>20.824819304559181</v>
      </c>
      <c r="Y108" s="225"/>
      <c r="Z108" s="226" t="s">
        <v>1467</v>
      </c>
      <c r="AA108" s="226"/>
      <c r="AB108" s="254"/>
      <c r="AC108" s="243" t="s">
        <v>1772</v>
      </c>
      <c r="AD108" s="251">
        <v>0.84</v>
      </c>
      <c r="AE108" s="243" t="s">
        <v>1859</v>
      </c>
      <c r="AG108" s="244"/>
      <c r="AH108" s="244"/>
    </row>
    <row r="109" spans="2:37" s="182" customFormat="1" ht="15.75" hidden="1" customHeight="1" x14ac:dyDescent="0.2">
      <c r="B109" s="180"/>
      <c r="C109" s="217">
        <v>2017</v>
      </c>
      <c r="D109" s="180" t="s">
        <v>1685</v>
      </c>
      <c r="E109" s="180" t="s">
        <v>1690</v>
      </c>
      <c r="F109" s="180" t="s">
        <v>63</v>
      </c>
      <c r="G109" s="180" t="s">
        <v>260</v>
      </c>
      <c r="H109" s="180" t="s">
        <v>67</v>
      </c>
      <c r="I109" s="180" t="s">
        <v>76</v>
      </c>
      <c r="J109" s="180" t="s">
        <v>927</v>
      </c>
      <c r="K109" s="180">
        <v>7</v>
      </c>
      <c r="L109" s="180">
        <v>104</v>
      </c>
      <c r="M109" s="250">
        <v>45.998000000000005</v>
      </c>
      <c r="N109" s="180">
        <v>7.2</v>
      </c>
      <c r="O109" s="94">
        <v>4.9000000000000004</v>
      </c>
      <c r="P109" s="239">
        <f t="shared" si="27"/>
        <v>4.6443908991413725</v>
      </c>
      <c r="Q109" s="262" t="str">
        <f t="shared" si="36"/>
        <v>Gadd Daph</v>
      </c>
      <c r="R109" s="263">
        <f t="shared" si="38"/>
        <v>-2.0358654983640263</v>
      </c>
      <c r="S109" s="220">
        <f t="shared" si="32"/>
        <v>6.6802563975053992</v>
      </c>
      <c r="T109" s="236">
        <f t="shared" si="42"/>
        <v>9</v>
      </c>
      <c r="U109" s="221" t="str">
        <f t="shared" si="47"/>
        <v>9-REP-EC20-Neonates, &lt;24-h old</v>
      </c>
      <c r="V109" s="222" cm="1">
        <f t="array" ref="V109">GEOMEAN(IF(U109=$U$4:$U$359,$S$4:$S$359))</f>
        <v>6.1590331950720723</v>
      </c>
      <c r="W109" s="264">
        <f t="shared" si="40"/>
        <v>3.0361455111633622</v>
      </c>
      <c r="X109" s="225">
        <f t="shared" si="28"/>
        <v>20.824819304559181</v>
      </c>
      <c r="Y109" s="225"/>
      <c r="Z109" s="226" t="s">
        <v>1467</v>
      </c>
      <c r="AA109" s="226"/>
      <c r="AB109" s="254"/>
      <c r="AC109" s="243" t="s">
        <v>1772</v>
      </c>
      <c r="AD109" s="251">
        <v>0.84</v>
      </c>
      <c r="AE109" s="243" t="s">
        <v>1859</v>
      </c>
      <c r="AG109" s="244"/>
      <c r="AH109" s="244"/>
    </row>
    <row r="110" spans="2:37" s="182" customFormat="1" ht="15.75" hidden="1" customHeight="1" x14ac:dyDescent="0.2">
      <c r="B110" s="180"/>
      <c r="C110" s="217">
        <v>2017</v>
      </c>
      <c r="D110" s="180" t="s">
        <v>1685</v>
      </c>
      <c r="E110" s="180" t="s">
        <v>1692</v>
      </c>
      <c r="F110" s="180" t="s">
        <v>63</v>
      </c>
      <c r="G110" s="180" t="s">
        <v>260</v>
      </c>
      <c r="H110" s="180" t="s">
        <v>67</v>
      </c>
      <c r="I110" s="180" t="s">
        <v>76</v>
      </c>
      <c r="J110" s="180" t="s">
        <v>927</v>
      </c>
      <c r="K110" s="180">
        <v>7</v>
      </c>
      <c r="L110" s="180">
        <v>124</v>
      </c>
      <c r="M110" s="250">
        <v>103.429</v>
      </c>
      <c r="N110" s="180">
        <v>7.2</v>
      </c>
      <c r="O110" s="94">
        <v>4.8</v>
      </c>
      <c r="P110" s="239">
        <f t="shared" si="27"/>
        <v>4.8202815656050371</v>
      </c>
      <c r="Q110" s="262" t="str">
        <f t="shared" si="36"/>
        <v>Gadd Daph</v>
      </c>
      <c r="R110" s="263">
        <f t="shared" si="38"/>
        <v>-1.7914395089641086</v>
      </c>
      <c r="S110" s="220">
        <f t="shared" si="32"/>
        <v>6.6117210745691457</v>
      </c>
      <c r="T110" s="236">
        <f t="shared" si="42"/>
        <v>9</v>
      </c>
      <c r="U110" s="221" t="str">
        <f t="shared" si="47"/>
        <v>9-REP-EC20-Neonates, &lt;24-h old</v>
      </c>
      <c r="V110" s="222" cm="1">
        <f t="array" ref="V110">GEOMEAN(IF(U110=$U$4:$U$359,$S$4:$S$359))</f>
        <v>6.1590331950720723</v>
      </c>
      <c r="W110" s="264">
        <f t="shared" si="40"/>
        <v>3.0361455111633622</v>
      </c>
      <c r="X110" s="225">
        <f t="shared" si="28"/>
        <v>20.824819304559181</v>
      </c>
      <c r="Y110" s="225"/>
      <c r="Z110" s="226" t="s">
        <v>1467</v>
      </c>
      <c r="AA110" s="226"/>
      <c r="AB110" s="272"/>
      <c r="AC110" s="243" t="s">
        <v>1772</v>
      </c>
      <c r="AD110" s="251">
        <v>0.84</v>
      </c>
      <c r="AE110" s="243" t="s">
        <v>1859</v>
      </c>
      <c r="AG110" s="244"/>
      <c r="AH110" s="244"/>
    </row>
    <row r="111" spans="2:37" s="182" customFormat="1" ht="15.75" hidden="1" customHeight="1" x14ac:dyDescent="0.2">
      <c r="B111" s="180"/>
      <c r="C111" s="217">
        <v>2017</v>
      </c>
      <c r="D111" s="180" t="s">
        <v>1685</v>
      </c>
      <c r="E111" s="180" t="s">
        <v>1693</v>
      </c>
      <c r="F111" s="180" t="s">
        <v>63</v>
      </c>
      <c r="G111" s="180" t="s">
        <v>260</v>
      </c>
      <c r="H111" s="180" t="s">
        <v>67</v>
      </c>
      <c r="I111" s="180" t="s">
        <v>76</v>
      </c>
      <c r="J111" s="180" t="s">
        <v>927</v>
      </c>
      <c r="K111" s="180">
        <v>7</v>
      </c>
      <c r="L111" s="180">
        <v>21</v>
      </c>
      <c r="M111" s="250">
        <v>45.998000000000005</v>
      </c>
      <c r="N111" s="180">
        <v>7.8</v>
      </c>
      <c r="O111" s="94">
        <v>4.7</v>
      </c>
      <c r="P111" s="239">
        <f t="shared" si="27"/>
        <v>3.044522437723423</v>
      </c>
      <c r="Q111" s="262" t="str">
        <f t="shared" si="36"/>
        <v>Gadd Daph</v>
      </c>
      <c r="R111" s="263">
        <f t="shared" si="38"/>
        <v>-2.1386851415283061</v>
      </c>
      <c r="S111" s="220">
        <f t="shared" si="32"/>
        <v>5.1832075792517287</v>
      </c>
      <c r="T111" s="236">
        <f t="shared" si="42"/>
        <v>9</v>
      </c>
      <c r="U111" s="221" t="str">
        <f t="shared" si="47"/>
        <v>9-REP-EC20-Neonates, &lt;24-h old</v>
      </c>
      <c r="V111" s="222" cm="1">
        <f t="array" ref="V111">GEOMEAN(IF(U111=$U$4:$U$359,$S$4:$S$359))</f>
        <v>6.1590331950720723</v>
      </c>
      <c r="W111" s="264">
        <f t="shared" si="40"/>
        <v>3.0361455111633622</v>
      </c>
      <c r="X111" s="225">
        <f t="shared" si="28"/>
        <v>20.824819304559181</v>
      </c>
      <c r="Y111" s="225"/>
      <c r="Z111" s="226" t="s">
        <v>1467</v>
      </c>
      <c r="AA111" s="226"/>
      <c r="AB111" s="254"/>
      <c r="AC111" s="243" t="s">
        <v>1772</v>
      </c>
      <c r="AD111" s="251">
        <v>0.84</v>
      </c>
      <c r="AE111" s="243" t="s">
        <v>1859</v>
      </c>
      <c r="AG111" s="244"/>
      <c r="AH111" s="244"/>
    </row>
    <row r="112" spans="2:37" s="182" customFormat="1" ht="15.75" hidden="1" customHeight="1" x14ac:dyDescent="0.2">
      <c r="B112" s="180"/>
      <c r="C112" s="217">
        <v>2017</v>
      </c>
      <c r="D112" s="180" t="s">
        <v>1685</v>
      </c>
      <c r="E112" s="180" t="s">
        <v>1691</v>
      </c>
      <c r="F112" s="180" t="s">
        <v>63</v>
      </c>
      <c r="G112" s="180" t="s">
        <v>260</v>
      </c>
      <c r="H112" s="180" t="s">
        <v>67</v>
      </c>
      <c r="I112" s="180" t="s">
        <v>76</v>
      </c>
      <c r="J112" s="180" t="s">
        <v>927</v>
      </c>
      <c r="K112" s="180">
        <v>7</v>
      </c>
      <c r="L112" s="180">
        <v>34</v>
      </c>
      <c r="M112" s="250">
        <v>15.004099999999999</v>
      </c>
      <c r="N112" s="273">
        <v>6.4</v>
      </c>
      <c r="O112" s="94">
        <v>12.4</v>
      </c>
      <c r="P112" s="239">
        <f t="shared" si="27"/>
        <v>3.5263605246161616</v>
      </c>
      <c r="Q112" s="262" t="str">
        <f t="shared" si="36"/>
        <v>Gadd Daph</v>
      </c>
      <c r="R112" s="263">
        <f t="shared" si="38"/>
        <v>-2.1460129956279999</v>
      </c>
      <c r="S112" s="221" t="s">
        <v>1875</v>
      </c>
      <c r="T112" s="236">
        <f t="shared" si="42"/>
        <v>9</v>
      </c>
      <c r="U112" s="221" t="s">
        <v>1876</v>
      </c>
      <c r="V112" s="222"/>
      <c r="W112" s="264"/>
      <c r="X112" s="225"/>
      <c r="Y112" s="225"/>
      <c r="Z112" s="226" t="s">
        <v>1467</v>
      </c>
      <c r="AA112" s="194" t="s">
        <v>1874</v>
      </c>
      <c r="AB112" s="272"/>
      <c r="AC112" s="243" t="s">
        <v>1877</v>
      </c>
      <c r="AD112" s="243" t="s">
        <v>1878</v>
      </c>
      <c r="AE112" s="243" t="s">
        <v>1859</v>
      </c>
      <c r="AG112" s="244"/>
      <c r="AH112" s="244"/>
    </row>
    <row r="113" spans="1:38" s="182" customFormat="1" ht="15.75" hidden="1" customHeight="1" x14ac:dyDescent="0.2">
      <c r="A113" s="182" t="s">
        <v>1879</v>
      </c>
      <c r="B113" s="180"/>
      <c r="C113" s="217">
        <v>2017</v>
      </c>
      <c r="D113" s="180" t="s">
        <v>1685</v>
      </c>
      <c r="E113" s="180" t="s">
        <v>1687</v>
      </c>
      <c r="F113" s="180" t="s">
        <v>63</v>
      </c>
      <c r="G113" s="180" t="s">
        <v>260</v>
      </c>
      <c r="H113" s="180" t="s">
        <v>67</v>
      </c>
      <c r="I113" s="180" t="s">
        <v>76</v>
      </c>
      <c r="J113" s="180" t="s">
        <v>49</v>
      </c>
      <c r="K113" s="180">
        <v>7</v>
      </c>
      <c r="L113" s="180">
        <v>73</v>
      </c>
      <c r="M113" s="250">
        <v>213.11359999999996</v>
      </c>
      <c r="N113" s="180">
        <v>8.3000000000000007</v>
      </c>
      <c r="O113" s="94">
        <v>16.399999999999999</v>
      </c>
      <c r="P113" s="239">
        <f t="shared" si="27"/>
        <v>4.290459441148391</v>
      </c>
      <c r="Q113" s="262" t="str">
        <f t="shared" si="36"/>
        <v>Gadd Daph</v>
      </c>
      <c r="R113" s="263">
        <f t="shared" si="38"/>
        <v>-0.99784358915051374</v>
      </c>
      <c r="S113" s="220">
        <f t="shared" ref="S113:S118" si="48">P113-R113</f>
        <v>5.2883030302989047</v>
      </c>
      <c r="T113" s="236">
        <f t="shared" si="42"/>
        <v>9</v>
      </c>
      <c r="U113" s="221" t="str">
        <f t="shared" ref="U113:U118" si="49">CONCATENATE(T113,"-",I113,"-",J113,"-",H113)</f>
        <v>9-REP-EC10-Neonates, &lt;24-h old</v>
      </c>
      <c r="V113" s="222" cm="1">
        <f t="array" ref="V113">GEOMEAN(IF(U113=$U$4:$U$359,$S$4:$S$359))</f>
        <v>5.9159169754321423</v>
      </c>
      <c r="W113" s="264">
        <f t="shared" ref="W113:W118" si="50">V113+$AI$5*$AI$2+$AH$5*LN($AH$2)+$AJ$5*LN($AJ$2)+$AK$5*LN($AJ$2)*$AI$2</f>
        <v>2.7930292915234323</v>
      </c>
      <c r="X113" s="225">
        <f t="shared" ref="X113:X118" si="51">EXP(W113)</f>
        <v>16.330414534816853</v>
      </c>
      <c r="Y113" s="225">
        <f>X113</f>
        <v>16.330414534816853</v>
      </c>
      <c r="Z113" s="226"/>
      <c r="AA113" s="226"/>
      <c r="AB113" s="254"/>
      <c r="AC113" s="243" t="s">
        <v>1772</v>
      </c>
      <c r="AD113" s="251">
        <v>0.84</v>
      </c>
      <c r="AE113" s="243" t="s">
        <v>1859</v>
      </c>
      <c r="AG113" s="244"/>
      <c r="AH113" s="244"/>
      <c r="AI113" s="183"/>
      <c r="AJ113" s="183"/>
      <c r="AK113" s="183"/>
    </row>
    <row r="114" spans="1:38" s="182" customFormat="1" ht="15.75" hidden="1" customHeight="1" x14ac:dyDescent="0.2">
      <c r="A114" s="182" t="s">
        <v>1880</v>
      </c>
      <c r="B114" s="180"/>
      <c r="C114" s="217">
        <v>2017</v>
      </c>
      <c r="D114" s="180" t="s">
        <v>1685</v>
      </c>
      <c r="E114" s="180" t="s">
        <v>1688</v>
      </c>
      <c r="F114" s="180" t="s">
        <v>63</v>
      </c>
      <c r="G114" s="180" t="s">
        <v>260</v>
      </c>
      <c r="H114" s="180" t="s">
        <v>67</v>
      </c>
      <c r="I114" s="180" t="s">
        <v>76</v>
      </c>
      <c r="J114" s="180" t="s">
        <v>49</v>
      </c>
      <c r="K114" s="180">
        <v>7</v>
      </c>
      <c r="L114" s="180">
        <v>111</v>
      </c>
      <c r="M114" s="250">
        <v>225.565</v>
      </c>
      <c r="N114" s="180">
        <v>8.1</v>
      </c>
      <c r="O114" s="94">
        <v>9.5</v>
      </c>
      <c r="P114" s="239">
        <f t="shared" si="27"/>
        <v>4.7095302013123339</v>
      </c>
      <c r="Q114" s="262" t="str">
        <f t="shared" si="36"/>
        <v>Gadd Daph</v>
      </c>
      <c r="R114" s="263">
        <f t="shared" si="38"/>
        <v>-1.3075286681773663</v>
      </c>
      <c r="S114" s="220">
        <f t="shared" si="48"/>
        <v>6.0170588694897003</v>
      </c>
      <c r="T114" s="236">
        <f t="shared" si="42"/>
        <v>9</v>
      </c>
      <c r="U114" s="221" t="str">
        <f t="shared" si="49"/>
        <v>9-REP-EC10-Neonates, &lt;24-h old</v>
      </c>
      <c r="V114" s="222" cm="1">
        <f t="array" ref="V114">GEOMEAN(IF(U114=$U$4:$U$359,$S$4:$S$359))</f>
        <v>5.9159169754321423</v>
      </c>
      <c r="W114" s="264">
        <f t="shared" si="50"/>
        <v>2.7930292915234323</v>
      </c>
      <c r="X114" s="225">
        <f t="shared" si="51"/>
        <v>16.330414534816853</v>
      </c>
      <c r="Y114" s="225">
        <f t="shared" ref="Y114:Y118" si="52">X114</f>
        <v>16.330414534816853</v>
      </c>
      <c r="Z114" s="226"/>
      <c r="AA114" s="226"/>
      <c r="AB114" s="272"/>
      <c r="AC114" s="243" t="s">
        <v>1772</v>
      </c>
      <c r="AD114" s="251">
        <v>0.84</v>
      </c>
      <c r="AE114" s="243" t="s">
        <v>1859</v>
      </c>
      <c r="AG114" s="244"/>
      <c r="AH114" s="244"/>
      <c r="AI114" s="183"/>
      <c r="AJ114" s="183"/>
      <c r="AK114" s="183"/>
      <c r="AL114" s="183"/>
    </row>
    <row r="115" spans="1:38" s="182" customFormat="1" ht="15.75" hidden="1" customHeight="1" x14ac:dyDescent="0.2">
      <c r="A115" s="182" t="s">
        <v>1881</v>
      </c>
      <c r="B115" s="180"/>
      <c r="C115" s="217">
        <v>2017</v>
      </c>
      <c r="D115" s="180" t="s">
        <v>1685</v>
      </c>
      <c r="E115" s="180" t="s">
        <v>1689</v>
      </c>
      <c r="F115" s="180" t="s">
        <v>63</v>
      </c>
      <c r="G115" s="180" t="s">
        <v>260</v>
      </c>
      <c r="H115" s="180" t="s">
        <v>67</v>
      </c>
      <c r="I115" s="180" t="s">
        <v>76</v>
      </c>
      <c r="J115" s="180" t="s">
        <v>49</v>
      </c>
      <c r="K115" s="180">
        <v>7</v>
      </c>
      <c r="L115" s="180">
        <v>64</v>
      </c>
      <c r="M115" s="250">
        <v>80.413200000000003</v>
      </c>
      <c r="N115" s="180">
        <v>8</v>
      </c>
      <c r="O115" s="94">
        <v>13.1</v>
      </c>
      <c r="P115" s="239">
        <f t="shared" si="27"/>
        <v>4.1588830833596715</v>
      </c>
      <c r="Q115" s="262" t="str">
        <f t="shared" si="36"/>
        <v>Gadd Daph</v>
      </c>
      <c r="R115" s="263">
        <f t="shared" si="38"/>
        <v>-1.462216354330125</v>
      </c>
      <c r="S115" s="220">
        <f t="shared" si="48"/>
        <v>5.6210994376897965</v>
      </c>
      <c r="T115" s="236">
        <f t="shared" si="42"/>
        <v>9</v>
      </c>
      <c r="U115" s="221" t="str">
        <f t="shared" si="49"/>
        <v>9-REP-EC10-Neonates, &lt;24-h old</v>
      </c>
      <c r="V115" s="222" cm="1">
        <f t="array" ref="V115">GEOMEAN(IF(U115=$U$4:$U$359,$S$4:$S$359))</f>
        <v>5.9159169754321423</v>
      </c>
      <c r="W115" s="264">
        <f t="shared" si="50"/>
        <v>2.7930292915234323</v>
      </c>
      <c r="X115" s="225">
        <f t="shared" si="51"/>
        <v>16.330414534816853</v>
      </c>
      <c r="Y115" s="225">
        <f t="shared" si="52"/>
        <v>16.330414534816853</v>
      </c>
      <c r="Z115" s="226"/>
      <c r="AA115" s="226"/>
      <c r="AB115" s="254"/>
      <c r="AC115" s="243" t="s">
        <v>1772</v>
      </c>
      <c r="AD115" s="251">
        <v>0.84</v>
      </c>
      <c r="AE115" s="243" t="s">
        <v>1859</v>
      </c>
      <c r="AG115" s="244"/>
      <c r="AH115" s="244"/>
      <c r="AI115" s="183"/>
      <c r="AJ115" s="183"/>
      <c r="AK115" s="183"/>
      <c r="AL115" s="183"/>
    </row>
    <row r="116" spans="1:38" s="182" customFormat="1" ht="15.75" hidden="1" customHeight="1" x14ac:dyDescent="0.2">
      <c r="A116" s="182" t="s">
        <v>1882</v>
      </c>
      <c r="B116" s="180"/>
      <c r="C116" s="217">
        <v>2017</v>
      </c>
      <c r="D116" s="180" t="s">
        <v>1685</v>
      </c>
      <c r="E116" s="180" t="s">
        <v>1690</v>
      </c>
      <c r="F116" s="180" t="s">
        <v>63</v>
      </c>
      <c r="G116" s="180" t="s">
        <v>260</v>
      </c>
      <c r="H116" s="180" t="s">
        <v>67</v>
      </c>
      <c r="I116" s="180" t="s">
        <v>76</v>
      </c>
      <c r="J116" s="180" t="s">
        <v>49</v>
      </c>
      <c r="K116" s="180">
        <v>7</v>
      </c>
      <c r="L116" s="180">
        <v>89</v>
      </c>
      <c r="M116" s="250">
        <v>45.998000000000005</v>
      </c>
      <c r="N116" s="180">
        <v>7.2</v>
      </c>
      <c r="O116" s="94">
        <v>4.9000000000000004</v>
      </c>
      <c r="P116" s="239">
        <f t="shared" si="27"/>
        <v>4.4886363697321396</v>
      </c>
      <c r="Q116" s="262" t="str">
        <f t="shared" si="36"/>
        <v>Gadd Daph</v>
      </c>
      <c r="R116" s="263">
        <f t="shared" si="38"/>
        <v>-2.0358654983640263</v>
      </c>
      <c r="S116" s="220">
        <f t="shared" si="48"/>
        <v>6.5245018680961664</v>
      </c>
      <c r="T116" s="236">
        <f t="shared" si="42"/>
        <v>9</v>
      </c>
      <c r="U116" s="221" t="str">
        <f t="shared" si="49"/>
        <v>9-REP-EC10-Neonates, &lt;24-h old</v>
      </c>
      <c r="V116" s="222" cm="1">
        <f t="array" ref="V116">GEOMEAN(IF(U116=$U$4:$U$359,$S$4:$S$359))</f>
        <v>5.9159169754321423</v>
      </c>
      <c r="W116" s="264">
        <f t="shared" si="50"/>
        <v>2.7930292915234323</v>
      </c>
      <c r="X116" s="225">
        <f t="shared" si="51"/>
        <v>16.330414534816853</v>
      </c>
      <c r="Y116" s="225">
        <f t="shared" si="52"/>
        <v>16.330414534816853</v>
      </c>
      <c r="Z116" s="226"/>
      <c r="AA116" s="226"/>
      <c r="AB116" s="272"/>
      <c r="AC116" s="243" t="s">
        <v>1772</v>
      </c>
      <c r="AD116" s="251">
        <v>0.84</v>
      </c>
      <c r="AE116" s="243" t="s">
        <v>1859</v>
      </c>
      <c r="AG116" s="244"/>
      <c r="AH116" s="244"/>
      <c r="AI116" s="183"/>
      <c r="AJ116" s="183"/>
      <c r="AK116" s="183"/>
      <c r="AL116" s="183"/>
    </row>
    <row r="117" spans="1:38" s="182" customFormat="1" ht="15.75" hidden="1" customHeight="1" x14ac:dyDescent="0.2">
      <c r="A117" s="182" t="s">
        <v>1883</v>
      </c>
      <c r="B117" s="180"/>
      <c r="C117" s="217">
        <v>2017</v>
      </c>
      <c r="D117" s="180" t="s">
        <v>1685</v>
      </c>
      <c r="E117" s="180" t="s">
        <v>1692</v>
      </c>
      <c r="F117" s="180" t="s">
        <v>63</v>
      </c>
      <c r="G117" s="180" t="s">
        <v>260</v>
      </c>
      <c r="H117" s="180" t="s">
        <v>67</v>
      </c>
      <c r="I117" s="180" t="s">
        <v>76</v>
      </c>
      <c r="J117" s="180" t="s">
        <v>49</v>
      </c>
      <c r="K117" s="180">
        <v>7</v>
      </c>
      <c r="L117" s="180">
        <v>98</v>
      </c>
      <c r="M117" s="250">
        <v>103.429</v>
      </c>
      <c r="N117" s="180">
        <v>7.2</v>
      </c>
      <c r="O117" s="94">
        <v>4.8</v>
      </c>
      <c r="P117" s="239">
        <f t="shared" si="27"/>
        <v>4.5849674786705723</v>
      </c>
      <c r="Q117" s="262" t="str">
        <f t="shared" si="36"/>
        <v>Gadd Daph</v>
      </c>
      <c r="R117" s="263">
        <f t="shared" si="38"/>
        <v>-1.7914395089641086</v>
      </c>
      <c r="S117" s="220">
        <f t="shared" si="48"/>
        <v>6.3764069876346809</v>
      </c>
      <c r="T117" s="236">
        <f t="shared" si="42"/>
        <v>9</v>
      </c>
      <c r="U117" s="221" t="str">
        <f t="shared" si="49"/>
        <v>9-REP-EC10-Neonates, &lt;24-h old</v>
      </c>
      <c r="V117" s="222" cm="1">
        <f t="array" ref="V117">GEOMEAN(IF(U117=$U$4:$U$359,$S$4:$S$359))</f>
        <v>5.9159169754321423</v>
      </c>
      <c r="W117" s="264">
        <f t="shared" si="50"/>
        <v>2.7930292915234323</v>
      </c>
      <c r="X117" s="225">
        <f t="shared" si="51"/>
        <v>16.330414534816853</v>
      </c>
      <c r="Y117" s="225">
        <f t="shared" si="52"/>
        <v>16.330414534816853</v>
      </c>
      <c r="Z117" s="226"/>
      <c r="AA117" s="226"/>
      <c r="AB117" s="254"/>
      <c r="AC117" s="243" t="s">
        <v>1772</v>
      </c>
      <c r="AD117" s="251">
        <v>0.84</v>
      </c>
      <c r="AE117" s="243" t="s">
        <v>1859</v>
      </c>
      <c r="AG117" s="244"/>
      <c r="AH117" s="244"/>
      <c r="AI117" s="183"/>
      <c r="AJ117" s="183"/>
      <c r="AK117" s="183"/>
      <c r="AL117" s="183"/>
    </row>
    <row r="118" spans="1:38" s="183" customFormat="1" ht="15.75" hidden="1" customHeight="1" x14ac:dyDescent="0.2">
      <c r="A118" s="182" t="s">
        <v>1884</v>
      </c>
      <c r="B118" s="180"/>
      <c r="C118" s="217">
        <v>2017</v>
      </c>
      <c r="D118" s="180" t="s">
        <v>1685</v>
      </c>
      <c r="E118" s="180" t="s">
        <v>1693</v>
      </c>
      <c r="F118" s="180" t="s">
        <v>63</v>
      </c>
      <c r="G118" s="180" t="s">
        <v>260</v>
      </c>
      <c r="H118" s="180" t="s">
        <v>67</v>
      </c>
      <c r="I118" s="180" t="s">
        <v>76</v>
      </c>
      <c r="J118" s="180" t="s">
        <v>49</v>
      </c>
      <c r="K118" s="180">
        <v>7</v>
      </c>
      <c r="L118" s="180">
        <v>14</v>
      </c>
      <c r="M118" s="250">
        <v>45.998000000000005</v>
      </c>
      <c r="N118" s="180">
        <v>7.8</v>
      </c>
      <c r="O118" s="94">
        <v>4.7</v>
      </c>
      <c r="P118" s="239">
        <f t="shared" si="27"/>
        <v>2.6390573296152584</v>
      </c>
      <c r="Q118" s="262" t="str">
        <f t="shared" si="36"/>
        <v>Gadd Daph</v>
      </c>
      <c r="R118" s="263">
        <f t="shared" si="38"/>
        <v>-2.1386851415283061</v>
      </c>
      <c r="S118" s="220">
        <f t="shared" si="48"/>
        <v>4.777742471143565</v>
      </c>
      <c r="T118" s="236">
        <f t="shared" si="42"/>
        <v>9</v>
      </c>
      <c r="U118" s="221" t="str">
        <f t="shared" si="49"/>
        <v>9-REP-EC10-Neonates, &lt;24-h old</v>
      </c>
      <c r="V118" s="222" cm="1">
        <f t="array" ref="V118">GEOMEAN(IF(U118=$U$4:$U$359,$S$4:$S$359))</f>
        <v>5.9159169754321423</v>
      </c>
      <c r="W118" s="264">
        <f t="shared" si="50"/>
        <v>2.7930292915234323</v>
      </c>
      <c r="X118" s="225">
        <f t="shared" si="51"/>
        <v>16.330414534816853</v>
      </c>
      <c r="Y118" s="225">
        <f t="shared" si="52"/>
        <v>16.330414534816853</v>
      </c>
      <c r="Z118" s="226"/>
      <c r="AA118" s="226"/>
      <c r="AB118" s="272"/>
      <c r="AC118" s="243" t="s">
        <v>1772</v>
      </c>
      <c r="AD118" s="251">
        <v>0.84</v>
      </c>
      <c r="AE118" s="243" t="s">
        <v>1859</v>
      </c>
      <c r="AG118" s="244"/>
      <c r="AH118" s="244"/>
    </row>
    <row r="119" spans="1:38" s="183" customFormat="1" ht="15.75" hidden="1" customHeight="1" x14ac:dyDescent="0.2">
      <c r="A119" s="182" t="s">
        <v>1885</v>
      </c>
      <c r="B119" s="180"/>
      <c r="C119" s="217">
        <v>2017</v>
      </c>
      <c r="D119" s="180" t="s">
        <v>1685</v>
      </c>
      <c r="E119" s="180" t="s">
        <v>1691</v>
      </c>
      <c r="F119" s="180" t="s">
        <v>63</v>
      </c>
      <c r="G119" s="180" t="s">
        <v>260</v>
      </c>
      <c r="H119" s="180" t="s">
        <v>67</v>
      </c>
      <c r="I119" s="180" t="s">
        <v>76</v>
      </c>
      <c r="J119" s="180" t="s">
        <v>49</v>
      </c>
      <c r="K119" s="180">
        <v>7</v>
      </c>
      <c r="L119" s="180">
        <v>22</v>
      </c>
      <c r="M119" s="250">
        <v>15.004099999999999</v>
      </c>
      <c r="N119" s="180">
        <v>6.4</v>
      </c>
      <c r="O119" s="94">
        <v>12.4</v>
      </c>
      <c r="P119" s="239"/>
      <c r="Q119" s="262"/>
      <c r="R119" s="263"/>
      <c r="S119" s="221" t="s">
        <v>1875</v>
      </c>
      <c r="T119" s="236">
        <f t="shared" si="42"/>
        <v>9</v>
      </c>
      <c r="U119" s="221" t="s">
        <v>1876</v>
      </c>
      <c r="V119" s="222"/>
      <c r="W119" s="264"/>
      <c r="X119" s="225"/>
      <c r="Y119" s="225"/>
      <c r="Z119" s="226"/>
      <c r="AA119" s="194" t="s">
        <v>1874</v>
      </c>
      <c r="AB119" s="254"/>
      <c r="AC119" s="243" t="s">
        <v>1877</v>
      </c>
      <c r="AD119" s="243" t="s">
        <v>1878</v>
      </c>
      <c r="AE119" s="243" t="s">
        <v>1859</v>
      </c>
      <c r="AG119" s="244"/>
      <c r="AH119" s="244"/>
    </row>
    <row r="120" spans="1:38" s="183" customFormat="1" ht="15.75" hidden="1" customHeight="1" x14ac:dyDescent="0.2">
      <c r="B120" s="180"/>
      <c r="C120" s="252">
        <v>2021</v>
      </c>
      <c r="D120" s="246" t="s">
        <v>1705</v>
      </c>
      <c r="E120" s="246" t="s">
        <v>1706</v>
      </c>
      <c r="F120" s="246" t="s">
        <v>63</v>
      </c>
      <c r="G120" s="246" t="s">
        <v>260</v>
      </c>
      <c r="H120" s="246" t="s">
        <v>67</v>
      </c>
      <c r="I120" s="246" t="s">
        <v>76</v>
      </c>
      <c r="J120" s="246" t="s">
        <v>927</v>
      </c>
      <c r="K120" s="229">
        <v>7</v>
      </c>
      <c r="L120" s="252">
        <v>67</v>
      </c>
      <c r="M120" s="246">
        <v>292</v>
      </c>
      <c r="N120" s="274">
        <v>8.11</v>
      </c>
      <c r="O120" s="94">
        <v>0.62</v>
      </c>
      <c r="P120" s="239">
        <f t="shared" ref="P120:P185" si="53">LN(L120)</f>
        <v>4.2046926193909657</v>
      </c>
      <c r="Q120" s="262" t="str">
        <f t="shared" ref="Q120:Q183" si="54">$AG$5</f>
        <v>Gadd Daph</v>
      </c>
      <c r="R120" s="263">
        <f t="shared" ref="R120:R184" si="55">$AI$5*N120+$AH$5*LN(M120)+$AJ$5*LN(O120)+$AK$5*LN(O120)*N120</f>
        <v>-2.7186050829320876</v>
      </c>
      <c r="S120" s="220">
        <f t="shared" ref="S120:S185" si="56">P120-R120</f>
        <v>6.9232977023230529</v>
      </c>
      <c r="T120" s="236">
        <f t="shared" si="42"/>
        <v>9</v>
      </c>
      <c r="U120" s="221" t="str">
        <f t="shared" ref="U120:U121" si="57">CONCATENATE(T120,"-",I120,"-",J120,"-",H120)</f>
        <v>9-REP-EC20-Neonates, &lt;24-h old</v>
      </c>
      <c r="V120" s="222" cm="1">
        <f t="array" ref="V120">GEOMEAN(IF(U120=$U$4:$U$359,$S$4:$S$359))</f>
        <v>6.1590331950720723</v>
      </c>
      <c r="W120" s="264">
        <f t="shared" ref="W120:W184" si="58">V120+$AI$5*$AI$2+$AH$5*LN($AH$2)+$AJ$5*LN($AJ$2)+$AK$5*LN($AJ$2)*$AI$2</f>
        <v>3.0361455111633622</v>
      </c>
      <c r="X120" s="225">
        <f t="shared" ref="X120:X185" si="59">EXP(W120)</f>
        <v>20.824819304559181</v>
      </c>
      <c r="Y120" s="225"/>
      <c r="Z120" s="226" t="s">
        <v>1467</v>
      </c>
      <c r="AA120" s="226"/>
      <c r="AB120" s="272"/>
      <c r="AC120" s="243"/>
      <c r="AD120" s="243"/>
      <c r="AE120" s="243"/>
      <c r="AG120" s="244"/>
      <c r="AH120" s="244"/>
    </row>
    <row r="121" spans="1:38" s="183" customFormat="1" ht="15.75" hidden="1" customHeight="1" x14ac:dyDescent="0.2">
      <c r="B121" s="180"/>
      <c r="C121" s="252">
        <v>2021</v>
      </c>
      <c r="D121" s="246" t="s">
        <v>1705</v>
      </c>
      <c r="E121" s="246" t="s">
        <v>1707</v>
      </c>
      <c r="F121" s="246" t="s">
        <v>63</v>
      </c>
      <c r="G121" s="246" t="s">
        <v>260</v>
      </c>
      <c r="H121" s="246" t="s">
        <v>67</v>
      </c>
      <c r="I121" s="246" t="s">
        <v>76</v>
      </c>
      <c r="J121" s="246" t="s">
        <v>927</v>
      </c>
      <c r="K121" s="229">
        <v>7</v>
      </c>
      <c r="L121" s="252">
        <v>75</v>
      </c>
      <c r="M121" s="246">
        <v>24</v>
      </c>
      <c r="N121" s="274">
        <v>7.39</v>
      </c>
      <c r="O121" s="94">
        <v>0.41</v>
      </c>
      <c r="P121" s="239">
        <f t="shared" si="53"/>
        <v>4.3174881135363101</v>
      </c>
      <c r="Q121" s="262" t="str">
        <f t="shared" si="54"/>
        <v>Gadd Daph</v>
      </c>
      <c r="R121" s="263">
        <f t="shared" si="55"/>
        <v>-3.190704369956558</v>
      </c>
      <c r="S121" s="220">
        <f t="shared" si="56"/>
        <v>7.5081924834928682</v>
      </c>
      <c r="T121" s="236">
        <f t="shared" si="42"/>
        <v>9</v>
      </c>
      <c r="U121" s="221" t="str">
        <f t="shared" si="57"/>
        <v>9-REP-EC20-Neonates, &lt;24-h old</v>
      </c>
      <c r="V121" s="222" cm="1">
        <f t="array" ref="V121">GEOMEAN(IF(U121=$U$4:$U$359,$S$4:$S$359))</f>
        <v>6.1590331950720723</v>
      </c>
      <c r="W121" s="264">
        <f t="shared" si="58"/>
        <v>3.0361455111633622</v>
      </c>
      <c r="X121" s="225">
        <f t="shared" si="59"/>
        <v>20.824819304559181</v>
      </c>
      <c r="Y121" s="225"/>
      <c r="Z121" s="226" t="s">
        <v>1467</v>
      </c>
      <c r="AA121" s="226"/>
      <c r="AB121" s="254"/>
      <c r="AC121" s="243"/>
      <c r="AD121" s="243"/>
      <c r="AE121" s="243"/>
      <c r="AG121" s="244"/>
      <c r="AH121" s="244"/>
    </row>
    <row r="122" spans="1:38" s="183" customFormat="1" ht="15.75" hidden="1" customHeight="1" x14ac:dyDescent="0.2">
      <c r="B122" s="180"/>
      <c r="C122" s="252">
        <v>2021</v>
      </c>
      <c r="D122" s="246" t="s">
        <v>1705</v>
      </c>
      <c r="E122" s="246" t="s">
        <v>1708</v>
      </c>
      <c r="F122" s="246" t="s">
        <v>63</v>
      </c>
      <c r="G122" s="246" t="s">
        <v>260</v>
      </c>
      <c r="H122" s="246" t="s">
        <v>67</v>
      </c>
      <c r="I122" s="246" t="s">
        <v>76</v>
      </c>
      <c r="J122" s="246" t="s">
        <v>927</v>
      </c>
      <c r="K122" s="229">
        <v>7</v>
      </c>
      <c r="L122" s="252">
        <v>90</v>
      </c>
      <c r="M122" s="246">
        <v>18</v>
      </c>
      <c r="N122" s="274">
        <v>6.58</v>
      </c>
      <c r="O122" s="94">
        <v>29</v>
      </c>
      <c r="P122" s="239">
        <f t="shared" si="53"/>
        <v>4.499809670330265</v>
      </c>
      <c r="Q122" s="262" t="str">
        <f t="shared" si="54"/>
        <v>Gadd Daph</v>
      </c>
      <c r="R122" s="263">
        <f t="shared" si="55"/>
        <v>-1.9221653423186122</v>
      </c>
      <c r="S122" s="220">
        <f t="shared" si="56"/>
        <v>6.4219750126488773</v>
      </c>
      <c r="T122" s="236">
        <f t="shared" si="42"/>
        <v>9</v>
      </c>
      <c r="U122" s="221"/>
      <c r="V122" s="222" t="e" cm="1">
        <f t="array" ref="V122">GEOMEAN(IF(U122=$U$4:$U$359,$S$4:$S$359))</f>
        <v>#NUM!</v>
      </c>
      <c r="W122" s="264" t="e">
        <f t="shared" si="58"/>
        <v>#NUM!</v>
      </c>
      <c r="X122" s="225" t="e">
        <f t="shared" si="59"/>
        <v>#NUM!</v>
      </c>
      <c r="Y122" s="225"/>
      <c r="Z122" s="226" t="s">
        <v>1467</v>
      </c>
      <c r="AA122" s="194" t="s">
        <v>1874</v>
      </c>
      <c r="AB122" s="272"/>
      <c r="AC122" s="243"/>
      <c r="AD122" s="243"/>
      <c r="AE122" s="243"/>
      <c r="AG122" s="244"/>
      <c r="AH122" s="244"/>
    </row>
    <row r="123" spans="1:38" s="183" customFormat="1" ht="15.75" hidden="1" customHeight="1" x14ac:dyDescent="0.2">
      <c r="B123" s="180"/>
      <c r="C123" s="252">
        <v>2021</v>
      </c>
      <c r="D123" s="246" t="s">
        <v>1705</v>
      </c>
      <c r="E123" s="246" t="s">
        <v>1709</v>
      </c>
      <c r="F123" s="246" t="s">
        <v>63</v>
      </c>
      <c r="G123" s="246" t="s">
        <v>260</v>
      </c>
      <c r="H123" s="246" t="s">
        <v>67</v>
      </c>
      <c r="I123" s="246" t="s">
        <v>76</v>
      </c>
      <c r="J123" s="246" t="s">
        <v>927</v>
      </c>
      <c r="K123" s="229">
        <v>7</v>
      </c>
      <c r="L123" s="252">
        <v>43</v>
      </c>
      <c r="M123" s="246">
        <v>377</v>
      </c>
      <c r="N123" s="274">
        <v>8.41</v>
      </c>
      <c r="O123" s="94">
        <v>3</v>
      </c>
      <c r="P123" s="239">
        <f t="shared" si="53"/>
        <v>3.7612001156935624</v>
      </c>
      <c r="Q123" s="262" t="str">
        <f t="shared" si="54"/>
        <v>Gadd Daph</v>
      </c>
      <c r="R123" s="263">
        <f t="shared" si="55"/>
        <v>-1.854822152578758</v>
      </c>
      <c r="S123" s="220">
        <f t="shared" si="56"/>
        <v>5.6160222682723209</v>
      </c>
      <c r="T123" s="236">
        <f t="shared" si="42"/>
        <v>9</v>
      </c>
      <c r="U123" s="221" t="str">
        <f t="shared" ref="U123:U133" si="60">CONCATENATE(T123,"-",I123,"-",J123,"-",H123)</f>
        <v>9-REP-EC20-Neonates, &lt;24-h old</v>
      </c>
      <c r="V123" s="222" cm="1">
        <f t="array" ref="V123">GEOMEAN(IF(U123=$U$4:$U$359,$S$4:$S$359))</f>
        <v>6.1590331950720723</v>
      </c>
      <c r="W123" s="264">
        <f t="shared" si="58"/>
        <v>3.0361455111633622</v>
      </c>
      <c r="X123" s="225">
        <f t="shared" si="59"/>
        <v>20.824819304559181</v>
      </c>
      <c r="Y123" s="225"/>
      <c r="Z123" s="226" t="s">
        <v>1467</v>
      </c>
      <c r="AA123" s="226"/>
      <c r="AB123" s="254"/>
      <c r="AC123" s="243"/>
      <c r="AD123" s="243"/>
      <c r="AE123" s="243"/>
      <c r="AG123" s="244"/>
      <c r="AH123" s="244"/>
    </row>
    <row r="124" spans="1:38" s="183" customFormat="1" ht="15.75" hidden="1" customHeight="1" x14ac:dyDescent="0.2">
      <c r="B124" s="180"/>
      <c r="C124" s="252">
        <v>2021</v>
      </c>
      <c r="D124" s="246" t="s">
        <v>1705</v>
      </c>
      <c r="E124" s="246" t="s">
        <v>1710</v>
      </c>
      <c r="F124" s="246" t="s">
        <v>63</v>
      </c>
      <c r="G124" s="246" t="s">
        <v>260</v>
      </c>
      <c r="H124" s="246" t="s">
        <v>67</v>
      </c>
      <c r="I124" s="246" t="s">
        <v>76</v>
      </c>
      <c r="J124" s="246" t="s">
        <v>927</v>
      </c>
      <c r="K124" s="229">
        <v>7</v>
      </c>
      <c r="L124" s="252">
        <v>39</v>
      </c>
      <c r="M124" s="246">
        <v>323</v>
      </c>
      <c r="N124" s="274">
        <v>7.06</v>
      </c>
      <c r="O124" s="94">
        <v>5</v>
      </c>
      <c r="P124" s="239">
        <f t="shared" si="53"/>
        <v>3.6635616461296463</v>
      </c>
      <c r="Q124" s="262" t="str">
        <f t="shared" si="54"/>
        <v>Gadd Daph</v>
      </c>
      <c r="R124" s="263">
        <f t="shared" si="55"/>
        <v>-1.4063092583803778</v>
      </c>
      <c r="S124" s="220">
        <f t="shared" si="56"/>
        <v>5.0698709045100241</v>
      </c>
      <c r="T124" s="236">
        <f t="shared" si="42"/>
        <v>9</v>
      </c>
      <c r="U124" s="221" t="str">
        <f t="shared" si="60"/>
        <v>9-REP-EC20-Neonates, &lt;24-h old</v>
      </c>
      <c r="V124" s="222" cm="1">
        <f t="array" ref="V124">GEOMEAN(IF(U124=$U$4:$U$359,$S$4:$S$359))</f>
        <v>6.1590331950720723</v>
      </c>
      <c r="W124" s="264">
        <f t="shared" si="58"/>
        <v>3.0361455111633622</v>
      </c>
      <c r="X124" s="225">
        <f t="shared" si="59"/>
        <v>20.824819304559181</v>
      </c>
      <c r="Y124" s="225"/>
      <c r="Z124" s="226" t="s">
        <v>1467</v>
      </c>
      <c r="AA124" s="226"/>
      <c r="AB124" s="272"/>
      <c r="AC124" s="243"/>
      <c r="AD124" s="243"/>
      <c r="AE124" s="243"/>
      <c r="AG124" s="244"/>
      <c r="AH124" s="244"/>
    </row>
    <row r="125" spans="1:38" s="183" customFormat="1" ht="15.75" hidden="1" customHeight="1" x14ac:dyDescent="0.2">
      <c r="B125" s="241">
        <v>3318</v>
      </c>
      <c r="C125" s="217">
        <v>1985</v>
      </c>
      <c r="D125" s="180" t="s">
        <v>1473</v>
      </c>
      <c r="E125" s="180" t="s">
        <v>41</v>
      </c>
      <c r="F125" s="180" t="s">
        <v>111</v>
      </c>
      <c r="G125" s="180" t="s">
        <v>260</v>
      </c>
      <c r="H125" s="180" t="s">
        <v>67</v>
      </c>
      <c r="I125" s="180" t="s">
        <v>68</v>
      </c>
      <c r="J125" s="180" t="s">
        <v>54</v>
      </c>
      <c r="K125" s="217">
        <v>7</v>
      </c>
      <c r="L125" s="217">
        <v>58</v>
      </c>
      <c r="M125" s="180">
        <v>376</v>
      </c>
      <c r="N125" s="181">
        <v>7.9</v>
      </c>
      <c r="O125" s="94">
        <v>0.5</v>
      </c>
      <c r="P125" s="239">
        <f t="shared" si="53"/>
        <v>4.0604430105464191</v>
      </c>
      <c r="Q125" s="262" t="str">
        <f t="shared" si="54"/>
        <v>Gadd Daph</v>
      </c>
      <c r="R125" s="263">
        <f t="shared" si="55"/>
        <v>-2.6136283671068661</v>
      </c>
      <c r="S125" s="220">
        <f t="shared" si="56"/>
        <v>6.6740713776532852</v>
      </c>
      <c r="T125" s="236">
        <f t="shared" si="42"/>
        <v>10</v>
      </c>
      <c r="U125" s="221" t="str">
        <f t="shared" si="60"/>
        <v>10-Survival &amp; reproduction-NOEC-Neonates, &lt;24-h old</v>
      </c>
      <c r="V125" s="222" cm="1">
        <f t="array" ref="V125">GEOMEAN(IF(U125=$U$4:$U$359,$S$4:$S$359))</f>
        <v>7.0417871503413076</v>
      </c>
      <c r="W125" s="264">
        <f t="shared" si="58"/>
        <v>3.9188994664325976</v>
      </c>
      <c r="X125" s="225">
        <f t="shared" si="59"/>
        <v>50.345007907439019</v>
      </c>
      <c r="Y125" s="225">
        <f t="shared" ref="Y125:Y126" si="61">X125</f>
        <v>50.345007907439019</v>
      </c>
      <c r="Z125" s="226"/>
      <c r="AA125" s="268"/>
      <c r="AB125" s="272"/>
      <c r="AC125" s="243" t="s">
        <v>1886</v>
      </c>
      <c r="AD125" s="243"/>
      <c r="AE125" s="243"/>
      <c r="AG125" s="244"/>
      <c r="AH125" s="244"/>
    </row>
    <row r="126" spans="1:38" s="183" customFormat="1" ht="15.75" hidden="1" customHeight="1" x14ac:dyDescent="0.2">
      <c r="B126" s="241">
        <v>3318</v>
      </c>
      <c r="C126" s="217">
        <v>1985</v>
      </c>
      <c r="D126" s="180" t="s">
        <v>1473</v>
      </c>
      <c r="E126" s="180" t="s">
        <v>41</v>
      </c>
      <c r="F126" s="180" t="s">
        <v>111</v>
      </c>
      <c r="G126" s="180" t="s">
        <v>260</v>
      </c>
      <c r="H126" s="180" t="s">
        <v>67</v>
      </c>
      <c r="I126" s="180" t="s">
        <v>68</v>
      </c>
      <c r="J126" s="180" t="s">
        <v>54</v>
      </c>
      <c r="K126" s="217">
        <v>7</v>
      </c>
      <c r="L126" s="217">
        <v>140</v>
      </c>
      <c r="M126" s="180">
        <v>362</v>
      </c>
      <c r="N126" s="181">
        <v>7.7</v>
      </c>
      <c r="O126" s="94">
        <v>0.5</v>
      </c>
      <c r="P126" s="239">
        <f t="shared" si="53"/>
        <v>4.9416424226093039</v>
      </c>
      <c r="Q126" s="262" t="str">
        <f t="shared" si="54"/>
        <v>Gadd Daph</v>
      </c>
      <c r="R126" s="263">
        <f t="shared" si="55"/>
        <v>-2.4881202312248667</v>
      </c>
      <c r="S126" s="220">
        <f t="shared" si="56"/>
        <v>7.429762653834171</v>
      </c>
      <c r="T126" s="236">
        <f t="shared" si="42"/>
        <v>10</v>
      </c>
      <c r="U126" s="221" t="str">
        <f t="shared" si="60"/>
        <v>10-Survival &amp; reproduction-NOEC-Neonates, &lt;24-h old</v>
      </c>
      <c r="V126" s="222" cm="1">
        <f t="array" ref="V126">GEOMEAN(IF(U126=$U$4:$U$359,$S$4:$S$359))</f>
        <v>7.0417871503413076</v>
      </c>
      <c r="W126" s="264">
        <f t="shared" si="58"/>
        <v>3.9188994664325976</v>
      </c>
      <c r="X126" s="225">
        <f t="shared" si="59"/>
        <v>50.345007907439019</v>
      </c>
      <c r="Y126" s="225">
        <f t="shared" si="61"/>
        <v>50.345007907439019</v>
      </c>
      <c r="Z126" s="226"/>
      <c r="AA126" s="268"/>
      <c r="AB126" s="272"/>
      <c r="AC126" s="243" t="s">
        <v>1886</v>
      </c>
      <c r="AD126" s="243"/>
      <c r="AE126" s="243"/>
      <c r="AG126" s="244"/>
      <c r="AH126" s="244"/>
    </row>
    <row r="127" spans="1:38" s="183" customFormat="1" ht="15.75" hidden="1" customHeight="1" x14ac:dyDescent="0.2">
      <c r="A127" s="183" t="s">
        <v>1887</v>
      </c>
      <c r="B127" s="241"/>
      <c r="C127" s="217">
        <v>1986</v>
      </c>
      <c r="D127" s="180" t="s">
        <v>1477</v>
      </c>
      <c r="E127" s="180" t="s">
        <v>1475</v>
      </c>
      <c r="F127" s="180" t="s">
        <v>87</v>
      </c>
      <c r="G127" s="180" t="s">
        <v>260</v>
      </c>
      <c r="H127" s="180" t="s">
        <v>187</v>
      </c>
      <c r="I127" s="180" t="s">
        <v>76</v>
      </c>
      <c r="J127" s="180" t="s">
        <v>54</v>
      </c>
      <c r="K127" s="217">
        <v>21</v>
      </c>
      <c r="L127" s="217">
        <v>74</v>
      </c>
      <c r="M127" s="180">
        <v>45</v>
      </c>
      <c r="N127" s="180">
        <v>7.8</v>
      </c>
      <c r="O127" s="94">
        <v>0.5</v>
      </c>
      <c r="P127" s="239">
        <f t="shared" si="53"/>
        <v>4.3040650932041702</v>
      </c>
      <c r="Q127" s="262" t="str">
        <f t="shared" si="54"/>
        <v>Gadd Daph</v>
      </c>
      <c r="R127" s="263">
        <f t="shared" si="55"/>
        <v>-3.2031000973954953</v>
      </c>
      <c r="S127" s="220">
        <f t="shared" si="56"/>
        <v>7.5071651905996655</v>
      </c>
      <c r="T127" s="236">
        <f t="shared" si="42"/>
        <v>11</v>
      </c>
      <c r="U127" s="221" t="str">
        <f t="shared" si="60"/>
        <v>11-REP-NOEC-Adult</v>
      </c>
      <c r="V127" s="222" cm="1">
        <f t="array" ref="V127">GEOMEAN(IF(U127=$U$4:$U$359,$S$4:$S$359))</f>
        <v>7.5071651905996655</v>
      </c>
      <c r="W127" s="264">
        <f t="shared" si="58"/>
        <v>4.384277506690955</v>
      </c>
      <c r="X127" s="225">
        <f t="shared" si="59"/>
        <v>80.180272570496612</v>
      </c>
      <c r="Y127" s="225"/>
      <c r="Z127" s="226" t="s">
        <v>1518</v>
      </c>
      <c r="AA127" s="226"/>
      <c r="AB127" s="252" t="s">
        <v>1888</v>
      </c>
      <c r="AC127" s="243" t="s">
        <v>1858</v>
      </c>
      <c r="AD127" s="251">
        <v>0.64</v>
      </c>
      <c r="AE127" s="243" t="s">
        <v>1859</v>
      </c>
      <c r="AG127" s="244"/>
      <c r="AH127" s="244"/>
    </row>
    <row r="128" spans="1:38" s="183" customFormat="1" ht="15.75" hidden="1" customHeight="1" x14ac:dyDescent="0.2">
      <c r="B128" s="241"/>
      <c r="C128" s="217">
        <v>1991</v>
      </c>
      <c r="D128" s="180" t="s">
        <v>1605</v>
      </c>
      <c r="E128" s="180" t="s">
        <v>41</v>
      </c>
      <c r="F128" s="180" t="s">
        <v>87</v>
      </c>
      <c r="G128" s="180" t="s">
        <v>260</v>
      </c>
      <c r="H128" s="180" t="s">
        <v>1606</v>
      </c>
      <c r="I128" s="180" t="s">
        <v>76</v>
      </c>
      <c r="J128" s="180" t="s">
        <v>54</v>
      </c>
      <c r="K128" s="217">
        <v>21</v>
      </c>
      <c r="L128" s="217">
        <v>100</v>
      </c>
      <c r="M128" s="180">
        <v>64.900000000000006</v>
      </c>
      <c r="N128" s="180">
        <v>7.7</v>
      </c>
      <c r="O128" s="94">
        <v>0.5</v>
      </c>
      <c r="P128" s="239">
        <f t="shared" si="53"/>
        <v>4.6051701859880918</v>
      </c>
      <c r="Q128" s="262" t="str">
        <f t="shared" si="54"/>
        <v>Gadd Daph</v>
      </c>
      <c r="R128" s="263">
        <f t="shared" si="55"/>
        <v>-3.0209471735407423</v>
      </c>
      <c r="S128" s="220">
        <f t="shared" si="56"/>
        <v>7.6261173595288341</v>
      </c>
      <c r="T128" s="236">
        <f t="shared" si="42"/>
        <v>11</v>
      </c>
      <c r="U128" s="221" t="str">
        <f t="shared" si="60"/>
        <v>11-REP-NOEC-&lt; 48 hrs old</v>
      </c>
      <c r="V128" s="222" cm="1">
        <f t="array" ref="V128">GEOMEAN(IF(U128=$U$4:$U$359,$S$4:$S$359))</f>
        <v>7.6261173595288341</v>
      </c>
      <c r="W128" s="264">
        <f t="shared" si="58"/>
        <v>4.5032296756201244</v>
      </c>
      <c r="X128" s="225">
        <f t="shared" si="59"/>
        <v>90.308327416257043</v>
      </c>
      <c r="Y128" s="225"/>
      <c r="Z128" s="226" t="s">
        <v>1518</v>
      </c>
      <c r="AA128" s="180"/>
      <c r="AB128" s="227" t="s">
        <v>1846</v>
      </c>
      <c r="AC128" s="243" t="s">
        <v>1861</v>
      </c>
      <c r="AD128" s="243"/>
      <c r="AE128" s="229" t="s">
        <v>1584</v>
      </c>
      <c r="AG128" s="244"/>
      <c r="AH128" s="244"/>
    </row>
    <row r="129" spans="1:38" s="183" customFormat="1" ht="15.75" hidden="1" customHeight="1" x14ac:dyDescent="0.2">
      <c r="B129" s="241"/>
      <c r="C129" s="217">
        <v>1991</v>
      </c>
      <c r="D129" s="180" t="s">
        <v>1605</v>
      </c>
      <c r="E129" s="180" t="s">
        <v>41</v>
      </c>
      <c r="F129" s="180" t="s">
        <v>87</v>
      </c>
      <c r="G129" s="180" t="s">
        <v>260</v>
      </c>
      <c r="H129" s="180" t="s">
        <v>1606</v>
      </c>
      <c r="I129" s="180" t="s">
        <v>76</v>
      </c>
      <c r="J129" s="180" t="s">
        <v>1062</v>
      </c>
      <c r="K129" s="217">
        <v>21</v>
      </c>
      <c r="L129" s="217">
        <v>67.599999999999994</v>
      </c>
      <c r="M129" s="180">
        <v>64.900000000000006</v>
      </c>
      <c r="N129" s="180">
        <v>7.7</v>
      </c>
      <c r="O129" s="94">
        <v>0.5</v>
      </c>
      <c r="P129" s="239">
        <f t="shared" si="53"/>
        <v>4.2136079830489184</v>
      </c>
      <c r="Q129" s="262" t="str">
        <f t="shared" si="54"/>
        <v>Gadd Daph</v>
      </c>
      <c r="R129" s="263">
        <f t="shared" si="55"/>
        <v>-3.0209471735407423</v>
      </c>
      <c r="S129" s="220">
        <f t="shared" si="56"/>
        <v>7.2345551565896606</v>
      </c>
      <c r="T129" s="236">
        <f t="shared" si="42"/>
        <v>11</v>
      </c>
      <c r="U129" s="221" t="str">
        <f t="shared" si="60"/>
        <v>11-REP-IC10-&lt; 48 hrs old</v>
      </c>
      <c r="V129" s="222" cm="1">
        <f t="array" ref="V129">GEOMEAN(IF(U129=$U$4:$U$359,$S$4:$S$359))</f>
        <v>7.2345551565896606</v>
      </c>
      <c r="W129" s="264">
        <f t="shared" si="58"/>
        <v>4.111667472680951</v>
      </c>
      <c r="X129" s="225">
        <f t="shared" si="59"/>
        <v>61.048429333389734</v>
      </c>
      <c r="Y129" s="225">
        <f t="shared" ref="Y129" si="62">X129</f>
        <v>61.048429333389734</v>
      </c>
      <c r="Z129" s="226"/>
      <c r="AA129" s="180" t="s">
        <v>1607</v>
      </c>
      <c r="AB129" s="227" t="s">
        <v>1846</v>
      </c>
      <c r="AC129" s="243" t="s">
        <v>1861</v>
      </c>
      <c r="AD129" s="243"/>
      <c r="AE129" s="229" t="s">
        <v>1584</v>
      </c>
      <c r="AG129" s="244"/>
      <c r="AH129" s="244"/>
    </row>
    <row r="130" spans="1:38" s="183" customFormat="1" ht="15.75" hidden="1" customHeight="1" x14ac:dyDescent="0.2">
      <c r="B130" s="180">
        <v>62445</v>
      </c>
      <c r="C130" s="217">
        <v>2001</v>
      </c>
      <c r="D130" s="180" t="s">
        <v>512</v>
      </c>
      <c r="E130" s="180" t="s">
        <v>41</v>
      </c>
      <c r="F130" s="180" t="s">
        <v>87</v>
      </c>
      <c r="G130" s="180" t="s">
        <v>260</v>
      </c>
      <c r="H130" s="180" t="s">
        <v>292</v>
      </c>
      <c r="I130" s="180" t="s">
        <v>256</v>
      </c>
      <c r="J130" s="180" t="s">
        <v>465</v>
      </c>
      <c r="K130" s="180" t="s">
        <v>94</v>
      </c>
      <c r="L130" s="180">
        <v>800</v>
      </c>
      <c r="M130" s="180">
        <v>280</v>
      </c>
      <c r="N130" s="180">
        <v>7.8</v>
      </c>
      <c r="O130" s="94">
        <v>0.5</v>
      </c>
      <c r="P130" s="239">
        <f t="shared" si="53"/>
        <v>6.6846117276679271</v>
      </c>
      <c r="Q130" s="262" t="str">
        <f t="shared" si="54"/>
        <v>Gadd Daph</v>
      </c>
      <c r="R130" s="263">
        <f t="shared" si="55"/>
        <v>-2.6363806922418265</v>
      </c>
      <c r="S130" s="220">
        <f t="shared" si="56"/>
        <v>9.3209924199097536</v>
      </c>
      <c r="T130" s="236">
        <f t="shared" si="42"/>
        <v>11</v>
      </c>
      <c r="U130" s="221" t="str">
        <f t="shared" si="60"/>
        <v>11-POP-NOEL-JV</v>
      </c>
      <c r="V130" s="222" cm="1">
        <f t="array" ref="V130">GEOMEAN(IF(U130=$U$4:$U$359,$S$4:$S$359))</f>
        <v>9.3209924199097536</v>
      </c>
      <c r="W130" s="264">
        <f t="shared" si="58"/>
        <v>6.1981047360010439</v>
      </c>
      <c r="X130" s="225">
        <f t="shared" si="59"/>
        <v>491.8160359999157</v>
      </c>
      <c r="Y130" s="225"/>
      <c r="Z130" s="226" t="s">
        <v>1513</v>
      </c>
      <c r="AA130" s="226"/>
      <c r="AB130" s="255"/>
      <c r="AC130" s="243" t="s">
        <v>1858</v>
      </c>
      <c r="AD130" s="251">
        <v>0.69</v>
      </c>
      <c r="AE130" s="243" t="s">
        <v>1859</v>
      </c>
      <c r="AG130" s="244"/>
      <c r="AH130" s="244"/>
    </row>
    <row r="131" spans="1:38" s="183" customFormat="1" ht="15.75" hidden="1" customHeight="1" x14ac:dyDescent="0.2">
      <c r="B131" s="180">
        <v>62445</v>
      </c>
      <c r="C131" s="217">
        <v>2001</v>
      </c>
      <c r="D131" s="180" t="s">
        <v>512</v>
      </c>
      <c r="E131" s="180" t="s">
        <v>41</v>
      </c>
      <c r="F131" s="180" t="s">
        <v>87</v>
      </c>
      <c r="G131" s="180" t="s">
        <v>260</v>
      </c>
      <c r="H131" s="180" t="s">
        <v>292</v>
      </c>
      <c r="I131" s="180" t="s">
        <v>76</v>
      </c>
      <c r="J131" s="180" t="s">
        <v>465</v>
      </c>
      <c r="K131" s="180" t="s">
        <v>94</v>
      </c>
      <c r="L131" s="180">
        <v>300</v>
      </c>
      <c r="M131" s="180">
        <v>280</v>
      </c>
      <c r="N131" s="180">
        <v>7.8</v>
      </c>
      <c r="O131" s="94">
        <v>0.5</v>
      </c>
      <c r="P131" s="239">
        <f t="shared" si="53"/>
        <v>5.7037824746562009</v>
      </c>
      <c r="Q131" s="262" t="str">
        <f t="shared" si="54"/>
        <v>Gadd Daph</v>
      </c>
      <c r="R131" s="263">
        <f t="shared" si="55"/>
        <v>-2.6363806922418265</v>
      </c>
      <c r="S131" s="220">
        <f t="shared" si="56"/>
        <v>8.3401631668980265</v>
      </c>
      <c r="T131" s="236">
        <f t="shared" si="42"/>
        <v>11</v>
      </c>
      <c r="U131" s="221" t="str">
        <f t="shared" si="60"/>
        <v>11-REP-NOEL-JV</v>
      </c>
      <c r="V131" s="222" cm="1">
        <f t="array" ref="V131">GEOMEAN(IF(U131=$U$4:$U$359,$S$4:$S$359))</f>
        <v>8.3401631668980265</v>
      </c>
      <c r="W131" s="264">
        <f t="shared" si="58"/>
        <v>5.2172754829893169</v>
      </c>
      <c r="X131" s="225">
        <f t="shared" si="59"/>
        <v>184.43101349996823</v>
      </c>
      <c r="Y131" s="225"/>
      <c r="Z131" s="226" t="s">
        <v>1518</v>
      </c>
      <c r="AA131" s="226"/>
      <c r="AB131" s="255"/>
      <c r="AC131" s="243" t="s">
        <v>1889</v>
      </c>
      <c r="AD131" s="251">
        <v>0.69</v>
      </c>
      <c r="AE131" s="243" t="s">
        <v>1859</v>
      </c>
      <c r="AG131" s="244"/>
      <c r="AH131" s="244"/>
    </row>
    <row r="132" spans="1:38" s="183" customFormat="1" ht="15.75" hidden="1" customHeight="1" x14ac:dyDescent="0.2">
      <c r="B132" s="180">
        <v>71981</v>
      </c>
      <c r="C132" s="217">
        <v>2003</v>
      </c>
      <c r="D132" s="180" t="s">
        <v>602</v>
      </c>
      <c r="E132" s="180" t="s">
        <v>41</v>
      </c>
      <c r="F132" s="180" t="s">
        <v>87</v>
      </c>
      <c r="G132" s="180" t="s">
        <v>260</v>
      </c>
      <c r="H132" s="180" t="s">
        <v>1738</v>
      </c>
      <c r="I132" s="180" t="s">
        <v>76</v>
      </c>
      <c r="J132" s="180" t="s">
        <v>49</v>
      </c>
      <c r="K132" s="180" t="s">
        <v>94</v>
      </c>
      <c r="L132" s="180">
        <v>90</v>
      </c>
      <c r="M132" s="180">
        <v>370</v>
      </c>
      <c r="N132" s="180">
        <v>8</v>
      </c>
      <c r="O132" s="94">
        <v>9.6999999999999993</v>
      </c>
      <c r="P132" s="239">
        <f t="shared" si="53"/>
        <v>4.499809670330265</v>
      </c>
      <c r="Q132" s="262" t="str">
        <f t="shared" si="54"/>
        <v>Gadd Daph</v>
      </c>
      <c r="R132" s="263">
        <f t="shared" si="55"/>
        <v>-1.1453086077872809</v>
      </c>
      <c r="S132" s="220">
        <f t="shared" si="56"/>
        <v>5.645118278117546</v>
      </c>
      <c r="T132" s="236">
        <f t="shared" si="42"/>
        <v>11</v>
      </c>
      <c r="U132" s="221" t="str">
        <f t="shared" si="60"/>
        <v>11-REP-EC10-Neonates</v>
      </c>
      <c r="V132" s="222" cm="1">
        <f t="array" ref="V132">GEOMEAN(IF(U132=$U$4:$U$359,$S$4:$S$359))</f>
        <v>6.8680184697754383</v>
      </c>
      <c r="W132" s="264">
        <f t="shared" si="58"/>
        <v>3.7451307858667282</v>
      </c>
      <c r="X132" s="225">
        <f t="shared" si="59"/>
        <v>42.314541000879686</v>
      </c>
      <c r="Y132" s="225">
        <f t="shared" ref="Y132:Y133" si="63">X132</f>
        <v>42.314541000879686</v>
      </c>
      <c r="Z132" s="226"/>
      <c r="AA132" s="226"/>
      <c r="AB132" s="227" t="s">
        <v>1846</v>
      </c>
      <c r="AC132" s="243" t="s">
        <v>1798</v>
      </c>
      <c r="AD132" s="243"/>
      <c r="AE132" s="229" t="s">
        <v>1584</v>
      </c>
      <c r="AG132" s="244"/>
      <c r="AH132" s="244"/>
    </row>
    <row r="133" spans="1:38" s="183" customFormat="1" ht="15.75" hidden="1" customHeight="1" x14ac:dyDescent="0.2">
      <c r="B133" s="180">
        <v>71981</v>
      </c>
      <c r="C133" s="217">
        <v>2003</v>
      </c>
      <c r="D133" s="180" t="s">
        <v>602</v>
      </c>
      <c r="E133" s="180" t="s">
        <v>41</v>
      </c>
      <c r="F133" s="180" t="s">
        <v>87</v>
      </c>
      <c r="G133" s="180" t="s">
        <v>260</v>
      </c>
      <c r="H133" s="180" t="s">
        <v>1738</v>
      </c>
      <c r="I133" s="180" t="s">
        <v>76</v>
      </c>
      <c r="J133" s="180" t="s">
        <v>49</v>
      </c>
      <c r="K133" s="180" t="s">
        <v>94</v>
      </c>
      <c r="L133" s="180">
        <v>634</v>
      </c>
      <c r="M133" s="180">
        <v>240</v>
      </c>
      <c r="N133" s="180">
        <v>8.5</v>
      </c>
      <c r="O133" s="94">
        <v>21</v>
      </c>
      <c r="P133" s="239">
        <f t="shared" si="53"/>
        <v>6.4520489544372257</v>
      </c>
      <c r="Q133" s="262" t="str">
        <f t="shared" si="54"/>
        <v>Gadd Daph</v>
      </c>
      <c r="R133" s="263">
        <f t="shared" si="55"/>
        <v>-0.77250757362099165</v>
      </c>
      <c r="S133" s="220">
        <f t="shared" si="56"/>
        <v>7.2245565280582174</v>
      </c>
      <c r="T133" s="236">
        <f t="shared" si="42"/>
        <v>11</v>
      </c>
      <c r="U133" s="221" t="str">
        <f t="shared" si="60"/>
        <v>11-REP-EC10-Neonates</v>
      </c>
      <c r="V133" s="222" cm="1">
        <f t="array" ref="V133">GEOMEAN(IF(U133=$U$4:$U$359,$S$4:$S$359))</f>
        <v>6.8680184697754383</v>
      </c>
      <c r="W133" s="264">
        <f t="shared" si="58"/>
        <v>3.7451307858667282</v>
      </c>
      <c r="X133" s="225">
        <f t="shared" si="59"/>
        <v>42.314541000879686</v>
      </c>
      <c r="Y133" s="225">
        <f t="shared" si="63"/>
        <v>42.314541000879686</v>
      </c>
      <c r="Z133" s="226"/>
      <c r="AA133" s="226"/>
      <c r="AB133" s="227" t="s">
        <v>1846</v>
      </c>
      <c r="AC133" s="243" t="s">
        <v>1798</v>
      </c>
      <c r="AD133" s="243"/>
      <c r="AE133" s="229" t="s">
        <v>1584</v>
      </c>
      <c r="AG133" s="244"/>
      <c r="AH133" s="244"/>
    </row>
    <row r="134" spans="1:38" s="183" customFormat="1" ht="15.75" hidden="1" customHeight="1" x14ac:dyDescent="0.2">
      <c r="B134" s="180">
        <v>71981</v>
      </c>
      <c r="C134" s="217">
        <v>2003</v>
      </c>
      <c r="D134" s="180" t="s">
        <v>602</v>
      </c>
      <c r="E134" s="180" t="s">
        <v>41</v>
      </c>
      <c r="F134" s="180" t="s">
        <v>87</v>
      </c>
      <c r="G134" s="180" t="s">
        <v>260</v>
      </c>
      <c r="H134" s="180" t="s">
        <v>1738</v>
      </c>
      <c r="I134" s="180" t="s">
        <v>76</v>
      </c>
      <c r="J134" s="180" t="s">
        <v>49</v>
      </c>
      <c r="K134" s="180" t="s">
        <v>94</v>
      </c>
      <c r="L134" s="180">
        <v>308</v>
      </c>
      <c r="M134" s="180">
        <v>445</v>
      </c>
      <c r="N134" s="180">
        <v>7.25</v>
      </c>
      <c r="O134" s="94">
        <v>21</v>
      </c>
      <c r="P134" s="239">
        <f t="shared" si="53"/>
        <v>5.730099782973574</v>
      </c>
      <c r="Q134" s="262" t="str">
        <f t="shared" si="54"/>
        <v>Gadd Daph</v>
      </c>
      <c r="R134" s="263">
        <f t="shared" si="55"/>
        <v>-0.84445934370250164</v>
      </c>
      <c r="S134" s="220">
        <f t="shared" si="56"/>
        <v>6.5745591266760757</v>
      </c>
      <c r="T134" s="236">
        <f t="shared" si="42"/>
        <v>11</v>
      </c>
      <c r="U134" s="221"/>
      <c r="V134" s="222" t="e" cm="1">
        <f t="array" ref="V134">GEOMEAN(IF(U134=$U$4:$U$359,$S$4:$S$359))</f>
        <v>#NUM!</v>
      </c>
      <c r="W134" s="264" t="e">
        <f t="shared" si="58"/>
        <v>#NUM!</v>
      </c>
      <c r="X134" s="225" t="e">
        <f t="shared" si="59"/>
        <v>#NUM!</v>
      </c>
      <c r="Y134" s="225"/>
      <c r="Z134" s="226"/>
      <c r="AA134" s="226" t="s">
        <v>1890</v>
      </c>
      <c r="AB134" s="227" t="s">
        <v>1846</v>
      </c>
      <c r="AC134" s="243" t="s">
        <v>1798</v>
      </c>
      <c r="AD134" s="243"/>
      <c r="AE134" s="229" t="s">
        <v>1584</v>
      </c>
      <c r="AG134" s="244"/>
      <c r="AH134" s="244"/>
      <c r="AI134" s="182"/>
      <c r="AJ134" s="182"/>
      <c r="AK134" s="182"/>
    </row>
    <row r="135" spans="1:38" s="183" customFormat="1" ht="15.75" hidden="1" customHeight="1" x14ac:dyDescent="0.2">
      <c r="B135" s="180">
        <v>71981</v>
      </c>
      <c r="C135" s="217">
        <v>2003</v>
      </c>
      <c r="D135" s="180" t="s">
        <v>602</v>
      </c>
      <c r="E135" s="180" t="s">
        <v>41</v>
      </c>
      <c r="F135" s="180" t="s">
        <v>87</v>
      </c>
      <c r="G135" s="180" t="s">
        <v>260</v>
      </c>
      <c r="H135" s="180" t="s">
        <v>1738</v>
      </c>
      <c r="I135" s="180" t="s">
        <v>76</v>
      </c>
      <c r="J135" s="180" t="s">
        <v>49</v>
      </c>
      <c r="K135" s="180" t="s">
        <v>94</v>
      </c>
      <c r="L135" s="180">
        <v>341</v>
      </c>
      <c r="M135" s="180">
        <v>370</v>
      </c>
      <c r="N135" s="180">
        <v>6.5</v>
      </c>
      <c r="O135" s="94">
        <v>32.299999999999997</v>
      </c>
      <c r="P135" s="239">
        <f t="shared" si="53"/>
        <v>5.8318824772835169</v>
      </c>
      <c r="Q135" s="262" t="str">
        <f t="shared" si="54"/>
        <v>Gadd Daph</v>
      </c>
      <c r="R135" s="263">
        <f t="shared" si="55"/>
        <v>-0.99080331141555789</v>
      </c>
      <c r="S135" s="220">
        <f t="shared" si="56"/>
        <v>6.8226857886990748</v>
      </c>
      <c r="T135" s="236">
        <f t="shared" si="42"/>
        <v>11</v>
      </c>
      <c r="U135" s="221" t="str">
        <f t="shared" ref="U135:U160" si="64">CONCATENATE(T135,"-",I135,"-",J135,"-",H135)</f>
        <v>11-REP-EC10-Neonates</v>
      </c>
      <c r="V135" s="222" cm="1">
        <f t="array" ref="V135">GEOMEAN(IF(U135=$U$4:$U$359,$S$4:$S$359))</f>
        <v>6.8680184697754383</v>
      </c>
      <c r="W135" s="264">
        <f t="shared" si="58"/>
        <v>3.7451307858667282</v>
      </c>
      <c r="X135" s="225">
        <f t="shared" si="59"/>
        <v>42.314541000879686</v>
      </c>
      <c r="Y135" s="225">
        <f t="shared" ref="Y135:Y148" si="65">X135</f>
        <v>42.314541000879686</v>
      </c>
      <c r="Z135" s="226"/>
      <c r="AA135" s="194"/>
      <c r="AB135" s="227" t="s">
        <v>1846</v>
      </c>
      <c r="AC135" s="243" t="s">
        <v>1798</v>
      </c>
      <c r="AD135" s="243"/>
      <c r="AE135" s="229" t="s">
        <v>1584</v>
      </c>
      <c r="AG135" s="244"/>
      <c r="AH135" s="244"/>
      <c r="AI135" s="182"/>
      <c r="AJ135" s="182"/>
      <c r="AK135" s="182"/>
    </row>
    <row r="136" spans="1:38" s="183" customFormat="1" ht="15.75" hidden="1" customHeight="1" x14ac:dyDescent="0.2">
      <c r="B136" s="180">
        <v>71981</v>
      </c>
      <c r="C136" s="217">
        <v>2003</v>
      </c>
      <c r="D136" s="180" t="s">
        <v>602</v>
      </c>
      <c r="E136" s="180" t="s">
        <v>41</v>
      </c>
      <c r="F136" s="180" t="s">
        <v>87</v>
      </c>
      <c r="G136" s="180" t="s">
        <v>260</v>
      </c>
      <c r="H136" s="180" t="s">
        <v>1738</v>
      </c>
      <c r="I136" s="180" t="s">
        <v>76</v>
      </c>
      <c r="J136" s="180" t="s">
        <v>49</v>
      </c>
      <c r="K136" s="180" t="s">
        <v>94</v>
      </c>
      <c r="L136" s="180">
        <v>331</v>
      </c>
      <c r="M136" s="180">
        <v>240</v>
      </c>
      <c r="N136" s="180">
        <v>7.25</v>
      </c>
      <c r="O136" s="94">
        <v>21</v>
      </c>
      <c r="P136" s="239">
        <f t="shared" si="53"/>
        <v>5.8021183753770629</v>
      </c>
      <c r="Q136" s="262" t="str">
        <f t="shared" si="54"/>
        <v>Gadd Daph</v>
      </c>
      <c r="R136" s="263">
        <f t="shared" si="55"/>
        <v>-1.0358643049380181</v>
      </c>
      <c r="S136" s="220">
        <f t="shared" si="56"/>
        <v>6.8379826803150809</v>
      </c>
      <c r="T136" s="236">
        <f t="shared" si="42"/>
        <v>11</v>
      </c>
      <c r="U136" s="221" t="str">
        <f t="shared" si="64"/>
        <v>11-REP-EC10-Neonates</v>
      </c>
      <c r="V136" s="222" cm="1">
        <f t="array" ref="V136">GEOMEAN(IF(U136=$U$4:$U$359,$S$4:$S$359))</f>
        <v>6.8680184697754383</v>
      </c>
      <c r="W136" s="264">
        <f t="shared" si="58"/>
        <v>3.7451307858667282</v>
      </c>
      <c r="X136" s="225">
        <f t="shared" si="59"/>
        <v>42.314541000879686</v>
      </c>
      <c r="Y136" s="225">
        <f t="shared" si="65"/>
        <v>42.314541000879686</v>
      </c>
      <c r="Z136" s="226"/>
      <c r="AA136" s="226"/>
      <c r="AB136" s="227" t="s">
        <v>1846</v>
      </c>
      <c r="AC136" s="243" t="s">
        <v>1798</v>
      </c>
      <c r="AD136" s="243"/>
      <c r="AE136" s="229" t="s">
        <v>1584</v>
      </c>
      <c r="AG136" s="244"/>
      <c r="AH136" s="244"/>
      <c r="AI136" s="182"/>
      <c r="AJ136" s="182"/>
      <c r="AK136" s="182"/>
      <c r="AL136" s="182"/>
    </row>
    <row r="137" spans="1:38" s="183" customFormat="1" ht="15.75" hidden="1" customHeight="1" x14ac:dyDescent="0.2">
      <c r="B137" s="180">
        <v>71981</v>
      </c>
      <c r="C137" s="217">
        <v>2003</v>
      </c>
      <c r="D137" s="180" t="s">
        <v>602</v>
      </c>
      <c r="E137" s="180" t="s">
        <v>41</v>
      </c>
      <c r="F137" s="180" t="s">
        <v>87</v>
      </c>
      <c r="G137" s="180" t="s">
        <v>260</v>
      </c>
      <c r="H137" s="180" t="s">
        <v>1738</v>
      </c>
      <c r="I137" s="180" t="s">
        <v>76</v>
      </c>
      <c r="J137" s="180" t="s">
        <v>49</v>
      </c>
      <c r="K137" s="180" t="s">
        <v>94</v>
      </c>
      <c r="L137" s="180">
        <v>328</v>
      </c>
      <c r="M137" s="180">
        <v>35</v>
      </c>
      <c r="N137" s="180">
        <v>7.25</v>
      </c>
      <c r="O137" s="94">
        <v>21</v>
      </c>
      <c r="P137" s="239">
        <f t="shared" si="53"/>
        <v>5.7930136083841441</v>
      </c>
      <c r="Q137" s="262" t="str">
        <f t="shared" si="54"/>
        <v>Gadd Daph</v>
      </c>
      <c r="R137" s="263">
        <f t="shared" si="55"/>
        <v>-1.6327044721123176</v>
      </c>
      <c r="S137" s="220">
        <f t="shared" si="56"/>
        <v>7.4257180804964618</v>
      </c>
      <c r="T137" s="236">
        <f t="shared" si="42"/>
        <v>11</v>
      </c>
      <c r="U137" s="221" t="str">
        <f t="shared" si="64"/>
        <v>11-REP-EC10-Neonates</v>
      </c>
      <c r="V137" s="222" cm="1">
        <f t="array" ref="V137">GEOMEAN(IF(U137=$U$4:$U$359,$S$4:$S$359))</f>
        <v>6.8680184697754383</v>
      </c>
      <c r="W137" s="264">
        <f t="shared" si="58"/>
        <v>3.7451307858667282</v>
      </c>
      <c r="X137" s="225">
        <f t="shared" si="59"/>
        <v>42.314541000879686</v>
      </c>
      <c r="Y137" s="225">
        <f t="shared" si="65"/>
        <v>42.314541000879686</v>
      </c>
      <c r="Z137" s="226"/>
      <c r="AA137" s="226"/>
      <c r="AB137" s="227" t="s">
        <v>1846</v>
      </c>
      <c r="AC137" s="243" t="s">
        <v>1798</v>
      </c>
      <c r="AD137" s="243"/>
      <c r="AE137" s="229" t="s">
        <v>1584</v>
      </c>
      <c r="AG137" s="244"/>
      <c r="AH137" s="244"/>
      <c r="AI137" s="182"/>
      <c r="AJ137" s="182"/>
      <c r="AK137" s="182"/>
      <c r="AL137" s="182"/>
    </row>
    <row r="138" spans="1:38" s="183" customFormat="1" ht="15.75" hidden="1" customHeight="1" x14ac:dyDescent="0.2">
      <c r="B138" s="180">
        <v>71981</v>
      </c>
      <c r="C138" s="217">
        <v>2003</v>
      </c>
      <c r="D138" s="180" t="s">
        <v>602</v>
      </c>
      <c r="E138" s="180" t="s">
        <v>41</v>
      </c>
      <c r="F138" s="180" t="s">
        <v>87</v>
      </c>
      <c r="G138" s="180" t="s">
        <v>260</v>
      </c>
      <c r="H138" s="180" t="s">
        <v>1738</v>
      </c>
      <c r="I138" s="180" t="s">
        <v>76</v>
      </c>
      <c r="J138" s="180" t="s">
        <v>49</v>
      </c>
      <c r="K138" s="180" t="s">
        <v>94</v>
      </c>
      <c r="L138" s="180">
        <v>502</v>
      </c>
      <c r="M138" s="180">
        <v>240</v>
      </c>
      <c r="N138" s="180">
        <v>7.25</v>
      </c>
      <c r="O138" s="94">
        <v>21</v>
      </c>
      <c r="P138" s="239">
        <f t="shared" si="53"/>
        <v>6.2186001196917289</v>
      </c>
      <c r="Q138" s="262" t="str">
        <f t="shared" si="54"/>
        <v>Gadd Daph</v>
      </c>
      <c r="R138" s="263">
        <f t="shared" si="55"/>
        <v>-1.0358643049380181</v>
      </c>
      <c r="S138" s="220">
        <f t="shared" si="56"/>
        <v>7.2544644246297469</v>
      </c>
      <c r="T138" s="236">
        <f t="shared" si="42"/>
        <v>11</v>
      </c>
      <c r="U138" s="221" t="str">
        <f t="shared" si="64"/>
        <v>11-REP-EC10-Neonates</v>
      </c>
      <c r="V138" s="222" cm="1">
        <f t="array" ref="V138">GEOMEAN(IF(U138=$U$4:$U$359,$S$4:$S$359))</f>
        <v>6.8680184697754383</v>
      </c>
      <c r="W138" s="264">
        <f t="shared" si="58"/>
        <v>3.7451307858667282</v>
      </c>
      <c r="X138" s="225">
        <f t="shared" si="59"/>
        <v>42.314541000879686</v>
      </c>
      <c r="Y138" s="225">
        <f t="shared" si="65"/>
        <v>42.314541000879686</v>
      </c>
      <c r="Z138" s="226"/>
      <c r="AA138" s="226"/>
      <c r="AB138" s="227" t="s">
        <v>1846</v>
      </c>
      <c r="AC138" s="243" t="s">
        <v>1798</v>
      </c>
      <c r="AD138" s="243"/>
      <c r="AE138" s="229" t="s">
        <v>1584</v>
      </c>
      <c r="AG138" s="244"/>
      <c r="AH138" s="244"/>
      <c r="AI138" s="182"/>
      <c r="AJ138" s="182"/>
      <c r="AK138" s="182"/>
      <c r="AL138" s="182"/>
    </row>
    <row r="139" spans="1:38" s="183" customFormat="1" ht="15.75" hidden="1" customHeight="1" x14ac:dyDescent="0.2">
      <c r="A139" s="180" t="s">
        <v>1891</v>
      </c>
      <c r="B139" s="180">
        <v>71981</v>
      </c>
      <c r="C139" s="217">
        <v>2003</v>
      </c>
      <c r="D139" s="180" t="s">
        <v>602</v>
      </c>
      <c r="E139" s="180" t="s">
        <v>41</v>
      </c>
      <c r="F139" s="180" t="s">
        <v>87</v>
      </c>
      <c r="G139" s="180" t="s">
        <v>260</v>
      </c>
      <c r="H139" s="180" t="s">
        <v>1738</v>
      </c>
      <c r="I139" s="180" t="s">
        <v>76</v>
      </c>
      <c r="J139" s="180" t="s">
        <v>49</v>
      </c>
      <c r="K139" s="180" t="s">
        <v>94</v>
      </c>
      <c r="L139" s="180">
        <v>423</v>
      </c>
      <c r="M139" s="180">
        <v>240</v>
      </c>
      <c r="N139" s="180">
        <v>6</v>
      </c>
      <c r="O139" s="94">
        <v>21</v>
      </c>
      <c r="P139" s="239">
        <f t="shared" si="53"/>
        <v>6.0473721790462776</v>
      </c>
      <c r="Q139" s="262" t="str">
        <f t="shared" si="54"/>
        <v>Gadd Daph</v>
      </c>
      <c r="R139" s="263">
        <f t="shared" si="55"/>
        <v>-1.2992210362550454</v>
      </c>
      <c r="S139" s="220">
        <f t="shared" si="56"/>
        <v>7.3465932153013229</v>
      </c>
      <c r="T139" s="236">
        <f t="shared" si="42"/>
        <v>11</v>
      </c>
      <c r="U139" s="221" t="str">
        <f t="shared" si="64"/>
        <v>11-REP-EC10-Neonates</v>
      </c>
      <c r="V139" s="222" cm="1">
        <f t="array" ref="V139">GEOMEAN(IF(U139=$U$4:$U$359,$S$4:$S$359))</f>
        <v>6.8680184697754383</v>
      </c>
      <c r="W139" s="264">
        <f t="shared" si="58"/>
        <v>3.7451307858667282</v>
      </c>
      <c r="X139" s="225">
        <f t="shared" si="59"/>
        <v>42.314541000879686</v>
      </c>
      <c r="Y139" s="225">
        <f t="shared" si="65"/>
        <v>42.314541000879686</v>
      </c>
      <c r="Z139" s="226"/>
      <c r="AA139" s="226"/>
      <c r="AB139" s="252" t="s">
        <v>1892</v>
      </c>
      <c r="AC139" s="243" t="s">
        <v>1858</v>
      </c>
      <c r="AD139" s="251">
        <v>0.76</v>
      </c>
      <c r="AE139" s="243" t="s">
        <v>1859</v>
      </c>
      <c r="AG139" s="244"/>
      <c r="AH139" s="244"/>
      <c r="AI139" s="182"/>
      <c r="AJ139" s="182"/>
      <c r="AK139" s="182"/>
      <c r="AL139" s="182"/>
    </row>
    <row r="140" spans="1:38" s="182" customFormat="1" ht="15.75" hidden="1" customHeight="1" x14ac:dyDescent="0.25">
      <c r="B140" s="180">
        <v>71981</v>
      </c>
      <c r="C140" s="217">
        <v>2003</v>
      </c>
      <c r="D140" s="180" t="s">
        <v>602</v>
      </c>
      <c r="E140" s="180" t="s">
        <v>41</v>
      </c>
      <c r="F140" s="180" t="s">
        <v>87</v>
      </c>
      <c r="G140" s="180" t="s">
        <v>260</v>
      </c>
      <c r="H140" s="180" t="s">
        <v>1738</v>
      </c>
      <c r="I140" s="180" t="s">
        <v>76</v>
      </c>
      <c r="J140" s="180" t="s">
        <v>49</v>
      </c>
      <c r="K140" s="180" t="s">
        <v>94</v>
      </c>
      <c r="L140" s="180">
        <v>394</v>
      </c>
      <c r="M140" s="180">
        <v>240</v>
      </c>
      <c r="N140" s="180">
        <v>7.25</v>
      </c>
      <c r="O140" s="94">
        <v>21</v>
      </c>
      <c r="P140" s="239">
        <f t="shared" si="53"/>
        <v>5.9763509092979339</v>
      </c>
      <c r="Q140" s="262" t="str">
        <f t="shared" si="54"/>
        <v>Gadd Daph</v>
      </c>
      <c r="R140" s="263">
        <f t="shared" si="55"/>
        <v>-1.0358643049380181</v>
      </c>
      <c r="S140" s="220">
        <f t="shared" si="56"/>
        <v>7.012215214235952</v>
      </c>
      <c r="T140" s="236">
        <f t="shared" si="42"/>
        <v>11</v>
      </c>
      <c r="U140" s="221" t="str">
        <f t="shared" si="64"/>
        <v>11-REP-EC10-Neonates</v>
      </c>
      <c r="V140" s="222" cm="1">
        <f t="array" ref="V140">GEOMEAN(IF(U140=$U$4:$U$359,$S$4:$S$359))</f>
        <v>6.8680184697754383</v>
      </c>
      <c r="W140" s="264">
        <f t="shared" si="58"/>
        <v>3.7451307858667282</v>
      </c>
      <c r="X140" s="225">
        <f t="shared" si="59"/>
        <v>42.314541000879686</v>
      </c>
      <c r="Y140" s="225">
        <f t="shared" si="65"/>
        <v>42.314541000879686</v>
      </c>
      <c r="Z140" s="226"/>
      <c r="AA140" s="226"/>
      <c r="AB140" s="227" t="s">
        <v>1846</v>
      </c>
      <c r="AC140" s="243" t="s">
        <v>1798</v>
      </c>
      <c r="AD140" s="243"/>
      <c r="AE140" s="229" t="s">
        <v>1584</v>
      </c>
      <c r="AG140" s="248"/>
    </row>
    <row r="141" spans="1:38" s="182" customFormat="1" ht="15.75" hidden="1" customHeight="1" x14ac:dyDescent="0.25">
      <c r="B141" s="180">
        <v>71981</v>
      </c>
      <c r="C141" s="217">
        <v>2003</v>
      </c>
      <c r="D141" s="180" t="s">
        <v>602</v>
      </c>
      <c r="E141" s="180" t="s">
        <v>41</v>
      </c>
      <c r="F141" s="180" t="s">
        <v>87</v>
      </c>
      <c r="G141" s="180" t="s">
        <v>260</v>
      </c>
      <c r="H141" s="180" t="s">
        <v>1738</v>
      </c>
      <c r="I141" s="180" t="s">
        <v>76</v>
      </c>
      <c r="J141" s="180" t="s">
        <v>49</v>
      </c>
      <c r="K141" s="180" t="s">
        <v>94</v>
      </c>
      <c r="L141" s="180">
        <v>179</v>
      </c>
      <c r="M141" s="180">
        <v>240</v>
      </c>
      <c r="N141" s="181">
        <v>7.25</v>
      </c>
      <c r="O141" s="94">
        <v>2</v>
      </c>
      <c r="P141" s="239">
        <f t="shared" si="53"/>
        <v>5.1873858058407549</v>
      </c>
      <c r="Q141" s="262" t="str">
        <f t="shared" si="54"/>
        <v>Gadd Daph</v>
      </c>
      <c r="R141" s="263">
        <f t="shared" si="55"/>
        <v>-1.8353318923736013</v>
      </c>
      <c r="S141" s="220">
        <f t="shared" si="56"/>
        <v>7.0227176982143558</v>
      </c>
      <c r="T141" s="236">
        <f t="shared" si="42"/>
        <v>11</v>
      </c>
      <c r="U141" s="221" t="str">
        <f t="shared" si="64"/>
        <v>11-REP-EC10-Neonates</v>
      </c>
      <c r="V141" s="222" cm="1">
        <f t="array" ref="V141">GEOMEAN(IF(U141=$U$4:$U$359,$S$4:$S$359))</f>
        <v>6.8680184697754383</v>
      </c>
      <c r="W141" s="264">
        <f t="shared" si="58"/>
        <v>3.7451307858667282</v>
      </c>
      <c r="X141" s="225">
        <f t="shared" si="59"/>
        <v>42.314541000879686</v>
      </c>
      <c r="Y141" s="225">
        <f t="shared" si="65"/>
        <v>42.314541000879686</v>
      </c>
      <c r="Z141" s="226"/>
      <c r="AA141" s="226"/>
      <c r="AB141" s="227" t="s">
        <v>1846</v>
      </c>
      <c r="AC141" s="243" t="s">
        <v>1798</v>
      </c>
      <c r="AD141" s="243"/>
      <c r="AE141" s="229" t="s">
        <v>1584</v>
      </c>
      <c r="AG141" s="248"/>
    </row>
    <row r="142" spans="1:38" s="182" customFormat="1" ht="15.75" hidden="1" customHeight="1" x14ac:dyDescent="0.25">
      <c r="B142" s="180">
        <v>71981</v>
      </c>
      <c r="C142" s="217">
        <v>2003</v>
      </c>
      <c r="D142" s="180" t="s">
        <v>602</v>
      </c>
      <c r="E142" s="180" t="s">
        <v>41</v>
      </c>
      <c r="F142" s="180" t="s">
        <v>87</v>
      </c>
      <c r="G142" s="180" t="s">
        <v>260</v>
      </c>
      <c r="H142" s="180" t="s">
        <v>1738</v>
      </c>
      <c r="I142" s="180" t="s">
        <v>76</v>
      </c>
      <c r="J142" s="180" t="s">
        <v>49</v>
      </c>
      <c r="K142" s="180" t="s">
        <v>94</v>
      </c>
      <c r="L142" s="180">
        <v>600</v>
      </c>
      <c r="M142" s="180">
        <v>370</v>
      </c>
      <c r="N142" s="180">
        <v>8</v>
      </c>
      <c r="O142" s="94">
        <v>32.299999999999997</v>
      </c>
      <c r="P142" s="239">
        <f t="shared" si="53"/>
        <v>6.3969296552161463</v>
      </c>
      <c r="Q142" s="262" t="str">
        <f t="shared" si="54"/>
        <v>Gadd Daph</v>
      </c>
      <c r="R142" s="263">
        <f t="shared" si="55"/>
        <v>-0.51977910853325948</v>
      </c>
      <c r="S142" s="220">
        <f t="shared" si="56"/>
        <v>6.9167087637494058</v>
      </c>
      <c r="T142" s="236">
        <f t="shared" si="42"/>
        <v>11</v>
      </c>
      <c r="U142" s="221" t="str">
        <f t="shared" si="64"/>
        <v>11-REP-EC10-Neonates</v>
      </c>
      <c r="V142" s="222" cm="1">
        <f t="array" ref="V142">GEOMEAN(IF(U142=$U$4:$U$359,$S$4:$S$359))</f>
        <v>6.8680184697754383</v>
      </c>
      <c r="W142" s="264">
        <f t="shared" si="58"/>
        <v>3.7451307858667282</v>
      </c>
      <c r="X142" s="225">
        <f t="shared" si="59"/>
        <v>42.314541000879686</v>
      </c>
      <c r="Y142" s="225">
        <f t="shared" si="65"/>
        <v>42.314541000879686</v>
      </c>
      <c r="Z142" s="226"/>
      <c r="AA142" s="226"/>
      <c r="AB142" s="227" t="s">
        <v>1846</v>
      </c>
      <c r="AC142" s="243" t="s">
        <v>1798</v>
      </c>
      <c r="AD142" s="251"/>
      <c r="AE142" s="229" t="s">
        <v>1584</v>
      </c>
      <c r="AG142" s="248"/>
    </row>
    <row r="143" spans="1:38" s="182" customFormat="1" ht="15.75" hidden="1" customHeight="1" x14ac:dyDescent="0.25">
      <c r="B143" s="180">
        <v>71981</v>
      </c>
      <c r="C143" s="217">
        <v>2003</v>
      </c>
      <c r="D143" s="180" t="s">
        <v>602</v>
      </c>
      <c r="E143" s="180" t="s">
        <v>41</v>
      </c>
      <c r="F143" s="180" t="s">
        <v>87</v>
      </c>
      <c r="G143" s="180" t="s">
        <v>260</v>
      </c>
      <c r="H143" s="180" t="s">
        <v>1738</v>
      </c>
      <c r="I143" s="180" t="s">
        <v>76</v>
      </c>
      <c r="J143" s="180" t="s">
        <v>49</v>
      </c>
      <c r="K143" s="180" t="s">
        <v>94</v>
      </c>
      <c r="L143" s="180">
        <v>233</v>
      </c>
      <c r="M143" s="180">
        <v>110</v>
      </c>
      <c r="N143" s="180">
        <v>8</v>
      </c>
      <c r="O143" s="94">
        <v>9.6999999999999993</v>
      </c>
      <c r="P143" s="239">
        <f t="shared" si="53"/>
        <v>5.4510384535657002</v>
      </c>
      <c r="Q143" s="262" t="str">
        <f t="shared" si="54"/>
        <v>Gadd Daph</v>
      </c>
      <c r="R143" s="263">
        <f t="shared" si="55"/>
        <v>-1.521345626139496</v>
      </c>
      <c r="S143" s="220">
        <f t="shared" si="56"/>
        <v>6.9723840797051961</v>
      </c>
      <c r="T143" s="236">
        <f t="shared" si="42"/>
        <v>11</v>
      </c>
      <c r="U143" s="221" t="str">
        <f t="shared" si="64"/>
        <v>11-REP-EC10-Neonates</v>
      </c>
      <c r="V143" s="222" cm="1">
        <f t="array" ref="V143">GEOMEAN(IF(U143=$U$4:$U$359,$S$4:$S$359))</f>
        <v>6.8680184697754383</v>
      </c>
      <c r="W143" s="264">
        <f t="shared" si="58"/>
        <v>3.7451307858667282</v>
      </c>
      <c r="X143" s="225">
        <f t="shared" si="59"/>
        <v>42.314541000879686</v>
      </c>
      <c r="Y143" s="225">
        <f t="shared" si="65"/>
        <v>42.314541000879686</v>
      </c>
      <c r="Z143" s="226"/>
      <c r="AA143" s="226"/>
      <c r="AB143" s="227" t="s">
        <v>1846</v>
      </c>
      <c r="AC143" s="243" t="s">
        <v>1798</v>
      </c>
      <c r="AD143" s="228"/>
      <c r="AE143" s="229" t="s">
        <v>1584</v>
      </c>
      <c r="AG143" s="248"/>
    </row>
    <row r="144" spans="1:38" s="182" customFormat="1" ht="15.75" hidden="1" customHeight="1" x14ac:dyDescent="0.25">
      <c r="B144" s="180">
        <v>71981</v>
      </c>
      <c r="C144" s="217">
        <v>2003</v>
      </c>
      <c r="D144" s="180" t="s">
        <v>602</v>
      </c>
      <c r="E144" s="180" t="s">
        <v>41</v>
      </c>
      <c r="F144" s="180" t="s">
        <v>87</v>
      </c>
      <c r="G144" s="180" t="s">
        <v>260</v>
      </c>
      <c r="H144" s="180" t="s">
        <v>1738</v>
      </c>
      <c r="I144" s="180" t="s">
        <v>76</v>
      </c>
      <c r="J144" s="180" t="s">
        <v>49</v>
      </c>
      <c r="K144" s="180" t="s">
        <v>94</v>
      </c>
      <c r="L144" s="180">
        <v>313</v>
      </c>
      <c r="M144" s="180">
        <v>110</v>
      </c>
      <c r="N144" s="180">
        <v>6.5</v>
      </c>
      <c r="O144" s="94">
        <v>32.299999999999997</v>
      </c>
      <c r="P144" s="239">
        <f t="shared" si="53"/>
        <v>5.7462031905401529</v>
      </c>
      <c r="Q144" s="262" t="str">
        <f t="shared" si="54"/>
        <v>Gadd Daph</v>
      </c>
      <c r="R144" s="263">
        <f t="shared" si="55"/>
        <v>-1.3668403297677729</v>
      </c>
      <c r="S144" s="220">
        <f t="shared" si="56"/>
        <v>7.1130435203079259</v>
      </c>
      <c r="T144" s="236">
        <f t="shared" si="42"/>
        <v>11</v>
      </c>
      <c r="U144" s="221" t="str">
        <f t="shared" si="64"/>
        <v>11-REP-EC10-Neonates</v>
      </c>
      <c r="V144" s="222" cm="1">
        <f t="array" ref="V144">GEOMEAN(IF(U144=$U$4:$U$359,$S$4:$S$359))</f>
        <v>6.8680184697754383</v>
      </c>
      <c r="W144" s="264">
        <f t="shared" si="58"/>
        <v>3.7451307858667282</v>
      </c>
      <c r="X144" s="225">
        <f t="shared" si="59"/>
        <v>42.314541000879686</v>
      </c>
      <c r="Y144" s="225">
        <f t="shared" si="65"/>
        <v>42.314541000879686</v>
      </c>
      <c r="Z144" s="226"/>
      <c r="AA144" s="226"/>
      <c r="AB144" s="227" t="s">
        <v>1846</v>
      </c>
      <c r="AC144" s="243" t="s">
        <v>1798</v>
      </c>
      <c r="AD144" s="228"/>
      <c r="AE144" s="229" t="s">
        <v>1584</v>
      </c>
      <c r="AG144" s="248"/>
    </row>
    <row r="145" spans="2:33" s="182" customFormat="1" ht="15.75" hidden="1" customHeight="1" x14ac:dyDescent="0.25">
      <c r="B145" s="180">
        <v>71981</v>
      </c>
      <c r="C145" s="217">
        <v>2003</v>
      </c>
      <c r="D145" s="180" t="s">
        <v>602</v>
      </c>
      <c r="E145" s="180" t="s">
        <v>41</v>
      </c>
      <c r="F145" s="180" t="s">
        <v>87</v>
      </c>
      <c r="G145" s="180" t="s">
        <v>260</v>
      </c>
      <c r="H145" s="180" t="s">
        <v>1738</v>
      </c>
      <c r="I145" s="180" t="s">
        <v>76</v>
      </c>
      <c r="J145" s="180" t="s">
        <v>49</v>
      </c>
      <c r="K145" s="180" t="s">
        <v>94</v>
      </c>
      <c r="L145" s="180">
        <v>911</v>
      </c>
      <c r="M145" s="180">
        <v>240</v>
      </c>
      <c r="N145" s="180">
        <v>7.25</v>
      </c>
      <c r="O145" s="94">
        <v>40</v>
      </c>
      <c r="P145" s="239">
        <f t="shared" si="53"/>
        <v>6.8145428972599582</v>
      </c>
      <c r="Q145" s="262" t="str">
        <f t="shared" si="54"/>
        <v>Gadd Daph</v>
      </c>
      <c r="R145" s="263">
        <f t="shared" si="55"/>
        <v>-0.81678291936524339</v>
      </c>
      <c r="S145" s="220">
        <f t="shared" si="56"/>
        <v>7.6313258166252016</v>
      </c>
      <c r="T145" s="236">
        <f t="shared" si="42"/>
        <v>11</v>
      </c>
      <c r="U145" s="221" t="str">
        <f t="shared" si="64"/>
        <v>11-REP-EC10-Neonates</v>
      </c>
      <c r="V145" s="222" cm="1">
        <f t="array" ref="V145">GEOMEAN(IF(U145=$U$4:$U$359,$S$4:$S$359))</f>
        <v>6.8680184697754383</v>
      </c>
      <c r="W145" s="264">
        <f t="shared" si="58"/>
        <v>3.7451307858667282</v>
      </c>
      <c r="X145" s="225">
        <f t="shared" si="59"/>
        <v>42.314541000879686</v>
      </c>
      <c r="Y145" s="225">
        <f t="shared" si="65"/>
        <v>42.314541000879686</v>
      </c>
      <c r="Z145" s="226"/>
      <c r="AA145" s="226"/>
      <c r="AB145" s="227" t="s">
        <v>1846</v>
      </c>
      <c r="AC145" s="243" t="s">
        <v>1798</v>
      </c>
      <c r="AD145" s="228"/>
      <c r="AE145" s="229" t="s">
        <v>1584</v>
      </c>
      <c r="AG145" s="248"/>
    </row>
    <row r="146" spans="2:33" s="182" customFormat="1" ht="15.75" hidden="1" customHeight="1" x14ac:dyDescent="0.25">
      <c r="B146" s="180">
        <v>71981</v>
      </c>
      <c r="C146" s="217">
        <v>2003</v>
      </c>
      <c r="D146" s="180" t="s">
        <v>602</v>
      </c>
      <c r="E146" s="180" t="s">
        <v>41</v>
      </c>
      <c r="F146" s="180" t="s">
        <v>87</v>
      </c>
      <c r="G146" s="180" t="s">
        <v>260</v>
      </c>
      <c r="H146" s="180" t="s">
        <v>1738</v>
      </c>
      <c r="I146" s="180" t="s">
        <v>76</v>
      </c>
      <c r="J146" s="180" t="s">
        <v>49</v>
      </c>
      <c r="K146" s="180" t="s">
        <v>94</v>
      </c>
      <c r="L146" s="180">
        <v>114</v>
      </c>
      <c r="M146" s="180">
        <v>370</v>
      </c>
      <c r="N146" s="180">
        <v>6.5</v>
      </c>
      <c r="O146" s="94">
        <v>9.6999999999999993</v>
      </c>
      <c r="P146" s="239">
        <f t="shared" si="53"/>
        <v>4.7361984483944957</v>
      </c>
      <c r="Q146" s="262" t="str">
        <f t="shared" si="54"/>
        <v>Gadd Daph</v>
      </c>
      <c r="R146" s="263">
        <f t="shared" si="55"/>
        <v>-1.1832739265706422</v>
      </c>
      <c r="S146" s="220">
        <f t="shared" si="56"/>
        <v>5.9194723749651379</v>
      </c>
      <c r="T146" s="236">
        <f t="shared" si="42"/>
        <v>11</v>
      </c>
      <c r="U146" s="221" t="str">
        <f t="shared" si="64"/>
        <v>11-REP-EC10-Neonates</v>
      </c>
      <c r="V146" s="222" cm="1">
        <f t="array" ref="V146">GEOMEAN(IF(U146=$U$4:$U$359,$S$4:$S$359))</f>
        <v>6.8680184697754383</v>
      </c>
      <c r="W146" s="264">
        <f t="shared" si="58"/>
        <v>3.7451307858667282</v>
      </c>
      <c r="X146" s="225">
        <f t="shared" si="59"/>
        <v>42.314541000879686</v>
      </c>
      <c r="Y146" s="225">
        <f t="shared" si="65"/>
        <v>42.314541000879686</v>
      </c>
      <c r="Z146" s="226"/>
      <c r="AA146" s="226"/>
      <c r="AB146" s="227" t="s">
        <v>1846</v>
      </c>
      <c r="AC146" s="243" t="s">
        <v>1798</v>
      </c>
      <c r="AD146" s="251"/>
      <c r="AE146" s="229" t="s">
        <v>1584</v>
      </c>
      <c r="AG146" s="248"/>
    </row>
    <row r="147" spans="2:33" s="182" customFormat="1" ht="15.75" hidden="1" customHeight="1" x14ac:dyDescent="0.25">
      <c r="B147" s="180">
        <v>71981</v>
      </c>
      <c r="C147" s="217">
        <v>2003</v>
      </c>
      <c r="D147" s="180" t="s">
        <v>602</v>
      </c>
      <c r="E147" s="180" t="s">
        <v>41</v>
      </c>
      <c r="F147" s="180" t="s">
        <v>87</v>
      </c>
      <c r="G147" s="180" t="s">
        <v>260</v>
      </c>
      <c r="H147" s="180" t="s">
        <v>1738</v>
      </c>
      <c r="I147" s="180" t="s">
        <v>76</v>
      </c>
      <c r="J147" s="180" t="s">
        <v>49</v>
      </c>
      <c r="K147" s="180" t="s">
        <v>94</v>
      </c>
      <c r="L147" s="180">
        <v>277</v>
      </c>
      <c r="M147" s="180">
        <v>110</v>
      </c>
      <c r="N147" s="180">
        <v>6.5</v>
      </c>
      <c r="O147" s="94">
        <v>9.6999999999999993</v>
      </c>
      <c r="P147" s="239">
        <f t="shared" si="53"/>
        <v>5.6240175061873385</v>
      </c>
      <c r="Q147" s="262" t="str">
        <f t="shared" si="54"/>
        <v>Gadd Daph</v>
      </c>
      <c r="R147" s="263">
        <f t="shared" si="55"/>
        <v>-1.5593109449228564</v>
      </c>
      <c r="S147" s="220">
        <f t="shared" si="56"/>
        <v>7.1833284511101949</v>
      </c>
      <c r="T147" s="236">
        <f t="shared" si="42"/>
        <v>11</v>
      </c>
      <c r="U147" s="221" t="str">
        <f t="shared" si="64"/>
        <v>11-REP-EC10-Neonates</v>
      </c>
      <c r="V147" s="222" cm="1">
        <f t="array" ref="V147">GEOMEAN(IF(U147=$U$4:$U$359,$S$4:$S$359))</f>
        <v>6.8680184697754383</v>
      </c>
      <c r="W147" s="264">
        <f t="shared" si="58"/>
        <v>3.7451307858667282</v>
      </c>
      <c r="X147" s="225">
        <f t="shared" si="59"/>
        <v>42.314541000879686</v>
      </c>
      <c r="Y147" s="225">
        <f t="shared" si="65"/>
        <v>42.314541000879686</v>
      </c>
      <c r="Z147" s="226"/>
      <c r="AA147" s="226"/>
      <c r="AB147" s="227" t="s">
        <v>1846</v>
      </c>
      <c r="AC147" s="243" t="s">
        <v>1798</v>
      </c>
      <c r="AD147" s="243"/>
      <c r="AE147" s="229" t="s">
        <v>1584</v>
      </c>
      <c r="AG147" s="248"/>
    </row>
    <row r="148" spans="2:33" s="182" customFormat="1" ht="15.75" hidden="1" customHeight="1" x14ac:dyDescent="0.25">
      <c r="B148" s="180">
        <v>71981</v>
      </c>
      <c r="C148" s="217">
        <v>2003</v>
      </c>
      <c r="D148" s="180" t="s">
        <v>602</v>
      </c>
      <c r="E148" s="180" t="s">
        <v>41</v>
      </c>
      <c r="F148" s="180" t="s">
        <v>87</v>
      </c>
      <c r="G148" s="180" t="s">
        <v>260</v>
      </c>
      <c r="H148" s="180" t="s">
        <v>1738</v>
      </c>
      <c r="I148" s="180" t="s">
        <v>76</v>
      </c>
      <c r="J148" s="180" t="s">
        <v>49</v>
      </c>
      <c r="K148" s="180" t="s">
        <v>94</v>
      </c>
      <c r="L148" s="180">
        <v>557</v>
      </c>
      <c r="M148" s="180">
        <v>110</v>
      </c>
      <c r="N148" s="180">
        <v>8</v>
      </c>
      <c r="O148" s="94">
        <v>32.299999999999997</v>
      </c>
      <c r="P148" s="239">
        <f t="shared" si="53"/>
        <v>6.3225652399272843</v>
      </c>
      <c r="Q148" s="262" t="str">
        <f t="shared" si="54"/>
        <v>Gadd Daph</v>
      </c>
      <c r="R148" s="263">
        <f t="shared" si="55"/>
        <v>-0.89581612688547363</v>
      </c>
      <c r="S148" s="220">
        <f t="shared" si="56"/>
        <v>7.2183813668127579</v>
      </c>
      <c r="T148" s="236">
        <f t="shared" si="42"/>
        <v>11</v>
      </c>
      <c r="U148" s="221" t="str">
        <f t="shared" si="64"/>
        <v>11-REP-EC10-Neonates</v>
      </c>
      <c r="V148" s="222" cm="1">
        <f t="array" ref="V148">GEOMEAN(IF(U148=$U$4:$U$359,$S$4:$S$359))</f>
        <v>6.8680184697754383</v>
      </c>
      <c r="W148" s="264">
        <f t="shared" si="58"/>
        <v>3.7451307858667282</v>
      </c>
      <c r="X148" s="225">
        <f t="shared" si="59"/>
        <v>42.314541000879686</v>
      </c>
      <c r="Y148" s="225">
        <f t="shared" si="65"/>
        <v>42.314541000879686</v>
      </c>
      <c r="Z148" s="226"/>
      <c r="AA148" s="226"/>
      <c r="AB148" s="227" t="s">
        <v>1846</v>
      </c>
      <c r="AC148" s="243" t="s">
        <v>1798</v>
      </c>
      <c r="AD148" s="251"/>
      <c r="AE148" s="229" t="s">
        <v>1584</v>
      </c>
      <c r="AG148" s="248"/>
    </row>
    <row r="149" spans="2:33" s="182" customFormat="1" ht="15.75" hidden="1" customHeight="1" x14ac:dyDescent="0.25">
      <c r="B149" s="180">
        <v>71981</v>
      </c>
      <c r="C149" s="217">
        <v>2003</v>
      </c>
      <c r="D149" s="180" t="s">
        <v>602</v>
      </c>
      <c r="E149" s="180" t="s">
        <v>41</v>
      </c>
      <c r="F149" s="180" t="s">
        <v>87</v>
      </c>
      <c r="G149" s="180" t="s">
        <v>260</v>
      </c>
      <c r="H149" s="180" t="s">
        <v>1738</v>
      </c>
      <c r="I149" s="180" t="s">
        <v>76</v>
      </c>
      <c r="J149" s="180" t="s">
        <v>54</v>
      </c>
      <c r="K149" s="180" t="s">
        <v>94</v>
      </c>
      <c r="L149" s="180">
        <v>209</v>
      </c>
      <c r="M149" s="180">
        <v>110</v>
      </c>
      <c r="N149" s="180">
        <v>8</v>
      </c>
      <c r="O149" s="94">
        <v>9.6999999999999993</v>
      </c>
      <c r="P149" s="239">
        <f t="shared" si="53"/>
        <v>5.3423342519648109</v>
      </c>
      <c r="Q149" s="262" t="str">
        <f t="shared" si="54"/>
        <v>Gadd Daph</v>
      </c>
      <c r="R149" s="263">
        <f t="shared" si="55"/>
        <v>-1.521345626139496</v>
      </c>
      <c r="S149" s="220">
        <f t="shared" si="56"/>
        <v>6.8636798781043069</v>
      </c>
      <c r="T149" s="236">
        <f t="shared" si="42"/>
        <v>11</v>
      </c>
      <c r="U149" s="221" t="str">
        <f t="shared" si="64"/>
        <v>11-REP-NOEC-Neonates</v>
      </c>
      <c r="V149" s="222" cm="1">
        <f t="array" ref="V149">GEOMEAN(IF(U149=$U$4:$U$359,$S$4:$S$359))</f>
        <v>6.7202609896064711</v>
      </c>
      <c r="W149" s="264">
        <f t="shared" si="58"/>
        <v>3.597373305697761</v>
      </c>
      <c r="X149" s="225">
        <f t="shared" si="59"/>
        <v>36.502228214500114</v>
      </c>
      <c r="Y149" s="225"/>
      <c r="Z149" s="226" t="s">
        <v>1474</v>
      </c>
      <c r="AA149" s="226"/>
      <c r="AB149" s="227" t="s">
        <v>1846</v>
      </c>
      <c r="AC149" s="243" t="s">
        <v>1798</v>
      </c>
      <c r="AD149" s="251"/>
      <c r="AE149" s="229" t="s">
        <v>1584</v>
      </c>
      <c r="AG149" s="248"/>
    </row>
    <row r="150" spans="2:33" s="182" customFormat="1" ht="15.75" hidden="1" customHeight="1" x14ac:dyDescent="0.25">
      <c r="B150" s="180">
        <v>71981</v>
      </c>
      <c r="C150" s="217">
        <v>2003</v>
      </c>
      <c r="D150" s="180" t="s">
        <v>602</v>
      </c>
      <c r="E150" s="180" t="s">
        <v>41</v>
      </c>
      <c r="F150" s="180" t="s">
        <v>87</v>
      </c>
      <c r="G150" s="180" t="s">
        <v>260</v>
      </c>
      <c r="H150" s="180" t="s">
        <v>1738</v>
      </c>
      <c r="I150" s="180" t="s">
        <v>76</v>
      </c>
      <c r="J150" s="180" t="s">
        <v>54</v>
      </c>
      <c r="K150" s="180" t="s">
        <v>94</v>
      </c>
      <c r="L150" s="180">
        <v>425</v>
      </c>
      <c r="M150" s="180">
        <v>240</v>
      </c>
      <c r="N150" s="180">
        <v>6</v>
      </c>
      <c r="O150" s="94">
        <v>21</v>
      </c>
      <c r="P150" s="239">
        <f t="shared" si="53"/>
        <v>6.0520891689244172</v>
      </c>
      <c r="Q150" s="262" t="str">
        <f t="shared" si="54"/>
        <v>Gadd Daph</v>
      </c>
      <c r="R150" s="263">
        <f t="shared" si="55"/>
        <v>-1.2992210362550454</v>
      </c>
      <c r="S150" s="220">
        <f t="shared" si="56"/>
        <v>7.3513102051794625</v>
      </c>
      <c r="T150" s="236">
        <f t="shared" si="42"/>
        <v>11</v>
      </c>
      <c r="U150" s="221" t="str">
        <f t="shared" si="64"/>
        <v>11-REP-NOEC-Neonates</v>
      </c>
      <c r="V150" s="222" cm="1">
        <f t="array" ref="V150">GEOMEAN(IF(U150=$U$4:$U$359,$S$4:$S$359))</f>
        <v>6.7202609896064711</v>
      </c>
      <c r="W150" s="264">
        <f t="shared" si="58"/>
        <v>3.597373305697761</v>
      </c>
      <c r="X150" s="225">
        <f t="shared" si="59"/>
        <v>36.502228214500114</v>
      </c>
      <c r="Y150" s="225"/>
      <c r="Z150" s="226" t="s">
        <v>1474</v>
      </c>
      <c r="AA150" s="226"/>
      <c r="AB150" s="227" t="s">
        <v>1846</v>
      </c>
      <c r="AC150" s="243" t="s">
        <v>1798</v>
      </c>
      <c r="AD150" s="251"/>
      <c r="AE150" s="229" t="s">
        <v>1584</v>
      </c>
      <c r="AG150" s="248"/>
    </row>
    <row r="151" spans="2:33" s="182" customFormat="1" ht="15.75" hidden="1" customHeight="1" x14ac:dyDescent="0.25">
      <c r="B151" s="180">
        <v>71981</v>
      </c>
      <c r="C151" s="217">
        <v>2003</v>
      </c>
      <c r="D151" s="180" t="s">
        <v>602</v>
      </c>
      <c r="E151" s="180" t="s">
        <v>41</v>
      </c>
      <c r="F151" s="180" t="s">
        <v>87</v>
      </c>
      <c r="G151" s="180" t="s">
        <v>260</v>
      </c>
      <c r="H151" s="180" t="s">
        <v>1738</v>
      </c>
      <c r="I151" s="180" t="s">
        <v>76</v>
      </c>
      <c r="J151" s="180" t="s">
        <v>54</v>
      </c>
      <c r="K151" s="180" t="s">
        <v>94</v>
      </c>
      <c r="L151" s="180">
        <v>445</v>
      </c>
      <c r="M151" s="180">
        <v>35</v>
      </c>
      <c r="N151" s="180">
        <v>7.25</v>
      </c>
      <c r="O151" s="94">
        <v>21</v>
      </c>
      <c r="P151" s="239">
        <f t="shared" si="53"/>
        <v>6.0980742821662401</v>
      </c>
      <c r="Q151" s="262" t="str">
        <f t="shared" si="54"/>
        <v>Gadd Daph</v>
      </c>
      <c r="R151" s="263">
        <f t="shared" si="55"/>
        <v>-1.6327044721123176</v>
      </c>
      <c r="S151" s="220">
        <f t="shared" si="56"/>
        <v>7.7307787542785578</v>
      </c>
      <c r="T151" s="236">
        <f t="shared" si="42"/>
        <v>11</v>
      </c>
      <c r="U151" s="221" t="str">
        <f t="shared" si="64"/>
        <v>11-REP-NOEC-Neonates</v>
      </c>
      <c r="V151" s="222" cm="1">
        <f t="array" ref="V151">GEOMEAN(IF(U151=$U$4:$U$359,$S$4:$S$359))</f>
        <v>6.7202609896064711</v>
      </c>
      <c r="W151" s="264">
        <f t="shared" si="58"/>
        <v>3.597373305697761</v>
      </c>
      <c r="X151" s="225">
        <f t="shared" si="59"/>
        <v>36.502228214500114</v>
      </c>
      <c r="Y151" s="225"/>
      <c r="Z151" s="226" t="s">
        <v>1474</v>
      </c>
      <c r="AA151" s="226"/>
      <c r="AB151" s="227" t="s">
        <v>1846</v>
      </c>
      <c r="AC151" s="243" t="s">
        <v>1798</v>
      </c>
      <c r="AD151" s="251"/>
      <c r="AE151" s="229" t="s">
        <v>1584</v>
      </c>
      <c r="AG151" s="248"/>
    </row>
    <row r="152" spans="2:33" s="182" customFormat="1" ht="15.75" hidden="1" customHeight="1" x14ac:dyDescent="0.25">
      <c r="B152" s="180">
        <v>71981</v>
      </c>
      <c r="C152" s="217">
        <v>2003</v>
      </c>
      <c r="D152" s="180" t="s">
        <v>602</v>
      </c>
      <c r="E152" s="180" t="s">
        <v>41</v>
      </c>
      <c r="F152" s="180" t="s">
        <v>87</v>
      </c>
      <c r="G152" s="180" t="s">
        <v>260</v>
      </c>
      <c r="H152" s="180" t="s">
        <v>1738</v>
      </c>
      <c r="I152" s="180" t="s">
        <v>76</v>
      </c>
      <c r="J152" s="180" t="s">
        <v>54</v>
      </c>
      <c r="K152" s="180" t="s">
        <v>94</v>
      </c>
      <c r="L152" s="180">
        <v>630</v>
      </c>
      <c r="M152" s="180">
        <v>370</v>
      </c>
      <c r="N152" s="180">
        <v>8</v>
      </c>
      <c r="O152" s="94">
        <v>32.299999999999997</v>
      </c>
      <c r="P152" s="239">
        <f t="shared" si="53"/>
        <v>6.4457198193855785</v>
      </c>
      <c r="Q152" s="262" t="str">
        <f t="shared" si="54"/>
        <v>Gadd Daph</v>
      </c>
      <c r="R152" s="263">
        <f t="shared" si="55"/>
        <v>-0.51977910853325948</v>
      </c>
      <c r="S152" s="220">
        <f t="shared" si="56"/>
        <v>6.965498927918838</v>
      </c>
      <c r="T152" s="236">
        <f t="shared" si="42"/>
        <v>11</v>
      </c>
      <c r="U152" s="221" t="str">
        <f t="shared" si="64"/>
        <v>11-REP-NOEC-Neonates</v>
      </c>
      <c r="V152" s="222" cm="1">
        <f t="array" ref="V152">GEOMEAN(IF(U152=$U$4:$U$359,$S$4:$S$359))</f>
        <v>6.7202609896064711</v>
      </c>
      <c r="W152" s="264">
        <f t="shared" si="58"/>
        <v>3.597373305697761</v>
      </c>
      <c r="X152" s="225">
        <f t="shared" si="59"/>
        <v>36.502228214500114</v>
      </c>
      <c r="Y152" s="225"/>
      <c r="Z152" s="226" t="s">
        <v>1474</v>
      </c>
      <c r="AA152" s="226"/>
      <c r="AB152" s="227" t="s">
        <v>1846</v>
      </c>
      <c r="AC152" s="243" t="s">
        <v>1798</v>
      </c>
      <c r="AD152" s="270"/>
      <c r="AE152" s="229" t="s">
        <v>1584</v>
      </c>
      <c r="AG152" s="248"/>
    </row>
    <row r="153" spans="2:33" s="182" customFormat="1" ht="15.75" hidden="1" customHeight="1" x14ac:dyDescent="0.25">
      <c r="B153" s="180">
        <v>71981</v>
      </c>
      <c r="C153" s="217">
        <v>2003</v>
      </c>
      <c r="D153" s="180" t="s">
        <v>602</v>
      </c>
      <c r="E153" s="180" t="s">
        <v>41</v>
      </c>
      <c r="F153" s="180" t="s">
        <v>87</v>
      </c>
      <c r="G153" s="180" t="s">
        <v>260</v>
      </c>
      <c r="H153" s="180" t="s">
        <v>1738</v>
      </c>
      <c r="I153" s="180" t="s">
        <v>76</v>
      </c>
      <c r="J153" s="180" t="s">
        <v>54</v>
      </c>
      <c r="K153" s="180" t="s">
        <v>94</v>
      </c>
      <c r="L153" s="180">
        <v>320</v>
      </c>
      <c r="M153" s="180">
        <v>240</v>
      </c>
      <c r="N153" s="180">
        <v>7.25</v>
      </c>
      <c r="O153" s="94">
        <v>21</v>
      </c>
      <c r="P153" s="239">
        <f t="shared" si="53"/>
        <v>5.768320995793772</v>
      </c>
      <c r="Q153" s="262" t="str">
        <f t="shared" si="54"/>
        <v>Gadd Daph</v>
      </c>
      <c r="R153" s="263">
        <f t="shared" si="55"/>
        <v>-1.0358643049380181</v>
      </c>
      <c r="S153" s="220">
        <f t="shared" si="56"/>
        <v>6.8041853007317901</v>
      </c>
      <c r="T153" s="236">
        <f t="shared" si="42"/>
        <v>11</v>
      </c>
      <c r="U153" s="221" t="str">
        <f t="shared" si="64"/>
        <v>11-REP-NOEC-Neonates</v>
      </c>
      <c r="V153" s="222" cm="1">
        <f t="array" ref="V153">GEOMEAN(IF(U153=$U$4:$U$359,$S$4:$S$359))</f>
        <v>6.7202609896064711</v>
      </c>
      <c r="W153" s="264">
        <f t="shared" si="58"/>
        <v>3.597373305697761</v>
      </c>
      <c r="X153" s="225">
        <f t="shared" si="59"/>
        <v>36.502228214500114</v>
      </c>
      <c r="Y153" s="225"/>
      <c r="Z153" s="226" t="s">
        <v>1474</v>
      </c>
      <c r="AA153" s="226"/>
      <c r="AB153" s="227" t="s">
        <v>1846</v>
      </c>
      <c r="AC153" s="243" t="s">
        <v>1798</v>
      </c>
      <c r="AD153" s="243"/>
      <c r="AE153" s="229" t="s">
        <v>1584</v>
      </c>
      <c r="AG153" s="248"/>
    </row>
    <row r="154" spans="2:33" s="182" customFormat="1" ht="15.75" hidden="1" customHeight="1" x14ac:dyDescent="0.25">
      <c r="B154" s="180">
        <v>71981</v>
      </c>
      <c r="C154" s="217">
        <v>2003</v>
      </c>
      <c r="D154" s="180" t="s">
        <v>602</v>
      </c>
      <c r="E154" s="180" t="s">
        <v>41</v>
      </c>
      <c r="F154" s="180" t="s">
        <v>87</v>
      </c>
      <c r="G154" s="180" t="s">
        <v>260</v>
      </c>
      <c r="H154" s="180" t="s">
        <v>1738</v>
      </c>
      <c r="I154" s="180" t="s">
        <v>76</v>
      </c>
      <c r="J154" s="180" t="s">
        <v>54</v>
      </c>
      <c r="K154" s="180" t="s">
        <v>94</v>
      </c>
      <c r="L154" s="180">
        <v>445</v>
      </c>
      <c r="M154" s="180">
        <v>110</v>
      </c>
      <c r="N154" s="180">
        <v>6.5</v>
      </c>
      <c r="O154" s="94">
        <v>32.299999999999997</v>
      </c>
      <c r="P154" s="239">
        <f t="shared" si="53"/>
        <v>6.0980742821662401</v>
      </c>
      <c r="Q154" s="262" t="str">
        <f t="shared" si="54"/>
        <v>Gadd Daph</v>
      </c>
      <c r="R154" s="263">
        <f t="shared" si="55"/>
        <v>-1.3668403297677729</v>
      </c>
      <c r="S154" s="220">
        <f t="shared" si="56"/>
        <v>7.4649146119340131</v>
      </c>
      <c r="T154" s="236">
        <f t="shared" si="42"/>
        <v>11</v>
      </c>
      <c r="U154" s="221" t="str">
        <f t="shared" si="64"/>
        <v>11-REP-NOEC-Neonates</v>
      </c>
      <c r="V154" s="222" cm="1">
        <f t="array" ref="V154">GEOMEAN(IF(U154=$U$4:$U$359,$S$4:$S$359))</f>
        <v>6.7202609896064711</v>
      </c>
      <c r="W154" s="264">
        <f t="shared" si="58"/>
        <v>3.597373305697761</v>
      </c>
      <c r="X154" s="225">
        <f t="shared" si="59"/>
        <v>36.502228214500114</v>
      </c>
      <c r="Y154" s="225"/>
      <c r="Z154" s="226" t="s">
        <v>1474</v>
      </c>
      <c r="AA154" s="226"/>
      <c r="AB154" s="227" t="s">
        <v>1846</v>
      </c>
      <c r="AC154" s="243" t="s">
        <v>1798</v>
      </c>
      <c r="AD154" s="243"/>
      <c r="AE154" s="229" t="s">
        <v>1584</v>
      </c>
      <c r="AG154" s="248"/>
    </row>
    <row r="155" spans="2:33" s="182" customFormat="1" ht="15.75" hidden="1" customHeight="1" x14ac:dyDescent="0.25">
      <c r="B155" s="180">
        <v>71981</v>
      </c>
      <c r="C155" s="217">
        <v>2003</v>
      </c>
      <c r="D155" s="180" t="s">
        <v>602</v>
      </c>
      <c r="E155" s="180" t="s">
        <v>41</v>
      </c>
      <c r="F155" s="180" t="s">
        <v>87</v>
      </c>
      <c r="G155" s="180" t="s">
        <v>260</v>
      </c>
      <c r="H155" s="180" t="s">
        <v>1738</v>
      </c>
      <c r="I155" s="180" t="s">
        <v>76</v>
      </c>
      <c r="J155" s="180" t="s">
        <v>54</v>
      </c>
      <c r="K155" s="180" t="s">
        <v>94</v>
      </c>
      <c r="L155" s="180">
        <v>1000</v>
      </c>
      <c r="M155" s="180">
        <v>240</v>
      </c>
      <c r="N155" s="180">
        <v>7.25</v>
      </c>
      <c r="O155" s="94">
        <v>40</v>
      </c>
      <c r="P155" s="239">
        <f t="shared" si="53"/>
        <v>6.9077552789821368</v>
      </c>
      <c r="Q155" s="262" t="str">
        <f t="shared" si="54"/>
        <v>Gadd Daph</v>
      </c>
      <c r="R155" s="263">
        <f t="shared" si="55"/>
        <v>-0.81678291936524339</v>
      </c>
      <c r="S155" s="220">
        <f t="shared" si="56"/>
        <v>7.7245381983473802</v>
      </c>
      <c r="T155" s="236">
        <f t="shared" si="42"/>
        <v>11</v>
      </c>
      <c r="U155" s="221" t="str">
        <f t="shared" si="64"/>
        <v>11-REP-NOEC-Neonates</v>
      </c>
      <c r="V155" s="222" cm="1">
        <f t="array" ref="V155">GEOMEAN(IF(U155=$U$4:$U$359,$S$4:$S$359))</f>
        <v>6.7202609896064711</v>
      </c>
      <c r="W155" s="264">
        <f t="shared" si="58"/>
        <v>3.597373305697761</v>
      </c>
      <c r="X155" s="225">
        <f t="shared" si="59"/>
        <v>36.502228214500114</v>
      </c>
      <c r="Y155" s="225"/>
      <c r="Z155" s="226" t="s">
        <v>1474</v>
      </c>
      <c r="AA155" s="226"/>
      <c r="AB155" s="227" t="s">
        <v>1846</v>
      </c>
      <c r="AC155" s="243" t="s">
        <v>1798</v>
      </c>
      <c r="AD155" s="275"/>
      <c r="AE155" s="229" t="s">
        <v>1584</v>
      </c>
      <c r="AG155" s="248"/>
    </row>
    <row r="156" spans="2:33" s="182" customFormat="1" ht="15.75" hidden="1" customHeight="1" x14ac:dyDescent="0.25">
      <c r="B156" s="180">
        <v>71981</v>
      </c>
      <c r="C156" s="217">
        <v>2003</v>
      </c>
      <c r="D156" s="180" t="s">
        <v>602</v>
      </c>
      <c r="E156" s="180" t="s">
        <v>41</v>
      </c>
      <c r="F156" s="180" t="s">
        <v>87</v>
      </c>
      <c r="G156" s="180" t="s">
        <v>260</v>
      </c>
      <c r="H156" s="180" t="s">
        <v>1738</v>
      </c>
      <c r="I156" s="180" t="s">
        <v>76</v>
      </c>
      <c r="J156" s="180" t="s">
        <v>54</v>
      </c>
      <c r="K156" s="180" t="s">
        <v>94</v>
      </c>
      <c r="L156" s="180">
        <v>320</v>
      </c>
      <c r="M156" s="180">
        <v>370</v>
      </c>
      <c r="N156" s="180">
        <v>6.5</v>
      </c>
      <c r="O156" s="94">
        <v>9.6999999999999993</v>
      </c>
      <c r="P156" s="239">
        <f t="shared" si="53"/>
        <v>5.768320995793772</v>
      </c>
      <c r="Q156" s="262" t="str">
        <f t="shared" si="54"/>
        <v>Gadd Daph</v>
      </c>
      <c r="R156" s="263">
        <f t="shared" si="55"/>
        <v>-1.1832739265706422</v>
      </c>
      <c r="S156" s="220">
        <f t="shared" si="56"/>
        <v>6.9515949223644142</v>
      </c>
      <c r="T156" s="236">
        <f t="shared" si="42"/>
        <v>11</v>
      </c>
      <c r="U156" s="221" t="str">
        <f t="shared" si="64"/>
        <v>11-REP-NOEC-Neonates</v>
      </c>
      <c r="V156" s="222" cm="1">
        <f t="array" ref="V156">GEOMEAN(IF(U156=$U$4:$U$359,$S$4:$S$359))</f>
        <v>6.7202609896064711</v>
      </c>
      <c r="W156" s="264">
        <f t="shared" si="58"/>
        <v>3.597373305697761</v>
      </c>
      <c r="X156" s="225">
        <f t="shared" si="59"/>
        <v>36.502228214500114</v>
      </c>
      <c r="Y156" s="225"/>
      <c r="Z156" s="226" t="s">
        <v>1474</v>
      </c>
      <c r="AA156" s="226"/>
      <c r="AB156" s="227" t="s">
        <v>1846</v>
      </c>
      <c r="AC156" s="243" t="s">
        <v>1798</v>
      </c>
      <c r="AD156" s="275"/>
      <c r="AE156" s="229" t="s">
        <v>1584</v>
      </c>
      <c r="AG156" s="248"/>
    </row>
    <row r="157" spans="2:33" s="182" customFormat="1" ht="15.75" hidden="1" customHeight="1" x14ac:dyDescent="0.25">
      <c r="B157" s="180">
        <v>71981</v>
      </c>
      <c r="C157" s="217">
        <v>2003</v>
      </c>
      <c r="D157" s="180" t="s">
        <v>602</v>
      </c>
      <c r="E157" s="180" t="s">
        <v>41</v>
      </c>
      <c r="F157" s="180" t="s">
        <v>87</v>
      </c>
      <c r="G157" s="180" t="s">
        <v>260</v>
      </c>
      <c r="H157" s="180" t="s">
        <v>1738</v>
      </c>
      <c r="I157" s="180" t="s">
        <v>76</v>
      </c>
      <c r="J157" s="180" t="s">
        <v>54</v>
      </c>
      <c r="K157" s="180" t="s">
        <v>94</v>
      </c>
      <c r="L157" s="180">
        <v>209</v>
      </c>
      <c r="M157" s="180">
        <v>240</v>
      </c>
      <c r="N157" s="180">
        <v>7.25</v>
      </c>
      <c r="O157" s="94">
        <v>2</v>
      </c>
      <c r="P157" s="239">
        <f t="shared" si="53"/>
        <v>5.3423342519648109</v>
      </c>
      <c r="Q157" s="262" t="str">
        <f t="shared" si="54"/>
        <v>Gadd Daph</v>
      </c>
      <c r="R157" s="263">
        <f t="shared" si="55"/>
        <v>-1.8353318923736013</v>
      </c>
      <c r="S157" s="220">
        <f t="shared" si="56"/>
        <v>7.1776661443384118</v>
      </c>
      <c r="T157" s="236">
        <f t="shared" si="42"/>
        <v>11</v>
      </c>
      <c r="U157" s="221" t="str">
        <f t="shared" si="64"/>
        <v>11-REP-NOEC-Neonates</v>
      </c>
      <c r="V157" s="222" cm="1">
        <f t="array" ref="V157">GEOMEAN(IF(U157=$U$4:$U$359,$S$4:$S$359))</f>
        <v>6.7202609896064711</v>
      </c>
      <c r="W157" s="264">
        <f t="shared" si="58"/>
        <v>3.597373305697761</v>
      </c>
      <c r="X157" s="225">
        <f t="shared" si="59"/>
        <v>36.502228214500114</v>
      </c>
      <c r="Y157" s="225"/>
      <c r="Z157" s="226" t="s">
        <v>1474</v>
      </c>
      <c r="AA157" s="226"/>
      <c r="AB157" s="227" t="s">
        <v>1846</v>
      </c>
      <c r="AC157" s="243" t="s">
        <v>1798</v>
      </c>
      <c r="AD157" s="275"/>
      <c r="AE157" s="229" t="s">
        <v>1584</v>
      </c>
      <c r="AG157" s="248"/>
    </row>
    <row r="158" spans="2:33" s="182" customFormat="1" ht="15.75" hidden="1" customHeight="1" x14ac:dyDescent="0.25">
      <c r="B158" s="180">
        <v>71981</v>
      </c>
      <c r="C158" s="217">
        <v>2003</v>
      </c>
      <c r="D158" s="180" t="s">
        <v>602</v>
      </c>
      <c r="E158" s="180" t="s">
        <v>41</v>
      </c>
      <c r="F158" s="180" t="s">
        <v>87</v>
      </c>
      <c r="G158" s="180" t="s">
        <v>260</v>
      </c>
      <c r="H158" s="180" t="s">
        <v>1738</v>
      </c>
      <c r="I158" s="180" t="s">
        <v>76</v>
      </c>
      <c r="J158" s="180" t="s">
        <v>54</v>
      </c>
      <c r="K158" s="180" t="s">
        <v>94</v>
      </c>
      <c r="L158" s="180">
        <v>320</v>
      </c>
      <c r="M158" s="180">
        <v>240</v>
      </c>
      <c r="N158" s="180">
        <v>7.25</v>
      </c>
      <c r="O158" s="94">
        <v>21</v>
      </c>
      <c r="P158" s="239">
        <f t="shared" si="53"/>
        <v>5.768320995793772</v>
      </c>
      <c r="Q158" s="262" t="str">
        <f t="shared" si="54"/>
        <v>Gadd Daph</v>
      </c>
      <c r="R158" s="263">
        <f t="shared" si="55"/>
        <v>-1.0358643049380181</v>
      </c>
      <c r="S158" s="220">
        <f t="shared" si="56"/>
        <v>6.8041853007317901</v>
      </c>
      <c r="T158" s="236">
        <f t="shared" si="42"/>
        <v>11</v>
      </c>
      <c r="U158" s="221" t="str">
        <f t="shared" si="64"/>
        <v>11-REP-NOEC-Neonates</v>
      </c>
      <c r="V158" s="222" cm="1">
        <f t="array" ref="V158">GEOMEAN(IF(U158=$U$4:$U$359,$S$4:$S$359))</f>
        <v>6.7202609896064711</v>
      </c>
      <c r="W158" s="264">
        <f t="shared" si="58"/>
        <v>3.597373305697761</v>
      </c>
      <c r="X158" s="225">
        <f t="shared" si="59"/>
        <v>36.502228214500114</v>
      </c>
      <c r="Y158" s="225"/>
      <c r="Z158" s="226" t="s">
        <v>1474</v>
      </c>
      <c r="AA158" s="226"/>
      <c r="AB158" s="227" t="s">
        <v>1846</v>
      </c>
      <c r="AC158" s="243" t="s">
        <v>1798</v>
      </c>
      <c r="AD158" s="275"/>
      <c r="AE158" s="229" t="s">
        <v>1584</v>
      </c>
      <c r="AG158" s="248"/>
    </row>
    <row r="159" spans="2:33" s="182" customFormat="1" ht="15.75" hidden="1" customHeight="1" x14ac:dyDescent="0.25">
      <c r="B159" s="180">
        <v>71981</v>
      </c>
      <c r="C159" s="217">
        <v>2003</v>
      </c>
      <c r="D159" s="180" t="s">
        <v>602</v>
      </c>
      <c r="E159" s="180" t="s">
        <v>41</v>
      </c>
      <c r="F159" s="180" t="s">
        <v>87</v>
      </c>
      <c r="G159" s="180" t="s">
        <v>260</v>
      </c>
      <c r="H159" s="180" t="s">
        <v>1738</v>
      </c>
      <c r="I159" s="180" t="s">
        <v>76</v>
      </c>
      <c r="J159" s="180" t="s">
        <v>54</v>
      </c>
      <c r="K159" s="180" t="s">
        <v>94</v>
      </c>
      <c r="L159" s="180">
        <v>320</v>
      </c>
      <c r="M159" s="180">
        <v>110</v>
      </c>
      <c r="N159" s="180">
        <v>6.5</v>
      </c>
      <c r="O159" s="94">
        <v>9.6999999999999993</v>
      </c>
      <c r="P159" s="239">
        <f t="shared" si="53"/>
        <v>5.768320995793772</v>
      </c>
      <c r="Q159" s="262" t="str">
        <f t="shared" si="54"/>
        <v>Gadd Daph</v>
      </c>
      <c r="R159" s="263">
        <f t="shared" si="55"/>
        <v>-1.5593109449228564</v>
      </c>
      <c r="S159" s="220">
        <f t="shared" si="56"/>
        <v>7.3276319407166284</v>
      </c>
      <c r="T159" s="236">
        <f t="shared" si="42"/>
        <v>11</v>
      </c>
      <c r="U159" s="221" t="str">
        <f t="shared" si="64"/>
        <v>11-REP-NOEC-Neonates</v>
      </c>
      <c r="V159" s="222" cm="1">
        <f t="array" ref="V159">GEOMEAN(IF(U159=$U$4:$U$359,$S$4:$S$359))</f>
        <v>6.7202609896064711</v>
      </c>
      <c r="W159" s="264">
        <f t="shared" si="58"/>
        <v>3.597373305697761</v>
      </c>
      <c r="X159" s="225">
        <f t="shared" si="59"/>
        <v>36.502228214500114</v>
      </c>
      <c r="Y159" s="225"/>
      <c r="Z159" s="226" t="s">
        <v>1474</v>
      </c>
      <c r="AA159" s="226"/>
      <c r="AB159" s="227" t="s">
        <v>1846</v>
      </c>
      <c r="AC159" s="243" t="s">
        <v>1798</v>
      </c>
      <c r="AD159" s="275"/>
      <c r="AE159" s="229" t="s">
        <v>1584</v>
      </c>
      <c r="AG159" s="248"/>
    </row>
    <row r="160" spans="2:33" s="182" customFormat="1" ht="15.75" hidden="1" customHeight="1" x14ac:dyDescent="0.25">
      <c r="B160" s="180">
        <v>71981</v>
      </c>
      <c r="C160" s="217">
        <v>2003</v>
      </c>
      <c r="D160" s="180" t="s">
        <v>602</v>
      </c>
      <c r="E160" s="180" t="s">
        <v>41</v>
      </c>
      <c r="F160" s="180" t="s">
        <v>87</v>
      </c>
      <c r="G160" s="180" t="s">
        <v>260</v>
      </c>
      <c r="H160" s="180" t="s">
        <v>1738</v>
      </c>
      <c r="I160" s="180" t="s">
        <v>76</v>
      </c>
      <c r="J160" s="180" t="s">
        <v>54</v>
      </c>
      <c r="K160" s="180" t="s">
        <v>94</v>
      </c>
      <c r="L160" s="180">
        <v>575</v>
      </c>
      <c r="M160" s="180">
        <v>240</v>
      </c>
      <c r="N160" s="180">
        <v>7.25</v>
      </c>
      <c r="O160" s="94">
        <v>21</v>
      </c>
      <c r="P160" s="239">
        <f t="shared" si="53"/>
        <v>6.3543700407973507</v>
      </c>
      <c r="Q160" s="262" t="str">
        <f t="shared" si="54"/>
        <v>Gadd Daph</v>
      </c>
      <c r="R160" s="263">
        <f t="shared" si="55"/>
        <v>-1.0358643049380181</v>
      </c>
      <c r="S160" s="220">
        <f t="shared" si="56"/>
        <v>7.3902343457353687</v>
      </c>
      <c r="T160" s="236">
        <f t="shared" si="42"/>
        <v>11</v>
      </c>
      <c r="U160" s="221" t="str">
        <f t="shared" si="64"/>
        <v>11-REP-NOEC-Neonates</v>
      </c>
      <c r="V160" s="222" cm="1">
        <f t="array" ref="V160">GEOMEAN(IF(U160=$U$4:$U$359,$S$4:$S$359))</f>
        <v>6.7202609896064711</v>
      </c>
      <c r="W160" s="264">
        <f t="shared" si="58"/>
        <v>3.597373305697761</v>
      </c>
      <c r="X160" s="225">
        <f t="shared" si="59"/>
        <v>36.502228214500114</v>
      </c>
      <c r="Y160" s="225"/>
      <c r="Z160" s="226" t="s">
        <v>1474</v>
      </c>
      <c r="AA160" s="226"/>
      <c r="AB160" s="227" t="s">
        <v>1846</v>
      </c>
      <c r="AC160" s="243" t="s">
        <v>1798</v>
      </c>
      <c r="AD160" s="251"/>
      <c r="AE160" s="229" t="s">
        <v>1584</v>
      </c>
      <c r="AG160" s="248"/>
    </row>
    <row r="161" spans="1:33" s="182" customFormat="1" ht="15.75" hidden="1" customHeight="1" x14ac:dyDescent="0.25">
      <c r="B161" s="180">
        <v>71981</v>
      </c>
      <c r="C161" s="217">
        <v>2003</v>
      </c>
      <c r="D161" s="180" t="s">
        <v>602</v>
      </c>
      <c r="E161" s="180" t="s">
        <v>41</v>
      </c>
      <c r="F161" s="180" t="s">
        <v>87</v>
      </c>
      <c r="G161" s="180" t="s">
        <v>260</v>
      </c>
      <c r="H161" s="180" t="s">
        <v>1738</v>
      </c>
      <c r="I161" s="180" t="s">
        <v>76</v>
      </c>
      <c r="J161" s="180" t="s">
        <v>54</v>
      </c>
      <c r="K161" s="180" t="s">
        <v>94</v>
      </c>
      <c r="L161" s="180">
        <v>575</v>
      </c>
      <c r="M161" s="180">
        <v>445</v>
      </c>
      <c r="N161" s="180">
        <v>7.25</v>
      </c>
      <c r="O161" s="94">
        <v>21</v>
      </c>
      <c r="P161" s="239">
        <f t="shared" si="53"/>
        <v>6.3543700407973507</v>
      </c>
      <c r="Q161" s="262" t="str">
        <f t="shared" si="54"/>
        <v>Gadd Daph</v>
      </c>
      <c r="R161" s="263">
        <f t="shared" si="55"/>
        <v>-0.84445934370250164</v>
      </c>
      <c r="S161" s="220">
        <f t="shared" si="56"/>
        <v>7.1988293844998523</v>
      </c>
      <c r="T161" s="236">
        <f t="shared" si="42"/>
        <v>11</v>
      </c>
      <c r="U161" s="221"/>
      <c r="V161" s="222" t="e" cm="1">
        <f t="array" ref="V161">GEOMEAN(IF(U161=$U$4:$U$359,$S$4:$S$359))</f>
        <v>#NUM!</v>
      </c>
      <c r="W161" s="264" t="e">
        <f t="shared" si="58"/>
        <v>#NUM!</v>
      </c>
      <c r="X161" s="225" t="e">
        <f t="shared" si="59"/>
        <v>#NUM!</v>
      </c>
      <c r="Y161" s="225"/>
      <c r="Z161" s="226" t="s">
        <v>1474</v>
      </c>
      <c r="AA161" s="226" t="s">
        <v>1890</v>
      </c>
      <c r="AB161" s="227" t="s">
        <v>1846</v>
      </c>
      <c r="AC161" s="243" t="s">
        <v>1798</v>
      </c>
      <c r="AD161" s="243"/>
      <c r="AE161" s="229" t="s">
        <v>1584</v>
      </c>
      <c r="AG161" s="248"/>
    </row>
    <row r="162" spans="1:33" s="182" customFormat="1" ht="15.75" hidden="1" customHeight="1" x14ac:dyDescent="0.25">
      <c r="B162" s="180">
        <v>71981</v>
      </c>
      <c r="C162" s="217">
        <v>2003</v>
      </c>
      <c r="D162" s="180" t="s">
        <v>602</v>
      </c>
      <c r="E162" s="180" t="s">
        <v>41</v>
      </c>
      <c r="F162" s="180" t="s">
        <v>87</v>
      </c>
      <c r="G162" s="180" t="s">
        <v>260</v>
      </c>
      <c r="H162" s="180" t="s">
        <v>1738</v>
      </c>
      <c r="I162" s="180" t="s">
        <v>76</v>
      </c>
      <c r="J162" s="180" t="s">
        <v>54</v>
      </c>
      <c r="K162" s="180" t="s">
        <v>94</v>
      </c>
      <c r="L162" s="180">
        <v>320</v>
      </c>
      <c r="M162" s="180">
        <v>370</v>
      </c>
      <c r="N162" s="180">
        <v>8</v>
      </c>
      <c r="O162" s="94">
        <v>9.6999999999999993</v>
      </c>
      <c r="P162" s="239">
        <f t="shared" si="53"/>
        <v>5.768320995793772</v>
      </c>
      <c r="Q162" s="262" t="str">
        <f t="shared" si="54"/>
        <v>Gadd Daph</v>
      </c>
      <c r="R162" s="263">
        <f t="shared" si="55"/>
        <v>-1.1453086077872809</v>
      </c>
      <c r="S162" s="220">
        <f t="shared" si="56"/>
        <v>6.9136296035810529</v>
      </c>
      <c r="T162" s="236">
        <f t="shared" si="42"/>
        <v>11</v>
      </c>
      <c r="U162" s="221" t="str">
        <f t="shared" ref="U162:U198" si="66">CONCATENATE(T162,"-",I162,"-",J162,"-",H162)</f>
        <v>11-REP-NOEC-Neonates</v>
      </c>
      <c r="V162" s="222" cm="1">
        <f t="array" ref="V162">GEOMEAN(IF(U162=$U$4:$U$359,$S$4:$S$359))</f>
        <v>6.7202609896064711</v>
      </c>
      <c r="W162" s="264">
        <f t="shared" si="58"/>
        <v>3.597373305697761</v>
      </c>
      <c r="X162" s="225">
        <f t="shared" si="59"/>
        <v>36.502228214500114</v>
      </c>
      <c r="Y162" s="225"/>
      <c r="Z162" s="226" t="s">
        <v>1474</v>
      </c>
      <c r="AA162" s="226"/>
      <c r="AB162" s="227" t="s">
        <v>1846</v>
      </c>
      <c r="AC162" s="243" t="s">
        <v>1798</v>
      </c>
      <c r="AD162" s="243"/>
      <c r="AE162" s="229" t="s">
        <v>1584</v>
      </c>
      <c r="AG162" s="248"/>
    </row>
    <row r="163" spans="1:33" s="182" customFormat="1" ht="15.75" hidden="1" customHeight="1" x14ac:dyDescent="0.25">
      <c r="B163" s="180">
        <v>71981</v>
      </c>
      <c r="C163" s="217">
        <v>2003</v>
      </c>
      <c r="D163" s="180" t="s">
        <v>602</v>
      </c>
      <c r="E163" s="180" t="s">
        <v>41</v>
      </c>
      <c r="F163" s="180" t="s">
        <v>87</v>
      </c>
      <c r="G163" s="180" t="s">
        <v>260</v>
      </c>
      <c r="H163" s="180" t="s">
        <v>1738</v>
      </c>
      <c r="I163" s="180" t="s">
        <v>76</v>
      </c>
      <c r="J163" s="180" t="s">
        <v>54</v>
      </c>
      <c r="K163" s="180" t="s">
        <v>94</v>
      </c>
      <c r="L163" s="180">
        <v>630</v>
      </c>
      <c r="M163" s="180">
        <v>370</v>
      </c>
      <c r="N163" s="180">
        <v>6.5</v>
      </c>
      <c r="O163" s="94">
        <v>32.299999999999997</v>
      </c>
      <c r="P163" s="239">
        <f t="shared" si="53"/>
        <v>6.4457198193855785</v>
      </c>
      <c r="Q163" s="262" t="str">
        <f t="shared" si="54"/>
        <v>Gadd Daph</v>
      </c>
      <c r="R163" s="263">
        <f t="shared" si="55"/>
        <v>-0.99080331141555789</v>
      </c>
      <c r="S163" s="220">
        <f t="shared" si="56"/>
        <v>7.4365231308011364</v>
      </c>
      <c r="T163" s="236">
        <f t="shared" ref="T163:T226" si="67">IF(F163=F162,T162,T162+1)</f>
        <v>11</v>
      </c>
      <c r="U163" s="221" t="str">
        <f t="shared" si="66"/>
        <v>11-REP-NOEC-Neonates</v>
      </c>
      <c r="V163" s="222" cm="1">
        <f t="array" ref="V163">GEOMEAN(IF(U163=$U$4:$U$359,$S$4:$S$359))</f>
        <v>6.7202609896064711</v>
      </c>
      <c r="W163" s="264">
        <f t="shared" si="58"/>
        <v>3.597373305697761</v>
      </c>
      <c r="X163" s="225">
        <f t="shared" si="59"/>
        <v>36.502228214500114</v>
      </c>
      <c r="Y163" s="225"/>
      <c r="Z163" s="226" t="s">
        <v>1474</v>
      </c>
      <c r="AA163" s="226"/>
      <c r="AB163" s="227" t="s">
        <v>1846</v>
      </c>
      <c r="AC163" s="243" t="s">
        <v>1798</v>
      </c>
      <c r="AD163" s="243"/>
      <c r="AE163" s="229" t="s">
        <v>1584</v>
      </c>
      <c r="AG163" s="248"/>
    </row>
    <row r="164" spans="1:33" s="182" customFormat="1" ht="15.75" hidden="1" customHeight="1" x14ac:dyDescent="0.25">
      <c r="B164" s="180">
        <v>71981</v>
      </c>
      <c r="C164" s="217">
        <v>2003</v>
      </c>
      <c r="D164" s="180" t="s">
        <v>602</v>
      </c>
      <c r="E164" s="180" t="s">
        <v>41</v>
      </c>
      <c r="F164" s="180" t="s">
        <v>87</v>
      </c>
      <c r="G164" s="180" t="s">
        <v>260</v>
      </c>
      <c r="H164" s="180" t="s">
        <v>1738</v>
      </c>
      <c r="I164" s="180" t="s">
        <v>76</v>
      </c>
      <c r="J164" s="180" t="s">
        <v>54</v>
      </c>
      <c r="K164" s="180" t="s">
        <v>94</v>
      </c>
      <c r="L164" s="180">
        <v>630</v>
      </c>
      <c r="M164" s="180">
        <v>110</v>
      </c>
      <c r="N164" s="180">
        <v>8</v>
      </c>
      <c r="O164" s="94">
        <v>32.299999999999997</v>
      </c>
      <c r="P164" s="239">
        <f t="shared" si="53"/>
        <v>6.4457198193855785</v>
      </c>
      <c r="Q164" s="262" t="str">
        <f t="shared" si="54"/>
        <v>Gadd Daph</v>
      </c>
      <c r="R164" s="263">
        <f t="shared" si="55"/>
        <v>-0.89581612688547363</v>
      </c>
      <c r="S164" s="220">
        <f t="shared" si="56"/>
        <v>7.3415359462710521</v>
      </c>
      <c r="T164" s="236">
        <f t="shared" si="67"/>
        <v>11</v>
      </c>
      <c r="U164" s="221" t="str">
        <f t="shared" si="66"/>
        <v>11-REP-NOEC-Neonates</v>
      </c>
      <c r="V164" s="222" cm="1">
        <f t="array" ref="V164">GEOMEAN(IF(U164=$U$4:$U$359,$S$4:$S$359))</f>
        <v>6.7202609896064711</v>
      </c>
      <c r="W164" s="264">
        <f t="shared" si="58"/>
        <v>3.597373305697761</v>
      </c>
      <c r="X164" s="225">
        <f t="shared" si="59"/>
        <v>36.502228214500114</v>
      </c>
      <c r="Y164" s="225"/>
      <c r="Z164" s="226" t="s">
        <v>1474</v>
      </c>
      <c r="AA164" s="226"/>
      <c r="AB164" s="227" t="s">
        <v>1846</v>
      </c>
      <c r="AC164" s="243" t="s">
        <v>1798</v>
      </c>
      <c r="AD164" s="243"/>
      <c r="AE164" s="229" t="s">
        <v>1584</v>
      </c>
      <c r="AG164" s="248"/>
    </row>
    <row r="165" spans="1:33" s="182" customFormat="1" ht="15.75" hidden="1" customHeight="1" x14ac:dyDescent="0.25">
      <c r="B165" s="180">
        <v>71981</v>
      </c>
      <c r="C165" s="217">
        <v>2003</v>
      </c>
      <c r="D165" s="180" t="s">
        <v>602</v>
      </c>
      <c r="E165" s="180" t="s">
        <v>41</v>
      </c>
      <c r="F165" s="180" t="s">
        <v>87</v>
      </c>
      <c r="G165" s="180" t="s">
        <v>260</v>
      </c>
      <c r="H165" s="180" t="s">
        <v>1738</v>
      </c>
      <c r="I165" s="180" t="s">
        <v>76</v>
      </c>
      <c r="J165" s="180" t="s">
        <v>54</v>
      </c>
      <c r="K165" s="180" t="s">
        <v>94</v>
      </c>
      <c r="L165" s="180">
        <v>630</v>
      </c>
      <c r="M165" s="180">
        <v>240</v>
      </c>
      <c r="N165" s="180">
        <v>8.5</v>
      </c>
      <c r="O165" s="94">
        <v>21</v>
      </c>
      <c r="P165" s="239">
        <f t="shared" si="53"/>
        <v>6.4457198193855785</v>
      </c>
      <c r="Q165" s="262" t="str">
        <f t="shared" si="54"/>
        <v>Gadd Daph</v>
      </c>
      <c r="R165" s="263">
        <f t="shared" si="55"/>
        <v>-0.77250757362099165</v>
      </c>
      <c r="S165" s="220">
        <f t="shared" si="56"/>
        <v>7.2182273930065701</v>
      </c>
      <c r="T165" s="236">
        <f t="shared" si="67"/>
        <v>11</v>
      </c>
      <c r="U165" s="221" t="str">
        <f t="shared" si="66"/>
        <v>11-REP-NOEC-Neonates</v>
      </c>
      <c r="V165" s="222" cm="1">
        <f t="array" ref="V165">GEOMEAN(IF(U165=$U$4:$U$359,$S$4:$S$359))</f>
        <v>6.7202609896064711</v>
      </c>
      <c r="W165" s="264">
        <f t="shared" si="58"/>
        <v>3.597373305697761</v>
      </c>
      <c r="X165" s="225">
        <f t="shared" si="59"/>
        <v>36.502228214500114</v>
      </c>
      <c r="Y165" s="225"/>
      <c r="Z165" s="226" t="s">
        <v>1474</v>
      </c>
      <c r="AA165" s="226"/>
      <c r="AB165" s="227" t="s">
        <v>1846</v>
      </c>
      <c r="AC165" s="243" t="s">
        <v>1798</v>
      </c>
      <c r="AD165" s="228"/>
      <c r="AE165" s="229" t="s">
        <v>1584</v>
      </c>
      <c r="AG165" s="248"/>
    </row>
    <row r="166" spans="1:33" s="182" customFormat="1" ht="15.75" hidden="1" customHeight="1" x14ac:dyDescent="0.25">
      <c r="B166" s="180">
        <v>84052</v>
      </c>
      <c r="C166" s="217">
        <v>2005</v>
      </c>
      <c r="D166" s="180" t="s">
        <v>785</v>
      </c>
      <c r="E166" s="180" t="s">
        <v>41</v>
      </c>
      <c r="F166" s="180" t="s">
        <v>87</v>
      </c>
      <c r="G166" s="180" t="s">
        <v>260</v>
      </c>
      <c r="H166" s="180" t="s">
        <v>1738</v>
      </c>
      <c r="I166" s="180" t="s">
        <v>76</v>
      </c>
      <c r="J166" s="180" t="s">
        <v>49</v>
      </c>
      <c r="K166" s="180" t="s">
        <v>94</v>
      </c>
      <c r="L166" s="180">
        <v>59.2</v>
      </c>
      <c r="M166" s="224">
        <v>121.87649999999999</v>
      </c>
      <c r="N166" s="180">
        <v>8.4</v>
      </c>
      <c r="O166" s="94">
        <v>4.17</v>
      </c>
      <c r="P166" s="239">
        <f t="shared" si="53"/>
        <v>4.0809215418899605</v>
      </c>
      <c r="Q166" s="262" t="str">
        <f t="shared" si="54"/>
        <v>Gadd Daph</v>
      </c>
      <c r="R166" s="263">
        <f t="shared" si="55"/>
        <v>-1.9994711684908824</v>
      </c>
      <c r="S166" s="220">
        <f t="shared" si="56"/>
        <v>6.0803927103808428</v>
      </c>
      <c r="T166" s="236">
        <f t="shared" si="67"/>
        <v>11</v>
      </c>
      <c r="U166" s="221" t="str">
        <f t="shared" si="66"/>
        <v>11-REP-EC10-Neonates</v>
      </c>
      <c r="V166" s="222" cm="1">
        <f t="array" ref="V166">GEOMEAN(IF(U166=$U$4:$U$359,$S$4:$S$359))</f>
        <v>6.8680184697754383</v>
      </c>
      <c r="W166" s="264">
        <f t="shared" si="58"/>
        <v>3.7451307858667282</v>
      </c>
      <c r="X166" s="225">
        <f t="shared" si="59"/>
        <v>42.314541000879686</v>
      </c>
      <c r="Y166" s="225">
        <f t="shared" ref="Y166:Y172" si="68">X166</f>
        <v>42.314541000879686</v>
      </c>
      <c r="Z166" s="226"/>
      <c r="AA166" s="226"/>
      <c r="AB166" s="227" t="s">
        <v>1846</v>
      </c>
      <c r="AC166" s="228" t="s">
        <v>1861</v>
      </c>
      <c r="AD166" s="228"/>
      <c r="AE166" s="229" t="s">
        <v>1584</v>
      </c>
      <c r="AG166" s="248"/>
    </row>
    <row r="167" spans="1:33" s="182" customFormat="1" ht="15.75" hidden="1" customHeight="1" x14ac:dyDescent="0.25">
      <c r="B167" s="180">
        <v>84052</v>
      </c>
      <c r="C167" s="217">
        <v>2005</v>
      </c>
      <c r="D167" s="180" t="s">
        <v>785</v>
      </c>
      <c r="E167" s="180" t="s">
        <v>41</v>
      </c>
      <c r="F167" s="180" t="s">
        <v>87</v>
      </c>
      <c r="G167" s="180" t="s">
        <v>260</v>
      </c>
      <c r="H167" s="180" t="s">
        <v>1738</v>
      </c>
      <c r="I167" s="180" t="s">
        <v>76</v>
      </c>
      <c r="J167" s="180" t="s">
        <v>49</v>
      </c>
      <c r="K167" s="180" t="s">
        <v>94</v>
      </c>
      <c r="L167" s="180">
        <v>387</v>
      </c>
      <c r="M167" s="224">
        <v>122.40209999999999</v>
      </c>
      <c r="N167" s="180">
        <v>6.8</v>
      </c>
      <c r="O167" s="94">
        <v>17.3</v>
      </c>
      <c r="P167" s="239">
        <f t="shared" si="53"/>
        <v>5.9584246930297819</v>
      </c>
      <c r="Q167" s="262" t="str">
        <f t="shared" si="54"/>
        <v>Gadd Daph</v>
      </c>
      <c r="R167" s="263">
        <f t="shared" si="55"/>
        <v>-1.3843695183450579</v>
      </c>
      <c r="S167" s="220">
        <f t="shared" si="56"/>
        <v>7.3427942113748399</v>
      </c>
      <c r="T167" s="236">
        <f t="shared" si="67"/>
        <v>11</v>
      </c>
      <c r="U167" s="221" t="str">
        <f t="shared" si="66"/>
        <v>11-REP-EC10-Neonates</v>
      </c>
      <c r="V167" s="222" cm="1">
        <f t="array" ref="V167">GEOMEAN(IF(U167=$U$4:$U$359,$S$4:$S$359))</f>
        <v>6.8680184697754383</v>
      </c>
      <c r="W167" s="264">
        <f t="shared" si="58"/>
        <v>3.7451307858667282</v>
      </c>
      <c r="X167" s="225">
        <f t="shared" si="59"/>
        <v>42.314541000879686</v>
      </c>
      <c r="Y167" s="225">
        <f t="shared" si="68"/>
        <v>42.314541000879686</v>
      </c>
      <c r="Z167" s="226"/>
      <c r="AA167" s="226"/>
      <c r="AB167" s="227" t="s">
        <v>1846</v>
      </c>
      <c r="AC167" s="228" t="s">
        <v>1861</v>
      </c>
      <c r="AD167" s="228"/>
      <c r="AE167" s="229" t="s">
        <v>1584</v>
      </c>
      <c r="AG167" s="248"/>
    </row>
    <row r="168" spans="1:33" s="182" customFormat="1" ht="15.75" hidden="1" customHeight="1" x14ac:dyDescent="0.25">
      <c r="B168" s="180">
        <v>84052</v>
      </c>
      <c r="C168" s="217">
        <v>2005</v>
      </c>
      <c r="D168" s="180" t="s">
        <v>785</v>
      </c>
      <c r="E168" s="180" t="s">
        <v>41</v>
      </c>
      <c r="F168" s="180" t="s">
        <v>87</v>
      </c>
      <c r="G168" s="180" t="s">
        <v>260</v>
      </c>
      <c r="H168" s="180" t="s">
        <v>1738</v>
      </c>
      <c r="I168" s="180" t="s">
        <v>76</v>
      </c>
      <c r="J168" s="180" t="s">
        <v>49</v>
      </c>
      <c r="K168" s="180" t="s">
        <v>94</v>
      </c>
      <c r="L168" s="180">
        <v>126</v>
      </c>
      <c r="M168" s="224">
        <v>196.37960000000001</v>
      </c>
      <c r="N168" s="180">
        <v>8.1999999999999993</v>
      </c>
      <c r="O168" s="94">
        <v>2.2999999999999998</v>
      </c>
      <c r="P168" s="239">
        <f t="shared" si="53"/>
        <v>4.836281906951478</v>
      </c>
      <c r="Q168" s="262" t="str">
        <f t="shared" si="54"/>
        <v>Gadd Daph</v>
      </c>
      <c r="R168" s="263">
        <f t="shared" si="55"/>
        <v>-2.1540922667026114</v>
      </c>
      <c r="S168" s="220">
        <f t="shared" si="56"/>
        <v>6.9903741736540894</v>
      </c>
      <c r="T168" s="236">
        <f t="shared" si="67"/>
        <v>11</v>
      </c>
      <c r="U168" s="221" t="str">
        <f t="shared" si="66"/>
        <v>11-REP-EC10-Neonates</v>
      </c>
      <c r="V168" s="222" cm="1">
        <f t="array" ref="V168">GEOMEAN(IF(U168=$U$4:$U$359,$S$4:$S$359))</f>
        <v>6.8680184697754383</v>
      </c>
      <c r="W168" s="264">
        <f t="shared" si="58"/>
        <v>3.7451307858667282</v>
      </c>
      <c r="X168" s="225">
        <f t="shared" si="59"/>
        <v>42.314541000879686</v>
      </c>
      <c r="Y168" s="225">
        <f t="shared" si="68"/>
        <v>42.314541000879686</v>
      </c>
      <c r="Z168" s="226"/>
      <c r="AA168" s="226"/>
      <c r="AB168" s="227" t="s">
        <v>1846</v>
      </c>
      <c r="AC168" s="228" t="s">
        <v>1861</v>
      </c>
      <c r="AD168" s="228"/>
      <c r="AE168" s="229" t="s">
        <v>1584</v>
      </c>
      <c r="AG168" s="248"/>
    </row>
    <row r="169" spans="1:33" s="182" customFormat="1" ht="15.75" hidden="1" customHeight="1" x14ac:dyDescent="0.25">
      <c r="B169" s="180">
        <v>84052</v>
      </c>
      <c r="C169" s="217">
        <v>2005</v>
      </c>
      <c r="D169" s="180" t="s">
        <v>785</v>
      </c>
      <c r="E169" s="180" t="s">
        <v>41</v>
      </c>
      <c r="F169" s="180" t="s">
        <v>87</v>
      </c>
      <c r="G169" s="180" t="s">
        <v>260</v>
      </c>
      <c r="H169" s="180" t="s">
        <v>1738</v>
      </c>
      <c r="I169" s="180" t="s">
        <v>76</v>
      </c>
      <c r="J169" s="180" t="s">
        <v>49</v>
      </c>
      <c r="K169" s="180" t="s">
        <v>94</v>
      </c>
      <c r="L169" s="180">
        <v>171</v>
      </c>
      <c r="M169" s="224">
        <v>189.2439</v>
      </c>
      <c r="N169" s="180">
        <v>8</v>
      </c>
      <c r="O169" s="94">
        <v>7.49</v>
      </c>
      <c r="P169" s="239">
        <f t="shared" si="53"/>
        <v>5.1416635565026603</v>
      </c>
      <c r="Q169" s="262" t="str">
        <f t="shared" si="54"/>
        <v>Gadd Daph</v>
      </c>
      <c r="R169" s="263">
        <f t="shared" si="55"/>
        <v>-1.4876028609014247</v>
      </c>
      <c r="S169" s="220">
        <f t="shared" si="56"/>
        <v>6.629266417404085</v>
      </c>
      <c r="T169" s="236">
        <f t="shared" si="67"/>
        <v>11</v>
      </c>
      <c r="U169" s="221" t="str">
        <f t="shared" si="66"/>
        <v>11-REP-EC10-Neonates</v>
      </c>
      <c r="V169" s="222" cm="1">
        <f t="array" ref="V169">GEOMEAN(IF(U169=$U$4:$U$359,$S$4:$S$359))</f>
        <v>6.8680184697754383</v>
      </c>
      <c r="W169" s="264">
        <f t="shared" si="58"/>
        <v>3.7451307858667282</v>
      </c>
      <c r="X169" s="225">
        <f t="shared" si="59"/>
        <v>42.314541000879686</v>
      </c>
      <c r="Y169" s="225">
        <f t="shared" si="68"/>
        <v>42.314541000879686</v>
      </c>
      <c r="Z169" s="226"/>
      <c r="AA169" s="226"/>
      <c r="AB169" s="227" t="s">
        <v>1846</v>
      </c>
      <c r="AC169" s="228" t="s">
        <v>1861</v>
      </c>
      <c r="AD169" s="228"/>
      <c r="AE169" s="229" t="s">
        <v>1584</v>
      </c>
      <c r="AG169" s="248"/>
    </row>
    <row r="170" spans="1:33" s="182" customFormat="1" ht="15.75" hidden="1" customHeight="1" x14ac:dyDescent="0.25">
      <c r="B170" s="180">
        <v>84052</v>
      </c>
      <c r="C170" s="217">
        <v>2005</v>
      </c>
      <c r="D170" s="180" t="s">
        <v>785</v>
      </c>
      <c r="E170" s="180" t="s">
        <v>41</v>
      </c>
      <c r="F170" s="180" t="s">
        <v>87</v>
      </c>
      <c r="G170" s="180" t="s">
        <v>260</v>
      </c>
      <c r="H170" s="180" t="s">
        <v>1738</v>
      </c>
      <c r="I170" s="180" t="s">
        <v>76</v>
      </c>
      <c r="J170" s="180" t="s">
        <v>49</v>
      </c>
      <c r="K170" s="180" t="s">
        <v>94</v>
      </c>
      <c r="L170" s="180">
        <v>92.7</v>
      </c>
      <c r="M170" s="224">
        <v>26.4862</v>
      </c>
      <c r="N170" s="180">
        <v>7.3</v>
      </c>
      <c r="O170" s="94">
        <v>2.5299999999999998</v>
      </c>
      <c r="P170" s="239">
        <f t="shared" si="53"/>
        <v>4.5293684725718091</v>
      </c>
      <c r="Q170" s="262" t="str">
        <f t="shared" si="54"/>
        <v>Gadd Daph</v>
      </c>
      <c r="R170" s="263">
        <f t="shared" si="55"/>
        <v>-2.453513414218758</v>
      </c>
      <c r="S170" s="220">
        <f t="shared" si="56"/>
        <v>6.9828818867905671</v>
      </c>
      <c r="T170" s="236">
        <f t="shared" si="67"/>
        <v>11</v>
      </c>
      <c r="U170" s="221" t="str">
        <f t="shared" si="66"/>
        <v>11-REP-EC10-Neonates</v>
      </c>
      <c r="V170" s="222" cm="1">
        <f t="array" ref="V170">GEOMEAN(IF(U170=$U$4:$U$359,$S$4:$S$359))</f>
        <v>6.8680184697754383</v>
      </c>
      <c r="W170" s="264">
        <f t="shared" si="58"/>
        <v>3.7451307858667282</v>
      </c>
      <c r="X170" s="225">
        <f t="shared" si="59"/>
        <v>42.314541000879686</v>
      </c>
      <c r="Y170" s="225">
        <f t="shared" si="68"/>
        <v>42.314541000879686</v>
      </c>
      <c r="Z170" s="226"/>
      <c r="AA170" s="226"/>
      <c r="AB170" s="227" t="s">
        <v>1846</v>
      </c>
      <c r="AC170" s="228" t="s">
        <v>1861</v>
      </c>
      <c r="AD170" s="228"/>
      <c r="AE170" s="229" t="s">
        <v>1584</v>
      </c>
      <c r="AG170" s="248"/>
    </row>
    <row r="171" spans="1:33" s="182" customFormat="1" ht="15.75" hidden="1" customHeight="1" x14ac:dyDescent="0.25">
      <c r="B171" s="180">
        <v>84052</v>
      </c>
      <c r="C171" s="217">
        <v>2005</v>
      </c>
      <c r="D171" s="180" t="s">
        <v>785</v>
      </c>
      <c r="E171" s="180" t="s">
        <v>41</v>
      </c>
      <c r="F171" s="180" t="s">
        <v>87</v>
      </c>
      <c r="G171" s="180" t="s">
        <v>260</v>
      </c>
      <c r="H171" s="180" t="s">
        <v>1738</v>
      </c>
      <c r="I171" s="180" t="s">
        <v>76</v>
      </c>
      <c r="J171" s="180" t="s">
        <v>49</v>
      </c>
      <c r="K171" s="180" t="s">
        <v>94</v>
      </c>
      <c r="L171" s="180">
        <v>265</v>
      </c>
      <c r="M171" s="224">
        <v>183.01369999999997</v>
      </c>
      <c r="N171" s="180">
        <v>8</v>
      </c>
      <c r="O171" s="94">
        <v>9.8699999999999992</v>
      </c>
      <c r="P171" s="239">
        <f t="shared" si="53"/>
        <v>5.579729825986222</v>
      </c>
      <c r="Q171" s="262" t="str">
        <f t="shared" si="54"/>
        <v>Gadd Daph</v>
      </c>
      <c r="R171" s="263">
        <f t="shared" si="55"/>
        <v>-1.3544961620459413</v>
      </c>
      <c r="S171" s="220">
        <f t="shared" si="56"/>
        <v>6.9342259880321633</v>
      </c>
      <c r="T171" s="236">
        <f t="shared" si="67"/>
        <v>11</v>
      </c>
      <c r="U171" s="221" t="str">
        <f t="shared" si="66"/>
        <v>11-REP-EC10-Neonates</v>
      </c>
      <c r="V171" s="222" cm="1">
        <f t="array" ref="V171">GEOMEAN(IF(U171=$U$4:$U$359,$S$4:$S$359))</f>
        <v>6.8680184697754383</v>
      </c>
      <c r="W171" s="264">
        <f t="shared" si="58"/>
        <v>3.7451307858667282</v>
      </c>
      <c r="X171" s="225">
        <f t="shared" si="59"/>
        <v>42.314541000879686</v>
      </c>
      <c r="Y171" s="225">
        <f t="shared" si="68"/>
        <v>42.314541000879686</v>
      </c>
      <c r="Z171" s="226"/>
      <c r="AA171" s="226"/>
      <c r="AB171" s="227" t="s">
        <v>1846</v>
      </c>
      <c r="AC171" s="228" t="s">
        <v>1861</v>
      </c>
      <c r="AD171" s="228"/>
      <c r="AE171" s="229" t="s">
        <v>1584</v>
      </c>
      <c r="AG171" s="248"/>
    </row>
    <row r="172" spans="1:33" s="182" customFormat="1" ht="15.75" hidden="1" customHeight="1" x14ac:dyDescent="0.25">
      <c r="B172" s="180">
        <v>84052</v>
      </c>
      <c r="C172" s="217">
        <v>2005</v>
      </c>
      <c r="D172" s="180" t="s">
        <v>785</v>
      </c>
      <c r="E172" s="180" t="s">
        <v>41</v>
      </c>
      <c r="F172" s="180" t="s">
        <v>87</v>
      </c>
      <c r="G172" s="180" t="s">
        <v>260</v>
      </c>
      <c r="H172" s="180" t="s">
        <v>1738</v>
      </c>
      <c r="I172" s="180" t="s">
        <v>76</v>
      </c>
      <c r="J172" s="180" t="s">
        <v>49</v>
      </c>
      <c r="K172" s="180" t="s">
        <v>94</v>
      </c>
      <c r="L172" s="180">
        <v>196</v>
      </c>
      <c r="M172" s="224">
        <v>250.499</v>
      </c>
      <c r="N172" s="181">
        <v>7.2</v>
      </c>
      <c r="O172" s="94">
        <v>0.3</v>
      </c>
      <c r="P172" s="239">
        <f t="shared" si="53"/>
        <v>5.2781146592305168</v>
      </c>
      <c r="Q172" s="262" t="str">
        <f t="shared" si="54"/>
        <v>Gadd Daph</v>
      </c>
      <c r="R172" s="263">
        <f t="shared" si="55"/>
        <v>-2.4266320519836029</v>
      </c>
      <c r="S172" s="220">
        <f t="shared" si="56"/>
        <v>7.7047467112141197</v>
      </c>
      <c r="T172" s="236">
        <f t="shared" si="67"/>
        <v>11</v>
      </c>
      <c r="U172" s="221" t="str">
        <f t="shared" si="66"/>
        <v>11-REP-EC10-Neonates</v>
      </c>
      <c r="V172" s="222" cm="1">
        <f t="array" ref="V172">GEOMEAN(IF(U172=$U$4:$U$359,$S$4:$S$359))</f>
        <v>6.8680184697754383</v>
      </c>
      <c r="W172" s="264">
        <f t="shared" si="58"/>
        <v>3.7451307858667282</v>
      </c>
      <c r="X172" s="225">
        <f t="shared" si="59"/>
        <v>42.314541000879686</v>
      </c>
      <c r="Y172" s="225">
        <f t="shared" si="68"/>
        <v>42.314541000879686</v>
      </c>
      <c r="Z172" s="226"/>
      <c r="AA172" s="226"/>
      <c r="AB172" s="227" t="s">
        <v>1846</v>
      </c>
      <c r="AC172" s="228" t="s">
        <v>1861</v>
      </c>
      <c r="AD172" s="228"/>
      <c r="AE172" s="229" t="s">
        <v>1584</v>
      </c>
      <c r="AG172" s="248"/>
    </row>
    <row r="173" spans="1:33" s="182" customFormat="1" ht="15.75" hidden="1" customHeight="1" x14ac:dyDescent="0.25">
      <c r="B173" s="180">
        <v>84052</v>
      </c>
      <c r="C173" s="217">
        <v>2005</v>
      </c>
      <c r="D173" s="180" t="s">
        <v>785</v>
      </c>
      <c r="E173" s="180" t="s">
        <v>41</v>
      </c>
      <c r="F173" s="180" t="s">
        <v>87</v>
      </c>
      <c r="G173" s="180" t="s">
        <v>260</v>
      </c>
      <c r="H173" s="180" t="s">
        <v>1738</v>
      </c>
      <c r="I173" s="180" t="s">
        <v>76</v>
      </c>
      <c r="J173" s="180" t="s">
        <v>54</v>
      </c>
      <c r="K173" s="180" t="s">
        <v>94</v>
      </c>
      <c r="L173" s="180">
        <v>155</v>
      </c>
      <c r="M173" s="224">
        <v>250.499</v>
      </c>
      <c r="N173" s="180">
        <v>7.2</v>
      </c>
      <c r="O173" s="94">
        <v>0.3</v>
      </c>
      <c r="P173" s="239">
        <f t="shared" si="53"/>
        <v>5.0434251169192468</v>
      </c>
      <c r="Q173" s="262" t="str">
        <f t="shared" si="54"/>
        <v>Gadd Daph</v>
      </c>
      <c r="R173" s="263">
        <f t="shared" si="55"/>
        <v>-2.4266320519836029</v>
      </c>
      <c r="S173" s="220">
        <f t="shared" si="56"/>
        <v>7.4700571689028497</v>
      </c>
      <c r="T173" s="236">
        <f t="shared" si="67"/>
        <v>11</v>
      </c>
      <c r="U173" s="221" t="str">
        <f t="shared" si="66"/>
        <v>11-REP-NOEC-Neonates</v>
      </c>
      <c r="V173" s="222" cm="1">
        <f t="array" ref="V173">GEOMEAN(IF(U173=$U$4:$U$359,$S$4:$S$359))</f>
        <v>6.7202609896064711</v>
      </c>
      <c r="W173" s="264">
        <f t="shared" si="58"/>
        <v>3.597373305697761</v>
      </c>
      <c r="X173" s="225">
        <f t="shared" si="59"/>
        <v>36.502228214500114</v>
      </c>
      <c r="Y173" s="225"/>
      <c r="Z173" s="226" t="s">
        <v>1474</v>
      </c>
      <c r="AA173" s="226"/>
      <c r="AB173" s="227" t="s">
        <v>1846</v>
      </c>
      <c r="AC173" s="228" t="s">
        <v>1861</v>
      </c>
      <c r="AD173" s="228"/>
      <c r="AE173" s="229" t="s">
        <v>1584</v>
      </c>
      <c r="AG173" s="248"/>
    </row>
    <row r="174" spans="1:33" s="182" customFormat="1" ht="15.75" hidden="1" customHeight="1" x14ac:dyDescent="0.25">
      <c r="A174" s="180" t="s">
        <v>1893</v>
      </c>
      <c r="B174" s="180">
        <v>101832</v>
      </c>
      <c r="C174" s="217">
        <v>2007</v>
      </c>
      <c r="D174" s="180" t="s">
        <v>512</v>
      </c>
      <c r="E174" s="180" t="s">
        <v>41</v>
      </c>
      <c r="F174" s="180" t="s">
        <v>87</v>
      </c>
      <c r="G174" s="180" t="s">
        <v>260</v>
      </c>
      <c r="H174" s="180" t="s">
        <v>1738</v>
      </c>
      <c r="I174" s="180" t="s">
        <v>76</v>
      </c>
      <c r="J174" s="180" t="s">
        <v>49</v>
      </c>
      <c r="K174" s="180" t="s">
        <v>253</v>
      </c>
      <c r="L174" s="180">
        <v>84</v>
      </c>
      <c r="M174" s="180">
        <v>250</v>
      </c>
      <c r="N174" s="180">
        <v>7.6</v>
      </c>
      <c r="O174" s="94">
        <v>4</v>
      </c>
      <c r="P174" s="239">
        <f t="shared" si="53"/>
        <v>4.4308167988433134</v>
      </c>
      <c r="Q174" s="262" t="str">
        <f t="shared" si="54"/>
        <v>Gadd Daph</v>
      </c>
      <c r="R174" s="263">
        <f t="shared" si="55"/>
        <v>-1.6525583063478702</v>
      </c>
      <c r="S174" s="220">
        <f t="shared" si="56"/>
        <v>6.083375105191184</v>
      </c>
      <c r="T174" s="236">
        <f t="shared" si="67"/>
        <v>11</v>
      </c>
      <c r="U174" s="221" t="str">
        <f t="shared" si="66"/>
        <v>11-REP-EC10-Neonates</v>
      </c>
      <c r="V174" s="222" cm="1">
        <f t="array" ref="V174">GEOMEAN(IF(U174=$U$4:$U$359,$S$4:$S$359))</f>
        <v>6.8680184697754383</v>
      </c>
      <c r="W174" s="264">
        <f t="shared" si="58"/>
        <v>3.7451307858667282</v>
      </c>
      <c r="X174" s="225">
        <f t="shared" si="59"/>
        <v>42.314541000879686</v>
      </c>
      <c r="Y174" s="225">
        <f t="shared" ref="Y174:Y175" si="69">X174</f>
        <v>42.314541000879686</v>
      </c>
      <c r="Z174" s="226"/>
      <c r="AA174" s="226"/>
      <c r="AB174" s="246"/>
      <c r="AC174" s="228" t="s">
        <v>1858</v>
      </c>
      <c r="AD174" s="276">
        <v>0.72</v>
      </c>
      <c r="AE174" s="228" t="s">
        <v>1859</v>
      </c>
      <c r="AG174" s="248"/>
    </row>
    <row r="175" spans="1:33" s="182" customFormat="1" ht="15.75" hidden="1" customHeight="1" x14ac:dyDescent="0.25">
      <c r="A175" s="180" t="s">
        <v>1894</v>
      </c>
      <c r="B175" s="180">
        <v>101832</v>
      </c>
      <c r="C175" s="217">
        <v>2007</v>
      </c>
      <c r="D175" s="180" t="s">
        <v>512</v>
      </c>
      <c r="E175" s="180" t="s">
        <v>41</v>
      </c>
      <c r="F175" s="180" t="s">
        <v>87</v>
      </c>
      <c r="G175" s="180" t="s">
        <v>260</v>
      </c>
      <c r="H175" s="180" t="s">
        <v>1738</v>
      </c>
      <c r="I175" s="180" t="s">
        <v>76</v>
      </c>
      <c r="J175" s="180" t="s">
        <v>49</v>
      </c>
      <c r="K175" s="180">
        <v>21</v>
      </c>
      <c r="L175" s="180">
        <v>85</v>
      </c>
      <c r="M175" s="180">
        <v>250</v>
      </c>
      <c r="N175" s="180">
        <v>7.6</v>
      </c>
      <c r="O175" s="94">
        <v>4</v>
      </c>
      <c r="P175" s="239">
        <f t="shared" si="53"/>
        <v>4.4426512564903167</v>
      </c>
      <c r="Q175" s="262" t="str">
        <f t="shared" si="54"/>
        <v>Gadd Daph</v>
      </c>
      <c r="R175" s="263">
        <f t="shared" si="55"/>
        <v>-1.6525583063478702</v>
      </c>
      <c r="S175" s="220">
        <f t="shared" si="56"/>
        <v>6.0952095628381873</v>
      </c>
      <c r="T175" s="236">
        <f t="shared" si="67"/>
        <v>11</v>
      </c>
      <c r="U175" s="221" t="str">
        <f t="shared" si="66"/>
        <v>11-REP-EC10-Neonates</v>
      </c>
      <c r="V175" s="222" cm="1">
        <f t="array" ref="V175">GEOMEAN(IF(U175=$U$4:$U$359,$S$4:$S$359))</f>
        <v>6.8680184697754383</v>
      </c>
      <c r="W175" s="264">
        <f t="shared" si="58"/>
        <v>3.7451307858667282</v>
      </c>
      <c r="X175" s="225">
        <f t="shared" si="59"/>
        <v>42.314541000879686</v>
      </c>
      <c r="Y175" s="225">
        <f t="shared" si="69"/>
        <v>42.314541000879686</v>
      </c>
      <c r="Z175" s="226"/>
      <c r="AA175" s="226"/>
      <c r="AB175" s="246"/>
      <c r="AC175" s="228" t="s">
        <v>1858</v>
      </c>
      <c r="AD175" s="276">
        <v>0.72</v>
      </c>
      <c r="AE175" s="228" t="s">
        <v>1859</v>
      </c>
      <c r="AG175" s="248"/>
    </row>
    <row r="176" spans="1:33" s="182" customFormat="1" ht="15.75" hidden="1" customHeight="1" x14ac:dyDescent="0.25">
      <c r="A176" s="180" t="s">
        <v>1895</v>
      </c>
      <c r="B176" s="180">
        <v>101832</v>
      </c>
      <c r="C176" s="217">
        <v>2007</v>
      </c>
      <c r="D176" s="180" t="s">
        <v>512</v>
      </c>
      <c r="E176" s="180" t="s">
        <v>41</v>
      </c>
      <c r="F176" s="180" t="s">
        <v>87</v>
      </c>
      <c r="G176" s="180" t="s">
        <v>260</v>
      </c>
      <c r="H176" s="180" t="s">
        <v>1896</v>
      </c>
      <c r="I176" s="180" t="s">
        <v>76</v>
      </c>
      <c r="J176" s="180" t="s">
        <v>54</v>
      </c>
      <c r="K176" s="180" t="s">
        <v>253</v>
      </c>
      <c r="L176" s="180">
        <v>80</v>
      </c>
      <c r="M176" s="180">
        <v>250</v>
      </c>
      <c r="N176" s="180">
        <v>7.6</v>
      </c>
      <c r="O176" s="94">
        <v>4</v>
      </c>
      <c r="P176" s="239">
        <f t="shared" si="53"/>
        <v>4.3820266346738812</v>
      </c>
      <c r="Q176" s="262" t="str">
        <f t="shared" si="54"/>
        <v>Gadd Daph</v>
      </c>
      <c r="R176" s="263">
        <f t="shared" si="55"/>
        <v>-1.6525583063478702</v>
      </c>
      <c r="S176" s="220">
        <f t="shared" si="56"/>
        <v>6.0345849410217518</v>
      </c>
      <c r="T176" s="236">
        <f t="shared" si="67"/>
        <v>11</v>
      </c>
      <c r="U176" s="221" t="str">
        <f t="shared" si="66"/>
        <v>11-REP-NOEC-T7</v>
      </c>
      <c r="V176" s="222" cm="1">
        <f t="array" ref="V176">GEOMEAN(IF(U176=$U$4:$U$359,$S$4:$S$359))</f>
        <v>6.0345849410217518</v>
      </c>
      <c r="W176" s="264">
        <f t="shared" si="58"/>
        <v>2.9116972571130417</v>
      </c>
      <c r="X176" s="225">
        <f t="shared" si="59"/>
        <v>18.387981228970258</v>
      </c>
      <c r="Y176" s="225"/>
      <c r="Z176" s="226" t="s">
        <v>1524</v>
      </c>
      <c r="AA176" s="226"/>
      <c r="AB176" s="246"/>
      <c r="AC176" s="228" t="s">
        <v>1858</v>
      </c>
      <c r="AD176" s="276">
        <v>0.72</v>
      </c>
      <c r="AE176" s="228" t="s">
        <v>1859</v>
      </c>
      <c r="AG176" s="248"/>
    </row>
    <row r="177" spans="1:33" s="182" customFormat="1" ht="15.75" hidden="1" customHeight="1" x14ac:dyDescent="0.25">
      <c r="A177" s="180" t="s">
        <v>1897</v>
      </c>
      <c r="B177" s="180">
        <v>101832</v>
      </c>
      <c r="C177" s="217">
        <v>2007</v>
      </c>
      <c r="D177" s="180" t="s">
        <v>512</v>
      </c>
      <c r="E177" s="180" t="s">
        <v>41</v>
      </c>
      <c r="F177" s="180" t="s">
        <v>87</v>
      </c>
      <c r="G177" s="180" t="s">
        <v>260</v>
      </c>
      <c r="H177" s="180" t="s">
        <v>1738</v>
      </c>
      <c r="I177" s="180" t="s">
        <v>76</v>
      </c>
      <c r="J177" s="180" t="s">
        <v>54</v>
      </c>
      <c r="K177" s="180" t="s">
        <v>253</v>
      </c>
      <c r="L177" s="180">
        <v>80</v>
      </c>
      <c r="M177" s="180">
        <v>250</v>
      </c>
      <c r="N177" s="180">
        <v>7.6</v>
      </c>
      <c r="O177" s="94">
        <v>4</v>
      </c>
      <c r="P177" s="239">
        <f t="shared" si="53"/>
        <v>4.3820266346738812</v>
      </c>
      <c r="Q177" s="262" t="str">
        <f t="shared" si="54"/>
        <v>Gadd Daph</v>
      </c>
      <c r="R177" s="263">
        <f t="shared" si="55"/>
        <v>-1.6525583063478702</v>
      </c>
      <c r="S177" s="220">
        <f t="shared" si="56"/>
        <v>6.0345849410217518</v>
      </c>
      <c r="T177" s="236">
        <f t="shared" si="67"/>
        <v>11</v>
      </c>
      <c r="U177" s="221" t="str">
        <f t="shared" si="66"/>
        <v>11-REP-NOEC-Neonates</v>
      </c>
      <c r="V177" s="222" cm="1">
        <f t="array" ref="V177">GEOMEAN(IF(U177=$U$4:$U$359,$S$4:$S$359))</f>
        <v>6.7202609896064711</v>
      </c>
      <c r="W177" s="264">
        <f t="shared" si="58"/>
        <v>3.597373305697761</v>
      </c>
      <c r="X177" s="225">
        <f t="shared" si="59"/>
        <v>36.502228214500114</v>
      </c>
      <c r="Y177" s="225"/>
      <c r="Z177" s="226" t="s">
        <v>1524</v>
      </c>
      <c r="AA177" s="226"/>
      <c r="AB177" s="246"/>
      <c r="AC177" s="228" t="s">
        <v>1858</v>
      </c>
      <c r="AD177" s="276">
        <v>0.72</v>
      </c>
      <c r="AE177" s="228" t="s">
        <v>1859</v>
      </c>
      <c r="AG177" s="248"/>
    </row>
    <row r="178" spans="1:33" s="182" customFormat="1" ht="15.75" hidden="1" customHeight="1" x14ac:dyDescent="0.25">
      <c r="B178" s="241"/>
      <c r="C178" s="217">
        <v>2005</v>
      </c>
      <c r="D178" s="180" t="s">
        <v>1230</v>
      </c>
      <c r="E178" s="180" t="s">
        <v>41</v>
      </c>
      <c r="F178" s="180" t="s">
        <v>87</v>
      </c>
      <c r="G178" s="180" t="s">
        <v>260</v>
      </c>
      <c r="H178" s="180" t="s">
        <v>1738</v>
      </c>
      <c r="I178" s="180" t="s">
        <v>76</v>
      </c>
      <c r="J178" s="180" t="s">
        <v>54</v>
      </c>
      <c r="K178" s="217">
        <v>21</v>
      </c>
      <c r="L178" s="250">
        <v>39.234000000000002</v>
      </c>
      <c r="M178" s="180">
        <v>50</v>
      </c>
      <c r="N178" s="180">
        <v>6.6</v>
      </c>
      <c r="O178" s="94">
        <v>5</v>
      </c>
      <c r="P178" s="239">
        <f t="shared" si="53"/>
        <v>3.6695437178071941</v>
      </c>
      <c r="Q178" s="262" t="str">
        <f t="shared" si="54"/>
        <v>Gadd Daph</v>
      </c>
      <c r="R178" s="263">
        <f t="shared" si="55"/>
        <v>-1.9231362924294011</v>
      </c>
      <c r="S178" s="220">
        <f t="shared" si="56"/>
        <v>5.5926800102365952</v>
      </c>
      <c r="T178" s="236">
        <f t="shared" si="67"/>
        <v>11</v>
      </c>
      <c r="U178" s="221" t="str">
        <f t="shared" si="66"/>
        <v>11-REP-NOEC-Neonates</v>
      </c>
      <c r="V178" s="222" cm="1">
        <f t="array" ref="V178">GEOMEAN(IF(U178=$U$4:$U$359,$S$4:$S$359))</f>
        <v>6.7202609896064711</v>
      </c>
      <c r="W178" s="264">
        <f t="shared" si="58"/>
        <v>3.597373305697761</v>
      </c>
      <c r="X178" s="225">
        <f t="shared" si="59"/>
        <v>36.502228214500114</v>
      </c>
      <c r="Y178" s="225"/>
      <c r="Z178" s="226" t="s">
        <v>1854</v>
      </c>
      <c r="AA178" s="226"/>
      <c r="AB178" s="246"/>
      <c r="AC178" s="228"/>
      <c r="AD178" s="228"/>
      <c r="AE178" s="228"/>
      <c r="AG178" s="248"/>
    </row>
    <row r="179" spans="1:33" s="182" customFormat="1" ht="15.75" hidden="1" customHeight="1" x14ac:dyDescent="0.25">
      <c r="B179" s="241"/>
      <c r="C179" s="217">
        <v>2005</v>
      </c>
      <c r="D179" s="180" t="s">
        <v>1230</v>
      </c>
      <c r="E179" s="180" t="s">
        <v>41</v>
      </c>
      <c r="F179" s="180" t="s">
        <v>87</v>
      </c>
      <c r="G179" s="180" t="s">
        <v>260</v>
      </c>
      <c r="H179" s="180" t="s">
        <v>1738</v>
      </c>
      <c r="I179" s="180" t="s">
        <v>76</v>
      </c>
      <c r="J179" s="180" t="s">
        <v>54</v>
      </c>
      <c r="K179" s="217">
        <v>21</v>
      </c>
      <c r="L179" s="250">
        <v>49.696400000000004</v>
      </c>
      <c r="M179" s="180">
        <v>75</v>
      </c>
      <c r="N179" s="180">
        <v>6.6</v>
      </c>
      <c r="O179" s="94">
        <v>5</v>
      </c>
      <c r="P179" s="239">
        <f t="shared" si="53"/>
        <v>3.9059324958714243</v>
      </c>
      <c r="Q179" s="262" t="str">
        <f t="shared" si="54"/>
        <v>Gadd Daph</v>
      </c>
      <c r="R179" s="263">
        <f t="shared" si="55"/>
        <v>-1.7974421089158703</v>
      </c>
      <c r="S179" s="220">
        <f t="shared" si="56"/>
        <v>5.7033746047872942</v>
      </c>
      <c r="T179" s="236">
        <f t="shared" si="67"/>
        <v>11</v>
      </c>
      <c r="U179" s="221" t="str">
        <f t="shared" si="66"/>
        <v>11-REP-NOEC-Neonates</v>
      </c>
      <c r="V179" s="222" cm="1">
        <f t="array" ref="V179">GEOMEAN(IF(U179=$U$4:$U$359,$S$4:$S$359))</f>
        <v>6.7202609896064711</v>
      </c>
      <c r="W179" s="264">
        <f t="shared" si="58"/>
        <v>3.597373305697761</v>
      </c>
      <c r="X179" s="225">
        <f t="shared" si="59"/>
        <v>36.502228214500114</v>
      </c>
      <c r="Y179" s="225"/>
      <c r="Z179" s="226" t="s">
        <v>1854</v>
      </c>
      <c r="AA179" s="226"/>
      <c r="AB179" s="254"/>
      <c r="AC179" s="228"/>
      <c r="AD179" s="228"/>
      <c r="AE179" s="228"/>
      <c r="AG179" s="248"/>
    </row>
    <row r="180" spans="1:33" s="182" customFormat="1" ht="15.75" hidden="1" customHeight="1" x14ac:dyDescent="0.25">
      <c r="B180" s="241"/>
      <c r="C180" s="217">
        <v>2005</v>
      </c>
      <c r="D180" s="180" t="s">
        <v>1230</v>
      </c>
      <c r="E180" s="180" t="s">
        <v>41</v>
      </c>
      <c r="F180" s="180" t="s">
        <v>87</v>
      </c>
      <c r="G180" s="180" t="s">
        <v>260</v>
      </c>
      <c r="H180" s="180" t="s">
        <v>1738</v>
      </c>
      <c r="I180" s="180" t="s">
        <v>76</v>
      </c>
      <c r="J180" s="180" t="s">
        <v>54</v>
      </c>
      <c r="K180" s="217">
        <v>21</v>
      </c>
      <c r="L180" s="250">
        <v>54.273699999999998</v>
      </c>
      <c r="M180" s="180">
        <v>125</v>
      </c>
      <c r="N180" s="180">
        <v>6.6</v>
      </c>
      <c r="O180" s="94">
        <v>5</v>
      </c>
      <c r="P180" s="239">
        <f t="shared" si="53"/>
        <v>3.9940397633816911</v>
      </c>
      <c r="Q180" s="262" t="str">
        <f t="shared" si="54"/>
        <v>Gadd Daph</v>
      </c>
      <c r="R180" s="263">
        <f t="shared" si="55"/>
        <v>-1.639086165548413</v>
      </c>
      <c r="S180" s="220">
        <f t="shared" si="56"/>
        <v>5.6331259289301041</v>
      </c>
      <c r="T180" s="236">
        <f t="shared" si="67"/>
        <v>11</v>
      </c>
      <c r="U180" s="221" t="str">
        <f t="shared" si="66"/>
        <v>11-REP-NOEC-Neonates</v>
      </c>
      <c r="V180" s="222" cm="1">
        <f t="array" ref="V180">GEOMEAN(IF(U180=$U$4:$U$359,$S$4:$S$359))</f>
        <v>6.7202609896064711</v>
      </c>
      <c r="W180" s="264">
        <f t="shared" si="58"/>
        <v>3.597373305697761</v>
      </c>
      <c r="X180" s="225">
        <f t="shared" si="59"/>
        <v>36.502228214500114</v>
      </c>
      <c r="Y180" s="225"/>
      <c r="Z180" s="226" t="s">
        <v>1854</v>
      </c>
      <c r="AA180" s="226"/>
      <c r="AB180" s="254"/>
      <c r="AC180" s="243"/>
      <c r="AD180" s="243"/>
      <c r="AE180" s="243"/>
      <c r="AG180" s="248"/>
    </row>
    <row r="181" spans="1:33" s="182" customFormat="1" ht="15.75" hidden="1" customHeight="1" x14ac:dyDescent="0.25">
      <c r="B181" s="241"/>
      <c r="C181" s="217">
        <v>2005</v>
      </c>
      <c r="D181" s="180" t="s">
        <v>1230</v>
      </c>
      <c r="E181" s="180" t="s">
        <v>41</v>
      </c>
      <c r="F181" s="180" t="s">
        <v>87</v>
      </c>
      <c r="G181" s="180" t="s">
        <v>260</v>
      </c>
      <c r="H181" s="180" t="s">
        <v>1738</v>
      </c>
      <c r="I181" s="180" t="s">
        <v>76</v>
      </c>
      <c r="J181" s="180" t="s">
        <v>54</v>
      </c>
      <c r="K181" s="217">
        <v>21</v>
      </c>
      <c r="L181" s="250">
        <v>92.1999</v>
      </c>
      <c r="M181" s="180">
        <v>225</v>
      </c>
      <c r="N181" s="180">
        <v>6.6</v>
      </c>
      <c r="O181" s="94">
        <v>5</v>
      </c>
      <c r="P181" s="239">
        <f t="shared" si="53"/>
        <v>4.5239590459632613</v>
      </c>
      <c r="Q181" s="262" t="str">
        <f t="shared" si="54"/>
        <v>Gadd Daph</v>
      </c>
      <c r="R181" s="263">
        <f t="shared" si="55"/>
        <v>-1.4568722994287562</v>
      </c>
      <c r="S181" s="220">
        <f t="shared" si="56"/>
        <v>5.9808313453920174</v>
      </c>
      <c r="T181" s="236">
        <f t="shared" si="67"/>
        <v>11</v>
      </c>
      <c r="U181" s="221" t="str">
        <f t="shared" si="66"/>
        <v>11-REP-NOEC-Neonates</v>
      </c>
      <c r="V181" s="222" cm="1">
        <f t="array" ref="V181">GEOMEAN(IF(U181=$U$4:$U$359,$S$4:$S$359))</f>
        <v>6.7202609896064711</v>
      </c>
      <c r="W181" s="264">
        <f t="shared" si="58"/>
        <v>3.597373305697761</v>
      </c>
      <c r="X181" s="225">
        <f t="shared" si="59"/>
        <v>36.502228214500114</v>
      </c>
      <c r="Y181" s="225"/>
      <c r="Z181" s="226" t="s">
        <v>1854</v>
      </c>
      <c r="AA181" s="226"/>
      <c r="AB181" s="254"/>
      <c r="AC181" s="243"/>
      <c r="AD181" s="243"/>
      <c r="AE181" s="243"/>
      <c r="AG181" s="248"/>
    </row>
    <row r="182" spans="1:33" s="182" customFormat="1" ht="15.75" hidden="1" customHeight="1" x14ac:dyDescent="0.25">
      <c r="B182" s="241"/>
      <c r="C182" s="217">
        <v>2005</v>
      </c>
      <c r="D182" s="180" t="s">
        <v>1230</v>
      </c>
      <c r="E182" s="180" t="s">
        <v>41</v>
      </c>
      <c r="F182" s="180" t="s">
        <v>87</v>
      </c>
      <c r="G182" s="180" t="s">
        <v>260</v>
      </c>
      <c r="H182" s="180" t="s">
        <v>1738</v>
      </c>
      <c r="I182" s="180" t="s">
        <v>76</v>
      </c>
      <c r="J182" s="180" t="s">
        <v>54</v>
      </c>
      <c r="K182" s="217">
        <v>21</v>
      </c>
      <c r="L182" s="250">
        <v>157.5899</v>
      </c>
      <c r="M182" s="180">
        <v>325</v>
      </c>
      <c r="N182" s="180">
        <v>6.6</v>
      </c>
      <c r="O182" s="94">
        <v>5</v>
      </c>
      <c r="P182" s="239">
        <f t="shared" si="53"/>
        <v>5.0599960890757485</v>
      </c>
      <c r="Q182" s="262" t="str">
        <f t="shared" si="54"/>
        <v>Gadd Daph</v>
      </c>
      <c r="R182" s="263">
        <f t="shared" si="55"/>
        <v>-1.3428776175899073</v>
      </c>
      <c r="S182" s="220">
        <f t="shared" si="56"/>
        <v>6.4028737066656554</v>
      </c>
      <c r="T182" s="236">
        <f t="shared" si="67"/>
        <v>11</v>
      </c>
      <c r="U182" s="221" t="str">
        <f t="shared" si="66"/>
        <v>11-REP-NOEC-Neonates</v>
      </c>
      <c r="V182" s="222" cm="1">
        <f t="array" ref="V182">GEOMEAN(IF(U182=$U$4:$U$359,$S$4:$S$359))</f>
        <v>6.7202609896064711</v>
      </c>
      <c r="W182" s="264">
        <f t="shared" si="58"/>
        <v>3.597373305697761</v>
      </c>
      <c r="X182" s="225">
        <f t="shared" si="59"/>
        <v>36.502228214500114</v>
      </c>
      <c r="Y182" s="225"/>
      <c r="Z182" s="226" t="s">
        <v>1854</v>
      </c>
      <c r="AA182" s="226"/>
      <c r="AB182" s="254"/>
      <c r="AC182" s="243"/>
      <c r="AD182" s="243"/>
      <c r="AE182" s="243"/>
      <c r="AG182" s="248"/>
    </row>
    <row r="183" spans="1:33" s="182" customFormat="1" ht="15.75" hidden="1" customHeight="1" x14ac:dyDescent="0.25">
      <c r="B183" s="241"/>
      <c r="C183" s="217">
        <v>2005</v>
      </c>
      <c r="D183" s="180" t="s">
        <v>1230</v>
      </c>
      <c r="E183" s="180" t="s">
        <v>41</v>
      </c>
      <c r="F183" s="180" t="s">
        <v>87</v>
      </c>
      <c r="G183" s="180" t="s">
        <v>260</v>
      </c>
      <c r="H183" s="180" t="s">
        <v>1738</v>
      </c>
      <c r="I183" s="180" t="s">
        <v>76</v>
      </c>
      <c r="J183" s="180" t="s">
        <v>54</v>
      </c>
      <c r="K183" s="217">
        <v>21</v>
      </c>
      <c r="L183" s="250">
        <v>98.085000000000008</v>
      </c>
      <c r="M183" s="180">
        <v>425</v>
      </c>
      <c r="N183" s="180">
        <v>6.6</v>
      </c>
      <c r="O183" s="94">
        <v>5</v>
      </c>
      <c r="P183" s="239">
        <f t="shared" si="53"/>
        <v>4.5858344496813492</v>
      </c>
      <c r="Q183" s="262" t="str">
        <f t="shared" si="54"/>
        <v>Gadd Daph</v>
      </c>
      <c r="R183" s="263">
        <f t="shared" si="55"/>
        <v>-1.2597157817455567</v>
      </c>
      <c r="S183" s="220">
        <f t="shared" si="56"/>
        <v>5.8455502314269054</v>
      </c>
      <c r="T183" s="236">
        <f t="shared" si="67"/>
        <v>11</v>
      </c>
      <c r="U183" s="221" t="str">
        <f t="shared" si="66"/>
        <v>11-REP-NOEC-Neonates</v>
      </c>
      <c r="V183" s="222" cm="1">
        <f t="array" ref="V183">GEOMEAN(IF(U183=$U$4:$U$359,$S$4:$S$359))</f>
        <v>6.7202609896064711</v>
      </c>
      <c r="W183" s="264">
        <f t="shared" si="58"/>
        <v>3.597373305697761</v>
      </c>
      <c r="X183" s="225">
        <f t="shared" si="59"/>
        <v>36.502228214500114</v>
      </c>
      <c r="Y183" s="225"/>
      <c r="Z183" s="226" t="s">
        <v>1854</v>
      </c>
      <c r="AA183" s="226"/>
      <c r="AB183" s="246"/>
      <c r="AC183" s="228"/>
      <c r="AD183" s="228"/>
      <c r="AE183" s="228"/>
      <c r="AG183" s="248"/>
    </row>
    <row r="184" spans="1:33" s="182" customFormat="1" ht="15.75" hidden="1" customHeight="1" x14ac:dyDescent="0.25">
      <c r="B184" s="241"/>
      <c r="C184" s="217">
        <v>2005</v>
      </c>
      <c r="D184" s="180" t="s">
        <v>1230</v>
      </c>
      <c r="E184" s="180" t="s">
        <v>41</v>
      </c>
      <c r="F184" s="180" t="s">
        <v>87</v>
      </c>
      <c r="G184" s="180" t="s">
        <v>260</v>
      </c>
      <c r="H184" s="180" t="s">
        <v>1738</v>
      </c>
      <c r="I184" s="180" t="s">
        <v>76</v>
      </c>
      <c r="J184" s="180" t="s">
        <v>54</v>
      </c>
      <c r="K184" s="217">
        <v>21</v>
      </c>
      <c r="L184" s="250">
        <v>47.734699999999997</v>
      </c>
      <c r="M184" s="180">
        <v>50</v>
      </c>
      <c r="N184" s="180">
        <v>6.6</v>
      </c>
      <c r="O184" s="94">
        <v>5</v>
      </c>
      <c r="P184" s="239">
        <f t="shared" si="53"/>
        <v>3.8656585967334842</v>
      </c>
      <c r="Q184" s="262" t="str">
        <f t="shared" ref="Q184:Q247" si="70">$AG$5</f>
        <v>Gadd Daph</v>
      </c>
      <c r="R184" s="263">
        <f t="shared" si="55"/>
        <v>-1.9231362924294011</v>
      </c>
      <c r="S184" s="220">
        <f t="shared" si="56"/>
        <v>5.7887948891628849</v>
      </c>
      <c r="T184" s="236">
        <f t="shared" si="67"/>
        <v>11</v>
      </c>
      <c r="U184" s="221" t="str">
        <f t="shared" si="66"/>
        <v>11-REP-NOEC-Neonates</v>
      </c>
      <c r="V184" s="222" cm="1">
        <f t="array" ref="V184">GEOMEAN(IF(U184=$U$4:$U$359,$S$4:$S$359))</f>
        <v>6.7202609896064711</v>
      </c>
      <c r="W184" s="264">
        <f t="shared" si="58"/>
        <v>3.597373305697761</v>
      </c>
      <c r="X184" s="225">
        <f t="shared" si="59"/>
        <v>36.502228214500114</v>
      </c>
      <c r="Y184" s="225"/>
      <c r="Z184" s="226" t="s">
        <v>1854</v>
      </c>
      <c r="AA184" s="226"/>
      <c r="AB184" s="246"/>
      <c r="AC184" s="228"/>
      <c r="AD184" s="228"/>
      <c r="AE184" s="228"/>
      <c r="AG184" s="248"/>
    </row>
    <row r="185" spans="1:33" s="182" customFormat="1" ht="15.75" hidden="1" customHeight="1" x14ac:dyDescent="0.25">
      <c r="B185" s="241"/>
      <c r="C185" s="217">
        <v>2005</v>
      </c>
      <c r="D185" s="180" t="s">
        <v>1230</v>
      </c>
      <c r="E185" s="180" t="s">
        <v>41</v>
      </c>
      <c r="F185" s="180" t="s">
        <v>87</v>
      </c>
      <c r="G185" s="180" t="s">
        <v>260</v>
      </c>
      <c r="H185" s="180" t="s">
        <v>1738</v>
      </c>
      <c r="I185" s="180" t="s">
        <v>76</v>
      </c>
      <c r="J185" s="180" t="s">
        <v>54</v>
      </c>
      <c r="K185" s="217">
        <v>21</v>
      </c>
      <c r="L185" s="250">
        <v>47.734699999999997</v>
      </c>
      <c r="M185" s="180">
        <v>75</v>
      </c>
      <c r="N185" s="180">
        <v>6.6</v>
      </c>
      <c r="O185" s="94">
        <v>5</v>
      </c>
      <c r="P185" s="239">
        <f t="shared" si="53"/>
        <v>3.8656585967334842</v>
      </c>
      <c r="Q185" s="262" t="str">
        <f t="shared" si="70"/>
        <v>Gadd Daph</v>
      </c>
      <c r="R185" s="263">
        <f t="shared" ref="R185:R248" si="71">$AI$5*N185+$AH$5*LN(M185)+$AJ$5*LN(O185)+$AK$5*LN(O185)*N185</f>
        <v>-1.7974421089158703</v>
      </c>
      <c r="S185" s="220">
        <f t="shared" si="56"/>
        <v>5.6631007056493541</v>
      </c>
      <c r="T185" s="236">
        <f t="shared" si="67"/>
        <v>11</v>
      </c>
      <c r="U185" s="221" t="str">
        <f t="shared" si="66"/>
        <v>11-REP-NOEC-Neonates</v>
      </c>
      <c r="V185" s="222" cm="1">
        <f t="array" ref="V185">GEOMEAN(IF(U185=$U$4:$U$359,$S$4:$S$359))</f>
        <v>6.7202609896064711</v>
      </c>
      <c r="W185" s="264">
        <f t="shared" ref="W185:W248" si="72">V185+$AI$5*$AI$2+$AH$5*LN($AH$2)+$AJ$5*LN($AJ$2)+$AK$5*LN($AJ$2)*$AI$2</f>
        <v>3.597373305697761</v>
      </c>
      <c r="X185" s="225">
        <f t="shared" si="59"/>
        <v>36.502228214500114</v>
      </c>
      <c r="Y185" s="225"/>
      <c r="Z185" s="226" t="s">
        <v>1854</v>
      </c>
      <c r="AA185" s="226"/>
      <c r="AB185" s="246"/>
      <c r="AC185" s="228"/>
      <c r="AD185" s="228"/>
      <c r="AE185" s="228"/>
      <c r="AG185" s="248"/>
    </row>
    <row r="186" spans="1:33" s="182" customFormat="1" ht="15.75" hidden="1" customHeight="1" x14ac:dyDescent="0.25">
      <c r="B186" s="241"/>
      <c r="C186" s="217">
        <v>2005</v>
      </c>
      <c r="D186" s="180" t="s">
        <v>1230</v>
      </c>
      <c r="E186" s="180" t="s">
        <v>41</v>
      </c>
      <c r="F186" s="180" t="s">
        <v>87</v>
      </c>
      <c r="G186" s="180" t="s">
        <v>260</v>
      </c>
      <c r="H186" s="180" t="s">
        <v>1738</v>
      </c>
      <c r="I186" s="180" t="s">
        <v>76</v>
      </c>
      <c r="J186" s="180" t="s">
        <v>54</v>
      </c>
      <c r="K186" s="217">
        <v>21</v>
      </c>
      <c r="L186" s="250">
        <v>147.1275</v>
      </c>
      <c r="M186" s="180">
        <v>125</v>
      </c>
      <c r="N186" s="180">
        <v>6.6</v>
      </c>
      <c r="O186" s="94">
        <v>5</v>
      </c>
      <c r="P186" s="239">
        <f t="shared" ref="P186:P249" si="73">LN(L186)</f>
        <v>4.991299557789513</v>
      </c>
      <c r="Q186" s="262" t="str">
        <f t="shared" si="70"/>
        <v>Gadd Daph</v>
      </c>
      <c r="R186" s="263">
        <f t="shared" si="71"/>
        <v>-1.639086165548413</v>
      </c>
      <c r="S186" s="220">
        <f t="shared" ref="S186:S249" si="74">P186-R186</f>
        <v>6.630385723337926</v>
      </c>
      <c r="T186" s="236">
        <f t="shared" si="67"/>
        <v>11</v>
      </c>
      <c r="U186" s="221" t="str">
        <f t="shared" si="66"/>
        <v>11-REP-NOEC-Neonates</v>
      </c>
      <c r="V186" s="222" cm="1">
        <f t="array" ref="V186">GEOMEAN(IF(U186=$U$4:$U$359,$S$4:$S$359))</f>
        <v>6.7202609896064711</v>
      </c>
      <c r="W186" s="264">
        <f t="shared" si="72"/>
        <v>3.597373305697761</v>
      </c>
      <c r="X186" s="225">
        <f t="shared" ref="X186:X249" si="75">EXP(W186)</f>
        <v>36.502228214500114</v>
      </c>
      <c r="Y186" s="225"/>
      <c r="Z186" s="226" t="s">
        <v>1854</v>
      </c>
      <c r="AA186" s="226"/>
      <c r="AB186" s="246"/>
      <c r="AC186" s="228"/>
      <c r="AD186" s="228"/>
      <c r="AE186" s="228"/>
      <c r="AG186" s="248"/>
    </row>
    <row r="187" spans="1:33" s="182" customFormat="1" ht="15.75" hidden="1" customHeight="1" x14ac:dyDescent="0.25">
      <c r="B187" s="241"/>
      <c r="C187" s="217">
        <v>2005</v>
      </c>
      <c r="D187" s="180" t="s">
        <v>1230</v>
      </c>
      <c r="E187" s="180" t="s">
        <v>41</v>
      </c>
      <c r="F187" s="180" t="s">
        <v>87</v>
      </c>
      <c r="G187" s="180" t="s">
        <v>260</v>
      </c>
      <c r="H187" s="180" t="s">
        <v>1738</v>
      </c>
      <c r="I187" s="180" t="s">
        <v>76</v>
      </c>
      <c r="J187" s="180" t="s">
        <v>54</v>
      </c>
      <c r="K187" s="217">
        <v>21</v>
      </c>
      <c r="L187" s="250">
        <v>164.78280000000001</v>
      </c>
      <c r="M187" s="180">
        <v>225</v>
      </c>
      <c r="N187" s="180">
        <v>6.6</v>
      </c>
      <c r="O187" s="94">
        <v>5</v>
      </c>
      <c r="P187" s="239">
        <f t="shared" si="73"/>
        <v>5.1046282430965162</v>
      </c>
      <c r="Q187" s="262" t="str">
        <f t="shared" si="70"/>
        <v>Gadd Daph</v>
      </c>
      <c r="R187" s="263">
        <f t="shared" si="71"/>
        <v>-1.4568722994287562</v>
      </c>
      <c r="S187" s="220">
        <f t="shared" si="74"/>
        <v>6.5615005425252724</v>
      </c>
      <c r="T187" s="236">
        <f t="shared" si="67"/>
        <v>11</v>
      </c>
      <c r="U187" s="221" t="str">
        <f t="shared" si="66"/>
        <v>11-REP-NOEC-Neonates</v>
      </c>
      <c r="V187" s="222" cm="1">
        <f t="array" ref="V187">GEOMEAN(IF(U187=$U$4:$U$359,$S$4:$S$359))</f>
        <v>6.7202609896064711</v>
      </c>
      <c r="W187" s="264">
        <f t="shared" si="72"/>
        <v>3.597373305697761</v>
      </c>
      <c r="X187" s="225">
        <f t="shared" si="75"/>
        <v>36.502228214500114</v>
      </c>
      <c r="Y187" s="225"/>
      <c r="Z187" s="226" t="s">
        <v>1854</v>
      </c>
      <c r="AA187" s="226"/>
      <c r="AB187" s="246"/>
      <c r="AC187" s="228"/>
      <c r="AD187" s="228"/>
      <c r="AE187" s="228"/>
      <c r="AG187" s="248"/>
    </row>
    <row r="188" spans="1:33" s="182" customFormat="1" ht="15.75" hidden="1" customHeight="1" x14ac:dyDescent="0.25">
      <c r="B188" s="241"/>
      <c r="C188" s="217">
        <v>2005</v>
      </c>
      <c r="D188" s="180" t="s">
        <v>1230</v>
      </c>
      <c r="E188" s="180" t="s">
        <v>41</v>
      </c>
      <c r="F188" s="180" t="s">
        <v>87</v>
      </c>
      <c r="G188" s="180" t="s">
        <v>260</v>
      </c>
      <c r="H188" s="180" t="s">
        <v>1738</v>
      </c>
      <c r="I188" s="180" t="s">
        <v>76</v>
      </c>
      <c r="J188" s="180" t="s">
        <v>54</v>
      </c>
      <c r="K188" s="217">
        <v>21</v>
      </c>
      <c r="L188" s="250">
        <v>158.89770000000001</v>
      </c>
      <c r="M188" s="180">
        <v>325</v>
      </c>
      <c r="N188" s="180">
        <v>6.6</v>
      </c>
      <c r="O188" s="94">
        <v>5</v>
      </c>
      <c r="P188" s="239">
        <f t="shared" si="73"/>
        <v>5.068260598925642</v>
      </c>
      <c r="Q188" s="262" t="str">
        <f t="shared" si="70"/>
        <v>Gadd Daph</v>
      </c>
      <c r="R188" s="263">
        <f t="shared" si="71"/>
        <v>-1.3428776175899073</v>
      </c>
      <c r="S188" s="220">
        <f t="shared" si="74"/>
        <v>6.4111382165155497</v>
      </c>
      <c r="T188" s="236">
        <f t="shared" si="67"/>
        <v>11</v>
      </c>
      <c r="U188" s="221" t="str">
        <f t="shared" si="66"/>
        <v>11-REP-NOEC-Neonates</v>
      </c>
      <c r="V188" s="222" cm="1">
        <f t="array" ref="V188">GEOMEAN(IF(U188=$U$4:$U$359,$S$4:$S$359))</f>
        <v>6.7202609896064711</v>
      </c>
      <c r="W188" s="264">
        <f t="shared" si="72"/>
        <v>3.597373305697761</v>
      </c>
      <c r="X188" s="225">
        <f t="shared" si="75"/>
        <v>36.502228214500114</v>
      </c>
      <c r="Y188" s="225"/>
      <c r="Z188" s="226" t="s">
        <v>1854</v>
      </c>
      <c r="AA188" s="226"/>
      <c r="AB188" s="246"/>
      <c r="AC188" s="228"/>
      <c r="AD188" s="228"/>
      <c r="AE188" s="228"/>
      <c r="AG188" s="248"/>
    </row>
    <row r="189" spans="1:33" s="182" customFormat="1" ht="15.75" hidden="1" customHeight="1" x14ac:dyDescent="0.25">
      <c r="B189" s="241"/>
      <c r="C189" s="217">
        <v>2005</v>
      </c>
      <c r="D189" s="180" t="s">
        <v>1230</v>
      </c>
      <c r="E189" s="180" t="s">
        <v>41</v>
      </c>
      <c r="F189" s="180" t="s">
        <v>87</v>
      </c>
      <c r="G189" s="180" t="s">
        <v>260</v>
      </c>
      <c r="H189" s="180" t="s">
        <v>1738</v>
      </c>
      <c r="I189" s="180" t="s">
        <v>76</v>
      </c>
      <c r="J189" s="180" t="s">
        <v>54</v>
      </c>
      <c r="K189" s="217">
        <v>21</v>
      </c>
      <c r="L189" s="250">
        <v>156.28210000000001</v>
      </c>
      <c r="M189" s="180">
        <v>425</v>
      </c>
      <c r="N189" s="180">
        <v>6.6</v>
      </c>
      <c r="O189" s="94">
        <v>5</v>
      </c>
      <c r="P189" s="239">
        <f t="shared" si="73"/>
        <v>5.0516627075166038</v>
      </c>
      <c r="Q189" s="262" t="str">
        <f t="shared" si="70"/>
        <v>Gadd Daph</v>
      </c>
      <c r="R189" s="263">
        <f t="shared" si="71"/>
        <v>-1.2597157817455567</v>
      </c>
      <c r="S189" s="220">
        <f t="shared" si="74"/>
        <v>6.3113784892621609</v>
      </c>
      <c r="T189" s="236">
        <f t="shared" si="67"/>
        <v>11</v>
      </c>
      <c r="U189" s="221" t="str">
        <f t="shared" si="66"/>
        <v>11-REP-NOEC-Neonates</v>
      </c>
      <c r="V189" s="222" cm="1">
        <f t="array" ref="V189">GEOMEAN(IF(U189=$U$4:$U$359,$S$4:$S$359))</f>
        <v>6.7202609896064711</v>
      </c>
      <c r="W189" s="264">
        <f t="shared" si="72"/>
        <v>3.597373305697761</v>
      </c>
      <c r="X189" s="225">
        <f t="shared" si="75"/>
        <v>36.502228214500114</v>
      </c>
      <c r="Y189" s="225"/>
      <c r="Z189" s="226" t="s">
        <v>1854</v>
      </c>
      <c r="AA189" s="226"/>
      <c r="AB189" s="246"/>
      <c r="AC189" s="228"/>
      <c r="AD189" s="228"/>
      <c r="AE189" s="228"/>
      <c r="AG189" s="248"/>
    </row>
    <row r="190" spans="1:33" s="182" customFormat="1" ht="15.75" hidden="1" customHeight="1" x14ac:dyDescent="0.25">
      <c r="B190" s="241"/>
      <c r="C190" s="217">
        <v>2005</v>
      </c>
      <c r="D190" s="180" t="s">
        <v>1230</v>
      </c>
      <c r="E190" s="180" t="s">
        <v>41</v>
      </c>
      <c r="F190" s="180" t="s">
        <v>87</v>
      </c>
      <c r="G190" s="180" t="s">
        <v>260</v>
      </c>
      <c r="H190" s="180" t="s">
        <v>1738</v>
      </c>
      <c r="I190" s="180" t="s">
        <v>76</v>
      </c>
      <c r="J190" s="180" t="s">
        <v>54</v>
      </c>
      <c r="K190" s="217">
        <v>21</v>
      </c>
      <c r="L190" s="250">
        <v>79.121899999999997</v>
      </c>
      <c r="M190" s="180">
        <v>50</v>
      </c>
      <c r="N190" s="180">
        <v>6.6</v>
      </c>
      <c r="O190" s="94">
        <v>5</v>
      </c>
      <c r="P190" s="239">
        <f t="shared" si="73"/>
        <v>4.3709897011818342</v>
      </c>
      <c r="Q190" s="262" t="str">
        <f t="shared" si="70"/>
        <v>Gadd Daph</v>
      </c>
      <c r="R190" s="263">
        <f t="shared" si="71"/>
        <v>-1.9231362924294011</v>
      </c>
      <c r="S190" s="220">
        <f t="shared" si="74"/>
        <v>6.2941259936112353</v>
      </c>
      <c r="T190" s="236">
        <f t="shared" si="67"/>
        <v>11</v>
      </c>
      <c r="U190" s="221" t="str">
        <f t="shared" si="66"/>
        <v>11-REP-NOEC-Neonates</v>
      </c>
      <c r="V190" s="222" cm="1">
        <f t="array" ref="V190">GEOMEAN(IF(U190=$U$4:$U$359,$S$4:$S$359))</f>
        <v>6.7202609896064711</v>
      </c>
      <c r="W190" s="264">
        <f t="shared" si="72"/>
        <v>3.597373305697761</v>
      </c>
      <c r="X190" s="225">
        <f t="shared" si="75"/>
        <v>36.502228214500114</v>
      </c>
      <c r="Y190" s="225"/>
      <c r="Z190" s="226" t="s">
        <v>1854</v>
      </c>
      <c r="AA190" s="226"/>
      <c r="AB190" s="246"/>
      <c r="AC190" s="228"/>
      <c r="AD190" s="228"/>
      <c r="AE190" s="228"/>
      <c r="AG190" s="248"/>
    </row>
    <row r="191" spans="1:33" s="182" customFormat="1" ht="15.75" hidden="1" customHeight="1" x14ac:dyDescent="0.25">
      <c r="B191" s="241"/>
      <c r="C191" s="217">
        <v>2005</v>
      </c>
      <c r="D191" s="180" t="s">
        <v>1230</v>
      </c>
      <c r="E191" s="180" t="s">
        <v>41</v>
      </c>
      <c r="F191" s="180" t="s">
        <v>87</v>
      </c>
      <c r="G191" s="180" t="s">
        <v>260</v>
      </c>
      <c r="H191" s="180" t="s">
        <v>1738</v>
      </c>
      <c r="I191" s="180" t="s">
        <v>76</v>
      </c>
      <c r="J191" s="180" t="s">
        <v>54</v>
      </c>
      <c r="K191" s="217">
        <v>21</v>
      </c>
      <c r="L191" s="250">
        <v>142.55020000000002</v>
      </c>
      <c r="M191" s="180">
        <v>50</v>
      </c>
      <c r="N191" s="180">
        <v>6.6</v>
      </c>
      <c r="O191" s="94">
        <v>5</v>
      </c>
      <c r="P191" s="239">
        <f t="shared" si="73"/>
        <v>4.9596942183741826</v>
      </c>
      <c r="Q191" s="262" t="str">
        <f t="shared" si="70"/>
        <v>Gadd Daph</v>
      </c>
      <c r="R191" s="263">
        <f t="shared" si="71"/>
        <v>-1.9231362924294011</v>
      </c>
      <c r="S191" s="220">
        <f t="shared" si="74"/>
        <v>6.8828305108035837</v>
      </c>
      <c r="T191" s="236">
        <f t="shared" si="67"/>
        <v>11</v>
      </c>
      <c r="U191" s="221" t="str">
        <f t="shared" si="66"/>
        <v>11-REP-NOEC-Neonates</v>
      </c>
      <c r="V191" s="222" cm="1">
        <f t="array" ref="V191">GEOMEAN(IF(U191=$U$4:$U$359,$S$4:$S$359))</f>
        <v>6.7202609896064711</v>
      </c>
      <c r="W191" s="264">
        <f t="shared" si="72"/>
        <v>3.597373305697761</v>
      </c>
      <c r="X191" s="225">
        <f t="shared" si="75"/>
        <v>36.502228214500114</v>
      </c>
      <c r="Y191" s="225"/>
      <c r="Z191" s="226" t="s">
        <v>1854</v>
      </c>
      <c r="AA191" s="226"/>
      <c r="AB191" s="246"/>
      <c r="AC191" s="228"/>
      <c r="AD191" s="228"/>
      <c r="AE191" s="228"/>
      <c r="AG191" s="248"/>
    </row>
    <row r="192" spans="1:33" s="182" customFormat="1" ht="15.75" hidden="1" customHeight="1" x14ac:dyDescent="0.25">
      <c r="B192" s="241"/>
      <c r="C192" s="217">
        <v>2005</v>
      </c>
      <c r="D192" s="180" t="s">
        <v>1230</v>
      </c>
      <c r="E192" s="180" t="s">
        <v>41</v>
      </c>
      <c r="F192" s="180" t="s">
        <v>87</v>
      </c>
      <c r="G192" s="180" t="s">
        <v>260</v>
      </c>
      <c r="H192" s="180" t="s">
        <v>1738</v>
      </c>
      <c r="I192" s="180" t="s">
        <v>76</v>
      </c>
      <c r="J192" s="180" t="s">
        <v>54</v>
      </c>
      <c r="K192" s="217">
        <v>21</v>
      </c>
      <c r="L192" s="250">
        <v>135.35729999999998</v>
      </c>
      <c r="M192" s="180">
        <v>50</v>
      </c>
      <c r="N192" s="180">
        <v>6.6</v>
      </c>
      <c r="O192" s="94">
        <v>5</v>
      </c>
      <c r="P192" s="239">
        <f t="shared" si="73"/>
        <v>4.9079179488504625</v>
      </c>
      <c r="Q192" s="262" t="str">
        <f t="shared" si="70"/>
        <v>Gadd Daph</v>
      </c>
      <c r="R192" s="263">
        <f t="shared" si="71"/>
        <v>-1.9231362924294011</v>
      </c>
      <c r="S192" s="220">
        <f t="shared" si="74"/>
        <v>6.8310542412798636</v>
      </c>
      <c r="T192" s="236">
        <f t="shared" si="67"/>
        <v>11</v>
      </c>
      <c r="U192" s="221" t="str">
        <f t="shared" si="66"/>
        <v>11-REP-NOEC-Neonates</v>
      </c>
      <c r="V192" s="222" cm="1">
        <f t="array" ref="V192">GEOMEAN(IF(U192=$U$4:$U$359,$S$4:$S$359))</f>
        <v>6.7202609896064711</v>
      </c>
      <c r="W192" s="264">
        <f t="shared" si="72"/>
        <v>3.597373305697761</v>
      </c>
      <c r="X192" s="225">
        <f t="shared" si="75"/>
        <v>36.502228214500114</v>
      </c>
      <c r="Y192" s="225"/>
      <c r="Z192" s="226" t="s">
        <v>1854</v>
      </c>
      <c r="AA192" s="226"/>
      <c r="AB192" s="246"/>
      <c r="AC192" s="228"/>
      <c r="AD192" s="228"/>
      <c r="AE192" s="228"/>
      <c r="AG192" s="248"/>
    </row>
    <row r="193" spans="1:33" s="182" customFormat="1" ht="15.75" hidden="1" customHeight="1" x14ac:dyDescent="0.25">
      <c r="B193" s="241"/>
      <c r="C193" s="217">
        <v>2005</v>
      </c>
      <c r="D193" s="180" t="s">
        <v>1230</v>
      </c>
      <c r="E193" s="180" t="s">
        <v>41</v>
      </c>
      <c r="F193" s="180" t="s">
        <v>87</v>
      </c>
      <c r="G193" s="180" t="s">
        <v>260</v>
      </c>
      <c r="H193" s="180" t="s">
        <v>1738</v>
      </c>
      <c r="I193" s="180" t="s">
        <v>76</v>
      </c>
      <c r="J193" s="180" t="s">
        <v>54</v>
      </c>
      <c r="K193" s="217">
        <v>21</v>
      </c>
      <c r="L193" s="250">
        <v>143.20410000000001</v>
      </c>
      <c r="M193" s="180">
        <v>50</v>
      </c>
      <c r="N193" s="180">
        <v>6.6</v>
      </c>
      <c r="O193" s="94">
        <v>5</v>
      </c>
      <c r="P193" s="239">
        <f t="shared" si="73"/>
        <v>4.9642708854015938</v>
      </c>
      <c r="Q193" s="262" t="str">
        <f t="shared" si="70"/>
        <v>Gadd Daph</v>
      </c>
      <c r="R193" s="263">
        <f t="shared" si="71"/>
        <v>-1.9231362924294011</v>
      </c>
      <c r="S193" s="220">
        <f t="shared" si="74"/>
        <v>6.8874071778309949</v>
      </c>
      <c r="T193" s="236">
        <f t="shared" si="67"/>
        <v>11</v>
      </c>
      <c r="U193" s="221" t="str">
        <f t="shared" si="66"/>
        <v>11-REP-NOEC-Neonates</v>
      </c>
      <c r="V193" s="222" cm="1">
        <f t="array" ref="V193">GEOMEAN(IF(U193=$U$4:$U$359,$S$4:$S$359))</f>
        <v>6.7202609896064711</v>
      </c>
      <c r="W193" s="264">
        <f t="shared" si="72"/>
        <v>3.597373305697761</v>
      </c>
      <c r="X193" s="225">
        <f t="shared" si="75"/>
        <v>36.502228214500114</v>
      </c>
      <c r="Y193" s="225"/>
      <c r="Z193" s="226" t="s">
        <v>1854</v>
      </c>
      <c r="AA193" s="226"/>
      <c r="AB193" s="246"/>
      <c r="AC193" s="228"/>
      <c r="AD193" s="228"/>
      <c r="AE193" s="228"/>
      <c r="AG193" s="248"/>
    </row>
    <row r="194" spans="1:33" s="182" customFormat="1" ht="15.75" hidden="1" customHeight="1" x14ac:dyDescent="0.25">
      <c r="B194" s="241"/>
      <c r="C194" s="217">
        <v>2005</v>
      </c>
      <c r="D194" s="180" t="s">
        <v>1230</v>
      </c>
      <c r="E194" s="180" t="s">
        <v>41</v>
      </c>
      <c r="F194" s="180" t="s">
        <v>87</v>
      </c>
      <c r="G194" s="180" t="s">
        <v>260</v>
      </c>
      <c r="H194" s="180" t="s">
        <v>1738</v>
      </c>
      <c r="I194" s="180" t="s">
        <v>76</v>
      </c>
      <c r="J194" s="180" t="s">
        <v>54</v>
      </c>
      <c r="K194" s="217">
        <v>21</v>
      </c>
      <c r="L194" s="250">
        <v>168.0523</v>
      </c>
      <c r="M194" s="180">
        <v>50</v>
      </c>
      <c r="N194" s="180">
        <v>6</v>
      </c>
      <c r="O194" s="94">
        <v>5</v>
      </c>
      <c r="P194" s="239">
        <f t="shared" si="73"/>
        <v>5.1242752404803129</v>
      </c>
      <c r="Q194" s="262" t="str">
        <f t="shared" si="70"/>
        <v>Gadd Daph</v>
      </c>
      <c r="R194" s="263">
        <f t="shared" si="71"/>
        <v>-1.8428953518199109</v>
      </c>
      <c r="S194" s="220">
        <f t="shared" si="74"/>
        <v>6.9671705923002243</v>
      </c>
      <c r="T194" s="236">
        <f t="shared" si="67"/>
        <v>11</v>
      </c>
      <c r="U194" s="221" t="str">
        <f t="shared" si="66"/>
        <v>11-REP-NOEC-Neonates</v>
      </c>
      <c r="V194" s="222" cm="1">
        <f t="array" ref="V194">GEOMEAN(IF(U194=$U$4:$U$359,$S$4:$S$359))</f>
        <v>6.7202609896064711</v>
      </c>
      <c r="W194" s="264">
        <f t="shared" si="72"/>
        <v>3.597373305697761</v>
      </c>
      <c r="X194" s="225">
        <f t="shared" si="75"/>
        <v>36.502228214500114</v>
      </c>
      <c r="Y194" s="225"/>
      <c r="Z194" s="226" t="s">
        <v>1854</v>
      </c>
      <c r="AA194" s="226"/>
      <c r="AB194" s="246"/>
      <c r="AC194" s="228"/>
      <c r="AD194" s="228"/>
      <c r="AE194" s="228"/>
      <c r="AG194" s="248"/>
    </row>
    <row r="195" spans="1:33" s="182" customFormat="1" ht="15.75" hidden="1" customHeight="1" x14ac:dyDescent="0.25">
      <c r="B195" s="241"/>
      <c r="C195" s="217">
        <v>2005</v>
      </c>
      <c r="D195" s="180" t="s">
        <v>1230</v>
      </c>
      <c r="E195" s="180" t="s">
        <v>41</v>
      </c>
      <c r="F195" s="180" t="s">
        <v>87</v>
      </c>
      <c r="G195" s="180" t="s">
        <v>260</v>
      </c>
      <c r="H195" s="180" t="s">
        <v>1738</v>
      </c>
      <c r="I195" s="180" t="s">
        <v>76</v>
      </c>
      <c r="J195" s="180" t="s">
        <v>54</v>
      </c>
      <c r="K195" s="217">
        <v>21</v>
      </c>
      <c r="L195" s="250">
        <v>161.51330000000002</v>
      </c>
      <c r="M195" s="180">
        <v>50</v>
      </c>
      <c r="N195" s="180">
        <v>6.5</v>
      </c>
      <c r="O195" s="94">
        <v>5</v>
      </c>
      <c r="P195" s="239">
        <f t="shared" si="73"/>
        <v>5.0845874922130703</v>
      </c>
      <c r="Q195" s="262" t="str">
        <f t="shared" si="70"/>
        <v>Gadd Daph</v>
      </c>
      <c r="R195" s="263">
        <f t="shared" si="71"/>
        <v>-1.9097628023278186</v>
      </c>
      <c r="S195" s="220">
        <f t="shared" si="74"/>
        <v>6.9943502945408884</v>
      </c>
      <c r="T195" s="236">
        <f t="shared" si="67"/>
        <v>11</v>
      </c>
      <c r="U195" s="221" t="str">
        <f t="shared" si="66"/>
        <v>11-REP-NOEC-Neonates</v>
      </c>
      <c r="V195" s="222" cm="1">
        <f t="array" ref="V195">GEOMEAN(IF(U195=$U$4:$U$359,$S$4:$S$359))</f>
        <v>6.7202609896064711</v>
      </c>
      <c r="W195" s="264">
        <f t="shared" si="72"/>
        <v>3.597373305697761</v>
      </c>
      <c r="X195" s="225">
        <f t="shared" si="75"/>
        <v>36.502228214500114</v>
      </c>
      <c r="Y195" s="225"/>
      <c r="Z195" s="226" t="s">
        <v>1854</v>
      </c>
      <c r="AA195" s="226"/>
      <c r="AB195" s="227" t="s">
        <v>1846</v>
      </c>
      <c r="AC195" s="228" t="s">
        <v>1861</v>
      </c>
      <c r="AD195" s="228"/>
      <c r="AE195" s="229" t="s">
        <v>1584</v>
      </c>
      <c r="AG195" s="248"/>
    </row>
    <row r="196" spans="1:33" s="182" customFormat="1" ht="15.75" hidden="1" customHeight="1" x14ac:dyDescent="0.25">
      <c r="B196" s="241"/>
      <c r="C196" s="217">
        <v>2005</v>
      </c>
      <c r="D196" s="180" t="s">
        <v>1230</v>
      </c>
      <c r="E196" s="180" t="s">
        <v>41</v>
      </c>
      <c r="F196" s="180" t="s">
        <v>87</v>
      </c>
      <c r="G196" s="180" t="s">
        <v>260</v>
      </c>
      <c r="H196" s="180" t="s">
        <v>1738</v>
      </c>
      <c r="I196" s="180" t="s">
        <v>76</v>
      </c>
      <c r="J196" s="180" t="s">
        <v>54</v>
      </c>
      <c r="K196" s="217">
        <v>21</v>
      </c>
      <c r="L196" s="250">
        <v>153.66650000000001</v>
      </c>
      <c r="M196" s="180">
        <v>50</v>
      </c>
      <c r="N196" s="180">
        <v>7</v>
      </c>
      <c r="O196" s="94">
        <v>5</v>
      </c>
      <c r="P196" s="239">
        <f t="shared" si="73"/>
        <v>5.0347846697292526</v>
      </c>
      <c r="Q196" s="262" t="str">
        <f t="shared" si="70"/>
        <v>Gadd Daph</v>
      </c>
      <c r="R196" s="263">
        <f t="shared" si="71"/>
        <v>-1.9766302528357276</v>
      </c>
      <c r="S196" s="220">
        <f t="shared" si="74"/>
        <v>7.0114149225649802</v>
      </c>
      <c r="T196" s="236">
        <f t="shared" si="67"/>
        <v>11</v>
      </c>
      <c r="U196" s="221" t="str">
        <f t="shared" si="66"/>
        <v>11-REP-NOEC-Neonates</v>
      </c>
      <c r="V196" s="222" cm="1">
        <f t="array" ref="V196">GEOMEAN(IF(U196=$U$4:$U$359,$S$4:$S$359))</f>
        <v>6.7202609896064711</v>
      </c>
      <c r="W196" s="264">
        <f t="shared" si="72"/>
        <v>3.597373305697761</v>
      </c>
      <c r="X196" s="225">
        <f t="shared" si="75"/>
        <v>36.502228214500114</v>
      </c>
      <c r="Y196" s="225"/>
      <c r="Z196" s="226" t="s">
        <v>1854</v>
      </c>
      <c r="AA196" s="226"/>
      <c r="AB196" s="227" t="s">
        <v>1846</v>
      </c>
      <c r="AC196" s="228" t="s">
        <v>1861</v>
      </c>
      <c r="AD196" s="228"/>
      <c r="AE196" s="229" t="s">
        <v>1584</v>
      </c>
      <c r="AG196" s="248"/>
    </row>
    <row r="197" spans="1:33" s="182" customFormat="1" ht="15.75" hidden="1" customHeight="1" x14ac:dyDescent="0.25">
      <c r="B197" s="241"/>
      <c r="C197" s="217">
        <v>2005</v>
      </c>
      <c r="D197" s="180" t="s">
        <v>1230</v>
      </c>
      <c r="E197" s="180" t="s">
        <v>41</v>
      </c>
      <c r="F197" s="180" t="s">
        <v>87</v>
      </c>
      <c r="G197" s="180" t="s">
        <v>260</v>
      </c>
      <c r="H197" s="180" t="s">
        <v>1738</v>
      </c>
      <c r="I197" s="180" t="s">
        <v>76</v>
      </c>
      <c r="J197" s="180" t="s">
        <v>54</v>
      </c>
      <c r="K197" s="217">
        <v>21</v>
      </c>
      <c r="L197" s="250">
        <v>132.74169999999998</v>
      </c>
      <c r="M197" s="180">
        <v>50</v>
      </c>
      <c r="N197" s="180">
        <v>7.5</v>
      </c>
      <c r="O197" s="94">
        <v>5</v>
      </c>
      <c r="P197" s="239">
        <f t="shared" si="73"/>
        <v>4.88840513462688</v>
      </c>
      <c r="Q197" s="262" t="str">
        <f t="shared" si="70"/>
        <v>Gadd Daph</v>
      </c>
      <c r="R197" s="263">
        <f t="shared" si="71"/>
        <v>-2.0434977033436352</v>
      </c>
      <c r="S197" s="220">
        <f t="shared" si="74"/>
        <v>6.9319028379705152</v>
      </c>
      <c r="T197" s="236">
        <f t="shared" si="67"/>
        <v>11</v>
      </c>
      <c r="U197" s="221" t="str">
        <f t="shared" si="66"/>
        <v>11-REP-NOEC-Neonates</v>
      </c>
      <c r="V197" s="222" cm="1">
        <f t="array" ref="V197">GEOMEAN(IF(U197=$U$4:$U$359,$S$4:$S$359))</f>
        <v>6.7202609896064711</v>
      </c>
      <c r="W197" s="264">
        <f t="shared" si="72"/>
        <v>3.597373305697761</v>
      </c>
      <c r="X197" s="225">
        <f t="shared" si="75"/>
        <v>36.502228214500114</v>
      </c>
      <c r="Y197" s="225"/>
      <c r="Z197" s="226" t="s">
        <v>1854</v>
      </c>
      <c r="AA197" s="226"/>
      <c r="AB197" s="227" t="s">
        <v>1846</v>
      </c>
      <c r="AC197" s="228" t="s">
        <v>1861</v>
      </c>
      <c r="AD197" s="228"/>
      <c r="AE197" s="229" t="s">
        <v>1584</v>
      </c>
      <c r="AG197" s="248"/>
    </row>
    <row r="198" spans="1:33" s="182" customFormat="1" ht="15.75" hidden="1" customHeight="1" x14ac:dyDescent="0.25">
      <c r="B198" s="241"/>
      <c r="C198" s="217">
        <v>2005</v>
      </c>
      <c r="D198" s="180" t="s">
        <v>1230</v>
      </c>
      <c r="E198" s="180" t="s">
        <v>41</v>
      </c>
      <c r="F198" s="180" t="s">
        <v>87</v>
      </c>
      <c r="G198" s="180" t="s">
        <v>260</v>
      </c>
      <c r="H198" s="180" t="s">
        <v>1738</v>
      </c>
      <c r="I198" s="180" t="s">
        <v>76</v>
      </c>
      <c r="J198" s="180" t="s">
        <v>54</v>
      </c>
      <c r="K198" s="217">
        <v>21</v>
      </c>
      <c r="L198" s="250">
        <v>117.04810000000001</v>
      </c>
      <c r="M198" s="180">
        <v>50</v>
      </c>
      <c r="N198" s="180">
        <v>8</v>
      </c>
      <c r="O198" s="94">
        <v>5</v>
      </c>
      <c r="P198" s="239">
        <f t="shared" si="73"/>
        <v>4.7625849614258486</v>
      </c>
      <c r="Q198" s="262" t="str">
        <f t="shared" si="70"/>
        <v>Gadd Daph</v>
      </c>
      <c r="R198" s="263">
        <f t="shared" si="71"/>
        <v>-2.1103651538515429</v>
      </c>
      <c r="S198" s="220">
        <f t="shared" si="74"/>
        <v>6.8729501152773915</v>
      </c>
      <c r="T198" s="236">
        <f t="shared" si="67"/>
        <v>11</v>
      </c>
      <c r="U198" s="221" t="str">
        <f t="shared" si="66"/>
        <v>11-REP-NOEC-Neonates</v>
      </c>
      <c r="V198" s="222" cm="1">
        <f t="array" ref="V198">GEOMEAN(IF(U198=$U$4:$U$359,$S$4:$S$359))</f>
        <v>6.7202609896064711</v>
      </c>
      <c r="W198" s="264">
        <f t="shared" si="72"/>
        <v>3.597373305697761</v>
      </c>
      <c r="X198" s="225">
        <f t="shared" si="75"/>
        <v>36.502228214500114</v>
      </c>
      <c r="Y198" s="225"/>
      <c r="Z198" s="226" t="s">
        <v>1854</v>
      </c>
      <c r="AA198" s="226"/>
      <c r="AB198" s="227" t="s">
        <v>1846</v>
      </c>
      <c r="AC198" s="228" t="s">
        <v>1861</v>
      </c>
      <c r="AD198" s="228"/>
      <c r="AE198" s="229" t="s">
        <v>1584</v>
      </c>
      <c r="AG198" s="248"/>
    </row>
    <row r="199" spans="1:33" s="182" customFormat="1" ht="15.75" hidden="1" customHeight="1" x14ac:dyDescent="0.25">
      <c r="A199" s="182" t="s">
        <v>1825</v>
      </c>
      <c r="B199" s="183">
        <v>2017</v>
      </c>
      <c r="C199" s="183">
        <v>2017</v>
      </c>
      <c r="D199" s="183" t="s">
        <v>1530</v>
      </c>
      <c r="E199" s="183" t="s">
        <v>1829</v>
      </c>
      <c r="F199" s="180" t="s">
        <v>87</v>
      </c>
      <c r="G199" s="180" t="s">
        <v>260</v>
      </c>
      <c r="H199" s="180" t="s">
        <v>1738</v>
      </c>
      <c r="I199" s="183" t="s">
        <v>76</v>
      </c>
      <c r="J199" s="183" t="s">
        <v>49</v>
      </c>
      <c r="K199" s="183">
        <v>21</v>
      </c>
      <c r="L199" s="183">
        <v>165</v>
      </c>
      <c r="M199" s="183">
        <v>607.6</v>
      </c>
      <c r="N199" s="183">
        <v>8.1999999999999993</v>
      </c>
      <c r="O199" s="183">
        <v>3.93</v>
      </c>
      <c r="P199" s="239">
        <f t="shared" si="73"/>
        <v>5.1059454739005803</v>
      </c>
      <c r="Q199" s="262" t="str">
        <f t="shared" si="70"/>
        <v>Gadd Daph</v>
      </c>
      <c r="R199" s="263">
        <f t="shared" si="71"/>
        <v>-1.499662607175793</v>
      </c>
      <c r="S199" s="220">
        <f t="shared" si="74"/>
        <v>6.6056080810763733</v>
      </c>
      <c r="T199" s="236">
        <f t="shared" si="67"/>
        <v>11</v>
      </c>
      <c r="U199" s="221"/>
      <c r="V199" s="222" t="e" cm="1">
        <f t="array" ref="V199">GEOMEAN(IF(U199=$U$4:$U$359,$S$4:$S$359))</f>
        <v>#NUM!</v>
      </c>
      <c r="W199" s="264" t="e">
        <f t="shared" si="72"/>
        <v>#NUM!</v>
      </c>
      <c r="X199" s="225" t="e">
        <f t="shared" si="75"/>
        <v>#NUM!</v>
      </c>
      <c r="Y199" s="225"/>
      <c r="Z199" s="226"/>
      <c r="AA199" s="226" t="s">
        <v>1890</v>
      </c>
      <c r="AB199" s="246"/>
      <c r="AC199" s="228" t="s">
        <v>1772</v>
      </c>
      <c r="AD199" s="276">
        <v>0.8</v>
      </c>
      <c r="AE199" s="228" t="s">
        <v>1859</v>
      </c>
      <c r="AG199" s="248"/>
    </row>
    <row r="200" spans="1:33" s="182" customFormat="1" ht="15.75" hidden="1" customHeight="1" x14ac:dyDescent="0.25">
      <c r="A200" s="182" t="s">
        <v>1826</v>
      </c>
      <c r="B200" s="183">
        <v>2017</v>
      </c>
      <c r="C200" s="183">
        <v>2017</v>
      </c>
      <c r="D200" s="183" t="s">
        <v>1530</v>
      </c>
      <c r="E200" s="183" t="s">
        <v>1830</v>
      </c>
      <c r="F200" s="180" t="s">
        <v>87</v>
      </c>
      <c r="G200" s="180" t="s">
        <v>260</v>
      </c>
      <c r="H200" s="180" t="s">
        <v>1738</v>
      </c>
      <c r="I200" s="183" t="s">
        <v>76</v>
      </c>
      <c r="J200" s="183" t="s">
        <v>49</v>
      </c>
      <c r="K200" s="183">
        <v>21</v>
      </c>
      <c r="L200" s="183">
        <v>203</v>
      </c>
      <c r="M200" s="183">
        <v>494.2</v>
      </c>
      <c r="N200" s="183">
        <v>8.07</v>
      </c>
      <c r="O200" s="183">
        <v>3.13</v>
      </c>
      <c r="P200" s="239">
        <f t="shared" si="73"/>
        <v>5.3132059790417872</v>
      </c>
      <c r="Q200" s="262" t="str">
        <f t="shared" si="70"/>
        <v>Gadd Daph</v>
      </c>
      <c r="R200" s="263">
        <f t="shared" si="71"/>
        <v>-1.6609819921545559</v>
      </c>
      <c r="S200" s="220">
        <f t="shared" si="74"/>
        <v>6.9741879711963435</v>
      </c>
      <c r="T200" s="236">
        <f t="shared" si="67"/>
        <v>11</v>
      </c>
      <c r="U200" s="221"/>
      <c r="V200" s="222" t="e" cm="1">
        <f t="array" ref="V200">GEOMEAN(IF(U200=$U$4:$U$359,$S$4:$S$359))</f>
        <v>#NUM!</v>
      </c>
      <c r="W200" s="264" t="e">
        <f t="shared" si="72"/>
        <v>#NUM!</v>
      </c>
      <c r="X200" s="225" t="e">
        <f t="shared" si="75"/>
        <v>#NUM!</v>
      </c>
      <c r="Y200" s="225"/>
      <c r="Z200" s="226"/>
      <c r="AA200" s="226" t="s">
        <v>1890</v>
      </c>
      <c r="AB200" s="246"/>
      <c r="AC200" s="228" t="s">
        <v>1772</v>
      </c>
      <c r="AD200" s="276">
        <v>0.8</v>
      </c>
      <c r="AE200" s="228" t="s">
        <v>1859</v>
      </c>
      <c r="AG200" s="248"/>
    </row>
    <row r="201" spans="1:33" s="182" customFormat="1" ht="15.75" hidden="1" customHeight="1" x14ac:dyDescent="0.25">
      <c r="A201" s="182" t="s">
        <v>1827</v>
      </c>
      <c r="B201" s="183">
        <v>2017</v>
      </c>
      <c r="C201" s="183">
        <v>2017</v>
      </c>
      <c r="D201" s="183" t="s">
        <v>1530</v>
      </c>
      <c r="E201" s="183" t="s">
        <v>1831</v>
      </c>
      <c r="F201" s="180" t="s">
        <v>87</v>
      </c>
      <c r="G201" s="180" t="s">
        <v>260</v>
      </c>
      <c r="H201" s="180" t="s">
        <v>1738</v>
      </c>
      <c r="I201" s="183" t="s">
        <v>76</v>
      </c>
      <c r="J201" s="183" t="s">
        <v>49</v>
      </c>
      <c r="K201" s="183">
        <v>21</v>
      </c>
      <c r="L201" s="183">
        <v>109</v>
      </c>
      <c r="M201" s="183">
        <v>91.1</v>
      </c>
      <c r="N201" s="183">
        <v>8.07</v>
      </c>
      <c r="O201" s="183">
        <v>4.26</v>
      </c>
      <c r="P201" s="239">
        <f t="shared" si="73"/>
        <v>4.6913478822291435</v>
      </c>
      <c r="Q201" s="262" t="str">
        <f t="shared" si="70"/>
        <v>Gadd Daph</v>
      </c>
      <c r="R201" s="263">
        <f t="shared" si="71"/>
        <v>-2.0197253954385768</v>
      </c>
      <c r="S201" s="220">
        <f t="shared" si="74"/>
        <v>6.7110732776677207</v>
      </c>
      <c r="T201" s="236">
        <f t="shared" si="67"/>
        <v>11</v>
      </c>
      <c r="U201" s="221" t="str">
        <f t="shared" ref="U201" si="76">CONCATENATE(T201,"-",I201,"-",J201,"-",H201)</f>
        <v>11-REP-EC10-Neonates</v>
      </c>
      <c r="V201" s="222" cm="1">
        <f t="array" ref="V201">GEOMEAN(IF(U201=$U$4:$U$359,$S$4:$S$359))</f>
        <v>6.8680184697754383</v>
      </c>
      <c r="W201" s="264">
        <f t="shared" si="72"/>
        <v>3.7451307858667282</v>
      </c>
      <c r="X201" s="225">
        <f t="shared" si="75"/>
        <v>42.314541000879686</v>
      </c>
      <c r="Y201" s="225">
        <f t="shared" ref="Y201" si="77">X201</f>
        <v>42.314541000879686</v>
      </c>
      <c r="Z201" s="226"/>
      <c r="AA201" s="226"/>
      <c r="AB201" s="246"/>
      <c r="AC201" s="228" t="s">
        <v>1772</v>
      </c>
      <c r="AD201" s="276">
        <v>0.8</v>
      </c>
      <c r="AE201" s="228" t="s">
        <v>1859</v>
      </c>
      <c r="AG201" s="248"/>
    </row>
    <row r="202" spans="1:33" s="182" customFormat="1" ht="15.75" hidden="1" customHeight="1" x14ac:dyDescent="0.25">
      <c r="A202" s="182" t="s">
        <v>1828</v>
      </c>
      <c r="B202" s="183">
        <v>2017</v>
      </c>
      <c r="C202" s="183">
        <v>2017</v>
      </c>
      <c r="D202" s="183" t="s">
        <v>1530</v>
      </c>
      <c r="E202" s="183" t="s">
        <v>1832</v>
      </c>
      <c r="F202" s="180" t="s">
        <v>87</v>
      </c>
      <c r="G202" s="180" t="s">
        <v>260</v>
      </c>
      <c r="H202" s="180" t="s">
        <v>1738</v>
      </c>
      <c r="I202" s="183" t="s">
        <v>76</v>
      </c>
      <c r="J202" s="183" t="s">
        <v>49</v>
      </c>
      <c r="K202" s="183">
        <v>21</v>
      </c>
      <c r="L202" s="183">
        <v>58</v>
      </c>
      <c r="M202" s="183">
        <v>17.3</v>
      </c>
      <c r="N202" s="183">
        <v>7.15</v>
      </c>
      <c r="O202" s="183">
        <v>5.13</v>
      </c>
      <c r="P202" s="239">
        <f t="shared" si="73"/>
        <v>4.0604430105464191</v>
      </c>
      <c r="Q202" s="262" t="str">
        <f t="shared" si="70"/>
        <v>Gadd Daph</v>
      </c>
      <c r="R202" s="263">
        <f t="shared" si="71"/>
        <v>-2.3175875962321166</v>
      </c>
      <c r="S202" s="220">
        <f t="shared" si="74"/>
        <v>6.3780306067785357</v>
      </c>
      <c r="T202" s="236">
        <f t="shared" si="67"/>
        <v>11</v>
      </c>
      <c r="U202" s="221"/>
      <c r="V202" s="222" t="e" cm="1">
        <f t="array" ref="V202">GEOMEAN(IF(U202=$U$4:$U$359,$S$4:$S$359))</f>
        <v>#NUM!</v>
      </c>
      <c r="W202" s="264" t="e">
        <f t="shared" si="72"/>
        <v>#NUM!</v>
      </c>
      <c r="X202" s="225" t="e">
        <f t="shared" si="75"/>
        <v>#NUM!</v>
      </c>
      <c r="Y202" s="225"/>
      <c r="Z202" s="226" t="s">
        <v>1898</v>
      </c>
      <c r="AA202" s="194" t="s">
        <v>1874</v>
      </c>
      <c r="AB202" s="246"/>
      <c r="AC202" s="228" t="s">
        <v>1772</v>
      </c>
      <c r="AD202" s="276">
        <v>0.8</v>
      </c>
      <c r="AE202" s="228" t="s">
        <v>1859</v>
      </c>
      <c r="AG202" s="248"/>
    </row>
    <row r="203" spans="1:33" s="182" customFormat="1" ht="15.75" hidden="1" customHeight="1" x14ac:dyDescent="0.25">
      <c r="B203" s="180"/>
      <c r="C203" s="217">
        <v>2022</v>
      </c>
      <c r="D203" s="180" t="s">
        <v>1654</v>
      </c>
      <c r="E203" s="180" t="s">
        <v>1679</v>
      </c>
      <c r="F203" s="180" t="s">
        <v>1657</v>
      </c>
      <c r="G203" s="180" t="s">
        <v>260</v>
      </c>
      <c r="H203" s="180" t="s">
        <v>1738</v>
      </c>
      <c r="I203" s="180" t="s">
        <v>76</v>
      </c>
      <c r="J203" s="180" t="s">
        <v>49</v>
      </c>
      <c r="K203" s="180">
        <v>21</v>
      </c>
      <c r="L203" s="180">
        <v>55</v>
      </c>
      <c r="M203" s="180">
        <v>32.700000000000003</v>
      </c>
      <c r="N203" s="180">
        <v>8.1</v>
      </c>
      <c r="O203" s="94">
        <v>0.7</v>
      </c>
      <c r="P203" s="239">
        <f t="shared" si="73"/>
        <v>4.0073331852324712</v>
      </c>
      <c r="Q203" s="262" t="str">
        <f t="shared" si="70"/>
        <v>Gadd Daph</v>
      </c>
      <c r="R203" s="263">
        <f t="shared" si="71"/>
        <v>-3.3249448953526759</v>
      </c>
      <c r="S203" s="220">
        <f t="shared" si="74"/>
        <v>7.3322780805851471</v>
      </c>
      <c r="T203" s="236">
        <f t="shared" si="67"/>
        <v>12</v>
      </c>
      <c r="U203" s="221" t="str">
        <f t="shared" ref="U203:U205" si="78">CONCATENATE(T203,"-",I203,"-",J203,"-",H203)</f>
        <v>12-REP-EC10-Neonates</v>
      </c>
      <c r="V203" s="222" cm="1">
        <f t="array" ref="V203">GEOMEAN(IF(U203=$U$4:$U$359,$S$4:$S$359))</f>
        <v>6.192988869188726</v>
      </c>
      <c r="W203" s="264">
        <f t="shared" si="72"/>
        <v>3.070101185280016</v>
      </c>
      <c r="X203" s="225">
        <f t="shared" si="75"/>
        <v>21.544082508738349</v>
      </c>
      <c r="Y203" s="225">
        <f t="shared" ref="Y203:Y205" si="79">X203</f>
        <v>21.544082508738349</v>
      </c>
      <c r="Z203" s="226"/>
      <c r="AA203" s="226"/>
      <c r="AB203" s="255"/>
      <c r="AC203" s="228" t="s">
        <v>1772</v>
      </c>
      <c r="AD203" s="276">
        <v>0.93</v>
      </c>
      <c r="AE203" s="228" t="s">
        <v>2001</v>
      </c>
      <c r="AG203" s="248"/>
    </row>
    <row r="204" spans="1:33" s="182" customFormat="1" ht="15.75" hidden="1" customHeight="1" x14ac:dyDescent="0.25">
      <c r="B204" s="180"/>
      <c r="C204" s="217">
        <v>2022</v>
      </c>
      <c r="D204" s="180" t="s">
        <v>1654</v>
      </c>
      <c r="E204" s="180" t="s">
        <v>1682</v>
      </c>
      <c r="F204" s="180" t="s">
        <v>1657</v>
      </c>
      <c r="G204" s="180" t="s">
        <v>260</v>
      </c>
      <c r="H204" s="180" t="s">
        <v>1738</v>
      </c>
      <c r="I204" s="180" t="s">
        <v>76</v>
      </c>
      <c r="J204" s="180" t="s">
        <v>49</v>
      </c>
      <c r="K204" s="180">
        <v>21</v>
      </c>
      <c r="L204" s="180">
        <v>36</v>
      </c>
      <c r="M204" s="180">
        <v>61.3</v>
      </c>
      <c r="N204" s="180">
        <v>7.9</v>
      </c>
      <c r="O204" s="94">
        <v>6.6</v>
      </c>
      <c r="P204" s="239">
        <f t="shared" si="73"/>
        <v>3.5835189384561099</v>
      </c>
      <c r="Q204" s="262" t="str">
        <f t="shared" si="70"/>
        <v>Gadd Daph</v>
      </c>
      <c r="R204" s="263">
        <f t="shared" si="71"/>
        <v>-1.8961217027678687</v>
      </c>
      <c r="S204" s="220">
        <f t="shared" si="74"/>
        <v>5.4796406412239786</v>
      </c>
      <c r="T204" s="236">
        <f t="shared" si="67"/>
        <v>12</v>
      </c>
      <c r="U204" s="221" t="str">
        <f t="shared" si="78"/>
        <v>12-REP-EC10-Neonates</v>
      </c>
      <c r="V204" s="222" cm="1">
        <f t="array" ref="V204">GEOMEAN(IF(U204=$U$4:$U$359,$S$4:$S$359))</f>
        <v>6.192988869188726</v>
      </c>
      <c r="W204" s="264">
        <f t="shared" si="72"/>
        <v>3.070101185280016</v>
      </c>
      <c r="X204" s="225">
        <f t="shared" si="75"/>
        <v>21.544082508738349</v>
      </c>
      <c r="Y204" s="225">
        <f t="shared" si="79"/>
        <v>21.544082508738349</v>
      </c>
      <c r="Z204" s="226"/>
      <c r="AA204" s="226"/>
      <c r="AB204" s="255"/>
      <c r="AC204" s="228" t="s">
        <v>1772</v>
      </c>
      <c r="AD204" s="276">
        <v>0.93</v>
      </c>
      <c r="AE204" s="228" t="s">
        <v>2001</v>
      </c>
      <c r="AG204" s="248"/>
    </row>
    <row r="205" spans="1:33" s="182" customFormat="1" ht="15.75" hidden="1" customHeight="1" x14ac:dyDescent="0.25">
      <c r="B205" s="180"/>
      <c r="C205" s="217">
        <v>2022</v>
      </c>
      <c r="D205" s="180" t="s">
        <v>1654</v>
      </c>
      <c r="E205" s="180" t="s">
        <v>1680</v>
      </c>
      <c r="F205" s="180" t="s">
        <v>1657</v>
      </c>
      <c r="G205" s="180" t="s">
        <v>260</v>
      </c>
      <c r="H205" s="180" t="s">
        <v>1738</v>
      </c>
      <c r="I205" s="180" t="s">
        <v>76</v>
      </c>
      <c r="J205" s="180" t="s">
        <v>49</v>
      </c>
      <c r="K205" s="180">
        <v>21</v>
      </c>
      <c r="L205" s="180">
        <v>46</v>
      </c>
      <c r="M205" s="180">
        <v>89.6</v>
      </c>
      <c r="N205" s="180">
        <v>8.1999999999999993</v>
      </c>
      <c r="O205" s="94">
        <v>4</v>
      </c>
      <c r="P205" s="239">
        <f t="shared" si="73"/>
        <v>3.8286413964890951</v>
      </c>
      <c r="Q205" s="262" t="str">
        <f t="shared" si="70"/>
        <v>Gadd Daph</v>
      </c>
      <c r="R205" s="263">
        <f t="shared" si="71"/>
        <v>-2.0830246536898276</v>
      </c>
      <c r="S205" s="220">
        <f t="shared" si="74"/>
        <v>5.9116660501789227</v>
      </c>
      <c r="T205" s="236">
        <f t="shared" si="67"/>
        <v>12</v>
      </c>
      <c r="U205" s="221" t="str">
        <f t="shared" si="78"/>
        <v>12-REP-EC10-Neonates</v>
      </c>
      <c r="V205" s="222" cm="1">
        <f t="array" ref="V205">GEOMEAN(IF(U205=$U$4:$U$359,$S$4:$S$359))</f>
        <v>6.192988869188726</v>
      </c>
      <c r="W205" s="264">
        <f t="shared" si="72"/>
        <v>3.070101185280016</v>
      </c>
      <c r="X205" s="225">
        <f t="shared" si="75"/>
        <v>21.544082508738349</v>
      </c>
      <c r="Y205" s="225">
        <f t="shared" si="79"/>
        <v>21.544082508738349</v>
      </c>
      <c r="Z205" s="226"/>
      <c r="AA205" s="226"/>
      <c r="AB205" s="255"/>
      <c r="AC205" s="228" t="s">
        <v>1772</v>
      </c>
      <c r="AD205" s="276">
        <v>0.93</v>
      </c>
      <c r="AE205" s="228" t="s">
        <v>2001</v>
      </c>
      <c r="AG205" s="248"/>
    </row>
    <row r="206" spans="1:33" s="182" customFormat="1" ht="15.75" hidden="1" customHeight="1" x14ac:dyDescent="0.25">
      <c r="B206" s="180"/>
      <c r="C206" s="217">
        <v>2022</v>
      </c>
      <c r="D206" s="180" t="s">
        <v>1654</v>
      </c>
      <c r="E206" s="180" t="s">
        <v>1681</v>
      </c>
      <c r="F206" s="180" t="s">
        <v>1657</v>
      </c>
      <c r="G206" s="180" t="s">
        <v>260</v>
      </c>
      <c r="H206" s="180" t="s">
        <v>1738</v>
      </c>
      <c r="I206" s="180" t="s">
        <v>76</v>
      </c>
      <c r="J206" s="180" t="s">
        <v>49</v>
      </c>
      <c r="K206" s="180">
        <v>21</v>
      </c>
      <c r="L206" s="180">
        <v>72</v>
      </c>
      <c r="M206" s="180">
        <v>9.1999999999999993</v>
      </c>
      <c r="N206" s="180">
        <v>7.5</v>
      </c>
      <c r="O206" s="94">
        <v>10</v>
      </c>
      <c r="P206" s="239">
        <f t="shared" si="73"/>
        <v>4.2766661190160553</v>
      </c>
      <c r="Q206" s="262" t="str">
        <f t="shared" si="70"/>
        <v>Gadd Daph</v>
      </c>
      <c r="R206" s="263">
        <f t="shared" si="71"/>
        <v>-2.2910128827453331</v>
      </c>
      <c r="S206" s="220">
        <f t="shared" si="74"/>
        <v>6.5676790017613884</v>
      </c>
      <c r="T206" s="236">
        <f t="shared" si="67"/>
        <v>12</v>
      </c>
      <c r="U206" s="221"/>
      <c r="V206" s="222" t="e" cm="1">
        <f t="array" ref="V206">GEOMEAN(IF(U206=$U$4:$U$359,$S$4:$S$359))</f>
        <v>#NUM!</v>
      </c>
      <c r="W206" s="264" t="e">
        <f t="shared" si="72"/>
        <v>#NUM!</v>
      </c>
      <c r="X206" s="225" t="e">
        <f t="shared" si="75"/>
        <v>#NUM!</v>
      </c>
      <c r="Y206" s="225"/>
      <c r="Z206" s="226" t="s">
        <v>1898</v>
      </c>
      <c r="AA206" s="194" t="s">
        <v>1874</v>
      </c>
      <c r="AB206" s="255"/>
      <c r="AC206" s="228" t="s">
        <v>1772</v>
      </c>
      <c r="AD206" s="276">
        <v>0.93</v>
      </c>
      <c r="AE206" s="228" t="s">
        <v>2001</v>
      </c>
      <c r="AG206" s="248"/>
    </row>
    <row r="207" spans="1:33" s="182" customFormat="1" ht="15.75" hidden="1" customHeight="1" x14ac:dyDescent="0.25">
      <c r="B207" s="180"/>
      <c r="C207" s="217">
        <v>2022</v>
      </c>
      <c r="D207" s="180" t="s">
        <v>1654</v>
      </c>
      <c r="E207" s="180" t="s">
        <v>1679</v>
      </c>
      <c r="F207" s="180" t="s">
        <v>1657</v>
      </c>
      <c r="G207" s="180" t="s">
        <v>260</v>
      </c>
      <c r="H207" s="180" t="s">
        <v>1738</v>
      </c>
      <c r="I207" s="180" t="s">
        <v>76</v>
      </c>
      <c r="J207" s="180" t="s">
        <v>927</v>
      </c>
      <c r="K207" s="180">
        <v>21</v>
      </c>
      <c r="L207" s="180">
        <v>58</v>
      </c>
      <c r="M207" s="180">
        <v>32.700000000000003</v>
      </c>
      <c r="N207" s="180">
        <v>8.1</v>
      </c>
      <c r="O207" s="94">
        <v>0.7</v>
      </c>
      <c r="P207" s="239">
        <f t="shared" si="73"/>
        <v>4.0604430105464191</v>
      </c>
      <c r="Q207" s="262" t="str">
        <f t="shared" si="70"/>
        <v>Gadd Daph</v>
      </c>
      <c r="R207" s="263">
        <f t="shared" si="71"/>
        <v>-3.3249448953526759</v>
      </c>
      <c r="S207" s="220">
        <f t="shared" si="74"/>
        <v>7.385387905899095</v>
      </c>
      <c r="T207" s="236">
        <f t="shared" si="67"/>
        <v>12</v>
      </c>
      <c r="U207" s="221" t="str">
        <f t="shared" ref="U207:U209" si="80">CONCATENATE(T207,"-",I207,"-",J207,"-",H207)</f>
        <v>12-REP-EC20-Neonates</v>
      </c>
      <c r="V207" s="222" cm="1">
        <f t="array" ref="V207">GEOMEAN(IF(U207=$U$4:$U$359,$S$4:$S$359))</f>
        <v>6.5437313166010744</v>
      </c>
      <c r="W207" s="264">
        <f t="shared" si="72"/>
        <v>3.4208436326923644</v>
      </c>
      <c r="X207" s="225">
        <f t="shared" si="75"/>
        <v>30.595215260380904</v>
      </c>
      <c r="Y207" s="225"/>
      <c r="Z207" s="226" t="s">
        <v>1467</v>
      </c>
      <c r="AA207" s="226"/>
      <c r="AB207" s="255"/>
      <c r="AC207" s="228" t="s">
        <v>1772</v>
      </c>
      <c r="AD207" s="276">
        <v>0.93</v>
      </c>
      <c r="AE207" s="228" t="s">
        <v>2001</v>
      </c>
      <c r="AG207" s="248"/>
    </row>
    <row r="208" spans="1:33" s="182" customFormat="1" ht="15.75" hidden="1" customHeight="1" x14ac:dyDescent="0.25">
      <c r="B208" s="180"/>
      <c r="C208" s="217">
        <v>2022</v>
      </c>
      <c r="D208" s="180" t="s">
        <v>1654</v>
      </c>
      <c r="E208" s="180" t="s">
        <v>1682</v>
      </c>
      <c r="F208" s="180" t="s">
        <v>1657</v>
      </c>
      <c r="G208" s="180" t="s">
        <v>260</v>
      </c>
      <c r="H208" s="180" t="s">
        <v>1738</v>
      </c>
      <c r="I208" s="180" t="s">
        <v>76</v>
      </c>
      <c r="J208" s="180" t="s">
        <v>927</v>
      </c>
      <c r="K208" s="180">
        <v>21</v>
      </c>
      <c r="L208" s="180">
        <v>55</v>
      </c>
      <c r="M208" s="180">
        <v>61.3</v>
      </c>
      <c r="N208" s="180">
        <v>7.9</v>
      </c>
      <c r="O208" s="94">
        <v>6.6</v>
      </c>
      <c r="P208" s="239">
        <f t="shared" si="73"/>
        <v>4.0073331852324712</v>
      </c>
      <c r="Q208" s="262" t="str">
        <f t="shared" si="70"/>
        <v>Gadd Daph</v>
      </c>
      <c r="R208" s="263">
        <f t="shared" si="71"/>
        <v>-1.8961217027678687</v>
      </c>
      <c r="S208" s="220">
        <f t="shared" si="74"/>
        <v>5.9034548880003399</v>
      </c>
      <c r="T208" s="236">
        <f t="shared" si="67"/>
        <v>12</v>
      </c>
      <c r="U208" s="221" t="str">
        <f t="shared" si="80"/>
        <v>12-REP-EC20-Neonates</v>
      </c>
      <c r="V208" s="222" cm="1">
        <f t="array" ref="V208">GEOMEAN(IF(U208=$U$4:$U$359,$S$4:$S$359))</f>
        <v>6.5437313166010744</v>
      </c>
      <c r="W208" s="264">
        <f t="shared" si="72"/>
        <v>3.4208436326923644</v>
      </c>
      <c r="X208" s="225">
        <f t="shared" si="75"/>
        <v>30.595215260380904</v>
      </c>
      <c r="Y208" s="225"/>
      <c r="Z208" s="226" t="s">
        <v>1467</v>
      </c>
      <c r="AA208" s="226"/>
      <c r="AB208" s="255"/>
      <c r="AC208" s="228" t="s">
        <v>1772</v>
      </c>
      <c r="AD208" s="276">
        <v>0.93</v>
      </c>
      <c r="AE208" s="228" t="s">
        <v>2001</v>
      </c>
      <c r="AG208" s="248"/>
    </row>
    <row r="209" spans="1:38" s="182" customFormat="1" ht="15.75" hidden="1" customHeight="1" x14ac:dyDescent="0.25">
      <c r="B209" s="180"/>
      <c r="C209" s="217">
        <v>2022</v>
      </c>
      <c r="D209" s="180" t="s">
        <v>1654</v>
      </c>
      <c r="E209" s="180" t="s">
        <v>1680</v>
      </c>
      <c r="F209" s="180" t="s">
        <v>1657</v>
      </c>
      <c r="G209" s="180" t="s">
        <v>260</v>
      </c>
      <c r="H209" s="180" t="s">
        <v>1738</v>
      </c>
      <c r="I209" s="180" t="s">
        <v>76</v>
      </c>
      <c r="J209" s="180" t="s">
        <v>927</v>
      </c>
      <c r="K209" s="180">
        <v>21</v>
      </c>
      <c r="L209" s="180">
        <v>77</v>
      </c>
      <c r="M209" s="180">
        <v>89.6</v>
      </c>
      <c r="N209" s="180">
        <v>8.1999999999999993</v>
      </c>
      <c r="O209" s="94">
        <v>4</v>
      </c>
      <c r="P209" s="239">
        <f t="shared" si="73"/>
        <v>4.3438054218536841</v>
      </c>
      <c r="Q209" s="262" t="str">
        <f t="shared" si="70"/>
        <v>Gadd Daph</v>
      </c>
      <c r="R209" s="263">
        <f t="shared" si="71"/>
        <v>-2.0830246536898276</v>
      </c>
      <c r="S209" s="220">
        <f t="shared" si="74"/>
        <v>6.4268300755435117</v>
      </c>
      <c r="T209" s="236">
        <f t="shared" si="67"/>
        <v>12</v>
      </c>
      <c r="U209" s="221" t="str">
        <f t="shared" si="80"/>
        <v>12-REP-EC20-Neonates</v>
      </c>
      <c r="V209" s="222" cm="1">
        <f t="array" ref="V209">GEOMEAN(IF(U209=$U$4:$U$359,$S$4:$S$359))</f>
        <v>6.5437313166010744</v>
      </c>
      <c r="W209" s="264">
        <f t="shared" si="72"/>
        <v>3.4208436326923644</v>
      </c>
      <c r="X209" s="225">
        <f t="shared" si="75"/>
        <v>30.595215260380904</v>
      </c>
      <c r="Y209" s="225"/>
      <c r="Z209" s="226" t="s">
        <v>1467</v>
      </c>
      <c r="AA209" s="226"/>
      <c r="AB209" s="254"/>
      <c r="AC209" s="228" t="s">
        <v>1772</v>
      </c>
      <c r="AD209" s="276">
        <v>0.93</v>
      </c>
      <c r="AE209" s="228" t="s">
        <v>2001</v>
      </c>
      <c r="AG209" s="248"/>
    </row>
    <row r="210" spans="1:38" s="182" customFormat="1" ht="15.75" hidden="1" customHeight="1" x14ac:dyDescent="0.25">
      <c r="B210" s="180"/>
      <c r="C210" s="217">
        <v>2022</v>
      </c>
      <c r="D210" s="180" t="s">
        <v>1654</v>
      </c>
      <c r="E210" s="180" t="s">
        <v>1681</v>
      </c>
      <c r="F210" s="180" t="s">
        <v>1657</v>
      </c>
      <c r="G210" s="180" t="s">
        <v>260</v>
      </c>
      <c r="H210" s="180" t="s">
        <v>1738</v>
      </c>
      <c r="I210" s="180" t="s">
        <v>76</v>
      </c>
      <c r="J210" s="180" t="s">
        <v>927</v>
      </c>
      <c r="K210" s="180">
        <v>21</v>
      </c>
      <c r="L210" s="180">
        <v>78</v>
      </c>
      <c r="M210" s="180">
        <v>9.1999999999999993</v>
      </c>
      <c r="N210" s="180">
        <v>7.5</v>
      </c>
      <c r="O210" s="94">
        <v>10</v>
      </c>
      <c r="P210" s="239">
        <f t="shared" si="73"/>
        <v>4.3567088266895917</v>
      </c>
      <c r="Q210" s="262" t="str">
        <f t="shared" si="70"/>
        <v>Gadd Daph</v>
      </c>
      <c r="R210" s="263">
        <f t="shared" si="71"/>
        <v>-2.2910128827453331</v>
      </c>
      <c r="S210" s="220">
        <f t="shared" si="74"/>
        <v>6.6477217094349248</v>
      </c>
      <c r="T210" s="236">
        <f t="shared" si="67"/>
        <v>12</v>
      </c>
      <c r="U210" s="221"/>
      <c r="V210" s="222" t="e" cm="1">
        <f t="array" ref="V210">GEOMEAN(IF(U210=$U$4:$U$359,$S$4:$S$359))</f>
        <v>#NUM!</v>
      </c>
      <c r="W210" s="264" t="e">
        <f t="shared" si="72"/>
        <v>#NUM!</v>
      </c>
      <c r="X210" s="225" t="e">
        <f t="shared" si="75"/>
        <v>#NUM!</v>
      </c>
      <c r="Y210" s="225"/>
      <c r="Z210" s="226" t="s">
        <v>1898</v>
      </c>
      <c r="AA210" s="194" t="s">
        <v>1874</v>
      </c>
      <c r="AB210" s="254"/>
      <c r="AC210" s="228" t="s">
        <v>1772</v>
      </c>
      <c r="AD210" s="276">
        <v>0.93</v>
      </c>
      <c r="AE210" s="228" t="s">
        <v>2001</v>
      </c>
      <c r="AG210" s="248"/>
    </row>
    <row r="211" spans="1:38" s="259" customFormat="1" ht="15.75" hidden="1" customHeight="1" x14ac:dyDescent="0.25">
      <c r="B211" s="245" t="s">
        <v>1736</v>
      </c>
      <c r="C211" s="245">
        <v>2020</v>
      </c>
      <c r="D211" s="245" t="s">
        <v>1721</v>
      </c>
      <c r="E211" s="245" t="s">
        <v>1740</v>
      </c>
      <c r="F211" s="245" t="s">
        <v>1737</v>
      </c>
      <c r="G211" s="245" t="s">
        <v>260</v>
      </c>
      <c r="H211" s="245" t="s">
        <v>1738</v>
      </c>
      <c r="I211" s="245" t="s">
        <v>163</v>
      </c>
      <c r="J211" s="245" t="s">
        <v>49</v>
      </c>
      <c r="K211" s="245">
        <v>6</v>
      </c>
      <c r="L211" s="245">
        <v>40</v>
      </c>
      <c r="M211" s="277">
        <v>3.7</v>
      </c>
      <c r="N211" s="278">
        <v>7</v>
      </c>
      <c r="O211" s="277">
        <v>1.5</v>
      </c>
      <c r="P211" s="239">
        <f t="shared" si="73"/>
        <v>3.6888794541139363</v>
      </c>
      <c r="Q211" s="262" t="str">
        <f t="shared" si="70"/>
        <v>Gadd Daph</v>
      </c>
      <c r="R211" s="263">
        <f t="shared" si="71"/>
        <v>-3.1208865956381588</v>
      </c>
      <c r="S211" s="220">
        <f t="shared" si="74"/>
        <v>6.8097660497520955</v>
      </c>
      <c r="T211" s="236">
        <f t="shared" si="67"/>
        <v>13</v>
      </c>
      <c r="U211" s="221"/>
      <c r="V211" s="222" t="e" cm="1">
        <f t="array" ref="V211">GEOMEAN(IF(U211=$U$4:$U$359,$S$4:$S$359))</f>
        <v>#NUM!</v>
      </c>
      <c r="W211" s="264" t="e">
        <f t="shared" si="72"/>
        <v>#NUM!</v>
      </c>
      <c r="X211" s="225" t="e">
        <f t="shared" si="75"/>
        <v>#NUM!</v>
      </c>
      <c r="Y211" s="225"/>
      <c r="Z211" s="226" t="s">
        <v>1898</v>
      </c>
      <c r="AA211" s="194" t="s">
        <v>1874</v>
      </c>
      <c r="AB211" s="254"/>
      <c r="AC211" s="247" t="s">
        <v>1772</v>
      </c>
      <c r="AD211" s="276">
        <v>0.9</v>
      </c>
      <c r="AE211" s="244" t="s">
        <v>1773</v>
      </c>
      <c r="AG211" s="248"/>
      <c r="AH211" s="258"/>
      <c r="AI211" s="258"/>
      <c r="AJ211" s="258"/>
      <c r="AK211" s="258"/>
      <c r="AL211" s="182"/>
    </row>
    <row r="212" spans="1:38" s="182" customFormat="1" ht="15.75" hidden="1" customHeight="1" x14ac:dyDescent="0.25">
      <c r="B212" s="180">
        <v>9248</v>
      </c>
      <c r="C212" s="180">
        <v>1993</v>
      </c>
      <c r="D212" s="180" t="s">
        <v>1342</v>
      </c>
      <c r="E212" s="180" t="s">
        <v>41</v>
      </c>
      <c r="F212" s="180" t="s">
        <v>553</v>
      </c>
      <c r="G212" s="180" t="s">
        <v>260</v>
      </c>
      <c r="H212" s="180" t="s">
        <v>235</v>
      </c>
      <c r="I212" s="180" t="s">
        <v>237</v>
      </c>
      <c r="J212" s="180" t="s">
        <v>54</v>
      </c>
      <c r="K212" s="180">
        <v>42</v>
      </c>
      <c r="L212" s="180">
        <v>108</v>
      </c>
      <c r="M212" s="180">
        <v>130</v>
      </c>
      <c r="N212" s="181">
        <v>8.25</v>
      </c>
      <c r="O212" s="94">
        <v>0.5</v>
      </c>
      <c r="P212" s="239">
        <f t="shared" si="73"/>
        <v>4.6821312271242199</v>
      </c>
      <c r="Q212" s="262" t="str">
        <f t="shared" si="70"/>
        <v>Gadd Daph</v>
      </c>
      <c r="R212" s="263">
        <f t="shared" si="71"/>
        <v>-3.1830896850835377</v>
      </c>
      <c r="S212" s="220">
        <f t="shared" si="74"/>
        <v>7.8652209122077572</v>
      </c>
      <c r="T212" s="236">
        <f t="shared" si="67"/>
        <v>14</v>
      </c>
      <c r="U212" s="221" t="str">
        <f t="shared" ref="U212:U214" si="81">CONCATENATE(T212,"-",I212,"-",J212,"-",H212)</f>
        <v>14-MOR-NOEC-NR</v>
      </c>
      <c r="V212" s="222" cm="1">
        <f t="array" ref="V212">GEOMEAN(IF(U212=$U$4:$U$359,$S$4:$S$359))</f>
        <v>7.381685529574896</v>
      </c>
      <c r="W212" s="264">
        <f t="shared" si="72"/>
        <v>4.2587978456661855</v>
      </c>
      <c r="X212" s="225">
        <f t="shared" si="75"/>
        <v>70.724910071702951</v>
      </c>
      <c r="Y212" s="225">
        <f t="shared" ref="Y212:Y216" si="82">X212</f>
        <v>70.724910071702951</v>
      </c>
      <c r="Z212" s="226" t="s">
        <v>1507</v>
      </c>
      <c r="AA212" s="226"/>
      <c r="AB212" s="254"/>
      <c r="AC212" s="243" t="s">
        <v>1772</v>
      </c>
      <c r="AD212" s="251">
        <v>0.81</v>
      </c>
      <c r="AE212" s="243" t="s">
        <v>1899</v>
      </c>
      <c r="AG212" s="248"/>
    </row>
    <row r="213" spans="1:38" s="182" customFormat="1" ht="15.75" hidden="1" customHeight="1" x14ac:dyDescent="0.25">
      <c r="B213" s="180">
        <v>9248</v>
      </c>
      <c r="C213" s="217">
        <v>1993</v>
      </c>
      <c r="D213" s="180" t="s">
        <v>1342</v>
      </c>
      <c r="E213" s="180" t="s">
        <v>41</v>
      </c>
      <c r="F213" s="180" t="s">
        <v>553</v>
      </c>
      <c r="G213" s="180" t="s">
        <v>260</v>
      </c>
      <c r="H213" s="180" t="s">
        <v>235</v>
      </c>
      <c r="I213" s="180" t="s">
        <v>237</v>
      </c>
      <c r="J213" s="180" t="s">
        <v>54</v>
      </c>
      <c r="K213" s="180">
        <v>70</v>
      </c>
      <c r="L213" s="180">
        <v>42.3</v>
      </c>
      <c r="M213" s="180">
        <v>130</v>
      </c>
      <c r="N213" s="181">
        <v>8.25</v>
      </c>
      <c r="O213" s="94">
        <v>0.5</v>
      </c>
      <c r="P213" s="239">
        <f t="shared" si="73"/>
        <v>3.7447870860522321</v>
      </c>
      <c r="Q213" s="262" t="str">
        <f t="shared" si="70"/>
        <v>Gadd Daph</v>
      </c>
      <c r="R213" s="263">
        <f t="shared" si="71"/>
        <v>-3.1830896850835377</v>
      </c>
      <c r="S213" s="220">
        <f t="shared" si="74"/>
        <v>6.9278767711357698</v>
      </c>
      <c r="T213" s="236">
        <f t="shared" si="67"/>
        <v>14</v>
      </c>
      <c r="U213" s="221" t="str">
        <f t="shared" si="81"/>
        <v>14-MOR-NOEC-NR</v>
      </c>
      <c r="V213" s="222" cm="1">
        <f t="array" ref="V213">GEOMEAN(IF(U213=$U$4:$U$359,$S$4:$S$359))</f>
        <v>7.381685529574896</v>
      </c>
      <c r="W213" s="264">
        <f t="shared" si="72"/>
        <v>4.2587978456661855</v>
      </c>
      <c r="X213" s="225">
        <f t="shared" si="75"/>
        <v>70.724910071702951</v>
      </c>
      <c r="Y213" s="225">
        <f t="shared" si="82"/>
        <v>70.724910071702951</v>
      </c>
      <c r="Z213" s="226" t="s">
        <v>1507</v>
      </c>
      <c r="AA213" s="226"/>
      <c r="AB213" s="254"/>
      <c r="AC213" s="243" t="s">
        <v>1772</v>
      </c>
      <c r="AD213" s="251">
        <v>0.81</v>
      </c>
      <c r="AE213" s="243" t="s">
        <v>1899</v>
      </c>
      <c r="AG213" s="248"/>
    </row>
    <row r="214" spans="1:38" s="182" customFormat="1" ht="15.75" hidden="1" customHeight="1" thickBot="1" x14ac:dyDescent="0.3">
      <c r="A214" s="182" t="s">
        <v>1900</v>
      </c>
      <c r="B214" s="241">
        <v>1975</v>
      </c>
      <c r="C214" s="217">
        <v>1986</v>
      </c>
      <c r="D214" s="180" t="s">
        <v>1635</v>
      </c>
      <c r="E214" s="180" t="s">
        <v>41</v>
      </c>
      <c r="F214" s="180" t="s">
        <v>146</v>
      </c>
      <c r="G214" s="279" t="s">
        <v>260</v>
      </c>
      <c r="H214" s="180" t="s">
        <v>187</v>
      </c>
      <c r="I214" s="180" t="s">
        <v>156</v>
      </c>
      <c r="J214" s="180" t="s">
        <v>174</v>
      </c>
      <c r="K214" s="217">
        <v>14</v>
      </c>
      <c r="L214" s="217">
        <v>9920</v>
      </c>
      <c r="M214" s="180">
        <v>26</v>
      </c>
      <c r="N214" s="180">
        <v>7.1</v>
      </c>
      <c r="O214" s="94">
        <v>1.6</v>
      </c>
      <c r="P214" s="239">
        <f t="shared" si="73"/>
        <v>9.2023082002789192</v>
      </c>
      <c r="Q214" s="262" t="str">
        <f t="shared" si="70"/>
        <v>Gadd Daph</v>
      </c>
      <c r="R214" s="263">
        <f t="shared" si="71"/>
        <v>-2.5391089699226366</v>
      </c>
      <c r="S214" s="220">
        <f t="shared" si="74"/>
        <v>11.741417170201556</v>
      </c>
      <c r="T214" s="236">
        <f t="shared" si="67"/>
        <v>15</v>
      </c>
      <c r="U214" s="221" t="str">
        <f t="shared" si="81"/>
        <v>15-Mortality-LC10-Adult</v>
      </c>
      <c r="V214" s="222" cm="1">
        <f t="array" ref="V214">GEOMEAN(IF(U214=$U$4:$U$359,$S$4:$S$359))</f>
        <v>11.741417170201556</v>
      </c>
      <c r="W214" s="264">
        <f t="shared" si="72"/>
        <v>8.6185294862928465</v>
      </c>
      <c r="X214" s="225">
        <f t="shared" si="75"/>
        <v>5533.2436974696711</v>
      </c>
      <c r="Y214" s="225">
        <f t="shared" si="82"/>
        <v>5533.2436974696711</v>
      </c>
      <c r="Z214" s="226" t="s">
        <v>1617</v>
      </c>
      <c r="AA214" s="194"/>
      <c r="AB214" s="254"/>
      <c r="AC214" s="228" t="s">
        <v>1858</v>
      </c>
      <c r="AD214" s="276">
        <v>0.75</v>
      </c>
      <c r="AE214" s="228" t="s">
        <v>1773</v>
      </c>
      <c r="AG214" s="248"/>
    </row>
    <row r="215" spans="1:38" s="259" customFormat="1" ht="15.75" hidden="1" customHeight="1" x14ac:dyDescent="0.25">
      <c r="B215" s="245" t="s">
        <v>1727</v>
      </c>
      <c r="C215" s="245">
        <v>2020</v>
      </c>
      <c r="D215" s="245" t="s">
        <v>1721</v>
      </c>
      <c r="E215" s="245" t="s">
        <v>1740</v>
      </c>
      <c r="F215" s="245" t="s">
        <v>517</v>
      </c>
      <c r="G215" s="245" t="s">
        <v>518</v>
      </c>
      <c r="H215" s="245"/>
      <c r="I215" s="245" t="s">
        <v>1729</v>
      </c>
      <c r="J215" s="245" t="s">
        <v>49</v>
      </c>
      <c r="K215" s="245">
        <v>4</v>
      </c>
      <c r="L215" s="245">
        <v>53</v>
      </c>
      <c r="M215" s="277">
        <v>3.5</v>
      </c>
      <c r="N215" s="278">
        <v>6.8</v>
      </c>
      <c r="O215" s="280">
        <v>1.4</v>
      </c>
      <c r="P215" s="239">
        <f t="shared" si="73"/>
        <v>3.970291913552122</v>
      </c>
      <c r="Q215" s="262" t="str">
        <f t="shared" si="70"/>
        <v>Gadd Daph</v>
      </c>
      <c r="R215" s="263">
        <f t="shared" si="71"/>
        <v>-3.0695819208703146</v>
      </c>
      <c r="S215" s="220">
        <f t="shared" si="74"/>
        <v>7.039873834422437</v>
      </c>
      <c r="T215" s="236">
        <f t="shared" si="67"/>
        <v>16</v>
      </c>
      <c r="U215" s="221"/>
      <c r="V215" s="222" t="e" cm="1">
        <f t="array" ref="V215">GEOMEAN(IF(U215=$U$4:$U$359,$S$4:$S$359))</f>
        <v>#NUM!</v>
      </c>
      <c r="W215" s="264" t="e">
        <f t="shared" si="72"/>
        <v>#NUM!</v>
      </c>
      <c r="X215" s="225" t="e">
        <f t="shared" si="75"/>
        <v>#NUM!</v>
      </c>
      <c r="Y215" s="225" t="e">
        <f t="shared" si="82"/>
        <v>#NUM!</v>
      </c>
      <c r="Z215" s="226"/>
      <c r="AA215" s="194" t="s">
        <v>1874</v>
      </c>
      <c r="AB215" s="254"/>
      <c r="AC215" s="247" t="s">
        <v>1772</v>
      </c>
      <c r="AD215" s="276">
        <v>0.8</v>
      </c>
      <c r="AE215" s="244" t="s">
        <v>1773</v>
      </c>
      <c r="AG215" s="248"/>
      <c r="AH215" s="258"/>
      <c r="AI215" s="258"/>
      <c r="AJ215" s="258"/>
      <c r="AK215" s="258"/>
      <c r="AL215" s="182"/>
    </row>
    <row r="216" spans="1:38" s="182" customFormat="1" ht="15.75" hidden="1" customHeight="1" x14ac:dyDescent="0.25">
      <c r="B216" s="180">
        <v>101773</v>
      </c>
      <c r="C216" s="217">
        <v>2008</v>
      </c>
      <c r="D216" s="180" t="s">
        <v>980</v>
      </c>
      <c r="E216" s="180" t="s">
        <v>41</v>
      </c>
      <c r="F216" s="180" t="s">
        <v>981</v>
      </c>
      <c r="G216" s="226" t="s">
        <v>153</v>
      </c>
      <c r="H216" s="180" t="s">
        <v>982</v>
      </c>
      <c r="I216" s="180" t="s">
        <v>228</v>
      </c>
      <c r="J216" s="180" t="s">
        <v>49</v>
      </c>
      <c r="K216" s="180" t="s">
        <v>126</v>
      </c>
      <c r="L216" s="180">
        <v>2069.1999999999998</v>
      </c>
      <c r="M216" s="180">
        <v>44.4</v>
      </c>
      <c r="N216" s="180">
        <v>7.77</v>
      </c>
      <c r="O216" s="94">
        <v>0.5</v>
      </c>
      <c r="P216" s="239">
        <f t="shared" si="73"/>
        <v>7.6349173381293598</v>
      </c>
      <c r="Q216" s="262" t="str">
        <f t="shared" si="70"/>
        <v>Gadd Daph</v>
      </c>
      <c r="R216" s="263">
        <f t="shared" si="71"/>
        <v>-3.1866705739984269</v>
      </c>
      <c r="S216" s="220">
        <f t="shared" si="74"/>
        <v>10.821587912127786</v>
      </c>
      <c r="T216" s="236">
        <f t="shared" si="67"/>
        <v>17</v>
      </c>
      <c r="U216" s="221" t="str">
        <f t="shared" ref="U216:U218" si="83">CONCATENATE(T216,"-",I216,"-",J216,"-",H216)</f>
        <v>17-DVP-EC10-NY</v>
      </c>
      <c r="V216" s="222" cm="1">
        <f t="array" ref="V216">GEOMEAN(IF(U216=$U$4:$U$359,$S$4:$S$359))</f>
        <v>10.821587912127786</v>
      </c>
      <c r="W216" s="264">
        <f t="shared" si="72"/>
        <v>7.6987002282190744</v>
      </c>
      <c r="X216" s="225">
        <f t="shared" si="75"/>
        <v>2205.4795080758822</v>
      </c>
      <c r="Y216" s="225">
        <f t="shared" si="82"/>
        <v>2205.4795080758822</v>
      </c>
      <c r="Z216" s="226" t="s">
        <v>1618</v>
      </c>
      <c r="AA216" s="226"/>
      <c r="AB216" s="252"/>
      <c r="AC216" s="243" t="s">
        <v>1798</v>
      </c>
      <c r="AD216" s="228"/>
      <c r="AE216" s="229" t="s">
        <v>1359</v>
      </c>
      <c r="AG216" s="248"/>
      <c r="AH216" s="281"/>
      <c r="AI216" s="281"/>
      <c r="AJ216" s="281"/>
      <c r="AK216" s="281"/>
    </row>
    <row r="217" spans="1:38" s="182" customFormat="1" ht="15.75" hidden="1" customHeight="1" x14ac:dyDescent="0.25">
      <c r="B217" s="180">
        <v>101773</v>
      </c>
      <c r="C217" s="217">
        <v>2008</v>
      </c>
      <c r="D217" s="180" t="s">
        <v>980</v>
      </c>
      <c r="E217" s="180" t="s">
        <v>41</v>
      </c>
      <c r="F217" s="180" t="s">
        <v>981</v>
      </c>
      <c r="G217" s="226" t="s">
        <v>153</v>
      </c>
      <c r="H217" s="180" t="s">
        <v>982</v>
      </c>
      <c r="I217" s="180" t="s">
        <v>228</v>
      </c>
      <c r="J217" s="180" t="s">
        <v>465</v>
      </c>
      <c r="K217" s="180" t="s">
        <v>126</v>
      </c>
      <c r="L217" s="180">
        <v>5300</v>
      </c>
      <c r="M217" s="180">
        <v>44.4</v>
      </c>
      <c r="N217" s="180">
        <v>7.77</v>
      </c>
      <c r="O217" s="94">
        <v>0.5</v>
      </c>
      <c r="P217" s="239">
        <f t="shared" si="73"/>
        <v>8.5754620995402124</v>
      </c>
      <c r="Q217" s="262" t="str">
        <f t="shared" si="70"/>
        <v>Gadd Daph</v>
      </c>
      <c r="R217" s="263">
        <f t="shared" si="71"/>
        <v>-3.1866705739984269</v>
      </c>
      <c r="S217" s="220">
        <f t="shared" si="74"/>
        <v>11.762132673538639</v>
      </c>
      <c r="T217" s="236">
        <f t="shared" si="67"/>
        <v>17</v>
      </c>
      <c r="U217" s="221" t="str">
        <f t="shared" si="83"/>
        <v>17-DVP-NOEL-NY</v>
      </c>
      <c r="V217" s="222" cm="1">
        <f t="array" ref="V217">GEOMEAN(IF(U217=$U$4:$U$359,$S$4:$S$359))</f>
        <v>11.762132673538639</v>
      </c>
      <c r="W217" s="264">
        <f t="shared" si="72"/>
        <v>8.6392449896299297</v>
      </c>
      <c r="X217" s="225">
        <f t="shared" si="75"/>
        <v>5649.063112701624</v>
      </c>
      <c r="Y217" s="225"/>
      <c r="Z217" s="226" t="s">
        <v>1467</v>
      </c>
      <c r="AA217" s="226"/>
      <c r="AC217" s="243" t="s">
        <v>1798</v>
      </c>
      <c r="AD217" s="228"/>
      <c r="AE217" s="229" t="s">
        <v>1359</v>
      </c>
      <c r="AG217" s="248"/>
    </row>
    <row r="218" spans="1:38" s="182" customFormat="1" ht="15.75" hidden="1" customHeight="1" x14ac:dyDescent="0.25">
      <c r="A218" s="182" t="s">
        <v>1901</v>
      </c>
      <c r="B218" s="180"/>
      <c r="C218" s="217">
        <v>2021</v>
      </c>
      <c r="D218" s="180" t="s">
        <v>1705</v>
      </c>
      <c r="E218" s="180" t="s">
        <v>1902</v>
      </c>
      <c r="F218" s="180" t="s">
        <v>1712</v>
      </c>
      <c r="G218" s="226" t="s">
        <v>153</v>
      </c>
      <c r="H218" s="180" t="s">
        <v>1717</v>
      </c>
      <c r="I218" s="180" t="s">
        <v>1253</v>
      </c>
      <c r="J218" s="180" t="s">
        <v>927</v>
      </c>
      <c r="K218" s="180">
        <v>14</v>
      </c>
      <c r="L218" s="180">
        <v>55</v>
      </c>
      <c r="M218" s="180">
        <v>27</v>
      </c>
      <c r="N218" s="180">
        <v>6.83</v>
      </c>
      <c r="O218" s="94">
        <v>41</v>
      </c>
      <c r="P218" s="239">
        <f t="shared" si="73"/>
        <v>4.0073331852324712</v>
      </c>
      <c r="Q218" s="262" t="str">
        <f t="shared" si="70"/>
        <v>Gadd Daph</v>
      </c>
      <c r="R218" s="263">
        <f t="shared" si="71"/>
        <v>-1.6416041331829874</v>
      </c>
      <c r="S218" s="220">
        <f t="shared" si="74"/>
        <v>5.6489373184154585</v>
      </c>
      <c r="T218" s="236">
        <f t="shared" si="67"/>
        <v>18</v>
      </c>
      <c r="U218" s="221" t="str">
        <f t="shared" si="83"/>
        <v>18-Growth-EC20-&lt;24 hr old</v>
      </c>
      <c r="V218" s="222" cm="1">
        <f t="array" ref="V218">GEOMEAN(IF(U218=$U$4:$U$359,$S$4:$S$359))</f>
        <v>5.1114949497521174</v>
      </c>
      <c r="W218" s="264">
        <f t="shared" si="72"/>
        <v>1.9886072658434073</v>
      </c>
      <c r="X218" s="225">
        <f t="shared" si="75"/>
        <v>7.3053522602736782</v>
      </c>
      <c r="Y218" s="225"/>
      <c r="Z218" s="226"/>
      <c r="AA218" s="226"/>
      <c r="AB218" s="255"/>
      <c r="AC218" s="228" t="s">
        <v>1772</v>
      </c>
      <c r="AD218" s="276">
        <v>0.82</v>
      </c>
      <c r="AE218" s="228" t="s">
        <v>1859</v>
      </c>
      <c r="AG218" s="248"/>
    </row>
    <row r="219" spans="1:38" s="182" customFormat="1" ht="15.75" hidden="1" customHeight="1" x14ac:dyDescent="0.25">
      <c r="A219" s="182" t="s">
        <v>1903</v>
      </c>
      <c r="B219" s="180"/>
      <c r="C219" s="217">
        <v>2021</v>
      </c>
      <c r="D219" s="180" t="s">
        <v>1705</v>
      </c>
      <c r="E219" s="180" t="s">
        <v>1904</v>
      </c>
      <c r="F219" s="180" t="s">
        <v>1712</v>
      </c>
      <c r="G219" s="226" t="s">
        <v>153</v>
      </c>
      <c r="H219" s="180" t="s">
        <v>1717</v>
      </c>
      <c r="I219" s="180" t="s">
        <v>1253</v>
      </c>
      <c r="J219" s="180" t="s">
        <v>927</v>
      </c>
      <c r="K219" s="180">
        <v>14</v>
      </c>
      <c r="L219" s="180">
        <v>45</v>
      </c>
      <c r="M219" s="180">
        <v>18</v>
      </c>
      <c r="N219" s="180">
        <v>6.58</v>
      </c>
      <c r="O219" s="94">
        <v>29</v>
      </c>
      <c r="P219" s="239">
        <f t="shared" si="73"/>
        <v>3.8066624897703196</v>
      </c>
      <c r="Q219" s="262" t="str">
        <f t="shared" si="70"/>
        <v>Gadd Daph</v>
      </c>
      <c r="R219" s="263">
        <f t="shared" si="71"/>
        <v>-1.9221653423186122</v>
      </c>
      <c r="S219" s="220">
        <f t="shared" si="74"/>
        <v>5.7288278320889319</v>
      </c>
      <c r="T219" s="236">
        <f t="shared" si="67"/>
        <v>18</v>
      </c>
      <c r="U219" s="221"/>
      <c r="V219" s="222" t="e" cm="1">
        <f t="array" ref="V219">GEOMEAN(IF(U219=$U$4:$U$359,$S$4:$S$359))</f>
        <v>#NUM!</v>
      </c>
      <c r="W219" s="264" t="e">
        <f t="shared" si="72"/>
        <v>#NUM!</v>
      </c>
      <c r="X219" s="225" t="e">
        <f t="shared" si="75"/>
        <v>#NUM!</v>
      </c>
      <c r="Y219" s="225"/>
      <c r="Z219" s="226"/>
      <c r="AA219" s="194" t="s">
        <v>1874</v>
      </c>
      <c r="AB219" s="244"/>
      <c r="AC219" s="228" t="s">
        <v>1772</v>
      </c>
      <c r="AD219" s="276">
        <v>0.82</v>
      </c>
      <c r="AE219" s="228" t="s">
        <v>1859</v>
      </c>
      <c r="AG219" s="248"/>
    </row>
    <row r="220" spans="1:38" s="182" customFormat="1" ht="15.75" hidden="1" customHeight="1" x14ac:dyDescent="0.25">
      <c r="A220" s="182" t="s">
        <v>1905</v>
      </c>
      <c r="B220" s="180"/>
      <c r="C220" s="217">
        <v>2021</v>
      </c>
      <c r="D220" s="180" t="s">
        <v>1705</v>
      </c>
      <c r="E220" s="180" t="s">
        <v>1906</v>
      </c>
      <c r="F220" s="180" t="s">
        <v>1712</v>
      </c>
      <c r="G220" s="226" t="s">
        <v>153</v>
      </c>
      <c r="H220" s="180" t="s">
        <v>1717</v>
      </c>
      <c r="I220" s="180" t="s">
        <v>1253</v>
      </c>
      <c r="J220" s="180" t="s">
        <v>927</v>
      </c>
      <c r="K220" s="180">
        <v>14</v>
      </c>
      <c r="L220" s="180">
        <v>25</v>
      </c>
      <c r="M220" s="180">
        <v>323</v>
      </c>
      <c r="N220" s="180">
        <v>7.06</v>
      </c>
      <c r="O220" s="94">
        <v>5</v>
      </c>
      <c r="P220" s="239">
        <f t="shared" si="73"/>
        <v>3.2188758248682006</v>
      </c>
      <c r="Q220" s="262" t="str">
        <f t="shared" si="70"/>
        <v>Gadd Daph</v>
      </c>
      <c r="R220" s="263">
        <f t="shared" si="71"/>
        <v>-1.4063092583803778</v>
      </c>
      <c r="S220" s="220">
        <f t="shared" si="74"/>
        <v>4.6251850832485779</v>
      </c>
      <c r="T220" s="236">
        <f t="shared" si="67"/>
        <v>18</v>
      </c>
      <c r="U220" s="221" t="str">
        <f t="shared" ref="U220:U222" si="84">CONCATENATE(T220,"-",I220,"-",J220,"-",H220)</f>
        <v>18-Growth-EC20-&lt;24 hr old</v>
      </c>
      <c r="V220" s="222" cm="1">
        <f t="array" ref="V220">GEOMEAN(IF(U220=$U$4:$U$359,$S$4:$S$359))</f>
        <v>5.1114949497521174</v>
      </c>
      <c r="W220" s="264">
        <f t="shared" si="72"/>
        <v>1.9886072658434073</v>
      </c>
      <c r="X220" s="225">
        <f t="shared" si="75"/>
        <v>7.3053522602736782</v>
      </c>
      <c r="Y220" s="225">
        <f t="shared" ref="Y220" si="85">X220</f>
        <v>7.3053522602736782</v>
      </c>
      <c r="Z220" s="226"/>
      <c r="AA220" s="226"/>
      <c r="AB220" s="255"/>
      <c r="AC220" s="228" t="s">
        <v>1772</v>
      </c>
      <c r="AD220" s="276">
        <v>0.82</v>
      </c>
      <c r="AE220" s="228" t="s">
        <v>1859</v>
      </c>
      <c r="AG220" s="248"/>
    </row>
    <row r="221" spans="1:38" s="182" customFormat="1" ht="15.75" hidden="1" customHeight="1" x14ac:dyDescent="0.25">
      <c r="A221" s="182" t="s">
        <v>1907</v>
      </c>
      <c r="B221" s="180"/>
      <c r="C221" s="217">
        <v>2020</v>
      </c>
      <c r="D221" s="180" t="s">
        <v>1908</v>
      </c>
      <c r="E221" s="180" t="s">
        <v>1716</v>
      </c>
      <c r="F221" s="180" t="s">
        <v>1712</v>
      </c>
      <c r="G221" s="226" t="s">
        <v>153</v>
      </c>
      <c r="H221" s="180" t="s">
        <v>1717</v>
      </c>
      <c r="I221" s="180" t="s">
        <v>1621</v>
      </c>
      <c r="J221" s="180" t="s">
        <v>927</v>
      </c>
      <c r="K221" s="180">
        <v>14</v>
      </c>
      <c r="L221" s="180">
        <v>10</v>
      </c>
      <c r="M221" s="180">
        <v>100</v>
      </c>
      <c r="N221" s="180">
        <v>8.3000000000000007</v>
      </c>
      <c r="O221" s="94">
        <v>2</v>
      </c>
      <c r="P221" s="239">
        <f t="shared" si="73"/>
        <v>2.3025850929940459</v>
      </c>
      <c r="Q221" s="262" t="str">
        <f t="shared" si="70"/>
        <v>Gadd Daph</v>
      </c>
      <c r="R221" s="263">
        <f t="shared" si="71"/>
        <v>-2.478054111452205</v>
      </c>
      <c r="S221" s="220">
        <f t="shared" si="74"/>
        <v>4.7806392044462509</v>
      </c>
      <c r="T221" s="236">
        <f t="shared" si="67"/>
        <v>18</v>
      </c>
      <c r="U221" s="221" t="str">
        <f t="shared" si="84"/>
        <v>18-Survival-EC20-&lt;24 hr old</v>
      </c>
      <c r="V221" s="222" cm="1">
        <f t="array" ref="V221">GEOMEAN(IF(U221=$U$4:$U$359,$S$4:$S$359))</f>
        <v>4.7806392044462509</v>
      </c>
      <c r="W221" s="264">
        <f t="shared" si="72"/>
        <v>1.6577515205375408</v>
      </c>
      <c r="X221" s="225">
        <f t="shared" si="75"/>
        <v>5.2474986767112766</v>
      </c>
      <c r="Y221" s="225"/>
      <c r="Z221" s="226" t="s">
        <v>1909</v>
      </c>
      <c r="AA221" s="226"/>
      <c r="AB221" s="255"/>
      <c r="AC221" s="243" t="s">
        <v>1858</v>
      </c>
      <c r="AD221" s="276">
        <v>0.65</v>
      </c>
      <c r="AE221" s="228" t="s">
        <v>1859</v>
      </c>
      <c r="AG221" s="248"/>
    </row>
    <row r="222" spans="1:38" s="182" customFormat="1" ht="15.75" hidden="1" customHeight="1" thickBot="1" x14ac:dyDescent="0.3">
      <c r="A222" s="182" t="s">
        <v>1783</v>
      </c>
      <c r="B222" s="245"/>
      <c r="C222" s="227">
        <v>2017</v>
      </c>
      <c r="D222" s="227" t="s">
        <v>1785</v>
      </c>
      <c r="E222" s="227" t="s">
        <v>1795</v>
      </c>
      <c r="F222" s="245" t="s">
        <v>1786</v>
      </c>
      <c r="G222" s="180" t="s">
        <v>183</v>
      </c>
      <c r="H222" s="227" t="s">
        <v>1251</v>
      </c>
      <c r="I222" s="245" t="s">
        <v>1309</v>
      </c>
      <c r="J222" s="245" t="s">
        <v>52</v>
      </c>
      <c r="K222" s="245">
        <v>3</v>
      </c>
      <c r="L222" s="282">
        <v>14</v>
      </c>
      <c r="M222" s="277">
        <v>42</v>
      </c>
      <c r="N222" s="278">
        <v>7</v>
      </c>
      <c r="O222" s="277">
        <v>0.1</v>
      </c>
      <c r="P222" s="239">
        <f t="shared" si="73"/>
        <v>2.6390573296152584</v>
      </c>
      <c r="Q222" s="262" t="str">
        <f t="shared" si="70"/>
        <v>Gadd Daph</v>
      </c>
      <c r="R222" s="263">
        <f t="shared" si="71"/>
        <v>-3.1260462443704888</v>
      </c>
      <c r="S222" s="220">
        <f t="shared" si="74"/>
        <v>5.7651035739857477</v>
      </c>
      <c r="T222" s="236">
        <f t="shared" si="67"/>
        <v>19</v>
      </c>
      <c r="U222" s="221" t="str">
        <f t="shared" si="84"/>
        <v>19-DEV-NEC-Larvae</v>
      </c>
      <c r="V222" s="222" cm="1">
        <f t="array" ref="V222">GEOMEAN(IF(U222=$U$4:$U$359,$S$4:$S$359))</f>
        <v>5.7651035739857477</v>
      </c>
      <c r="W222" s="264">
        <f t="shared" si="72"/>
        <v>2.6422158900770376</v>
      </c>
      <c r="X222" s="225">
        <f t="shared" si="75"/>
        <v>14.044289755578918</v>
      </c>
      <c r="Y222" s="225">
        <f t="shared" ref="Y222:Y225" si="86">X222</f>
        <v>14.044289755578918</v>
      </c>
      <c r="Z222" s="226"/>
      <c r="AA222" s="226"/>
      <c r="AB222" s="255"/>
      <c r="AC222" s="228" t="s">
        <v>1772</v>
      </c>
      <c r="AD222" s="276">
        <v>0.83</v>
      </c>
      <c r="AE222" s="228" t="s">
        <v>1773</v>
      </c>
      <c r="AG222" s="248"/>
    </row>
    <row r="223" spans="1:38" s="182" customFormat="1" ht="15.75" hidden="1" customHeight="1" x14ac:dyDescent="0.25">
      <c r="B223" s="245" t="s">
        <v>1719</v>
      </c>
      <c r="C223" s="245">
        <v>2020</v>
      </c>
      <c r="D223" s="245" t="s">
        <v>1721</v>
      </c>
      <c r="E223" s="245" t="s">
        <v>1740</v>
      </c>
      <c r="F223" s="245" t="s">
        <v>1722</v>
      </c>
      <c r="G223" s="180" t="s">
        <v>183</v>
      </c>
      <c r="H223" s="245" t="s">
        <v>187</v>
      </c>
      <c r="I223" s="245" t="s">
        <v>163</v>
      </c>
      <c r="J223" s="245" t="s">
        <v>49</v>
      </c>
      <c r="K223" s="245">
        <v>4</v>
      </c>
      <c r="L223" s="245">
        <v>27</v>
      </c>
      <c r="M223" s="277">
        <v>3.8</v>
      </c>
      <c r="N223" s="278">
        <v>6.8</v>
      </c>
      <c r="O223" s="280">
        <v>1.4</v>
      </c>
      <c r="P223" s="239">
        <f t="shared" si="73"/>
        <v>3.2958368660043291</v>
      </c>
      <c r="Q223" s="262" t="str">
        <f t="shared" si="70"/>
        <v>Gadd Daph</v>
      </c>
      <c r="R223" s="263">
        <f t="shared" si="71"/>
        <v>-3.0440881104168533</v>
      </c>
      <c r="S223" s="220">
        <f t="shared" si="74"/>
        <v>6.339924976421182</v>
      </c>
      <c r="T223" s="236">
        <f t="shared" si="67"/>
        <v>20</v>
      </c>
      <c r="U223" s="221"/>
      <c r="V223" s="222" t="e" cm="1">
        <f t="array" ref="V223">GEOMEAN(IF(U223=$U$4:$U$359,$S$4:$S$359))</f>
        <v>#NUM!</v>
      </c>
      <c r="W223" s="264" t="e">
        <f t="shared" si="72"/>
        <v>#NUM!</v>
      </c>
      <c r="X223" s="225" t="e">
        <f t="shared" si="75"/>
        <v>#NUM!</v>
      </c>
      <c r="Y223" s="225" t="e">
        <f t="shared" si="86"/>
        <v>#NUM!</v>
      </c>
      <c r="Z223" s="226"/>
      <c r="AA223" s="194" t="s">
        <v>1874</v>
      </c>
      <c r="AB223" s="254"/>
      <c r="AC223" s="247" t="s">
        <v>1772</v>
      </c>
      <c r="AD223" s="276">
        <v>0.82</v>
      </c>
      <c r="AE223" s="244" t="s">
        <v>1773</v>
      </c>
      <c r="AG223" s="248"/>
    </row>
    <row r="224" spans="1:38" s="182" customFormat="1" ht="15.75" hidden="1" customHeight="1" x14ac:dyDescent="0.25">
      <c r="A224" s="182" t="s">
        <v>1910</v>
      </c>
      <c r="B224" s="245"/>
      <c r="C224" s="227">
        <v>2017</v>
      </c>
      <c r="D224" s="227" t="s">
        <v>1785</v>
      </c>
      <c r="E224" s="227" t="s">
        <v>1795</v>
      </c>
      <c r="F224" s="227" t="s">
        <v>1790</v>
      </c>
      <c r="G224" s="180" t="s">
        <v>183</v>
      </c>
      <c r="H224" s="227" t="s">
        <v>1251</v>
      </c>
      <c r="I224" s="245" t="s">
        <v>1309</v>
      </c>
      <c r="J224" s="245" t="s">
        <v>52</v>
      </c>
      <c r="K224" s="245">
        <v>3</v>
      </c>
      <c r="L224" s="283">
        <v>8.4</v>
      </c>
      <c r="M224" s="277">
        <v>42</v>
      </c>
      <c r="N224" s="278">
        <v>7</v>
      </c>
      <c r="O224" s="277">
        <v>0.1</v>
      </c>
      <c r="P224" s="239">
        <f t="shared" si="73"/>
        <v>2.1282317058492679</v>
      </c>
      <c r="Q224" s="262" t="str">
        <f t="shared" si="70"/>
        <v>Gadd Daph</v>
      </c>
      <c r="R224" s="263">
        <f t="shared" si="71"/>
        <v>-3.1260462443704888</v>
      </c>
      <c r="S224" s="220">
        <f t="shared" si="74"/>
        <v>5.2542779502197572</v>
      </c>
      <c r="T224" s="236">
        <f t="shared" si="67"/>
        <v>21</v>
      </c>
      <c r="U224" s="221" t="str">
        <f t="shared" ref="U224:U285" si="87">CONCATENATE(T224,"-",I224,"-",J224,"-",H224)</f>
        <v>21-DEV-NEC-Larvae</v>
      </c>
      <c r="V224" s="222" cm="1">
        <f t="array" ref="V224">GEOMEAN(IF(U224=$U$4:$U$359,$S$4:$S$359))</f>
        <v>5.2542779502197572</v>
      </c>
      <c r="W224" s="264">
        <f t="shared" si="72"/>
        <v>2.1313902663110471</v>
      </c>
      <c r="X224" s="225">
        <f t="shared" si="75"/>
        <v>8.4265738533473513</v>
      </c>
      <c r="Y224" s="225">
        <f t="shared" si="86"/>
        <v>8.4265738533473513</v>
      </c>
      <c r="Z224" s="226"/>
      <c r="AA224" s="226"/>
      <c r="AB224" s="254"/>
      <c r="AC224" s="228" t="s">
        <v>1772</v>
      </c>
      <c r="AD224" s="276">
        <v>0.83</v>
      </c>
      <c r="AE224" s="228" t="s">
        <v>1773</v>
      </c>
      <c r="AG224" s="248"/>
    </row>
    <row r="225" spans="1:38" s="182" customFormat="1" ht="15.75" hidden="1" customHeight="1" x14ac:dyDescent="0.25">
      <c r="B225" s="180">
        <v>14043</v>
      </c>
      <c r="C225" s="217">
        <v>1994</v>
      </c>
      <c r="D225" s="180" t="s">
        <v>293</v>
      </c>
      <c r="E225" s="180" t="s">
        <v>41</v>
      </c>
      <c r="F225" s="180" t="s">
        <v>149</v>
      </c>
      <c r="G225" s="180" t="s">
        <v>183</v>
      </c>
      <c r="H225" s="180" t="s">
        <v>185</v>
      </c>
      <c r="I225" s="180" t="s">
        <v>156</v>
      </c>
      <c r="J225" s="180" t="s">
        <v>174</v>
      </c>
      <c r="K225" s="217">
        <v>70</v>
      </c>
      <c r="L225" s="217">
        <v>517</v>
      </c>
      <c r="M225" s="180">
        <v>267.72000000000003</v>
      </c>
      <c r="N225" s="181">
        <v>7.9</v>
      </c>
      <c r="O225" s="94">
        <v>6.74</v>
      </c>
      <c r="P225" s="239">
        <f t="shared" si="73"/>
        <v>6.2480428745084291</v>
      </c>
      <c r="Q225" s="262" t="str">
        <f t="shared" si="70"/>
        <v>Gadd Daph</v>
      </c>
      <c r="R225" s="263">
        <f t="shared" si="71"/>
        <v>-1.4287203631855316</v>
      </c>
      <c r="S225" s="220">
        <f t="shared" si="74"/>
        <v>7.6767632376939607</v>
      </c>
      <c r="T225" s="236">
        <f t="shared" si="67"/>
        <v>22</v>
      </c>
      <c r="U225" s="221" t="str">
        <f t="shared" si="87"/>
        <v>22-Mortality-LC10-Adult/juvenile</v>
      </c>
      <c r="V225" s="222" cm="1">
        <f t="array" ref="V225">GEOMEAN(IF(U225=$U$4:$U$359,$S$4:$S$359))</f>
        <v>7.6767632376939607</v>
      </c>
      <c r="W225" s="264">
        <f t="shared" si="72"/>
        <v>4.5538755537852502</v>
      </c>
      <c r="X225" s="225">
        <f t="shared" si="75"/>
        <v>94.999872907632408</v>
      </c>
      <c r="Y225" s="225">
        <f t="shared" si="86"/>
        <v>94.999872907632408</v>
      </c>
      <c r="Z225" s="226"/>
      <c r="AA225" s="226" t="s">
        <v>1608</v>
      </c>
      <c r="AB225" s="254"/>
      <c r="AC225" s="243" t="s">
        <v>1858</v>
      </c>
      <c r="AD225" s="251">
        <v>0.72</v>
      </c>
      <c r="AE225" s="243" t="s">
        <v>1773</v>
      </c>
      <c r="AG225" s="248"/>
      <c r="AH225" s="281"/>
      <c r="AI225" s="281"/>
      <c r="AJ225" s="281"/>
      <c r="AK225" s="281"/>
      <c r="AL225" s="281"/>
    </row>
    <row r="226" spans="1:38" s="182" customFormat="1" ht="15.75" hidden="1" customHeight="1" x14ac:dyDescent="0.25">
      <c r="B226" s="180">
        <v>14043</v>
      </c>
      <c r="C226" s="217">
        <v>1994</v>
      </c>
      <c r="D226" s="180" t="s">
        <v>293</v>
      </c>
      <c r="E226" s="180" t="s">
        <v>41</v>
      </c>
      <c r="F226" s="180" t="s">
        <v>149</v>
      </c>
      <c r="G226" s="180" t="s">
        <v>183</v>
      </c>
      <c r="H226" s="180" t="s">
        <v>185</v>
      </c>
      <c r="I226" s="180" t="s">
        <v>1609</v>
      </c>
      <c r="J226" s="180" t="s">
        <v>54</v>
      </c>
      <c r="K226" s="217">
        <v>70</v>
      </c>
      <c r="L226" s="217">
        <v>101</v>
      </c>
      <c r="M226" s="180">
        <v>267.72000000000003</v>
      </c>
      <c r="N226" s="181">
        <v>7.9</v>
      </c>
      <c r="O226" s="94">
        <v>6.74</v>
      </c>
      <c r="P226" s="239">
        <f t="shared" si="73"/>
        <v>4.6151205168412597</v>
      </c>
      <c r="Q226" s="262" t="str">
        <f t="shared" si="70"/>
        <v>Gadd Daph</v>
      </c>
      <c r="R226" s="263">
        <f t="shared" si="71"/>
        <v>-1.4287203631855316</v>
      </c>
      <c r="S226" s="220">
        <f t="shared" si="74"/>
        <v>6.0438408800267913</v>
      </c>
      <c r="T226" s="236">
        <f t="shared" si="67"/>
        <v>22</v>
      </c>
      <c r="U226" s="221" t="str">
        <f t="shared" si="87"/>
        <v>22-Filtration rate-NOEC-Adult/juvenile</v>
      </c>
      <c r="V226" s="222" cm="1">
        <f t="array" ref="V226">GEOMEAN(IF(U226=$U$4:$U$359,$S$4:$S$359))</f>
        <v>6.0438408800267913</v>
      </c>
      <c r="W226" s="264">
        <f t="shared" si="72"/>
        <v>2.9209531961180812</v>
      </c>
      <c r="X226" s="225">
        <f t="shared" si="75"/>
        <v>18.558969368802476</v>
      </c>
      <c r="Y226" s="225"/>
      <c r="Z226" s="226" t="s">
        <v>1466</v>
      </c>
      <c r="AA226" s="226" t="s">
        <v>1608</v>
      </c>
      <c r="AB226" s="254"/>
      <c r="AC226" s="243" t="s">
        <v>1858</v>
      </c>
      <c r="AD226" s="251">
        <v>0.72</v>
      </c>
      <c r="AE226" s="243" t="s">
        <v>1773</v>
      </c>
      <c r="AG226" s="248"/>
    </row>
    <row r="227" spans="1:38" s="182" customFormat="1" ht="15.75" hidden="1" customHeight="1" x14ac:dyDescent="0.25">
      <c r="B227" s="246">
        <v>165445</v>
      </c>
      <c r="C227" s="284">
        <v>2014</v>
      </c>
      <c r="D227" s="285" t="s">
        <v>1770</v>
      </c>
      <c r="E227" s="246" t="s">
        <v>1776</v>
      </c>
      <c r="F227" s="286" t="s">
        <v>1771</v>
      </c>
      <c r="G227" s="180" t="s">
        <v>183</v>
      </c>
      <c r="H227" s="286" t="s">
        <v>1251</v>
      </c>
      <c r="I227" s="286" t="s">
        <v>237</v>
      </c>
      <c r="J227" s="286" t="s">
        <v>927</v>
      </c>
      <c r="K227" s="286">
        <v>2</v>
      </c>
      <c r="L227" s="274">
        <v>155</v>
      </c>
      <c r="M227" s="286">
        <v>30</v>
      </c>
      <c r="N227" s="287">
        <v>7.8</v>
      </c>
      <c r="O227" s="246">
        <v>2.4500000000000002</v>
      </c>
      <c r="P227" s="239">
        <f t="shared" si="73"/>
        <v>5.0434251169192468</v>
      </c>
      <c r="Q227" s="262" t="str">
        <f t="shared" si="70"/>
        <v>Gadd Daph</v>
      </c>
      <c r="R227" s="263">
        <f t="shared" si="71"/>
        <v>-2.5786752640940005</v>
      </c>
      <c r="S227" s="220">
        <f t="shared" si="74"/>
        <v>7.6221003810132473</v>
      </c>
      <c r="T227" s="236">
        <f t="shared" ref="T227:T290" si="88">IF(F227=F226,T226,T226+1)</f>
        <v>23</v>
      </c>
      <c r="U227" s="221" t="str">
        <f t="shared" si="87"/>
        <v>23-MOR-EC20-Larvae</v>
      </c>
      <c r="V227" s="222" cm="1">
        <f t="array" ref="V227">GEOMEAN(IF(U227=$U$4:$U$359,$S$4:$S$359))</f>
        <v>7.4601745354627162</v>
      </c>
      <c r="W227" s="264">
        <f t="shared" si="72"/>
        <v>4.3372868515540066</v>
      </c>
      <c r="X227" s="225">
        <f t="shared" si="75"/>
        <v>76.499702470774594</v>
      </c>
      <c r="Y227" s="225">
        <f t="shared" ref="Y227:Y232" si="89">X227</f>
        <v>76.499702470774594</v>
      </c>
      <c r="Z227" s="226"/>
      <c r="AA227" s="226"/>
      <c r="AB227" s="244" t="s">
        <v>1911</v>
      </c>
      <c r="AC227" s="244" t="s">
        <v>1772</v>
      </c>
      <c r="AD227" s="247">
        <v>0.81</v>
      </c>
      <c r="AE227" s="244" t="s">
        <v>1773</v>
      </c>
      <c r="AG227" s="248"/>
    </row>
    <row r="228" spans="1:38" s="182" customFormat="1" ht="15.75" hidden="1" customHeight="1" x14ac:dyDescent="0.25">
      <c r="B228" s="246">
        <v>165445</v>
      </c>
      <c r="C228" s="284">
        <v>2014</v>
      </c>
      <c r="D228" s="288" t="s">
        <v>1770</v>
      </c>
      <c r="E228" s="246" t="s">
        <v>1776</v>
      </c>
      <c r="F228" s="286" t="s">
        <v>1771</v>
      </c>
      <c r="G228" s="180" t="s">
        <v>183</v>
      </c>
      <c r="H228" s="286" t="s">
        <v>1251</v>
      </c>
      <c r="I228" s="286" t="s">
        <v>237</v>
      </c>
      <c r="J228" s="286" t="s">
        <v>927</v>
      </c>
      <c r="K228" s="286">
        <v>2</v>
      </c>
      <c r="L228" s="274">
        <v>281</v>
      </c>
      <c r="M228" s="286">
        <v>30</v>
      </c>
      <c r="N228" s="287">
        <v>7.89</v>
      </c>
      <c r="O228" s="246">
        <v>2.4500000000000002</v>
      </c>
      <c r="P228" s="239">
        <f t="shared" si="73"/>
        <v>5.6383546693337454</v>
      </c>
      <c r="Q228" s="262" t="str">
        <f t="shared" si="70"/>
        <v>Gadd Daph</v>
      </c>
      <c r="R228" s="263">
        <f t="shared" si="71"/>
        <v>-2.6061197627635773</v>
      </c>
      <c r="S228" s="220">
        <f t="shared" si="74"/>
        <v>8.2444744320973236</v>
      </c>
      <c r="T228" s="236">
        <f t="shared" si="88"/>
        <v>23</v>
      </c>
      <c r="U228" s="221" t="str">
        <f t="shared" si="87"/>
        <v>23-MOR-EC20-Larvae</v>
      </c>
      <c r="V228" s="222" cm="1">
        <f t="array" ref="V228">GEOMEAN(IF(U228=$U$4:$U$359,$S$4:$S$359))</f>
        <v>7.4601745354627162</v>
      </c>
      <c r="W228" s="264">
        <f t="shared" si="72"/>
        <v>4.3372868515540066</v>
      </c>
      <c r="X228" s="225">
        <f t="shared" si="75"/>
        <v>76.499702470774594</v>
      </c>
      <c r="Y228" s="225">
        <f t="shared" si="89"/>
        <v>76.499702470774594</v>
      </c>
      <c r="Z228" s="226"/>
      <c r="AA228" s="226"/>
      <c r="AB228" s="244" t="s">
        <v>1911</v>
      </c>
      <c r="AC228" s="244" t="s">
        <v>1772</v>
      </c>
      <c r="AD228" s="247">
        <v>0.81</v>
      </c>
      <c r="AE228" s="244" t="s">
        <v>1773</v>
      </c>
      <c r="AG228" s="248"/>
    </row>
    <row r="229" spans="1:38" s="182" customFormat="1" ht="15.75" hidden="1" customHeight="1" x14ac:dyDescent="0.25">
      <c r="B229" s="246">
        <v>165445</v>
      </c>
      <c r="C229" s="284">
        <v>2014</v>
      </c>
      <c r="D229" s="288" t="s">
        <v>1770</v>
      </c>
      <c r="E229" s="246" t="s">
        <v>1776</v>
      </c>
      <c r="F229" s="286" t="s">
        <v>1771</v>
      </c>
      <c r="G229" s="180" t="s">
        <v>183</v>
      </c>
      <c r="H229" s="286" t="s">
        <v>1251</v>
      </c>
      <c r="I229" s="286" t="s">
        <v>237</v>
      </c>
      <c r="J229" s="286" t="s">
        <v>927</v>
      </c>
      <c r="K229" s="286">
        <v>2</v>
      </c>
      <c r="L229" s="274">
        <v>56</v>
      </c>
      <c r="M229" s="286">
        <v>30</v>
      </c>
      <c r="N229" s="287">
        <v>7.81</v>
      </c>
      <c r="O229" s="246">
        <v>2.4500000000000002</v>
      </c>
      <c r="P229" s="239">
        <f t="shared" si="73"/>
        <v>4.0253516907351496</v>
      </c>
      <c r="Q229" s="262" t="str">
        <f t="shared" si="70"/>
        <v>Gadd Daph</v>
      </c>
      <c r="R229" s="263">
        <f t="shared" si="71"/>
        <v>-2.5817246528350646</v>
      </c>
      <c r="S229" s="220">
        <f t="shared" si="74"/>
        <v>6.6070763435702142</v>
      </c>
      <c r="T229" s="236">
        <f t="shared" si="88"/>
        <v>23</v>
      </c>
      <c r="U229" s="221" t="str">
        <f t="shared" si="87"/>
        <v>23-MOR-EC20-Larvae</v>
      </c>
      <c r="V229" s="222" cm="1">
        <f t="array" ref="V229">GEOMEAN(IF(U229=$U$4:$U$359,$S$4:$S$359))</f>
        <v>7.4601745354627162</v>
      </c>
      <c r="W229" s="264">
        <f t="shared" si="72"/>
        <v>4.3372868515540066</v>
      </c>
      <c r="X229" s="225">
        <f t="shared" si="75"/>
        <v>76.499702470774594</v>
      </c>
      <c r="Y229" s="225">
        <f t="shared" si="89"/>
        <v>76.499702470774594</v>
      </c>
      <c r="Z229" s="226"/>
      <c r="AA229" s="226"/>
      <c r="AB229" s="244" t="s">
        <v>1911</v>
      </c>
      <c r="AC229" s="244" t="s">
        <v>1772</v>
      </c>
      <c r="AD229" s="247">
        <v>0.81</v>
      </c>
      <c r="AE229" s="244" t="s">
        <v>1773</v>
      </c>
      <c r="AG229" s="248"/>
    </row>
    <row r="230" spans="1:38" s="182" customFormat="1" ht="15.75" hidden="1" customHeight="1" x14ac:dyDescent="0.25">
      <c r="A230" s="182" t="s">
        <v>1912</v>
      </c>
      <c r="B230" s="246"/>
      <c r="C230" s="227">
        <v>2017</v>
      </c>
      <c r="D230" s="227" t="s">
        <v>1785</v>
      </c>
      <c r="E230" s="227" t="s">
        <v>1795</v>
      </c>
      <c r="F230" s="227" t="s">
        <v>1791</v>
      </c>
      <c r="G230" s="180" t="s">
        <v>183</v>
      </c>
      <c r="H230" s="227" t="s">
        <v>1251</v>
      </c>
      <c r="I230" s="245" t="s">
        <v>1309</v>
      </c>
      <c r="J230" s="245" t="s">
        <v>52</v>
      </c>
      <c r="K230" s="245">
        <v>3</v>
      </c>
      <c r="L230" s="283">
        <v>8.6999999999999993</v>
      </c>
      <c r="M230" s="277">
        <v>42</v>
      </c>
      <c r="N230" s="278">
        <v>7</v>
      </c>
      <c r="O230" s="277">
        <v>0.1</v>
      </c>
      <c r="P230" s="239">
        <f t="shared" si="73"/>
        <v>2.1633230256605378</v>
      </c>
      <c r="Q230" s="262" t="str">
        <f t="shared" si="70"/>
        <v>Gadd Daph</v>
      </c>
      <c r="R230" s="263">
        <f t="shared" si="71"/>
        <v>-3.1260462443704888</v>
      </c>
      <c r="S230" s="220">
        <f t="shared" si="74"/>
        <v>5.2893692700310266</v>
      </c>
      <c r="T230" s="236">
        <f t="shared" si="88"/>
        <v>24</v>
      </c>
      <c r="U230" s="221" t="str">
        <f t="shared" si="87"/>
        <v>24-DEV-NEC-Larvae</v>
      </c>
      <c r="V230" s="222" cm="1">
        <f t="array" ref="V230">GEOMEAN(IF(U230=$U$4:$U$359,$S$4:$S$359))</f>
        <v>5.2893692700310266</v>
      </c>
      <c r="W230" s="264">
        <f t="shared" si="72"/>
        <v>2.1664815861223166</v>
      </c>
      <c r="X230" s="225">
        <f t="shared" si="75"/>
        <v>8.7275229195383233</v>
      </c>
      <c r="Y230" s="225">
        <f t="shared" si="89"/>
        <v>8.7275229195383233</v>
      </c>
      <c r="Z230" s="226"/>
      <c r="AA230" s="226"/>
      <c r="AB230" s="254"/>
      <c r="AC230" s="228" t="s">
        <v>1772</v>
      </c>
      <c r="AD230" s="276">
        <v>0.83</v>
      </c>
      <c r="AE230" s="228" t="s">
        <v>1773</v>
      </c>
      <c r="AG230" s="248"/>
    </row>
    <row r="231" spans="1:38" s="182" customFormat="1" ht="15.75" hidden="1" customHeight="1" x14ac:dyDescent="0.25">
      <c r="A231" s="182" t="s">
        <v>1913</v>
      </c>
      <c r="B231" s="246"/>
      <c r="C231" s="227">
        <v>2017</v>
      </c>
      <c r="D231" s="227" t="s">
        <v>1785</v>
      </c>
      <c r="E231" s="227" t="s">
        <v>1795</v>
      </c>
      <c r="F231" s="227" t="s">
        <v>1792</v>
      </c>
      <c r="G231" s="180" t="s">
        <v>183</v>
      </c>
      <c r="H231" s="227" t="s">
        <v>1251</v>
      </c>
      <c r="I231" s="245" t="s">
        <v>1309</v>
      </c>
      <c r="J231" s="245" t="s">
        <v>52</v>
      </c>
      <c r="K231" s="245">
        <v>3</v>
      </c>
      <c r="L231" s="282">
        <v>10</v>
      </c>
      <c r="M231" s="277">
        <v>42</v>
      </c>
      <c r="N231" s="278">
        <v>7</v>
      </c>
      <c r="O231" s="277">
        <v>0.1</v>
      </c>
      <c r="P231" s="239">
        <f t="shared" si="73"/>
        <v>2.3025850929940459</v>
      </c>
      <c r="Q231" s="262" t="str">
        <f t="shared" si="70"/>
        <v>Gadd Daph</v>
      </c>
      <c r="R231" s="263">
        <f t="shared" si="71"/>
        <v>-3.1260462443704888</v>
      </c>
      <c r="S231" s="220">
        <f t="shared" si="74"/>
        <v>5.4286313373645347</v>
      </c>
      <c r="T231" s="236">
        <f t="shared" si="88"/>
        <v>25</v>
      </c>
      <c r="U231" s="221" t="str">
        <f t="shared" si="87"/>
        <v>25-DEV-NEC-Larvae</v>
      </c>
      <c r="V231" s="222" cm="1">
        <f t="array" ref="V231">GEOMEAN(IF(U231=$U$4:$U$359,$S$4:$S$359))</f>
        <v>5.4286313373645347</v>
      </c>
      <c r="W231" s="264">
        <f t="shared" si="72"/>
        <v>2.3057436534558247</v>
      </c>
      <c r="X231" s="225">
        <f t="shared" si="75"/>
        <v>10.031635539699227</v>
      </c>
      <c r="Y231" s="225">
        <f t="shared" si="89"/>
        <v>10.031635539699227</v>
      </c>
      <c r="Z231" s="226"/>
      <c r="AA231" s="226"/>
      <c r="AB231" s="254"/>
      <c r="AC231" s="228" t="s">
        <v>1772</v>
      </c>
      <c r="AD231" s="276">
        <v>0.83</v>
      </c>
      <c r="AE231" s="228" t="s">
        <v>1773</v>
      </c>
      <c r="AG231" s="248"/>
    </row>
    <row r="232" spans="1:38" s="182" customFormat="1" ht="15.75" hidden="1" customHeight="1" x14ac:dyDescent="0.25">
      <c r="A232" s="182" t="s">
        <v>1914</v>
      </c>
      <c r="B232" s="246"/>
      <c r="C232" s="227">
        <v>2017</v>
      </c>
      <c r="D232" s="227" t="s">
        <v>1785</v>
      </c>
      <c r="E232" s="227" t="s">
        <v>1795</v>
      </c>
      <c r="F232" s="227" t="s">
        <v>1793</v>
      </c>
      <c r="G232" s="180" t="s">
        <v>183</v>
      </c>
      <c r="H232" s="227" t="s">
        <v>1251</v>
      </c>
      <c r="I232" s="245" t="s">
        <v>1309</v>
      </c>
      <c r="J232" s="245" t="s">
        <v>52</v>
      </c>
      <c r="K232" s="245">
        <v>3</v>
      </c>
      <c r="L232" s="282">
        <v>11</v>
      </c>
      <c r="M232" s="277">
        <v>42</v>
      </c>
      <c r="N232" s="278">
        <v>7</v>
      </c>
      <c r="O232" s="277">
        <v>0.1</v>
      </c>
      <c r="P232" s="239">
        <f t="shared" si="73"/>
        <v>2.3978952727983707</v>
      </c>
      <c r="Q232" s="262" t="str">
        <f t="shared" si="70"/>
        <v>Gadd Daph</v>
      </c>
      <c r="R232" s="263">
        <f t="shared" si="71"/>
        <v>-3.1260462443704888</v>
      </c>
      <c r="S232" s="220">
        <f t="shared" si="74"/>
        <v>5.5239415171688595</v>
      </c>
      <c r="T232" s="236">
        <f t="shared" si="88"/>
        <v>26</v>
      </c>
      <c r="U232" s="221" t="str">
        <f t="shared" si="87"/>
        <v>26-DEV-NEC-Larvae</v>
      </c>
      <c r="V232" s="222" cm="1">
        <f t="array" ref="V232">GEOMEAN(IF(U232=$U$4:$U$359,$S$4:$S$359))</f>
        <v>5.5239415171688595</v>
      </c>
      <c r="W232" s="264">
        <f t="shared" si="72"/>
        <v>2.4010538332601494</v>
      </c>
      <c r="X232" s="225">
        <f t="shared" si="75"/>
        <v>11.034799093669148</v>
      </c>
      <c r="Y232" s="225">
        <f t="shared" si="89"/>
        <v>11.034799093669148</v>
      </c>
      <c r="Z232" s="226"/>
      <c r="AA232" s="226"/>
      <c r="AB232" s="254"/>
      <c r="AC232" s="228" t="s">
        <v>1772</v>
      </c>
      <c r="AD232" s="276">
        <v>0.83</v>
      </c>
      <c r="AE232" s="228" t="s">
        <v>1773</v>
      </c>
      <c r="AG232" s="248"/>
    </row>
    <row r="233" spans="1:38" s="182" customFormat="1" ht="15.75" hidden="1" customHeight="1" x14ac:dyDescent="0.25">
      <c r="B233" s="183"/>
      <c r="C233" s="217">
        <v>2010</v>
      </c>
      <c r="D233" s="261" t="s">
        <v>1378</v>
      </c>
      <c r="E233" s="180" t="s">
        <v>1379</v>
      </c>
      <c r="F233" s="180" t="s">
        <v>1380</v>
      </c>
      <c r="G233" s="180" t="s">
        <v>183</v>
      </c>
      <c r="H233" s="180" t="s">
        <v>1381</v>
      </c>
      <c r="I233" s="180" t="s">
        <v>81</v>
      </c>
      <c r="J233" s="180" t="s">
        <v>54</v>
      </c>
      <c r="K233" s="180">
        <v>28</v>
      </c>
      <c r="L233" s="180">
        <v>45</v>
      </c>
      <c r="M233" s="180">
        <v>48</v>
      </c>
      <c r="N233" s="180">
        <v>8</v>
      </c>
      <c r="O233" s="94">
        <v>0.5</v>
      </c>
      <c r="P233" s="239">
        <f t="shared" si="73"/>
        <v>3.8066624897703196</v>
      </c>
      <c r="Q233" s="262" t="str">
        <f t="shared" si="70"/>
        <v>Gadd Daph</v>
      </c>
      <c r="R233" s="263">
        <f t="shared" si="71"/>
        <v>-3.3203642205097257</v>
      </c>
      <c r="S233" s="220">
        <f t="shared" si="74"/>
        <v>7.1270267102800453</v>
      </c>
      <c r="T233" s="236">
        <f t="shared" si="88"/>
        <v>27</v>
      </c>
      <c r="U233" s="221" t="str">
        <f t="shared" si="87"/>
        <v>27-GRO-NOEC-Juvenile (2-mo)</v>
      </c>
      <c r="V233" s="222" cm="1">
        <f t="array" ref="V233">GEOMEAN(IF(U233=$U$4:$U$359,$S$4:$S$359))</f>
        <v>7.1270267102800453</v>
      </c>
      <c r="W233" s="264">
        <f t="shared" si="72"/>
        <v>4.0041390263713357</v>
      </c>
      <c r="X233" s="225">
        <f t="shared" si="75"/>
        <v>54.824601537042319</v>
      </c>
      <c r="Y233" s="225"/>
      <c r="Z233" s="226" t="s">
        <v>1469</v>
      </c>
      <c r="AA233" s="194"/>
      <c r="AB233" s="227" t="s">
        <v>1846</v>
      </c>
      <c r="AC233" s="243" t="s">
        <v>1798</v>
      </c>
      <c r="AD233" s="228"/>
      <c r="AE233" s="229" t="s">
        <v>1584</v>
      </c>
      <c r="AG233" s="248"/>
      <c r="AH233" s="281"/>
      <c r="AI233" s="281"/>
      <c r="AJ233" s="281"/>
      <c r="AK233" s="281"/>
      <c r="AL233" s="281"/>
    </row>
    <row r="234" spans="1:38" s="182" customFormat="1" ht="15.75" hidden="1" customHeight="1" x14ac:dyDescent="0.25">
      <c r="B234" s="183"/>
      <c r="C234" s="217">
        <v>2010</v>
      </c>
      <c r="D234" s="261" t="s">
        <v>1378</v>
      </c>
      <c r="E234" s="180" t="s">
        <v>1379</v>
      </c>
      <c r="F234" s="180" t="s">
        <v>1380</v>
      </c>
      <c r="G234" s="180" t="s">
        <v>183</v>
      </c>
      <c r="H234" s="180" t="s">
        <v>1382</v>
      </c>
      <c r="I234" s="180" t="s">
        <v>81</v>
      </c>
      <c r="J234" s="180" t="s">
        <v>54</v>
      </c>
      <c r="K234" s="180">
        <v>28</v>
      </c>
      <c r="L234" s="180">
        <v>48</v>
      </c>
      <c r="M234" s="180">
        <v>49</v>
      </c>
      <c r="N234" s="180">
        <v>7.8</v>
      </c>
      <c r="O234" s="94">
        <v>0.5</v>
      </c>
      <c r="P234" s="239">
        <f t="shared" si="73"/>
        <v>3.8712010109078911</v>
      </c>
      <c r="Q234" s="262" t="str">
        <f t="shared" si="70"/>
        <v>Gadd Daph</v>
      </c>
      <c r="R234" s="263">
        <f t="shared" si="71"/>
        <v>-3.17670117681</v>
      </c>
      <c r="S234" s="220">
        <f t="shared" si="74"/>
        <v>7.0479021877178916</v>
      </c>
      <c r="T234" s="236">
        <f t="shared" si="88"/>
        <v>27</v>
      </c>
      <c r="U234" s="221" t="str">
        <f t="shared" si="87"/>
        <v>27-GRO-NOEC-Juvenile (4-mo)</v>
      </c>
      <c r="V234" s="222" cm="1">
        <f t="array" ref="V234">GEOMEAN(IF(U234=$U$4:$U$359,$S$4:$S$359))</f>
        <v>7.0479021877178916</v>
      </c>
      <c r="W234" s="264">
        <f t="shared" si="72"/>
        <v>3.9250145038091815</v>
      </c>
      <c r="X234" s="225">
        <f t="shared" si="75"/>
        <v>50.653812726744981</v>
      </c>
      <c r="Y234" s="225"/>
      <c r="Z234" s="226" t="s">
        <v>1469</v>
      </c>
      <c r="AA234" s="194"/>
      <c r="AB234" s="227" t="s">
        <v>1846</v>
      </c>
      <c r="AC234" s="243" t="s">
        <v>1798</v>
      </c>
      <c r="AD234" s="228"/>
      <c r="AE234" s="229" t="s">
        <v>1584</v>
      </c>
      <c r="AG234" s="248"/>
    </row>
    <row r="235" spans="1:38" s="281" customFormat="1" ht="15.75" hidden="1" customHeight="1" x14ac:dyDescent="0.25">
      <c r="B235" s="183"/>
      <c r="C235" s="217">
        <v>2010</v>
      </c>
      <c r="D235" s="261" t="s">
        <v>1378</v>
      </c>
      <c r="E235" s="180" t="s">
        <v>1379</v>
      </c>
      <c r="F235" s="180" t="s">
        <v>1380</v>
      </c>
      <c r="G235" s="180" t="s">
        <v>183</v>
      </c>
      <c r="H235" s="180" t="s">
        <v>1381</v>
      </c>
      <c r="I235" s="180" t="s">
        <v>81</v>
      </c>
      <c r="J235" s="180" t="s">
        <v>1062</v>
      </c>
      <c r="K235" s="180">
        <v>28</v>
      </c>
      <c r="L235" s="183">
        <v>55</v>
      </c>
      <c r="M235" s="180">
        <v>48</v>
      </c>
      <c r="N235" s="181">
        <v>8</v>
      </c>
      <c r="O235" s="94">
        <v>0.5</v>
      </c>
      <c r="P235" s="239">
        <f t="shared" si="73"/>
        <v>4.0073331852324712</v>
      </c>
      <c r="Q235" s="262" t="str">
        <f t="shared" si="70"/>
        <v>Gadd Daph</v>
      </c>
      <c r="R235" s="263">
        <f t="shared" si="71"/>
        <v>-3.3203642205097257</v>
      </c>
      <c r="S235" s="220">
        <f t="shared" si="74"/>
        <v>7.3276974057421969</v>
      </c>
      <c r="T235" s="236">
        <f t="shared" si="88"/>
        <v>27</v>
      </c>
      <c r="U235" s="221" t="str">
        <f t="shared" si="87"/>
        <v>27-GRO-IC10-Juvenile (2-mo)</v>
      </c>
      <c r="V235" s="222" cm="1">
        <f t="array" ref="V235">GEOMEAN(IF(U235=$U$4:$U$359,$S$4:$S$359))</f>
        <v>6.8239081016730081</v>
      </c>
      <c r="W235" s="264">
        <f t="shared" si="72"/>
        <v>3.701020417764298</v>
      </c>
      <c r="X235" s="225">
        <f t="shared" si="75"/>
        <v>40.488598573045472</v>
      </c>
      <c r="Y235" s="225">
        <f t="shared" ref="Y235:Y236" si="90">X235</f>
        <v>40.488598573045472</v>
      </c>
      <c r="Z235" s="226"/>
      <c r="AA235" s="194"/>
      <c r="AB235" s="227" t="s">
        <v>1846</v>
      </c>
      <c r="AC235" s="243" t="s">
        <v>1798</v>
      </c>
      <c r="AD235" s="228"/>
      <c r="AE235" s="229" t="s">
        <v>1584</v>
      </c>
      <c r="AG235" s="248"/>
    </row>
    <row r="236" spans="1:38" s="281" customFormat="1" ht="15.75" hidden="1" customHeight="1" x14ac:dyDescent="0.25">
      <c r="B236" s="183"/>
      <c r="C236" s="217">
        <v>2010</v>
      </c>
      <c r="D236" s="261" t="s">
        <v>1378</v>
      </c>
      <c r="E236" s="180" t="s">
        <v>1379</v>
      </c>
      <c r="F236" s="180" t="s">
        <v>1380</v>
      </c>
      <c r="G236" s="180" t="s">
        <v>183</v>
      </c>
      <c r="H236" s="180" t="s">
        <v>1381</v>
      </c>
      <c r="I236" s="180" t="s">
        <v>81</v>
      </c>
      <c r="J236" s="180" t="s">
        <v>1062</v>
      </c>
      <c r="K236" s="180">
        <v>28</v>
      </c>
      <c r="L236" s="227">
        <v>24</v>
      </c>
      <c r="M236" s="180">
        <v>49</v>
      </c>
      <c r="N236" s="181">
        <v>7.8</v>
      </c>
      <c r="O236" s="94">
        <v>0.5</v>
      </c>
      <c r="P236" s="239">
        <f t="shared" si="73"/>
        <v>3.1780538303479458</v>
      </c>
      <c r="Q236" s="262" t="str">
        <f t="shared" si="70"/>
        <v>Gadd Daph</v>
      </c>
      <c r="R236" s="263">
        <f t="shared" si="71"/>
        <v>-3.17670117681</v>
      </c>
      <c r="S236" s="220">
        <f t="shared" si="74"/>
        <v>6.3547550071579462</v>
      </c>
      <c r="T236" s="236">
        <f t="shared" si="88"/>
        <v>27</v>
      </c>
      <c r="U236" s="221" t="str">
        <f t="shared" si="87"/>
        <v>27-GRO-IC10-Juvenile (2-mo)</v>
      </c>
      <c r="V236" s="222" cm="1">
        <f t="array" ref="V236">GEOMEAN(IF(U236=$U$4:$U$359,$S$4:$S$359))</f>
        <v>6.8239081016730081</v>
      </c>
      <c r="W236" s="264">
        <f t="shared" si="72"/>
        <v>3.701020417764298</v>
      </c>
      <c r="X236" s="225">
        <f t="shared" si="75"/>
        <v>40.488598573045472</v>
      </c>
      <c r="Y236" s="225">
        <f t="shared" si="90"/>
        <v>40.488598573045472</v>
      </c>
      <c r="Z236" s="226"/>
      <c r="AA236" s="194"/>
      <c r="AB236" s="227" t="s">
        <v>1846</v>
      </c>
      <c r="AC236" s="228" t="s">
        <v>1915</v>
      </c>
      <c r="AD236" s="228"/>
      <c r="AE236" s="229" t="s">
        <v>1584</v>
      </c>
      <c r="AG236" s="248"/>
    </row>
    <row r="237" spans="1:38" s="281" customFormat="1" ht="15.75" hidden="1" customHeight="1" x14ac:dyDescent="0.25">
      <c r="B237" s="183"/>
      <c r="C237" s="217">
        <v>2010</v>
      </c>
      <c r="D237" s="261" t="s">
        <v>1378</v>
      </c>
      <c r="E237" s="180" t="s">
        <v>1379</v>
      </c>
      <c r="F237" s="180" t="s">
        <v>1380</v>
      </c>
      <c r="G237" s="180" t="s">
        <v>183</v>
      </c>
      <c r="H237" s="180" t="s">
        <v>1381</v>
      </c>
      <c r="I237" s="180" t="s">
        <v>237</v>
      </c>
      <c r="J237" s="180" t="s">
        <v>54</v>
      </c>
      <c r="K237" s="180">
        <v>28</v>
      </c>
      <c r="L237" s="180">
        <v>87</v>
      </c>
      <c r="M237" s="180">
        <v>48</v>
      </c>
      <c r="N237" s="180">
        <v>8</v>
      </c>
      <c r="O237" s="94">
        <v>0.5</v>
      </c>
      <c r="P237" s="239">
        <f t="shared" si="73"/>
        <v>4.4659081186545837</v>
      </c>
      <c r="Q237" s="262" t="str">
        <f t="shared" si="70"/>
        <v>Gadd Daph</v>
      </c>
      <c r="R237" s="263">
        <f t="shared" si="71"/>
        <v>-3.3203642205097257</v>
      </c>
      <c r="S237" s="220">
        <f t="shared" si="74"/>
        <v>7.7862723391643094</v>
      </c>
      <c r="T237" s="236">
        <f t="shared" si="88"/>
        <v>27</v>
      </c>
      <c r="U237" s="221" t="str">
        <f t="shared" si="87"/>
        <v>27-MOR-NOEC-Juvenile (2-mo)</v>
      </c>
      <c r="V237" s="222" cm="1">
        <f t="array" ref="V237">GEOMEAN(IF(U237=$U$4:$U$359,$S$4:$S$359))</f>
        <v>7.7862723391643094</v>
      </c>
      <c r="W237" s="264">
        <f t="shared" si="72"/>
        <v>4.6633846552555998</v>
      </c>
      <c r="X237" s="225">
        <f t="shared" si="75"/>
        <v>105.99422963828182</v>
      </c>
      <c r="Y237" s="225"/>
      <c r="Z237" s="226" t="s">
        <v>1469</v>
      </c>
      <c r="AA237" s="194"/>
      <c r="AB237" s="227" t="s">
        <v>1846</v>
      </c>
      <c r="AC237" s="243" t="s">
        <v>1798</v>
      </c>
      <c r="AD237" s="228"/>
      <c r="AE237" s="229" t="s">
        <v>1584</v>
      </c>
      <c r="AG237" s="248"/>
    </row>
    <row r="238" spans="1:38" s="182" customFormat="1" ht="15.75" hidden="1" customHeight="1" x14ac:dyDescent="0.25">
      <c r="B238" s="183"/>
      <c r="C238" s="217">
        <v>2010</v>
      </c>
      <c r="D238" s="261" t="s">
        <v>1378</v>
      </c>
      <c r="E238" s="180" t="s">
        <v>1379</v>
      </c>
      <c r="F238" s="180" t="s">
        <v>1380</v>
      </c>
      <c r="G238" s="180" t="s">
        <v>183</v>
      </c>
      <c r="H238" s="180" t="s">
        <v>1382</v>
      </c>
      <c r="I238" s="180" t="s">
        <v>237</v>
      </c>
      <c r="J238" s="180" t="s">
        <v>54</v>
      </c>
      <c r="K238" s="180">
        <v>28</v>
      </c>
      <c r="L238" s="180">
        <v>97</v>
      </c>
      <c r="M238" s="180">
        <v>49</v>
      </c>
      <c r="N238" s="180">
        <v>7.8</v>
      </c>
      <c r="O238" s="94">
        <v>0.5</v>
      </c>
      <c r="P238" s="239">
        <f t="shared" si="73"/>
        <v>4.5747109785033828</v>
      </c>
      <c r="Q238" s="262" t="str">
        <f t="shared" si="70"/>
        <v>Gadd Daph</v>
      </c>
      <c r="R238" s="263">
        <f t="shared" si="71"/>
        <v>-3.17670117681</v>
      </c>
      <c r="S238" s="220">
        <f t="shared" si="74"/>
        <v>7.7514121553133828</v>
      </c>
      <c r="T238" s="236">
        <f t="shared" si="88"/>
        <v>27</v>
      </c>
      <c r="U238" s="221" t="str">
        <f t="shared" si="87"/>
        <v>27-MOR-NOEC-Juvenile (4-mo)</v>
      </c>
      <c r="V238" s="222" cm="1">
        <f t="array" ref="V238">GEOMEAN(IF(U238=$U$4:$U$359,$S$4:$S$359))</f>
        <v>7.7514121553133828</v>
      </c>
      <c r="W238" s="264">
        <f t="shared" si="72"/>
        <v>4.6285244714046723</v>
      </c>
      <c r="X238" s="225">
        <f t="shared" si="75"/>
        <v>102.36291321863037</v>
      </c>
      <c r="Y238" s="225"/>
      <c r="Z238" s="226" t="s">
        <v>1469</v>
      </c>
      <c r="AA238" s="194"/>
      <c r="AB238" s="227" t="s">
        <v>1846</v>
      </c>
      <c r="AC238" s="243" t="s">
        <v>1798</v>
      </c>
      <c r="AD238" s="228"/>
      <c r="AE238" s="229" t="s">
        <v>1584</v>
      </c>
      <c r="AG238" s="248"/>
    </row>
    <row r="239" spans="1:38" s="281" customFormat="1" ht="15.75" hidden="1" customHeight="1" x14ac:dyDescent="0.25">
      <c r="B239" s="183"/>
      <c r="C239" s="217">
        <v>2010</v>
      </c>
      <c r="D239" s="261" t="s">
        <v>1378</v>
      </c>
      <c r="E239" s="180" t="s">
        <v>1379</v>
      </c>
      <c r="F239" s="180" t="s">
        <v>1380</v>
      </c>
      <c r="G239" s="180" t="s">
        <v>183</v>
      </c>
      <c r="H239" s="180" t="s">
        <v>1381</v>
      </c>
      <c r="I239" s="180" t="s">
        <v>237</v>
      </c>
      <c r="J239" s="180" t="s">
        <v>1062</v>
      </c>
      <c r="K239" s="180">
        <v>28</v>
      </c>
      <c r="L239" s="180">
        <v>127</v>
      </c>
      <c r="M239" s="180">
        <v>48</v>
      </c>
      <c r="N239" s="181">
        <v>8</v>
      </c>
      <c r="O239" s="94">
        <v>0.5</v>
      </c>
      <c r="P239" s="239">
        <f t="shared" si="73"/>
        <v>4.8441870864585912</v>
      </c>
      <c r="Q239" s="262" t="str">
        <f t="shared" si="70"/>
        <v>Gadd Daph</v>
      </c>
      <c r="R239" s="263">
        <f t="shared" si="71"/>
        <v>-3.3203642205097257</v>
      </c>
      <c r="S239" s="220">
        <f t="shared" si="74"/>
        <v>8.1645513069683169</v>
      </c>
      <c r="T239" s="236">
        <f t="shared" si="88"/>
        <v>27</v>
      </c>
      <c r="U239" s="221" t="str">
        <f t="shared" si="87"/>
        <v>27-MOR-IC10-Juvenile (2-mo)</v>
      </c>
      <c r="V239" s="222" cm="1">
        <f t="array" ref="V239">GEOMEAN(IF(U239=$U$4:$U$359,$S$4:$S$359))</f>
        <v>8.1645513069683169</v>
      </c>
      <c r="W239" s="264">
        <f t="shared" si="72"/>
        <v>5.0416636230596072</v>
      </c>
      <c r="X239" s="225">
        <f t="shared" si="75"/>
        <v>154.72720878231945</v>
      </c>
      <c r="Y239" s="225">
        <f t="shared" ref="Y239:Y254" si="91">X239</f>
        <v>154.72720878231945</v>
      </c>
      <c r="Z239" s="226"/>
      <c r="AA239" s="194"/>
      <c r="AB239" s="227" t="s">
        <v>1846</v>
      </c>
      <c r="AC239" s="243" t="s">
        <v>1798</v>
      </c>
      <c r="AD239" s="228"/>
      <c r="AE239" s="229" t="s">
        <v>1584</v>
      </c>
      <c r="AG239" s="248"/>
    </row>
    <row r="240" spans="1:38" s="182" customFormat="1" ht="15.75" hidden="1" customHeight="1" x14ac:dyDescent="0.25">
      <c r="B240" s="183"/>
      <c r="C240" s="217">
        <v>2010</v>
      </c>
      <c r="D240" s="261" t="s">
        <v>1378</v>
      </c>
      <c r="E240" s="180" t="s">
        <v>1379</v>
      </c>
      <c r="F240" s="180" t="s">
        <v>1380</v>
      </c>
      <c r="G240" s="180" t="s">
        <v>183</v>
      </c>
      <c r="H240" s="180" t="s">
        <v>1382</v>
      </c>
      <c r="I240" s="180" t="s">
        <v>237</v>
      </c>
      <c r="J240" s="180" t="s">
        <v>1062</v>
      </c>
      <c r="K240" s="180">
        <v>28</v>
      </c>
      <c r="L240" s="180">
        <v>125</v>
      </c>
      <c r="M240" s="180">
        <v>49</v>
      </c>
      <c r="N240" s="181">
        <v>7.8</v>
      </c>
      <c r="O240" s="94">
        <v>0.5</v>
      </c>
      <c r="P240" s="239">
        <f t="shared" si="73"/>
        <v>4.8283137373023015</v>
      </c>
      <c r="Q240" s="262" t="str">
        <f t="shared" si="70"/>
        <v>Gadd Daph</v>
      </c>
      <c r="R240" s="263">
        <f t="shared" si="71"/>
        <v>-3.17670117681</v>
      </c>
      <c r="S240" s="220">
        <f t="shared" si="74"/>
        <v>8.0050149141123015</v>
      </c>
      <c r="T240" s="236">
        <f t="shared" si="88"/>
        <v>27</v>
      </c>
      <c r="U240" s="221" t="str">
        <f t="shared" si="87"/>
        <v>27-MOR-IC10-Juvenile (4-mo)</v>
      </c>
      <c r="V240" s="222" cm="1">
        <f t="array" ref="V240">GEOMEAN(IF(U240=$U$4:$U$359,$S$4:$S$359))</f>
        <v>8.0050149141123015</v>
      </c>
      <c r="W240" s="264">
        <f t="shared" si="72"/>
        <v>4.8821272302035918</v>
      </c>
      <c r="X240" s="225">
        <f t="shared" si="75"/>
        <v>131.91097064256508</v>
      </c>
      <c r="Y240" s="225">
        <f t="shared" si="91"/>
        <v>131.91097064256508</v>
      </c>
      <c r="Z240" s="226"/>
      <c r="AA240" s="194"/>
      <c r="AB240" s="227" t="s">
        <v>1846</v>
      </c>
      <c r="AC240" s="243" t="s">
        <v>1798</v>
      </c>
      <c r="AD240" s="228"/>
      <c r="AE240" s="229" t="s">
        <v>1584</v>
      </c>
      <c r="AG240" s="248"/>
    </row>
    <row r="241" spans="1:38" s="281" customFormat="1" ht="15.75" hidden="1" customHeight="1" x14ac:dyDescent="0.25">
      <c r="B241" s="183"/>
      <c r="C241" s="289">
        <v>2010</v>
      </c>
      <c r="D241" s="290" t="s">
        <v>1548</v>
      </c>
      <c r="E241" s="291" t="s">
        <v>1551</v>
      </c>
      <c r="F241" s="292" t="s">
        <v>1549</v>
      </c>
      <c r="G241" s="180" t="s">
        <v>183</v>
      </c>
      <c r="H241" s="180" t="s">
        <v>1550</v>
      </c>
      <c r="I241" s="291" t="s">
        <v>81</v>
      </c>
      <c r="J241" s="293" t="s">
        <v>49</v>
      </c>
      <c r="K241" s="293">
        <v>28</v>
      </c>
      <c r="L241" s="294">
        <v>1629</v>
      </c>
      <c r="M241" s="180">
        <v>256</v>
      </c>
      <c r="N241" s="181">
        <v>7.81</v>
      </c>
      <c r="O241" s="94">
        <v>12.7</v>
      </c>
      <c r="P241" s="239">
        <f t="shared" si="73"/>
        <v>7.3957216086020452</v>
      </c>
      <c r="Q241" s="262" t="str">
        <f t="shared" si="70"/>
        <v>Gadd Daph</v>
      </c>
      <c r="R241" s="263">
        <f t="shared" si="71"/>
        <v>-1.1364590065117559</v>
      </c>
      <c r="S241" s="220">
        <f t="shared" si="74"/>
        <v>8.532180615113802</v>
      </c>
      <c r="T241" s="236">
        <f t="shared" si="88"/>
        <v>28</v>
      </c>
      <c r="U241" s="221" t="str">
        <f t="shared" si="87"/>
        <v>28-GRO-EC10-21 days</v>
      </c>
      <c r="V241" s="222" cm="1">
        <f t="array" ref="V241">GEOMEAN(IF(U241=$U$4:$U$359,$S$4:$S$359))</f>
        <v>8.2648873022803198</v>
      </c>
      <c r="W241" s="264">
        <f t="shared" si="72"/>
        <v>5.1419996183716101</v>
      </c>
      <c r="X241" s="225">
        <f t="shared" si="75"/>
        <v>171.05747623683536</v>
      </c>
      <c r="Y241" s="225">
        <f t="shared" si="91"/>
        <v>171.05747623683536</v>
      </c>
      <c r="Z241" s="226"/>
      <c r="AA241" s="194" t="s">
        <v>1558</v>
      </c>
      <c r="AB241" s="227" t="s">
        <v>1846</v>
      </c>
      <c r="AC241" s="243" t="s">
        <v>1798</v>
      </c>
      <c r="AD241" s="228"/>
      <c r="AE241" s="229" t="s">
        <v>1584</v>
      </c>
      <c r="AG241" s="248"/>
    </row>
    <row r="242" spans="1:38" s="182" customFormat="1" ht="15.75" hidden="1" customHeight="1" x14ac:dyDescent="0.25">
      <c r="B242" s="183"/>
      <c r="C242" s="289">
        <v>2010</v>
      </c>
      <c r="D242" s="290" t="s">
        <v>1548</v>
      </c>
      <c r="E242" s="291" t="s">
        <v>1552</v>
      </c>
      <c r="F242" s="292" t="s">
        <v>1549</v>
      </c>
      <c r="G242" s="180" t="s">
        <v>183</v>
      </c>
      <c r="H242" s="180" t="s">
        <v>1550</v>
      </c>
      <c r="I242" s="291" t="s">
        <v>81</v>
      </c>
      <c r="J242" s="293" t="s">
        <v>49</v>
      </c>
      <c r="K242" s="293">
        <v>28</v>
      </c>
      <c r="L242" s="294">
        <v>910</v>
      </c>
      <c r="M242" s="180">
        <v>225</v>
      </c>
      <c r="N242" s="181">
        <v>7.9</v>
      </c>
      <c r="O242" s="94">
        <v>7.82</v>
      </c>
      <c r="P242" s="239">
        <f t="shared" si="73"/>
        <v>6.8134445995108956</v>
      </c>
      <c r="Q242" s="262" t="str">
        <f t="shared" si="70"/>
        <v>Gadd Daph</v>
      </c>
      <c r="R242" s="263">
        <f t="shared" si="71"/>
        <v>-1.4088933362562495</v>
      </c>
      <c r="S242" s="220">
        <f t="shared" si="74"/>
        <v>8.2223379357671451</v>
      </c>
      <c r="T242" s="236">
        <f t="shared" si="88"/>
        <v>28</v>
      </c>
      <c r="U242" s="221" t="str">
        <f t="shared" si="87"/>
        <v>28-GRO-EC10-21 days</v>
      </c>
      <c r="V242" s="222" cm="1">
        <f t="array" ref="V242">GEOMEAN(IF(U242=$U$4:$U$359,$S$4:$S$359))</f>
        <v>8.2648873022803198</v>
      </c>
      <c r="W242" s="264">
        <f t="shared" si="72"/>
        <v>5.1419996183716101</v>
      </c>
      <c r="X242" s="225">
        <f t="shared" si="75"/>
        <v>171.05747623683536</v>
      </c>
      <c r="Y242" s="225">
        <f t="shared" si="91"/>
        <v>171.05747623683536</v>
      </c>
      <c r="Z242" s="226"/>
      <c r="AA242" s="194" t="s">
        <v>1558</v>
      </c>
      <c r="AB242" s="227" t="s">
        <v>1846</v>
      </c>
      <c r="AC242" s="243" t="s">
        <v>1798</v>
      </c>
      <c r="AD242" s="228"/>
      <c r="AE242" s="229" t="s">
        <v>1584</v>
      </c>
      <c r="AG242" s="248"/>
    </row>
    <row r="243" spans="1:38" s="281" customFormat="1" ht="15.75" hidden="1" customHeight="1" x14ac:dyDescent="0.25">
      <c r="B243" s="183"/>
      <c r="C243" s="289">
        <v>2010</v>
      </c>
      <c r="D243" s="290" t="s">
        <v>1548</v>
      </c>
      <c r="E243" s="291" t="s">
        <v>1553</v>
      </c>
      <c r="F243" s="292" t="s">
        <v>1549</v>
      </c>
      <c r="G243" s="180" t="s">
        <v>183</v>
      </c>
      <c r="H243" s="180" t="s">
        <v>1550</v>
      </c>
      <c r="I243" s="291" t="s">
        <v>81</v>
      </c>
      <c r="J243" s="293" t="s">
        <v>49</v>
      </c>
      <c r="K243" s="293">
        <v>28</v>
      </c>
      <c r="L243" s="294">
        <v>200</v>
      </c>
      <c r="M243" s="180">
        <v>37.6</v>
      </c>
      <c r="N243" s="181">
        <v>7.41</v>
      </c>
      <c r="O243" s="94">
        <v>2.85</v>
      </c>
      <c r="P243" s="239">
        <f t="shared" si="73"/>
        <v>5.2983173665480363</v>
      </c>
      <c r="Q243" s="262" t="str">
        <f t="shared" si="70"/>
        <v>Gadd Daph</v>
      </c>
      <c r="R243" s="263">
        <f t="shared" si="71"/>
        <v>-2.3325232369415234</v>
      </c>
      <c r="S243" s="220">
        <f t="shared" si="74"/>
        <v>7.6308406034895597</v>
      </c>
      <c r="T243" s="236">
        <f t="shared" si="88"/>
        <v>28</v>
      </c>
      <c r="U243" s="221" t="str">
        <f t="shared" si="87"/>
        <v>28-GRO-EC10-21 days</v>
      </c>
      <c r="V243" s="222" cm="1">
        <f t="array" ref="V243">GEOMEAN(IF(U243=$U$4:$U$359,$S$4:$S$359))</f>
        <v>8.2648873022803198</v>
      </c>
      <c r="W243" s="264">
        <f t="shared" si="72"/>
        <v>5.1419996183716101</v>
      </c>
      <c r="X243" s="225">
        <f t="shared" si="75"/>
        <v>171.05747623683536</v>
      </c>
      <c r="Y243" s="225">
        <f t="shared" si="91"/>
        <v>171.05747623683536</v>
      </c>
      <c r="Z243" s="226"/>
      <c r="AA243" s="194" t="s">
        <v>1558</v>
      </c>
      <c r="AB243" s="227" t="s">
        <v>1846</v>
      </c>
      <c r="AC243" s="243" t="s">
        <v>1798</v>
      </c>
      <c r="AD243" s="228"/>
      <c r="AE243" s="229" t="s">
        <v>1584</v>
      </c>
      <c r="AG243" s="248"/>
    </row>
    <row r="244" spans="1:38" s="182" customFormat="1" ht="15.75" hidden="1" customHeight="1" x14ac:dyDescent="0.25">
      <c r="B244" s="183"/>
      <c r="C244" s="289">
        <v>2010</v>
      </c>
      <c r="D244" s="290" t="s">
        <v>1548</v>
      </c>
      <c r="E244" s="291" t="s">
        <v>1554</v>
      </c>
      <c r="F244" s="292" t="s">
        <v>1549</v>
      </c>
      <c r="G244" s="180" t="s">
        <v>183</v>
      </c>
      <c r="H244" s="180" t="s">
        <v>1550</v>
      </c>
      <c r="I244" s="291" t="s">
        <v>81</v>
      </c>
      <c r="J244" s="293" t="s">
        <v>49</v>
      </c>
      <c r="K244" s="293">
        <v>28</v>
      </c>
      <c r="L244" s="294">
        <v>244</v>
      </c>
      <c r="M244" s="180">
        <v>40.9</v>
      </c>
      <c r="N244" s="181">
        <v>6.77</v>
      </c>
      <c r="O244" s="94">
        <v>1.5</v>
      </c>
      <c r="P244" s="239">
        <f t="shared" si="73"/>
        <v>5.4971682252932021</v>
      </c>
      <c r="Q244" s="262" t="str">
        <f t="shared" si="70"/>
        <v>Gadd Daph</v>
      </c>
      <c r="R244" s="263">
        <f t="shared" si="71"/>
        <v>-2.27880112415217</v>
      </c>
      <c r="S244" s="220">
        <f t="shared" si="74"/>
        <v>7.7759693494453721</v>
      </c>
      <c r="T244" s="236">
        <f t="shared" si="88"/>
        <v>28</v>
      </c>
      <c r="U244" s="221" t="str">
        <f t="shared" si="87"/>
        <v>28-GRO-EC10-21 days</v>
      </c>
      <c r="V244" s="222" cm="1">
        <f t="array" ref="V244">GEOMEAN(IF(U244=$U$4:$U$359,$S$4:$S$359))</f>
        <v>8.2648873022803198</v>
      </c>
      <c r="W244" s="264">
        <f t="shared" si="72"/>
        <v>5.1419996183716101</v>
      </c>
      <c r="X244" s="225">
        <f t="shared" si="75"/>
        <v>171.05747623683536</v>
      </c>
      <c r="Y244" s="225">
        <f t="shared" si="91"/>
        <v>171.05747623683536</v>
      </c>
      <c r="Z244" s="226"/>
      <c r="AA244" s="194" t="s">
        <v>1558</v>
      </c>
      <c r="AB244" s="227" t="s">
        <v>1846</v>
      </c>
      <c r="AC244" s="243" t="s">
        <v>1798</v>
      </c>
      <c r="AD244" s="228"/>
      <c r="AE244" s="229" t="s">
        <v>1584</v>
      </c>
      <c r="AG244" s="248"/>
    </row>
    <row r="245" spans="1:38" s="281" customFormat="1" ht="15.75" hidden="1" customHeight="1" x14ac:dyDescent="0.25">
      <c r="B245" s="183"/>
      <c r="C245" s="289">
        <v>2010</v>
      </c>
      <c r="D245" s="290" t="s">
        <v>1548</v>
      </c>
      <c r="E245" s="291" t="s">
        <v>1555</v>
      </c>
      <c r="F245" s="292" t="s">
        <v>1549</v>
      </c>
      <c r="G245" s="180" t="s">
        <v>183</v>
      </c>
      <c r="H245" s="180" t="s">
        <v>1550</v>
      </c>
      <c r="I245" s="291" t="s">
        <v>81</v>
      </c>
      <c r="J245" s="293" t="s">
        <v>49</v>
      </c>
      <c r="K245" s="293">
        <v>28</v>
      </c>
      <c r="L245" s="294">
        <v>330</v>
      </c>
      <c r="M245" s="180">
        <v>40.200000000000003</v>
      </c>
      <c r="N245" s="295">
        <v>8.2799999999999994</v>
      </c>
      <c r="O245" s="94">
        <v>1.71</v>
      </c>
      <c r="P245" s="239">
        <f t="shared" si="73"/>
        <v>5.7990926544605257</v>
      </c>
      <c r="Q245" s="262" t="str">
        <f t="shared" si="70"/>
        <v>Gadd Daph</v>
      </c>
      <c r="R245" s="263">
        <f t="shared" si="71"/>
        <v>-2.8454723241901032</v>
      </c>
      <c r="S245" s="220">
        <f t="shared" si="74"/>
        <v>8.644564978650628</v>
      </c>
      <c r="T245" s="236">
        <f t="shared" si="88"/>
        <v>28</v>
      </c>
      <c r="U245" s="221" t="str">
        <f t="shared" si="87"/>
        <v>28-GRO-EC10-21 days</v>
      </c>
      <c r="V245" s="222" cm="1">
        <f t="array" ref="V245">GEOMEAN(IF(U245=$U$4:$U$359,$S$4:$S$359))</f>
        <v>8.2648873022803198</v>
      </c>
      <c r="W245" s="264">
        <f t="shared" si="72"/>
        <v>5.1419996183716101</v>
      </c>
      <c r="X245" s="225">
        <f t="shared" si="75"/>
        <v>171.05747623683536</v>
      </c>
      <c r="Y245" s="225">
        <f t="shared" si="91"/>
        <v>171.05747623683536</v>
      </c>
      <c r="Z245" s="226"/>
      <c r="AA245" s="194" t="s">
        <v>1557</v>
      </c>
      <c r="AB245" s="281" t="s">
        <v>1916</v>
      </c>
      <c r="AC245" s="243" t="s">
        <v>1798</v>
      </c>
      <c r="AD245" s="228"/>
      <c r="AE245" s="229" t="s">
        <v>1584</v>
      </c>
      <c r="AG245" s="248"/>
      <c r="AH245" s="182"/>
      <c r="AI245" s="182"/>
      <c r="AJ245" s="182"/>
      <c r="AK245" s="182"/>
    </row>
    <row r="246" spans="1:38" s="182" customFormat="1" ht="15.75" hidden="1" customHeight="1" x14ac:dyDescent="0.25">
      <c r="B246" s="183"/>
      <c r="C246" s="289">
        <v>2010</v>
      </c>
      <c r="D246" s="290" t="s">
        <v>1548</v>
      </c>
      <c r="E246" s="291" t="s">
        <v>1556</v>
      </c>
      <c r="F246" s="292" t="s">
        <v>1549</v>
      </c>
      <c r="G246" s="180" t="s">
        <v>183</v>
      </c>
      <c r="H246" s="180" t="s">
        <v>1550</v>
      </c>
      <c r="I246" s="291" t="s">
        <v>81</v>
      </c>
      <c r="J246" s="293" t="s">
        <v>49</v>
      </c>
      <c r="K246" s="293">
        <v>28</v>
      </c>
      <c r="L246" s="294">
        <v>719</v>
      </c>
      <c r="M246" s="180">
        <v>296</v>
      </c>
      <c r="N246" s="295">
        <v>8.25</v>
      </c>
      <c r="O246" s="94">
        <v>1.53</v>
      </c>
      <c r="P246" s="239">
        <f t="shared" si="73"/>
        <v>6.577861357721047</v>
      </c>
      <c r="Q246" s="262" t="str">
        <f t="shared" si="70"/>
        <v>Gadd Daph</v>
      </c>
      <c r="R246" s="263">
        <f t="shared" si="71"/>
        <v>-2.2793332826250219</v>
      </c>
      <c r="S246" s="220">
        <f t="shared" si="74"/>
        <v>8.8571946403460693</v>
      </c>
      <c r="T246" s="236">
        <f t="shared" si="88"/>
        <v>28</v>
      </c>
      <c r="U246" s="221" t="str">
        <f t="shared" si="87"/>
        <v>28-GRO-EC10-21 days</v>
      </c>
      <c r="V246" s="222" cm="1">
        <f t="array" ref="V246">GEOMEAN(IF(U246=$U$4:$U$359,$S$4:$S$359))</f>
        <v>8.2648873022803198</v>
      </c>
      <c r="W246" s="264">
        <f t="shared" si="72"/>
        <v>5.1419996183716101</v>
      </c>
      <c r="X246" s="225">
        <f t="shared" si="75"/>
        <v>171.05747623683536</v>
      </c>
      <c r="Y246" s="225">
        <f t="shared" si="91"/>
        <v>171.05747623683536</v>
      </c>
      <c r="Z246" s="226"/>
      <c r="AA246" s="194" t="s">
        <v>1557</v>
      </c>
      <c r="AB246" s="281" t="s">
        <v>1916</v>
      </c>
      <c r="AC246" s="243" t="s">
        <v>1798</v>
      </c>
      <c r="AD246" s="228"/>
      <c r="AE246" s="229" t="s">
        <v>1584</v>
      </c>
      <c r="AG246" s="248"/>
    </row>
    <row r="247" spans="1:38" s="281" customFormat="1" ht="15.75" hidden="1" customHeight="1" x14ac:dyDescent="0.25">
      <c r="B247" s="241">
        <v>1982</v>
      </c>
      <c r="C247" s="217">
        <v>1986</v>
      </c>
      <c r="D247" s="180" t="s">
        <v>1377</v>
      </c>
      <c r="E247" s="180" t="s">
        <v>41</v>
      </c>
      <c r="F247" s="180" t="s">
        <v>147</v>
      </c>
      <c r="G247" s="180" t="s">
        <v>183</v>
      </c>
      <c r="H247" s="180" t="s">
        <v>185</v>
      </c>
      <c r="I247" s="180" t="s">
        <v>156</v>
      </c>
      <c r="J247" s="180" t="s">
        <v>54</v>
      </c>
      <c r="K247" s="217">
        <v>30</v>
      </c>
      <c r="L247" s="217">
        <v>570</v>
      </c>
      <c r="M247" s="180">
        <v>36</v>
      </c>
      <c r="N247" s="181">
        <v>6.9</v>
      </c>
      <c r="O247" s="94">
        <v>0.5</v>
      </c>
      <c r="P247" s="239">
        <f t="shared" si="73"/>
        <v>6.3456363608285962</v>
      </c>
      <c r="Q247" s="262" t="str">
        <f t="shared" si="70"/>
        <v>Gadd Daph</v>
      </c>
      <c r="R247" s="263">
        <f t="shared" si="71"/>
        <v>-2.6545548073019525</v>
      </c>
      <c r="S247" s="220">
        <f t="shared" si="74"/>
        <v>9.0001911681305486</v>
      </c>
      <c r="T247" s="236">
        <f t="shared" si="88"/>
        <v>29</v>
      </c>
      <c r="U247" s="221" t="str">
        <f t="shared" si="87"/>
        <v>29-Mortality-NOEC-Adult/juvenile</v>
      </c>
      <c r="V247" s="222" cm="1">
        <f t="array" ref="V247">GEOMEAN(IF(U247=$U$4:$U$359,$S$4:$S$359))</f>
        <v>9.0001911681305486</v>
      </c>
      <c r="W247" s="264">
        <f t="shared" si="72"/>
        <v>5.877303484221839</v>
      </c>
      <c r="X247" s="225">
        <f t="shared" si="75"/>
        <v>356.84570312534936</v>
      </c>
      <c r="Y247" s="225">
        <f t="shared" si="91"/>
        <v>356.84570312534936</v>
      </c>
      <c r="Z247" s="226" t="s">
        <v>1507</v>
      </c>
      <c r="AA247" s="226"/>
      <c r="AB247" s="254"/>
      <c r="AC247" s="243" t="s">
        <v>1858</v>
      </c>
      <c r="AD247" s="251">
        <v>0.77</v>
      </c>
      <c r="AE247" s="243" t="s">
        <v>1773</v>
      </c>
      <c r="AG247" s="248"/>
      <c r="AH247" s="182"/>
      <c r="AI247" s="182"/>
      <c r="AJ247" s="182"/>
      <c r="AK247" s="182"/>
      <c r="AL247" s="182"/>
    </row>
    <row r="248" spans="1:38" s="182" customFormat="1" ht="15.75" hidden="1" customHeight="1" x14ac:dyDescent="0.25">
      <c r="B248" s="180">
        <v>16506</v>
      </c>
      <c r="C248" s="217">
        <v>1995</v>
      </c>
      <c r="D248" s="180" t="s">
        <v>306</v>
      </c>
      <c r="E248" s="180" t="s">
        <v>41</v>
      </c>
      <c r="F248" s="180" t="s">
        <v>1316</v>
      </c>
      <c r="G248" s="180" t="s">
        <v>183</v>
      </c>
      <c r="H248" s="180" t="s">
        <v>235</v>
      </c>
      <c r="I248" s="180" t="s">
        <v>81</v>
      </c>
      <c r="J248" s="180" t="s">
        <v>54</v>
      </c>
      <c r="K248" s="180" t="s">
        <v>1205</v>
      </c>
      <c r="L248" s="180">
        <v>72</v>
      </c>
      <c r="M248" s="250">
        <v>238.21379999999999</v>
      </c>
      <c r="N248" s="180">
        <v>8</v>
      </c>
      <c r="O248" s="94">
        <v>4.3</v>
      </c>
      <c r="P248" s="239">
        <f t="shared" si="73"/>
        <v>4.2766661190160553</v>
      </c>
      <c r="Q248" s="262" t="str">
        <f t="shared" ref="Q248:Q254" si="92">$AG$5</f>
        <v>Gadd Daph</v>
      </c>
      <c r="R248" s="263">
        <f t="shared" si="71"/>
        <v>-1.7048379253731691</v>
      </c>
      <c r="S248" s="220">
        <f t="shared" si="74"/>
        <v>5.981504044389224</v>
      </c>
      <c r="T248" s="236">
        <f t="shared" si="88"/>
        <v>30</v>
      </c>
      <c r="U248" s="221" t="str">
        <f t="shared" si="87"/>
        <v>30-GRO-NOEC-NR</v>
      </c>
      <c r="V248" s="222" cm="1">
        <f t="array" ref="V248">GEOMEAN(IF(U248=$U$4:$U$359,$S$4:$S$359))</f>
        <v>5.981504044389224</v>
      </c>
      <c r="W248" s="264">
        <f t="shared" si="72"/>
        <v>2.8586163604805139</v>
      </c>
      <c r="X248" s="225">
        <f t="shared" si="75"/>
        <v>17.437383184816362</v>
      </c>
      <c r="Y248" s="225">
        <f t="shared" si="91"/>
        <v>17.437383184816362</v>
      </c>
      <c r="Z248" s="226" t="s">
        <v>1507</v>
      </c>
      <c r="AA248" s="226"/>
      <c r="AB248" s="227" t="s">
        <v>1846</v>
      </c>
      <c r="AC248" s="243" t="s">
        <v>1861</v>
      </c>
      <c r="AD248" s="251"/>
      <c r="AE248" s="229" t="s">
        <v>1584</v>
      </c>
      <c r="AG248" s="248"/>
    </row>
    <row r="249" spans="1:38" s="182" customFormat="1" ht="15.75" hidden="1" customHeight="1" x14ac:dyDescent="0.25">
      <c r="A249" s="182" t="s">
        <v>1917</v>
      </c>
      <c r="B249" s="180"/>
      <c r="C249" s="227">
        <v>2017</v>
      </c>
      <c r="D249" s="227" t="s">
        <v>1785</v>
      </c>
      <c r="E249" s="227" t="s">
        <v>1795</v>
      </c>
      <c r="F249" s="227" t="s">
        <v>140</v>
      </c>
      <c r="G249" s="180" t="s">
        <v>183</v>
      </c>
      <c r="H249" s="227" t="s">
        <v>1251</v>
      </c>
      <c r="I249" s="245" t="s">
        <v>1309</v>
      </c>
      <c r="J249" s="245" t="s">
        <v>52</v>
      </c>
      <c r="K249" s="245">
        <v>3</v>
      </c>
      <c r="L249" s="282">
        <v>15</v>
      </c>
      <c r="M249" s="277">
        <v>42</v>
      </c>
      <c r="N249" s="278">
        <v>7</v>
      </c>
      <c r="O249" s="277">
        <v>0.1</v>
      </c>
      <c r="P249" s="239">
        <f t="shared" si="73"/>
        <v>2.7080502011022101</v>
      </c>
      <c r="Q249" s="262" t="str">
        <f t="shared" si="92"/>
        <v>Gadd Daph</v>
      </c>
      <c r="R249" s="263">
        <f t="shared" ref="R249:R254" si="93">$AI$5*N249+$AH$5*LN(M249)+$AJ$5*LN(O249)+$AK$5*LN(O249)*N249</f>
        <v>-3.1260462443704888</v>
      </c>
      <c r="S249" s="220">
        <f t="shared" si="74"/>
        <v>5.8340964454726993</v>
      </c>
      <c r="T249" s="236">
        <f t="shared" si="88"/>
        <v>31</v>
      </c>
      <c r="U249" s="221" t="str">
        <f t="shared" si="87"/>
        <v>31-DEV-NEC-Larvae</v>
      </c>
      <c r="V249" s="222" cm="1">
        <f t="array" ref="V249">GEOMEAN(IF(U249=$U$4:$U$359,$S$4:$S$359))</f>
        <v>5.8340964454726993</v>
      </c>
      <c r="W249" s="264">
        <f t="shared" ref="W249:W254" si="94">V249+$AI$5*$AI$2+$AH$5*LN($AH$2)+$AJ$5*LN($AJ$2)+$AK$5*LN($AJ$2)*$AI$2</f>
        <v>2.7112087615639893</v>
      </c>
      <c r="X249" s="225">
        <f t="shared" si="75"/>
        <v>15.047453309548844</v>
      </c>
      <c r="Y249" s="225">
        <f t="shared" si="91"/>
        <v>15.047453309548844</v>
      </c>
      <c r="Z249" s="226"/>
      <c r="AA249" s="226"/>
      <c r="AB249" s="254"/>
      <c r="AC249" s="228" t="s">
        <v>1772</v>
      </c>
      <c r="AD249" s="276">
        <v>0.83</v>
      </c>
      <c r="AE249" s="228" t="s">
        <v>1773</v>
      </c>
      <c r="AG249" s="248"/>
    </row>
    <row r="250" spans="1:38" s="281" customFormat="1" ht="15.75" hidden="1" customHeight="1" x14ac:dyDescent="0.25">
      <c r="B250" s="290"/>
      <c r="C250" s="289">
        <v>2010</v>
      </c>
      <c r="D250" s="290" t="s">
        <v>1566</v>
      </c>
      <c r="E250" s="290"/>
      <c r="F250" s="290" t="s">
        <v>1567</v>
      </c>
      <c r="G250" s="290" t="s">
        <v>1403</v>
      </c>
      <c r="H250" s="290" t="s">
        <v>1568</v>
      </c>
      <c r="I250" s="290" t="s">
        <v>256</v>
      </c>
      <c r="J250" s="290" t="s">
        <v>49</v>
      </c>
      <c r="K250" s="290">
        <v>2</v>
      </c>
      <c r="L250" s="290">
        <v>550</v>
      </c>
      <c r="M250" s="290">
        <v>255</v>
      </c>
      <c r="N250" s="290">
        <v>7.77</v>
      </c>
      <c r="O250" s="153">
        <v>8.94</v>
      </c>
      <c r="P250" s="239">
        <f t="shared" ref="P250:P256" si="95">LN(L250)</f>
        <v>6.3099182782265162</v>
      </c>
      <c r="Q250" s="262" t="str">
        <f t="shared" si="92"/>
        <v>Gadd Daph</v>
      </c>
      <c r="R250" s="263">
        <f t="shared" si="93"/>
        <v>-1.3044473591475043</v>
      </c>
      <c r="S250" s="220">
        <f t="shared" ref="S250:S259" si="96">P250-R250</f>
        <v>7.6143656373740205</v>
      </c>
      <c r="T250" s="236">
        <f t="shared" si="88"/>
        <v>32</v>
      </c>
      <c r="U250" s="221" t="str">
        <f t="shared" si="87"/>
        <v>32-POP-EC10-&lt;2 hour old</v>
      </c>
      <c r="V250" s="222" cm="1">
        <f t="array" ref="V250">GEOMEAN(IF(U250=$U$4:$U$359,$S$4:$S$359))</f>
        <v>7.5409511042092277</v>
      </c>
      <c r="W250" s="264">
        <f t="shared" si="94"/>
        <v>4.418063420300518</v>
      </c>
      <c r="X250" s="225">
        <f t="shared" ref="X250:X271" si="97">EXP(W250)</f>
        <v>82.935518498179519</v>
      </c>
      <c r="Y250" s="225">
        <f t="shared" si="91"/>
        <v>82.935518498179519</v>
      </c>
      <c r="Z250" s="226"/>
      <c r="AA250" s="226"/>
      <c r="AB250" s="227" t="s">
        <v>1846</v>
      </c>
      <c r="AC250" s="243" t="s">
        <v>1798</v>
      </c>
      <c r="AD250" s="228"/>
      <c r="AE250" s="229" t="s">
        <v>1584</v>
      </c>
      <c r="AG250" s="248"/>
      <c r="AH250" s="182"/>
      <c r="AI250" s="182"/>
      <c r="AJ250" s="182"/>
      <c r="AK250" s="182"/>
      <c r="AL250" s="182"/>
    </row>
    <row r="251" spans="1:38" s="182" customFormat="1" ht="15.75" hidden="1" customHeight="1" x14ac:dyDescent="0.25">
      <c r="B251" s="290"/>
      <c r="C251" s="289">
        <v>2010</v>
      </c>
      <c r="D251" s="290" t="s">
        <v>1566</v>
      </c>
      <c r="E251" s="290"/>
      <c r="F251" s="290" t="s">
        <v>1567</v>
      </c>
      <c r="G251" s="290" t="s">
        <v>1403</v>
      </c>
      <c r="H251" s="290" t="s">
        <v>1568</v>
      </c>
      <c r="I251" s="290" t="s">
        <v>256</v>
      </c>
      <c r="J251" s="290" t="s">
        <v>49</v>
      </c>
      <c r="K251" s="290">
        <v>2</v>
      </c>
      <c r="L251" s="290">
        <v>197</v>
      </c>
      <c r="M251" s="290">
        <v>45.7</v>
      </c>
      <c r="N251" s="290">
        <v>7.4</v>
      </c>
      <c r="O251" s="153">
        <v>2.83</v>
      </c>
      <c r="P251" s="239">
        <f t="shared" si="95"/>
        <v>5.2832037287379885</v>
      </c>
      <c r="Q251" s="262" t="str">
        <f t="shared" si="92"/>
        <v>Gadd Daph</v>
      </c>
      <c r="R251" s="263">
        <f t="shared" si="93"/>
        <v>-2.2720054840686155</v>
      </c>
      <c r="S251" s="220">
        <f t="shared" si="96"/>
        <v>7.555209212806604</v>
      </c>
      <c r="T251" s="236">
        <f t="shared" si="88"/>
        <v>32</v>
      </c>
      <c r="U251" s="221" t="str">
        <f t="shared" si="87"/>
        <v>32-POP-EC10-&lt;2 hour old</v>
      </c>
      <c r="V251" s="222" cm="1">
        <f t="array" ref="V251">GEOMEAN(IF(U251=$U$4:$U$359,$S$4:$S$359))</f>
        <v>7.5409511042092277</v>
      </c>
      <c r="W251" s="264">
        <f t="shared" si="94"/>
        <v>4.418063420300518</v>
      </c>
      <c r="X251" s="225">
        <f t="shared" si="97"/>
        <v>82.935518498179519</v>
      </c>
      <c r="Y251" s="225">
        <f t="shared" si="91"/>
        <v>82.935518498179519</v>
      </c>
      <c r="Z251" s="226"/>
      <c r="AA251" s="226"/>
      <c r="AB251" s="227" t="s">
        <v>1846</v>
      </c>
      <c r="AC251" s="243" t="s">
        <v>1798</v>
      </c>
      <c r="AD251" s="228"/>
      <c r="AE251" s="229" t="s">
        <v>1584</v>
      </c>
      <c r="AG251" s="248"/>
    </row>
    <row r="252" spans="1:38" s="182" customFormat="1" ht="15.75" hidden="1" customHeight="1" x14ac:dyDescent="0.25">
      <c r="B252" s="290"/>
      <c r="C252" s="289">
        <v>2010</v>
      </c>
      <c r="D252" s="290" t="s">
        <v>1566</v>
      </c>
      <c r="E252" s="290"/>
      <c r="F252" s="290" t="s">
        <v>1567</v>
      </c>
      <c r="G252" s="290" t="s">
        <v>1403</v>
      </c>
      <c r="H252" s="290" t="s">
        <v>1568</v>
      </c>
      <c r="I252" s="290" t="s">
        <v>256</v>
      </c>
      <c r="J252" s="290" t="s">
        <v>49</v>
      </c>
      <c r="K252" s="290">
        <v>2</v>
      </c>
      <c r="L252" s="290">
        <v>142</v>
      </c>
      <c r="M252" s="290">
        <v>46.9</v>
      </c>
      <c r="N252" s="290">
        <v>6.89</v>
      </c>
      <c r="O252" s="153">
        <v>1.18</v>
      </c>
      <c r="P252" s="239">
        <f t="shared" si="95"/>
        <v>4.9558270576012609</v>
      </c>
      <c r="Q252" s="262" t="str">
        <f t="shared" si="92"/>
        <v>Gadd Daph</v>
      </c>
      <c r="R252" s="263">
        <f t="shared" si="93"/>
        <v>-2.3479400590118948</v>
      </c>
      <c r="S252" s="220">
        <f t="shared" si="96"/>
        <v>7.3037671166131553</v>
      </c>
      <c r="T252" s="236">
        <f t="shared" si="88"/>
        <v>32</v>
      </c>
      <c r="U252" s="221" t="str">
        <f t="shared" si="87"/>
        <v>32-POP-EC10-&lt;2 hour old</v>
      </c>
      <c r="V252" s="222" cm="1">
        <f t="array" ref="V252">GEOMEAN(IF(U252=$U$4:$U$359,$S$4:$S$359))</f>
        <v>7.5409511042092277</v>
      </c>
      <c r="W252" s="264">
        <f t="shared" si="94"/>
        <v>4.418063420300518</v>
      </c>
      <c r="X252" s="225">
        <f t="shared" si="97"/>
        <v>82.935518498179519</v>
      </c>
      <c r="Y252" s="225">
        <f t="shared" si="91"/>
        <v>82.935518498179519</v>
      </c>
      <c r="Z252" s="226"/>
      <c r="AA252" s="226"/>
      <c r="AB252" s="227" t="s">
        <v>1846</v>
      </c>
      <c r="AC252" s="243" t="s">
        <v>1798</v>
      </c>
      <c r="AD252" s="228"/>
      <c r="AE252" s="229" t="s">
        <v>1584</v>
      </c>
      <c r="AG252" s="248"/>
    </row>
    <row r="253" spans="1:38" s="182" customFormat="1" ht="15.75" hidden="1" customHeight="1" x14ac:dyDescent="0.25">
      <c r="B253" s="290"/>
      <c r="C253" s="289">
        <v>2010</v>
      </c>
      <c r="D253" s="290" t="s">
        <v>1566</v>
      </c>
      <c r="E253" s="290"/>
      <c r="F253" s="290" t="s">
        <v>1567</v>
      </c>
      <c r="G253" s="290" t="s">
        <v>1403</v>
      </c>
      <c r="H253" s="290" t="s">
        <v>1568</v>
      </c>
      <c r="I253" s="290" t="s">
        <v>256</v>
      </c>
      <c r="J253" s="290" t="s">
        <v>49</v>
      </c>
      <c r="K253" s="290">
        <v>2</v>
      </c>
      <c r="L253" s="290">
        <v>66</v>
      </c>
      <c r="M253" s="290">
        <v>41.5</v>
      </c>
      <c r="N253" s="290">
        <v>8.09</v>
      </c>
      <c r="O253" s="153">
        <v>1.73</v>
      </c>
      <c r="P253" s="239">
        <f t="shared" si="95"/>
        <v>4.1896547420264252</v>
      </c>
      <c r="Q253" s="262" t="str">
        <f t="shared" si="92"/>
        <v>Gadd Daph</v>
      </c>
      <c r="R253" s="263">
        <f t="shared" si="93"/>
        <v>-2.7549724827077915</v>
      </c>
      <c r="S253" s="220">
        <f t="shared" si="96"/>
        <v>6.9446272247342167</v>
      </c>
      <c r="T253" s="236">
        <f t="shared" si="88"/>
        <v>32</v>
      </c>
      <c r="U253" s="221" t="str">
        <f t="shared" si="87"/>
        <v>32-POP-EC10-&lt;2 hour old</v>
      </c>
      <c r="V253" s="222" cm="1">
        <f t="array" ref="V253">GEOMEAN(IF(U253=$U$4:$U$359,$S$4:$S$359))</f>
        <v>7.5409511042092277</v>
      </c>
      <c r="W253" s="264">
        <f t="shared" si="94"/>
        <v>4.418063420300518</v>
      </c>
      <c r="X253" s="225">
        <f t="shared" si="97"/>
        <v>82.935518498179519</v>
      </c>
      <c r="Y253" s="225">
        <f t="shared" si="91"/>
        <v>82.935518498179519</v>
      </c>
      <c r="Z253" s="226"/>
      <c r="AA253" s="226"/>
      <c r="AB253" s="227" t="s">
        <v>1846</v>
      </c>
      <c r="AC253" s="243" t="s">
        <v>1798</v>
      </c>
      <c r="AD253" s="228"/>
      <c r="AE253" s="229" t="s">
        <v>1584</v>
      </c>
      <c r="AG253" s="248"/>
    </row>
    <row r="254" spans="1:38" s="182" customFormat="1" ht="15.75" hidden="1" customHeight="1" x14ac:dyDescent="0.25">
      <c r="B254" s="290"/>
      <c r="C254" s="289">
        <v>2010</v>
      </c>
      <c r="D254" s="290" t="s">
        <v>1566</v>
      </c>
      <c r="E254" s="290"/>
      <c r="F254" s="290" t="s">
        <v>1567</v>
      </c>
      <c r="G254" s="290" t="s">
        <v>1403</v>
      </c>
      <c r="H254" s="290" t="s">
        <v>1568</v>
      </c>
      <c r="I254" s="290" t="s">
        <v>256</v>
      </c>
      <c r="J254" s="290" t="s">
        <v>49</v>
      </c>
      <c r="K254" s="290">
        <v>2</v>
      </c>
      <c r="L254" s="290">
        <v>453</v>
      </c>
      <c r="M254" s="290">
        <v>311</v>
      </c>
      <c r="N254" s="290">
        <v>8.16</v>
      </c>
      <c r="O254" s="153">
        <v>1.49</v>
      </c>
      <c r="P254" s="239">
        <f t="shared" si="95"/>
        <v>6.1158921254830343</v>
      </c>
      <c r="Q254" s="262" t="str">
        <f t="shared" si="92"/>
        <v>Gadd Daph</v>
      </c>
      <c r="R254" s="263">
        <f t="shared" si="93"/>
        <v>-2.241187611840243</v>
      </c>
      <c r="S254" s="220">
        <f t="shared" si="96"/>
        <v>8.3570797373232768</v>
      </c>
      <c r="T254" s="236">
        <f t="shared" si="88"/>
        <v>32</v>
      </c>
      <c r="U254" s="221" t="str">
        <f t="shared" si="87"/>
        <v>32-POP-EC10-&lt;2 hour old</v>
      </c>
      <c r="V254" s="222" cm="1">
        <f t="array" ref="V254">GEOMEAN(IF(U254=$U$4:$U$359,$S$4:$S$359))</f>
        <v>7.5409511042092277</v>
      </c>
      <c r="W254" s="264">
        <f t="shared" si="94"/>
        <v>4.418063420300518</v>
      </c>
      <c r="X254" s="225">
        <f t="shared" si="97"/>
        <v>82.935518498179519</v>
      </c>
      <c r="Y254" s="225">
        <f t="shared" si="91"/>
        <v>82.935518498179519</v>
      </c>
      <c r="Z254" s="226"/>
      <c r="AA254" s="226"/>
      <c r="AB254" s="227" t="s">
        <v>1846</v>
      </c>
      <c r="AC254" s="243" t="s">
        <v>1798</v>
      </c>
      <c r="AD254" s="228"/>
      <c r="AE254" s="229" t="s">
        <v>1584</v>
      </c>
      <c r="AG254" s="248"/>
    </row>
    <row r="255" spans="1:38" s="182" customFormat="1" ht="15.75" hidden="1" customHeight="1" x14ac:dyDescent="0.25">
      <c r="B255" s="180">
        <v>68220</v>
      </c>
      <c r="C255" s="217">
        <v>2002</v>
      </c>
      <c r="D255" s="180" t="s">
        <v>566</v>
      </c>
      <c r="E255" s="180" t="s">
        <v>41</v>
      </c>
      <c r="F255" s="180" t="s">
        <v>567</v>
      </c>
      <c r="G255" s="180" t="s">
        <v>1303</v>
      </c>
      <c r="H255" s="180" t="s">
        <v>264</v>
      </c>
      <c r="I255" s="180" t="s">
        <v>256</v>
      </c>
      <c r="J255" s="180" t="s">
        <v>54</v>
      </c>
      <c r="K255" s="180" t="s">
        <v>619</v>
      </c>
      <c r="L255" s="180">
        <v>20.270900000000001</v>
      </c>
      <c r="M255" s="180">
        <v>85</v>
      </c>
      <c r="N255" s="180">
        <v>7.5</v>
      </c>
      <c r="O255" s="94">
        <v>0.5</v>
      </c>
      <c r="P255" s="239">
        <f t="shared" si="95"/>
        <v>3.0091863600702395</v>
      </c>
      <c r="Q255" s="296" t="str">
        <f t="shared" ref="Q255:Q309" si="98">$AG$6</f>
        <v>Chlorella</v>
      </c>
      <c r="R255" s="297">
        <f>$AI$6*N255+$AH$6*LN(M255)+$AJ$6*LN(O255)</f>
        <v>5.4109635241442411E-2</v>
      </c>
      <c r="S255" s="220">
        <f t="shared" si="96"/>
        <v>2.955076724828797</v>
      </c>
      <c r="T255" s="236">
        <f t="shared" si="88"/>
        <v>33</v>
      </c>
      <c r="U255" s="221" t="str">
        <f t="shared" si="87"/>
        <v>33-POP-NOEC-EX</v>
      </c>
      <c r="V255" s="222" cm="1">
        <f t="array" ref="V255">MEDIAN(IF(U255=$U$4:$U$359,$S$4:$S$359))</f>
        <v>2.955076724828797</v>
      </c>
      <c r="W255" s="298">
        <f t="shared" ref="W255:W309" si="99">V255+$AI$6*$AI$2+$AH$6*LN($AH$2)+$AJ$6*LN($AJ$2)</f>
        <v>2.3082879023108873</v>
      </c>
      <c r="X255" s="225">
        <f t="shared" si="97"/>
        <v>10.057191012891741</v>
      </c>
      <c r="Y255" s="225"/>
      <c r="Z255" s="226" t="s">
        <v>1511</v>
      </c>
      <c r="AA255" s="226"/>
      <c r="AB255" s="246"/>
      <c r="AC255" s="265" t="s">
        <v>1858</v>
      </c>
      <c r="AD255" s="275">
        <v>0.7</v>
      </c>
      <c r="AE255" s="265" t="s">
        <v>1873</v>
      </c>
      <c r="AG255" s="248"/>
    </row>
    <row r="256" spans="1:38" s="182" customFormat="1" ht="15.75" hidden="1" customHeight="1" x14ac:dyDescent="0.25">
      <c r="B256" s="180">
        <v>68220</v>
      </c>
      <c r="C256" s="217">
        <v>2002</v>
      </c>
      <c r="D256" s="180" t="s">
        <v>566</v>
      </c>
      <c r="E256" s="180" t="s">
        <v>41</v>
      </c>
      <c r="F256" s="180" t="s">
        <v>567</v>
      </c>
      <c r="G256" s="180" t="s">
        <v>1303</v>
      </c>
      <c r="H256" s="180" t="s">
        <v>264</v>
      </c>
      <c r="I256" s="180" t="s">
        <v>256</v>
      </c>
      <c r="J256" s="180" t="s">
        <v>54</v>
      </c>
      <c r="K256" s="180" t="s">
        <v>103</v>
      </c>
      <c r="L256" s="180">
        <v>20.270900000000001</v>
      </c>
      <c r="M256" s="180">
        <v>85</v>
      </c>
      <c r="N256" s="180">
        <v>7.5</v>
      </c>
      <c r="O256" s="94">
        <v>0.5</v>
      </c>
      <c r="P256" s="239">
        <f t="shared" si="95"/>
        <v>3.0091863600702395</v>
      </c>
      <c r="Q256" s="296" t="str">
        <f t="shared" si="98"/>
        <v>Chlorella</v>
      </c>
      <c r="R256" s="297">
        <f t="shared" ref="R256:R309" si="100">$AI$6*N256+$AH$6*LN(M256)+$AJ$6*LN(O256)</f>
        <v>5.4109635241442411E-2</v>
      </c>
      <c r="S256" s="220">
        <f t="shared" si="96"/>
        <v>2.955076724828797</v>
      </c>
      <c r="T256" s="236">
        <f t="shared" si="88"/>
        <v>33</v>
      </c>
      <c r="U256" s="221" t="str">
        <f t="shared" si="87"/>
        <v>33-POP-NOEC-EX</v>
      </c>
      <c r="V256" s="222" cm="1">
        <f t="array" ref="V256">MEDIAN(IF(U256=$U$4:$U$359,$S$4:$S$359))</f>
        <v>2.955076724828797</v>
      </c>
      <c r="W256" s="298">
        <f t="shared" si="99"/>
        <v>2.3082879023108873</v>
      </c>
      <c r="X256" s="225">
        <f t="shared" si="97"/>
        <v>10.057191012891741</v>
      </c>
      <c r="Y256" s="225"/>
      <c r="Z256" s="226" t="s">
        <v>1511</v>
      </c>
      <c r="AA256" s="226"/>
      <c r="AB256" s="246"/>
      <c r="AC256" s="265" t="s">
        <v>1858</v>
      </c>
      <c r="AD256" s="275">
        <v>0.7</v>
      </c>
      <c r="AE256" s="265" t="s">
        <v>1873</v>
      </c>
      <c r="AG256" s="248"/>
    </row>
    <row r="257" spans="1:38" s="182" customFormat="1" ht="15.75" hidden="1" customHeight="1" x14ac:dyDescent="0.25">
      <c r="B257" s="180">
        <v>115303</v>
      </c>
      <c r="C257" s="217">
        <v>2007</v>
      </c>
      <c r="D257" s="180" t="s">
        <v>1061</v>
      </c>
      <c r="E257" s="180" t="s">
        <v>41</v>
      </c>
      <c r="F257" s="180" t="s">
        <v>567</v>
      </c>
      <c r="G257" s="180" t="s">
        <v>1303</v>
      </c>
      <c r="H257" s="180" t="s">
        <v>264</v>
      </c>
      <c r="I257" s="180" t="s">
        <v>256</v>
      </c>
      <c r="J257" s="180" t="s">
        <v>49</v>
      </c>
      <c r="K257" s="180" t="s">
        <v>103</v>
      </c>
      <c r="L257" s="180">
        <v>28</v>
      </c>
      <c r="M257" s="180">
        <v>85</v>
      </c>
      <c r="N257" s="181">
        <v>7.5</v>
      </c>
      <c r="O257" s="94">
        <v>0.5</v>
      </c>
      <c r="P257" s="239">
        <f>LN(L257)</f>
        <v>3.3322045101752038</v>
      </c>
      <c r="Q257" s="296" t="str">
        <f t="shared" si="98"/>
        <v>Chlorella</v>
      </c>
      <c r="R257" s="297">
        <f t="shared" si="100"/>
        <v>5.4109635241442411E-2</v>
      </c>
      <c r="S257" s="220">
        <f t="shared" si="96"/>
        <v>3.2780948749337613</v>
      </c>
      <c r="T257" s="236">
        <f t="shared" si="88"/>
        <v>33</v>
      </c>
      <c r="U257" s="221" t="str">
        <f t="shared" si="87"/>
        <v>33-POP-EC10-EX</v>
      </c>
      <c r="V257" s="222" cm="1">
        <f t="array" ref="V257">MEDIAN(IF(U257=$U$4:$U$359,$S$4:$S$359))</f>
        <v>0.5483589578715401</v>
      </c>
      <c r="W257" s="298">
        <f t="shared" si="99"/>
        <v>-9.8429864646369603E-2</v>
      </c>
      <c r="X257" s="225">
        <f t="shared" si="97"/>
        <v>0.90625925119845641</v>
      </c>
      <c r="Y257" s="299">
        <f t="shared" ref="Y257:Y271" si="101">X257</f>
        <v>0.90625925119845641</v>
      </c>
      <c r="Z257" s="226"/>
      <c r="AA257" s="226"/>
      <c r="AB257" s="246"/>
      <c r="AC257" s="243" t="s">
        <v>1858</v>
      </c>
      <c r="AD257" s="251">
        <v>0.72</v>
      </c>
      <c r="AE257" s="243" t="s">
        <v>1873</v>
      </c>
      <c r="AG257" s="248"/>
    </row>
    <row r="258" spans="1:38" s="182" customFormat="1" ht="15.75" hidden="1" customHeight="1" x14ac:dyDescent="0.25">
      <c r="A258" s="182" t="s">
        <v>1918</v>
      </c>
      <c r="B258" s="180"/>
      <c r="C258" s="217">
        <v>2021</v>
      </c>
      <c r="D258" s="180" t="s">
        <v>1652</v>
      </c>
      <c r="E258" s="180" t="s">
        <v>1311</v>
      </c>
      <c r="F258" s="180" t="s">
        <v>567</v>
      </c>
      <c r="G258" s="180" t="s">
        <v>1303</v>
      </c>
      <c r="H258" s="180" t="s">
        <v>264</v>
      </c>
      <c r="I258" s="180" t="s">
        <v>256</v>
      </c>
      <c r="J258" s="180" t="s">
        <v>49</v>
      </c>
      <c r="K258" s="180">
        <v>3</v>
      </c>
      <c r="L258" s="180">
        <v>4.5</v>
      </c>
      <c r="M258" s="180">
        <v>93</v>
      </c>
      <c r="N258" s="180">
        <v>6.7</v>
      </c>
      <c r="O258" s="94">
        <v>0.66</v>
      </c>
      <c r="P258" s="239">
        <f t="shared" ref="P258:P271" si="102">LN(L258)</f>
        <v>1.5040773967762742</v>
      </c>
      <c r="Q258" s="296" t="str">
        <f t="shared" si="98"/>
        <v>Chlorella</v>
      </c>
      <c r="R258" s="297">
        <f t="shared" si="100"/>
        <v>0.49929353806159682</v>
      </c>
      <c r="S258" s="220">
        <f t="shared" si="96"/>
        <v>1.0047838587146773</v>
      </c>
      <c r="T258" s="236">
        <f t="shared" si="88"/>
        <v>33</v>
      </c>
      <c r="U258" s="221" t="str">
        <f t="shared" si="87"/>
        <v>33-POP-EC10-EX</v>
      </c>
      <c r="V258" s="222" cm="1">
        <f t="array" ref="V258">MEDIAN(IF(U258=$U$4:$U$359,$S$4:$S$359))</f>
        <v>0.5483589578715401</v>
      </c>
      <c r="W258" s="298">
        <f t="shared" si="99"/>
        <v>-9.8429864646369603E-2</v>
      </c>
      <c r="X258" s="225">
        <f t="shared" si="97"/>
        <v>0.90625925119845641</v>
      </c>
      <c r="Y258" s="225">
        <f t="shared" si="101"/>
        <v>0.90625925119845641</v>
      </c>
      <c r="Z258" s="226"/>
      <c r="AA258" s="226"/>
      <c r="AB258" s="246"/>
      <c r="AC258" s="228" t="s">
        <v>1772</v>
      </c>
      <c r="AD258" s="276">
        <v>0.91</v>
      </c>
      <c r="AE258" s="228" t="s">
        <v>1859</v>
      </c>
      <c r="AG258" s="248"/>
    </row>
    <row r="259" spans="1:38" s="182" customFormat="1" ht="15.75" hidden="1" customHeight="1" x14ac:dyDescent="0.25">
      <c r="A259" s="182" t="s">
        <v>1919</v>
      </c>
      <c r="B259" s="180"/>
      <c r="C259" s="217">
        <v>2021</v>
      </c>
      <c r="D259" s="180" t="s">
        <v>1652</v>
      </c>
      <c r="E259" s="180" t="s">
        <v>1311</v>
      </c>
      <c r="F259" s="180" t="s">
        <v>567</v>
      </c>
      <c r="G259" s="180" t="s">
        <v>1303</v>
      </c>
      <c r="H259" s="180" t="s">
        <v>264</v>
      </c>
      <c r="I259" s="180" t="s">
        <v>256</v>
      </c>
      <c r="J259" s="180" t="s">
        <v>49</v>
      </c>
      <c r="K259" s="180">
        <v>3</v>
      </c>
      <c r="L259" s="180">
        <v>1.8</v>
      </c>
      <c r="M259" s="180">
        <v>93</v>
      </c>
      <c r="N259" s="180">
        <v>7.1</v>
      </c>
      <c r="O259" s="94">
        <v>0.44</v>
      </c>
      <c r="P259" s="239">
        <f t="shared" si="102"/>
        <v>0.58778666490211906</v>
      </c>
      <c r="Q259" s="296" t="str">
        <f t="shared" si="98"/>
        <v>Chlorella</v>
      </c>
      <c r="R259" s="297">
        <f t="shared" si="100"/>
        <v>0.21337528511563142</v>
      </c>
      <c r="S259" s="220">
        <f t="shared" si="96"/>
        <v>0.37441137978648764</v>
      </c>
      <c r="T259" s="236">
        <f t="shared" si="88"/>
        <v>33</v>
      </c>
      <c r="U259" s="221" t="str">
        <f t="shared" si="87"/>
        <v>33-POP-EC10-EX</v>
      </c>
      <c r="V259" s="222" cm="1">
        <f t="array" ref="V259">MEDIAN(IF(U259=$U$4:$U$359,$S$4:$S$359))</f>
        <v>0.5483589578715401</v>
      </c>
      <c r="W259" s="298">
        <f t="shared" si="99"/>
        <v>-9.8429864646369603E-2</v>
      </c>
      <c r="X259" s="225">
        <f t="shared" si="97"/>
        <v>0.90625925119845641</v>
      </c>
      <c r="Y259" s="225">
        <f t="shared" si="101"/>
        <v>0.90625925119845641</v>
      </c>
      <c r="Z259" s="226"/>
      <c r="AA259" s="226"/>
      <c r="AB259" s="246"/>
      <c r="AC259" s="228" t="s">
        <v>1772</v>
      </c>
      <c r="AD259" s="276">
        <v>0.91</v>
      </c>
      <c r="AE259" s="228" t="s">
        <v>1859</v>
      </c>
      <c r="AG259" s="248"/>
    </row>
    <row r="260" spans="1:38" s="182" customFormat="1" ht="15.75" hidden="1" customHeight="1" x14ac:dyDescent="0.25">
      <c r="A260" s="182" t="s">
        <v>1920</v>
      </c>
      <c r="B260" s="180"/>
      <c r="C260" s="217">
        <v>2021</v>
      </c>
      <c r="D260" s="180" t="s">
        <v>1652</v>
      </c>
      <c r="E260" s="180" t="s">
        <v>1311</v>
      </c>
      <c r="F260" s="180" t="s">
        <v>567</v>
      </c>
      <c r="G260" s="180" t="s">
        <v>1303</v>
      </c>
      <c r="H260" s="180" t="s">
        <v>264</v>
      </c>
      <c r="I260" s="180" t="s">
        <v>256</v>
      </c>
      <c r="J260" s="180" t="s">
        <v>49</v>
      </c>
      <c r="K260" s="180">
        <v>3</v>
      </c>
      <c r="L260" s="180">
        <v>0.79</v>
      </c>
      <c r="M260" s="180">
        <v>94</v>
      </c>
      <c r="N260" s="180">
        <v>7.7</v>
      </c>
      <c r="O260" s="94">
        <v>0.6</v>
      </c>
      <c r="P260" s="239">
        <f t="shared" si="102"/>
        <v>-0.23572233352106983</v>
      </c>
      <c r="Q260" s="296" t="str">
        <f t="shared" si="98"/>
        <v>Chlorella</v>
      </c>
      <c r="R260" s="297">
        <f t="shared" si="100"/>
        <v>0.11403759452585011</v>
      </c>
      <c r="S260" s="220">
        <v>0.1</v>
      </c>
      <c r="T260" s="236">
        <f t="shared" si="88"/>
        <v>33</v>
      </c>
      <c r="U260" s="221" t="str">
        <f t="shared" si="87"/>
        <v>33-POP-EC10-EX</v>
      </c>
      <c r="V260" s="222" cm="1">
        <f t="array" ref="V260">MEDIAN(IF(U260=$U$4:$U$359,$S$4:$S$359))</f>
        <v>0.5483589578715401</v>
      </c>
      <c r="W260" s="298">
        <f t="shared" si="99"/>
        <v>-9.8429864646369603E-2</v>
      </c>
      <c r="X260" s="225">
        <f t="shared" si="97"/>
        <v>0.90625925119845641</v>
      </c>
      <c r="Y260" s="225">
        <f t="shared" si="101"/>
        <v>0.90625925119845641</v>
      </c>
      <c r="Z260" s="226"/>
      <c r="AA260" s="226"/>
      <c r="AB260" s="254"/>
      <c r="AC260" s="228" t="s">
        <v>1772</v>
      </c>
      <c r="AD260" s="276">
        <v>0.91</v>
      </c>
      <c r="AE260" s="228" t="s">
        <v>1859</v>
      </c>
      <c r="AG260" s="248"/>
    </row>
    <row r="261" spans="1:38" s="182" customFormat="1" ht="15.75" hidden="1" customHeight="1" x14ac:dyDescent="0.25">
      <c r="A261" s="182" t="s">
        <v>1921</v>
      </c>
      <c r="B261" s="241"/>
      <c r="C261" s="217">
        <v>2021</v>
      </c>
      <c r="D261" s="180" t="s">
        <v>1652</v>
      </c>
      <c r="E261" s="180" t="s">
        <v>1311</v>
      </c>
      <c r="F261" s="180" t="s">
        <v>567</v>
      </c>
      <c r="G261" s="180" t="s">
        <v>1303</v>
      </c>
      <c r="H261" s="180" t="s">
        <v>264</v>
      </c>
      <c r="I261" s="180" t="s">
        <v>256</v>
      </c>
      <c r="J261" s="180" t="s">
        <v>49</v>
      </c>
      <c r="K261" s="180">
        <v>3</v>
      </c>
      <c r="L261" s="217">
        <v>4.0999999999999996</v>
      </c>
      <c r="M261" s="180">
        <v>94</v>
      </c>
      <c r="N261" s="180">
        <v>8</v>
      </c>
      <c r="O261" s="94">
        <v>0.6</v>
      </c>
      <c r="P261" s="239">
        <f t="shared" si="102"/>
        <v>1.410986973710262</v>
      </c>
      <c r="Q261" s="296" t="str">
        <f t="shared" si="98"/>
        <v>Chlorella</v>
      </c>
      <c r="R261" s="297">
        <f t="shared" si="100"/>
        <v>6.3375945258501987E-3</v>
      </c>
      <c r="S261" s="220">
        <f t="shared" ref="S261:S271" si="103">P261-R261</f>
        <v>1.4046493791844119</v>
      </c>
      <c r="T261" s="236">
        <f t="shared" si="88"/>
        <v>33</v>
      </c>
      <c r="U261" s="221" t="str">
        <f t="shared" si="87"/>
        <v>33-POP-EC10-EX</v>
      </c>
      <c r="V261" s="222" cm="1">
        <f t="array" ref="V261">MEDIAN(IF(U261=$U$4:$U$359,$S$4:$S$359))</f>
        <v>0.5483589578715401</v>
      </c>
      <c r="W261" s="298">
        <f t="shared" si="99"/>
        <v>-9.8429864646369603E-2</v>
      </c>
      <c r="X261" s="299">
        <f t="shared" si="97"/>
        <v>0.90625925119845641</v>
      </c>
      <c r="Y261" s="225">
        <f t="shared" si="101"/>
        <v>0.90625925119845641</v>
      </c>
      <c r="Z261" s="226"/>
      <c r="AA261" s="226"/>
      <c r="AB261" s="254"/>
      <c r="AC261" s="228" t="s">
        <v>1772</v>
      </c>
      <c r="AD261" s="276">
        <v>0.91</v>
      </c>
      <c r="AE261" s="228" t="s">
        <v>1859</v>
      </c>
      <c r="AG261" s="248"/>
    </row>
    <row r="262" spans="1:38" s="182" customFormat="1" ht="15.75" hidden="1" customHeight="1" x14ac:dyDescent="0.25">
      <c r="A262" s="182" t="s">
        <v>1922</v>
      </c>
      <c r="B262" s="180"/>
      <c r="C262" s="217">
        <v>2021</v>
      </c>
      <c r="D262" s="180" t="s">
        <v>1652</v>
      </c>
      <c r="E262" s="180" t="s">
        <v>1311</v>
      </c>
      <c r="F262" s="180" t="s">
        <v>567</v>
      </c>
      <c r="G262" s="180" t="s">
        <v>1303</v>
      </c>
      <c r="H262" s="180" t="s">
        <v>264</v>
      </c>
      <c r="I262" s="180" t="s">
        <v>256</v>
      </c>
      <c r="J262" s="180" t="s">
        <v>49</v>
      </c>
      <c r="K262" s="180">
        <v>3</v>
      </c>
      <c r="L262" s="180">
        <v>3.2</v>
      </c>
      <c r="M262" s="180">
        <v>93</v>
      </c>
      <c r="N262" s="180">
        <v>8.3000000000000007</v>
      </c>
      <c r="O262" s="94">
        <v>0.69</v>
      </c>
      <c r="P262" s="239">
        <f t="shared" si="102"/>
        <v>1.1631508098056809</v>
      </c>
      <c r="Q262" s="296" t="str">
        <f t="shared" si="98"/>
        <v>Chlorella</v>
      </c>
      <c r="R262" s="297">
        <f t="shared" si="100"/>
        <v>-5.9503893276040776E-2</v>
      </c>
      <c r="S262" s="220">
        <f t="shared" si="103"/>
        <v>1.2226547030817216</v>
      </c>
      <c r="T262" s="236">
        <f t="shared" si="88"/>
        <v>33</v>
      </c>
      <c r="U262" s="221" t="str">
        <f t="shared" si="87"/>
        <v>33-POP-EC10-EX</v>
      </c>
      <c r="V262" s="222" cm="1">
        <f t="array" ref="V262">MEDIAN(IF(U262=$U$4:$U$359,$S$4:$S$359))</f>
        <v>0.5483589578715401</v>
      </c>
      <c r="W262" s="298">
        <f t="shared" si="99"/>
        <v>-9.8429864646369603E-2</v>
      </c>
      <c r="X262" s="299">
        <f t="shared" si="97"/>
        <v>0.90625925119845641</v>
      </c>
      <c r="Y262" s="225">
        <f t="shared" si="101"/>
        <v>0.90625925119845641</v>
      </c>
      <c r="Z262" s="226"/>
      <c r="AA262" s="226"/>
      <c r="AB262" s="254"/>
      <c r="AC262" s="228" t="s">
        <v>1772</v>
      </c>
      <c r="AD262" s="276">
        <v>0.91</v>
      </c>
      <c r="AE262" s="228" t="s">
        <v>1859</v>
      </c>
      <c r="AG262" s="248"/>
    </row>
    <row r="263" spans="1:38" s="182" customFormat="1" ht="15.75" hidden="1" customHeight="1" x14ac:dyDescent="0.25">
      <c r="A263" s="182" t="s">
        <v>1923</v>
      </c>
      <c r="B263" s="180"/>
      <c r="C263" s="217">
        <v>2022</v>
      </c>
      <c r="D263" s="180" t="s">
        <v>1652</v>
      </c>
      <c r="E263" s="180" t="s">
        <v>1311</v>
      </c>
      <c r="F263" s="180" t="s">
        <v>567</v>
      </c>
      <c r="G263" s="180" t="s">
        <v>1303</v>
      </c>
      <c r="H263" s="180" t="s">
        <v>264</v>
      </c>
      <c r="I263" s="180" t="s">
        <v>256</v>
      </c>
      <c r="J263" s="180" t="s">
        <v>49</v>
      </c>
      <c r="K263" s="180">
        <v>3</v>
      </c>
      <c r="L263" s="180">
        <v>1.5</v>
      </c>
      <c r="M263" s="180">
        <v>5</v>
      </c>
      <c r="N263" s="180">
        <v>6.7</v>
      </c>
      <c r="O263" s="94">
        <v>0.5</v>
      </c>
      <c r="P263" s="239">
        <f t="shared" si="102"/>
        <v>0.40546510810816438</v>
      </c>
      <c r="Q263" s="296" t="str">
        <f t="shared" si="98"/>
        <v>Chlorella</v>
      </c>
      <c r="R263" s="297">
        <f t="shared" si="100"/>
        <v>-1.5654429453083911</v>
      </c>
      <c r="S263" s="220">
        <f t="shared" si="103"/>
        <v>1.9709080534165555</v>
      </c>
      <c r="T263" s="236">
        <f t="shared" si="88"/>
        <v>33</v>
      </c>
      <c r="U263" s="221" t="str">
        <f t="shared" si="87"/>
        <v>33-POP-EC10-EX</v>
      </c>
      <c r="V263" s="222" cm="1">
        <f t="array" ref="V263">MEDIAN(IF(U263=$U$4:$U$359,$S$4:$S$359))</f>
        <v>0.5483589578715401</v>
      </c>
      <c r="W263" s="298">
        <f t="shared" si="99"/>
        <v>-9.8429864646369603E-2</v>
      </c>
      <c r="X263" s="299">
        <f t="shared" si="97"/>
        <v>0.90625925119845641</v>
      </c>
      <c r="Y263" s="225">
        <f t="shared" si="101"/>
        <v>0.90625925119845641</v>
      </c>
      <c r="Z263" s="226"/>
      <c r="AA263" s="226"/>
      <c r="AB263" s="254"/>
      <c r="AC263" s="228" t="s">
        <v>1772</v>
      </c>
      <c r="AD263" s="276">
        <v>0.91</v>
      </c>
      <c r="AE263" s="228" t="s">
        <v>1859</v>
      </c>
      <c r="AG263" s="248"/>
    </row>
    <row r="264" spans="1:38" s="182" customFormat="1" ht="15.75" hidden="1" customHeight="1" x14ac:dyDescent="0.25">
      <c r="A264" s="182" t="s">
        <v>1924</v>
      </c>
      <c r="B264" s="180"/>
      <c r="C264" s="217">
        <v>2022</v>
      </c>
      <c r="D264" s="180" t="s">
        <v>1652</v>
      </c>
      <c r="E264" s="180" t="s">
        <v>1311</v>
      </c>
      <c r="F264" s="180" t="s">
        <v>567</v>
      </c>
      <c r="G264" s="180" t="s">
        <v>1303</v>
      </c>
      <c r="H264" s="180" t="s">
        <v>264</v>
      </c>
      <c r="I264" s="180" t="s">
        <v>256</v>
      </c>
      <c r="J264" s="180" t="s">
        <v>49</v>
      </c>
      <c r="K264" s="180">
        <v>3</v>
      </c>
      <c r="L264" s="180">
        <v>1.8</v>
      </c>
      <c r="M264" s="180">
        <v>5</v>
      </c>
      <c r="N264" s="180">
        <v>7.6</v>
      </c>
      <c r="O264" s="94">
        <v>0.5</v>
      </c>
      <c r="P264" s="239">
        <f t="shared" si="102"/>
        <v>0.58778666490211906</v>
      </c>
      <c r="Q264" s="296" t="str">
        <f t="shared" si="98"/>
        <v>Chlorella</v>
      </c>
      <c r="R264" s="297">
        <f t="shared" si="100"/>
        <v>-1.8885429453083908</v>
      </c>
      <c r="S264" s="220">
        <f t="shared" si="103"/>
        <v>2.4763296102105099</v>
      </c>
      <c r="T264" s="236">
        <f t="shared" si="88"/>
        <v>33</v>
      </c>
      <c r="U264" s="221" t="str">
        <f t="shared" si="87"/>
        <v>33-POP-EC10-EX</v>
      </c>
      <c r="V264" s="222" cm="1">
        <f t="array" ref="V264">MEDIAN(IF(U264=$U$4:$U$359,$S$4:$S$359))</f>
        <v>0.5483589578715401</v>
      </c>
      <c r="W264" s="298">
        <f t="shared" si="99"/>
        <v>-9.8429864646369603E-2</v>
      </c>
      <c r="X264" s="299">
        <f t="shared" si="97"/>
        <v>0.90625925119845641</v>
      </c>
      <c r="Y264" s="225">
        <f t="shared" si="101"/>
        <v>0.90625925119845641</v>
      </c>
      <c r="Z264" s="226"/>
      <c r="AA264" s="226"/>
      <c r="AB264" s="254"/>
      <c r="AC264" s="228" t="s">
        <v>1772</v>
      </c>
      <c r="AD264" s="276">
        <v>0.91</v>
      </c>
      <c r="AE264" s="228" t="s">
        <v>1859</v>
      </c>
      <c r="AG264" s="248"/>
    </row>
    <row r="265" spans="1:38" s="182" customFormat="1" ht="15.75" hidden="1" customHeight="1" x14ac:dyDescent="0.25">
      <c r="A265" s="182" t="s">
        <v>1925</v>
      </c>
      <c r="B265" s="180"/>
      <c r="C265" s="217">
        <v>2022</v>
      </c>
      <c r="D265" s="180" t="s">
        <v>1652</v>
      </c>
      <c r="E265" s="180" t="s">
        <v>1311</v>
      </c>
      <c r="F265" s="180" t="s">
        <v>567</v>
      </c>
      <c r="G265" s="180" t="s">
        <v>1303</v>
      </c>
      <c r="H265" s="180" t="s">
        <v>264</v>
      </c>
      <c r="I265" s="180" t="s">
        <v>256</v>
      </c>
      <c r="J265" s="180" t="s">
        <v>49</v>
      </c>
      <c r="K265" s="180">
        <v>3</v>
      </c>
      <c r="L265" s="180">
        <v>0.85</v>
      </c>
      <c r="M265" s="180">
        <v>5</v>
      </c>
      <c r="N265" s="180">
        <v>8.3000000000000007</v>
      </c>
      <c r="O265" s="94">
        <v>0.5</v>
      </c>
      <c r="P265" s="239">
        <f t="shared" si="102"/>
        <v>-0.16251892949777494</v>
      </c>
      <c r="Q265" s="296" t="str">
        <f t="shared" si="98"/>
        <v>Chlorella</v>
      </c>
      <c r="R265" s="297">
        <f t="shared" si="100"/>
        <v>-2.1398429453083914</v>
      </c>
      <c r="S265" s="220">
        <f t="shared" si="103"/>
        <v>1.9773240158106165</v>
      </c>
      <c r="T265" s="236">
        <f t="shared" si="88"/>
        <v>33</v>
      </c>
      <c r="U265" s="221" t="str">
        <f t="shared" si="87"/>
        <v>33-POP-EC10-EX</v>
      </c>
      <c r="V265" s="222" cm="1">
        <f t="array" ref="V265">MEDIAN(IF(U265=$U$4:$U$359,$S$4:$S$359))</f>
        <v>0.5483589578715401</v>
      </c>
      <c r="W265" s="298">
        <f t="shared" si="99"/>
        <v>-9.8429864646369603E-2</v>
      </c>
      <c r="X265" s="299">
        <f t="shared" si="97"/>
        <v>0.90625925119845641</v>
      </c>
      <c r="Y265" s="225">
        <f t="shared" si="101"/>
        <v>0.90625925119845641</v>
      </c>
      <c r="Z265" s="226"/>
      <c r="AA265" s="226"/>
      <c r="AB265" s="254"/>
      <c r="AC265" s="228" t="s">
        <v>1772</v>
      </c>
      <c r="AD265" s="276">
        <v>0.91</v>
      </c>
      <c r="AE265" s="228" t="s">
        <v>1859</v>
      </c>
      <c r="AG265" s="248"/>
    </row>
    <row r="266" spans="1:38" s="182" customFormat="1" ht="15.75" hidden="1" customHeight="1" x14ac:dyDescent="0.25">
      <c r="A266" s="182" t="s">
        <v>1926</v>
      </c>
      <c r="B266" s="241"/>
      <c r="C266" s="217">
        <v>2022</v>
      </c>
      <c r="D266" s="180" t="s">
        <v>1652</v>
      </c>
      <c r="E266" s="180" t="s">
        <v>1311</v>
      </c>
      <c r="F266" s="180" t="s">
        <v>567</v>
      </c>
      <c r="G266" s="180" t="s">
        <v>1303</v>
      </c>
      <c r="H266" s="180" t="s">
        <v>264</v>
      </c>
      <c r="I266" s="180" t="s">
        <v>256</v>
      </c>
      <c r="J266" s="180" t="s">
        <v>49</v>
      </c>
      <c r="K266" s="180">
        <v>3</v>
      </c>
      <c r="L266" s="217">
        <v>3.3</v>
      </c>
      <c r="M266" s="180">
        <v>31</v>
      </c>
      <c r="N266" s="180">
        <v>6.7</v>
      </c>
      <c r="O266" s="94">
        <v>0.5</v>
      </c>
      <c r="P266" s="239">
        <f t="shared" si="102"/>
        <v>1.1939224684724346</v>
      </c>
      <c r="Q266" s="296" t="str">
        <f t="shared" si="98"/>
        <v>Chlorella</v>
      </c>
      <c r="R266" s="297">
        <f t="shared" si="100"/>
        <v>-0.33752127175803726</v>
      </c>
      <c r="S266" s="220">
        <f t="shared" si="103"/>
        <v>1.5314437402304719</v>
      </c>
      <c r="T266" s="236">
        <f t="shared" si="88"/>
        <v>33</v>
      </c>
      <c r="U266" s="221" t="str">
        <f t="shared" si="87"/>
        <v>33-POP-EC10-EX</v>
      </c>
      <c r="V266" s="222" cm="1">
        <f t="array" ref="V266">MEDIAN(IF(U266=$U$4:$U$359,$S$4:$S$359))</f>
        <v>0.5483589578715401</v>
      </c>
      <c r="W266" s="298">
        <f t="shared" si="99"/>
        <v>-9.8429864646369603E-2</v>
      </c>
      <c r="X266" s="299">
        <f t="shared" si="97"/>
        <v>0.90625925119845641</v>
      </c>
      <c r="Y266" s="225">
        <f t="shared" si="101"/>
        <v>0.90625925119845641</v>
      </c>
      <c r="Z266" s="226"/>
      <c r="AA266" s="226"/>
      <c r="AB266" s="254"/>
      <c r="AC266" s="228" t="s">
        <v>1772</v>
      </c>
      <c r="AD266" s="276">
        <v>0.91</v>
      </c>
      <c r="AE266" s="228" t="s">
        <v>1859</v>
      </c>
      <c r="AG266" s="248"/>
      <c r="AH266" s="183"/>
      <c r="AI266" s="183"/>
      <c r="AJ266" s="183"/>
      <c r="AK266" s="183"/>
    </row>
    <row r="267" spans="1:38" s="182" customFormat="1" ht="15.75" hidden="1" customHeight="1" x14ac:dyDescent="0.25">
      <c r="A267" s="300" t="s">
        <v>1927</v>
      </c>
      <c r="B267" s="180"/>
      <c r="C267" s="217">
        <v>2022</v>
      </c>
      <c r="D267" s="180" t="s">
        <v>1652</v>
      </c>
      <c r="E267" s="180" t="s">
        <v>1311</v>
      </c>
      <c r="F267" s="180" t="s">
        <v>567</v>
      </c>
      <c r="G267" s="180" t="s">
        <v>1303</v>
      </c>
      <c r="H267" s="180" t="s">
        <v>264</v>
      </c>
      <c r="I267" s="180" t="s">
        <v>256</v>
      </c>
      <c r="J267" s="180" t="s">
        <v>49</v>
      </c>
      <c r="K267" s="180">
        <v>3</v>
      </c>
      <c r="L267" s="180">
        <v>2.1</v>
      </c>
      <c r="M267" s="180">
        <v>31</v>
      </c>
      <c r="N267" s="180">
        <v>7.6</v>
      </c>
      <c r="O267" s="94">
        <v>0.5</v>
      </c>
      <c r="P267" s="239">
        <f t="shared" si="102"/>
        <v>0.74193734472937733</v>
      </c>
      <c r="Q267" s="296" t="str">
        <f t="shared" si="98"/>
        <v>Chlorella</v>
      </c>
      <c r="R267" s="297">
        <f t="shared" si="100"/>
        <v>-0.66062127175803698</v>
      </c>
      <c r="S267" s="220">
        <f t="shared" si="103"/>
        <v>1.4025586164874144</v>
      </c>
      <c r="T267" s="236">
        <f t="shared" si="88"/>
        <v>33</v>
      </c>
      <c r="U267" s="221" t="str">
        <f t="shared" si="87"/>
        <v>33-POP-EC10-EX</v>
      </c>
      <c r="V267" s="222" cm="1">
        <f t="array" ref="V267">MEDIAN(IF(U267=$U$4:$U$359,$S$4:$S$359))</f>
        <v>0.5483589578715401</v>
      </c>
      <c r="W267" s="298">
        <f t="shared" si="99"/>
        <v>-9.8429864646369603E-2</v>
      </c>
      <c r="X267" s="299">
        <f t="shared" si="97"/>
        <v>0.90625925119845641</v>
      </c>
      <c r="Y267" s="225">
        <f t="shared" si="101"/>
        <v>0.90625925119845641</v>
      </c>
      <c r="Z267" s="226"/>
      <c r="AA267" s="226"/>
      <c r="AB267" s="254"/>
      <c r="AC267" s="228" t="s">
        <v>1772</v>
      </c>
      <c r="AD267" s="276">
        <v>0.91</v>
      </c>
      <c r="AE267" s="228" t="s">
        <v>1859</v>
      </c>
      <c r="AG267" s="248"/>
      <c r="AH267" s="183"/>
      <c r="AI267" s="183"/>
      <c r="AJ267" s="183"/>
      <c r="AK267" s="183"/>
    </row>
    <row r="268" spans="1:38" s="182" customFormat="1" ht="15.75" hidden="1" customHeight="1" x14ac:dyDescent="0.25">
      <c r="A268" s="300" t="s">
        <v>1928</v>
      </c>
      <c r="B268" s="180"/>
      <c r="C268" s="217">
        <v>2022</v>
      </c>
      <c r="D268" s="180" t="s">
        <v>1652</v>
      </c>
      <c r="E268" s="180" t="s">
        <v>1311</v>
      </c>
      <c r="F268" s="180" t="s">
        <v>567</v>
      </c>
      <c r="G268" s="180" t="s">
        <v>1303</v>
      </c>
      <c r="H268" s="180" t="s">
        <v>264</v>
      </c>
      <c r="I268" s="180" t="s">
        <v>256</v>
      </c>
      <c r="J268" s="180" t="s">
        <v>49</v>
      </c>
      <c r="K268" s="180">
        <v>3</v>
      </c>
      <c r="L268" s="180">
        <v>1.3</v>
      </c>
      <c r="M268" s="180">
        <v>31</v>
      </c>
      <c r="N268" s="180">
        <v>8.3000000000000007</v>
      </c>
      <c r="O268" s="94">
        <v>0.5</v>
      </c>
      <c r="P268" s="239">
        <f t="shared" si="102"/>
        <v>0.26236426446749106</v>
      </c>
      <c r="Q268" s="296" t="str">
        <f t="shared" si="98"/>
        <v>Chlorella</v>
      </c>
      <c r="R268" s="297">
        <f t="shared" si="100"/>
        <v>-0.9119212717580375</v>
      </c>
      <c r="S268" s="220">
        <f t="shared" si="103"/>
        <v>1.1742855362255287</v>
      </c>
      <c r="T268" s="236">
        <f t="shared" si="88"/>
        <v>33</v>
      </c>
      <c r="U268" s="221" t="str">
        <f t="shared" si="87"/>
        <v>33-POP-EC10-EX</v>
      </c>
      <c r="V268" s="222" cm="1">
        <f t="array" ref="V268">MEDIAN(IF(U268=$U$4:$U$359,$S$4:$S$359))</f>
        <v>0.5483589578715401</v>
      </c>
      <c r="W268" s="298">
        <f t="shared" si="99"/>
        <v>-9.8429864646369603E-2</v>
      </c>
      <c r="X268" s="299">
        <f t="shared" si="97"/>
        <v>0.90625925119845641</v>
      </c>
      <c r="Y268" s="225">
        <f t="shared" si="101"/>
        <v>0.90625925119845641</v>
      </c>
      <c r="Z268" s="226"/>
      <c r="AA268" s="226"/>
      <c r="AB268" s="254"/>
      <c r="AC268" s="228" t="s">
        <v>1772</v>
      </c>
      <c r="AD268" s="276">
        <v>0.91</v>
      </c>
      <c r="AE268" s="228" t="s">
        <v>1859</v>
      </c>
      <c r="AG268" s="248"/>
      <c r="AH268" s="183"/>
      <c r="AI268" s="183"/>
      <c r="AJ268" s="183"/>
      <c r="AK268" s="183"/>
      <c r="AL268" s="183"/>
    </row>
    <row r="269" spans="1:38" s="182" customFormat="1" ht="15.75" hidden="1" customHeight="1" x14ac:dyDescent="0.25">
      <c r="A269" s="300" t="s">
        <v>1929</v>
      </c>
      <c r="B269" s="180"/>
      <c r="C269" s="217">
        <v>2022</v>
      </c>
      <c r="D269" s="180" t="s">
        <v>1652</v>
      </c>
      <c r="E269" s="180" t="s">
        <v>1311</v>
      </c>
      <c r="F269" s="180" t="s">
        <v>567</v>
      </c>
      <c r="G269" s="180" t="s">
        <v>1303</v>
      </c>
      <c r="H269" s="180" t="s">
        <v>264</v>
      </c>
      <c r="I269" s="180" t="s">
        <v>256</v>
      </c>
      <c r="J269" s="180" t="s">
        <v>49</v>
      </c>
      <c r="K269" s="180">
        <v>3</v>
      </c>
      <c r="L269" s="180">
        <v>5.3</v>
      </c>
      <c r="M269" s="180">
        <v>402</v>
      </c>
      <c r="N269" s="180">
        <v>6.7</v>
      </c>
      <c r="O269" s="94">
        <v>0.5</v>
      </c>
      <c r="P269" s="239">
        <f t="shared" si="102"/>
        <v>1.6677068205580761</v>
      </c>
      <c r="Q269" s="296" t="str">
        <f t="shared" si="98"/>
        <v>Chlorella</v>
      </c>
      <c r="R269" s="297">
        <f t="shared" si="100"/>
        <v>1.3870175952640609</v>
      </c>
      <c r="S269" s="220">
        <f t="shared" si="103"/>
        <v>0.28068922529401519</v>
      </c>
      <c r="T269" s="236">
        <f t="shared" si="88"/>
        <v>33</v>
      </c>
      <c r="U269" s="221" t="str">
        <f t="shared" si="87"/>
        <v>33-POP-EC10-EX</v>
      </c>
      <c r="V269" s="222" cm="1">
        <f t="array" ref="V269">MEDIAN(IF(U269=$U$4:$U$359,$S$4:$S$359))</f>
        <v>0.5483589578715401</v>
      </c>
      <c r="W269" s="298">
        <f t="shared" si="99"/>
        <v>-9.8429864646369603E-2</v>
      </c>
      <c r="X269" s="299">
        <f t="shared" si="97"/>
        <v>0.90625925119845641</v>
      </c>
      <c r="Y269" s="225">
        <f t="shared" si="101"/>
        <v>0.90625925119845641</v>
      </c>
      <c r="Z269" s="226"/>
      <c r="AA269" s="226"/>
      <c r="AB269" s="254"/>
      <c r="AC269" s="228" t="s">
        <v>1772</v>
      </c>
      <c r="AD269" s="276">
        <v>0.91</v>
      </c>
      <c r="AE269" s="228" t="s">
        <v>1859</v>
      </c>
      <c r="AG269" s="248"/>
      <c r="AL269" s="183"/>
    </row>
    <row r="270" spans="1:38" s="182" customFormat="1" ht="15.75" hidden="1" customHeight="1" x14ac:dyDescent="0.25">
      <c r="A270" s="300" t="s">
        <v>1930</v>
      </c>
      <c r="B270" s="180"/>
      <c r="C270" s="217">
        <v>2022</v>
      </c>
      <c r="D270" s="180" t="s">
        <v>1652</v>
      </c>
      <c r="E270" s="180" t="s">
        <v>1311</v>
      </c>
      <c r="F270" s="180" t="s">
        <v>567</v>
      </c>
      <c r="G270" s="180" t="s">
        <v>1303</v>
      </c>
      <c r="H270" s="180" t="s">
        <v>264</v>
      </c>
      <c r="I270" s="180" t="s">
        <v>256</v>
      </c>
      <c r="J270" s="180" t="s">
        <v>49</v>
      </c>
      <c r="K270" s="180">
        <v>3</v>
      </c>
      <c r="L270" s="180">
        <v>4.4000000000000004</v>
      </c>
      <c r="M270" s="180">
        <v>402</v>
      </c>
      <c r="N270" s="180">
        <v>7.6</v>
      </c>
      <c r="O270" s="94">
        <v>0.5</v>
      </c>
      <c r="P270" s="239">
        <f t="shared" si="102"/>
        <v>1.4816045409242156</v>
      </c>
      <c r="Q270" s="296" t="str">
        <f t="shared" si="98"/>
        <v>Chlorella</v>
      </c>
      <c r="R270" s="297">
        <f t="shared" si="100"/>
        <v>1.0639175952640612</v>
      </c>
      <c r="S270" s="220">
        <f t="shared" si="103"/>
        <v>0.41768694566015441</v>
      </c>
      <c r="T270" s="236">
        <f t="shared" si="88"/>
        <v>33</v>
      </c>
      <c r="U270" s="221" t="str">
        <f t="shared" si="87"/>
        <v>33-POP-EC10-EX</v>
      </c>
      <c r="V270" s="222" cm="1">
        <f t="array" ref="V270">MEDIAN(IF(U270=$U$4:$U$359,$S$4:$S$359))</f>
        <v>0.5483589578715401</v>
      </c>
      <c r="W270" s="298">
        <f t="shared" si="99"/>
        <v>-9.8429864646369603E-2</v>
      </c>
      <c r="X270" s="299">
        <f t="shared" si="97"/>
        <v>0.90625925119845641</v>
      </c>
      <c r="Y270" s="225">
        <f t="shared" si="101"/>
        <v>0.90625925119845641</v>
      </c>
      <c r="Z270" s="226"/>
      <c r="AA270" s="226"/>
      <c r="AB270" s="254"/>
      <c r="AC270" s="228" t="s">
        <v>1772</v>
      </c>
      <c r="AD270" s="276">
        <v>0.91</v>
      </c>
      <c r="AE270" s="228" t="s">
        <v>1859</v>
      </c>
      <c r="AG270" s="248"/>
      <c r="AL270" s="183"/>
    </row>
    <row r="271" spans="1:38" s="182" customFormat="1" ht="15.75" hidden="1" customHeight="1" x14ac:dyDescent="0.25">
      <c r="A271" s="300" t="s">
        <v>1931</v>
      </c>
      <c r="B271" s="180"/>
      <c r="C271" s="217">
        <v>2022</v>
      </c>
      <c r="D271" s="180" t="s">
        <v>1652</v>
      </c>
      <c r="E271" s="180" t="s">
        <v>1311</v>
      </c>
      <c r="F271" s="180" t="s">
        <v>567</v>
      </c>
      <c r="G271" s="180" t="s">
        <v>1303</v>
      </c>
      <c r="H271" s="180" t="s">
        <v>264</v>
      </c>
      <c r="I271" s="180" t="s">
        <v>256</v>
      </c>
      <c r="J271" s="180" t="s">
        <v>49</v>
      </c>
      <c r="K271" s="180">
        <v>3</v>
      </c>
      <c r="L271" s="180">
        <v>3.9</v>
      </c>
      <c r="M271" s="180">
        <v>402</v>
      </c>
      <c r="N271" s="180">
        <v>8.3000000000000007</v>
      </c>
      <c r="O271" s="94">
        <v>0.5</v>
      </c>
      <c r="P271" s="239">
        <f t="shared" si="102"/>
        <v>1.3609765531356006</v>
      </c>
      <c r="Q271" s="296" t="str">
        <f t="shared" si="98"/>
        <v>Chlorella</v>
      </c>
      <c r="R271" s="297">
        <f t="shared" si="100"/>
        <v>0.81261759526406052</v>
      </c>
      <c r="S271" s="220">
        <f t="shared" si="103"/>
        <v>0.5483589578715401</v>
      </c>
      <c r="T271" s="236">
        <f t="shared" si="88"/>
        <v>33</v>
      </c>
      <c r="U271" s="221" t="str">
        <f t="shared" si="87"/>
        <v>33-POP-EC10-EX</v>
      </c>
      <c r="V271" s="222" cm="1">
        <f t="array" ref="V271">MEDIAN(IF(U271=$U$4:$U$359,$S$4:$S$359))</f>
        <v>0.5483589578715401</v>
      </c>
      <c r="W271" s="298">
        <f t="shared" si="99"/>
        <v>-9.8429864646369603E-2</v>
      </c>
      <c r="X271" s="299">
        <f t="shared" si="97"/>
        <v>0.90625925119845641</v>
      </c>
      <c r="Y271" s="225">
        <f t="shared" si="101"/>
        <v>0.90625925119845641</v>
      </c>
      <c r="Z271" s="226"/>
      <c r="AA271" s="226"/>
      <c r="AB271" s="254"/>
      <c r="AC271" s="228" t="s">
        <v>1772</v>
      </c>
      <c r="AD271" s="276">
        <v>0.91</v>
      </c>
      <c r="AE271" s="228" t="s">
        <v>1859</v>
      </c>
      <c r="AG271" s="248"/>
    </row>
    <row r="272" spans="1:38" s="183" customFormat="1" ht="15.75" hidden="1" customHeight="1" x14ac:dyDescent="0.25">
      <c r="A272" s="183" t="s">
        <v>1932</v>
      </c>
      <c r="B272" s="180"/>
      <c r="C272" s="217">
        <v>2023</v>
      </c>
      <c r="D272" s="180" t="s">
        <v>1652</v>
      </c>
      <c r="E272" s="180" t="s">
        <v>1311</v>
      </c>
      <c r="F272" s="180" t="s">
        <v>567</v>
      </c>
      <c r="G272" s="180" t="s">
        <v>1303</v>
      </c>
      <c r="H272" s="180" t="s">
        <v>264</v>
      </c>
      <c r="I272" s="180" t="s">
        <v>256</v>
      </c>
      <c r="J272" s="180" t="s">
        <v>49</v>
      </c>
      <c r="K272" s="180">
        <v>3</v>
      </c>
      <c r="L272" s="180">
        <v>1.6</v>
      </c>
      <c r="M272" s="180">
        <v>90</v>
      </c>
      <c r="N272" s="180">
        <v>7.7</v>
      </c>
      <c r="O272" s="94">
        <v>0.5</v>
      </c>
      <c r="P272" s="239">
        <f>LN(L272)</f>
        <v>0.47000362924573563</v>
      </c>
      <c r="Q272" s="296" t="str">
        <f t="shared" si="98"/>
        <v>Chlorella</v>
      </c>
      <c r="R272" s="297">
        <f t="shared" si="100"/>
        <v>2.0777247755727646E-2</v>
      </c>
      <c r="S272" s="220">
        <f>P272-R272</f>
        <v>0.44922638149000799</v>
      </c>
      <c r="T272" s="236">
        <f t="shared" si="88"/>
        <v>33</v>
      </c>
      <c r="U272" s="221" t="str">
        <f t="shared" si="87"/>
        <v>33-POP-EC10-EX</v>
      </c>
      <c r="V272" s="222" cm="1">
        <f t="array" ref="V272">MEDIAN(IF(U272=$U$4:$U$359,$S$4:$S$359))</f>
        <v>0.5483589578715401</v>
      </c>
      <c r="W272" s="298">
        <f t="shared" si="99"/>
        <v>-9.8429864646369603E-2</v>
      </c>
      <c r="X272" s="299">
        <f>EXP(W272)</f>
        <v>0.90625925119845641</v>
      </c>
      <c r="Y272" s="225">
        <f>X272</f>
        <v>0.90625925119845641</v>
      </c>
      <c r="Z272" s="226"/>
      <c r="AA272" s="226"/>
      <c r="AB272" s="254"/>
      <c r="AC272" s="228" t="s">
        <v>1772</v>
      </c>
      <c r="AD272" s="276">
        <v>0.8</v>
      </c>
      <c r="AE272" s="228" t="s">
        <v>1859</v>
      </c>
      <c r="AG272" s="248"/>
      <c r="AH272" s="182"/>
      <c r="AI272" s="182"/>
      <c r="AJ272" s="182"/>
      <c r="AK272" s="182"/>
      <c r="AL272" s="182"/>
    </row>
    <row r="273" spans="1:38" s="183" customFormat="1" ht="15.75" hidden="1" customHeight="1" x14ac:dyDescent="0.25">
      <c r="A273" s="183" t="s">
        <v>1933</v>
      </c>
      <c r="B273" s="180"/>
      <c r="C273" s="217">
        <v>2023</v>
      </c>
      <c r="D273" s="180" t="s">
        <v>1652</v>
      </c>
      <c r="E273" s="180" t="s">
        <v>1659</v>
      </c>
      <c r="F273" s="180" t="s">
        <v>567</v>
      </c>
      <c r="G273" s="180" t="s">
        <v>1303</v>
      </c>
      <c r="H273" s="180" t="s">
        <v>264</v>
      </c>
      <c r="I273" s="180" t="s">
        <v>256</v>
      </c>
      <c r="J273" s="180" t="s">
        <v>49</v>
      </c>
      <c r="K273" s="180">
        <v>3</v>
      </c>
      <c r="L273" s="180">
        <v>2</v>
      </c>
      <c r="M273" s="180">
        <v>90</v>
      </c>
      <c r="N273" s="180">
        <v>7.6</v>
      </c>
      <c r="O273" s="94">
        <v>2.5</v>
      </c>
      <c r="P273" s="239">
        <f t="shared" ref="P273:P330" si="104">LN(L273)</f>
        <v>0.69314718055994529</v>
      </c>
      <c r="Q273" s="296" t="str">
        <f t="shared" si="98"/>
        <v>Chlorella</v>
      </c>
      <c r="R273" s="297">
        <f t="shared" si="100"/>
        <v>0.62158995502009717</v>
      </c>
      <c r="S273" s="220">
        <f t="shared" ref="S273" si="105">P273-R273</f>
        <v>7.1557225539848113E-2</v>
      </c>
      <c r="T273" s="236">
        <f t="shared" si="88"/>
        <v>33</v>
      </c>
      <c r="U273" s="221" t="str">
        <f t="shared" si="87"/>
        <v>33-POP-EC10-EX</v>
      </c>
      <c r="V273" s="222" cm="1">
        <f t="array" ref="V273">MEDIAN(IF(U273=$U$4:$U$359,$S$4:$S$359))</f>
        <v>0.5483589578715401</v>
      </c>
      <c r="W273" s="298">
        <f t="shared" si="99"/>
        <v>-9.8429864646369603E-2</v>
      </c>
      <c r="X273" s="299">
        <f t="shared" ref="X273:X330" si="106">EXP(W273)</f>
        <v>0.90625925119845641</v>
      </c>
      <c r="Y273" s="225">
        <f t="shared" ref="Y273:Y276" si="107">X273</f>
        <v>0.90625925119845641</v>
      </c>
      <c r="Z273" s="226"/>
      <c r="AA273" s="226"/>
      <c r="AB273" s="254"/>
      <c r="AC273" s="228" t="s">
        <v>1772</v>
      </c>
      <c r="AD273" s="276">
        <v>0.8</v>
      </c>
      <c r="AE273" s="228" t="s">
        <v>1859</v>
      </c>
      <c r="AG273" s="248"/>
      <c r="AH273" s="182"/>
      <c r="AI273" s="182"/>
      <c r="AJ273" s="182"/>
      <c r="AK273" s="182"/>
      <c r="AL273" s="182"/>
    </row>
    <row r="274" spans="1:38" s="183" customFormat="1" ht="15.75" hidden="1" customHeight="1" x14ac:dyDescent="0.25">
      <c r="A274" s="183" t="s">
        <v>1934</v>
      </c>
      <c r="B274" s="180"/>
      <c r="C274" s="217">
        <v>2023</v>
      </c>
      <c r="D274" s="180" t="s">
        <v>1652</v>
      </c>
      <c r="E274" s="180" t="s">
        <v>1659</v>
      </c>
      <c r="F274" s="180" t="s">
        <v>567</v>
      </c>
      <c r="G274" s="180" t="s">
        <v>1303</v>
      </c>
      <c r="H274" s="180" t="s">
        <v>264</v>
      </c>
      <c r="I274" s="180" t="s">
        <v>256</v>
      </c>
      <c r="J274" s="180" t="s">
        <v>49</v>
      </c>
      <c r="K274" s="180">
        <v>3</v>
      </c>
      <c r="L274" s="180">
        <v>3.5</v>
      </c>
      <c r="M274" s="180">
        <v>90</v>
      </c>
      <c r="N274" s="180">
        <v>7.6</v>
      </c>
      <c r="O274" s="94">
        <v>5.4</v>
      </c>
      <c r="P274" s="239">
        <f t="shared" si="104"/>
        <v>1.2527629684953681</v>
      </c>
      <c r="Q274" s="296" t="str">
        <f t="shared" si="98"/>
        <v>Chlorella</v>
      </c>
      <c r="R274" s="297">
        <f t="shared" si="100"/>
        <v>0.89189794083541896</v>
      </c>
      <c r="S274" s="220">
        <f>P274-R274</f>
        <v>0.3608650276599491</v>
      </c>
      <c r="T274" s="236">
        <f t="shared" si="88"/>
        <v>33</v>
      </c>
      <c r="U274" s="221" t="str">
        <f t="shared" si="87"/>
        <v>33-POP-EC10-EX</v>
      </c>
      <c r="V274" s="222" cm="1">
        <f t="array" ref="V274">MEDIAN(IF(U274=$U$4:$U$359,$S$4:$S$359))</f>
        <v>0.5483589578715401</v>
      </c>
      <c r="W274" s="298">
        <f t="shared" si="99"/>
        <v>-9.8429864646369603E-2</v>
      </c>
      <c r="X274" s="299">
        <f t="shared" si="106"/>
        <v>0.90625925119845641</v>
      </c>
      <c r="Y274" s="225">
        <f t="shared" si="107"/>
        <v>0.90625925119845641</v>
      </c>
      <c r="Z274" s="226"/>
      <c r="AA274" s="226"/>
      <c r="AB274" s="254"/>
      <c r="AC274" s="228" t="s">
        <v>1772</v>
      </c>
      <c r="AD274" s="276">
        <v>0.8</v>
      </c>
      <c r="AE274" s="228" t="s">
        <v>1859</v>
      </c>
      <c r="AG274" s="248"/>
      <c r="AH274" s="182"/>
      <c r="AI274" s="182"/>
      <c r="AJ274" s="182"/>
      <c r="AK274" s="182"/>
      <c r="AL274" s="182"/>
    </row>
    <row r="275" spans="1:38" s="182" customFormat="1" ht="15.75" hidden="1" customHeight="1" x14ac:dyDescent="0.25">
      <c r="A275" s="183" t="s">
        <v>1935</v>
      </c>
      <c r="B275" s="180"/>
      <c r="C275" s="217">
        <v>2023</v>
      </c>
      <c r="D275" s="180" t="s">
        <v>1652</v>
      </c>
      <c r="E275" s="180" t="s">
        <v>1659</v>
      </c>
      <c r="F275" s="180" t="s">
        <v>567</v>
      </c>
      <c r="G275" s="180" t="s">
        <v>1303</v>
      </c>
      <c r="H275" s="180" t="s">
        <v>264</v>
      </c>
      <c r="I275" s="180" t="s">
        <v>256</v>
      </c>
      <c r="J275" s="180" t="s">
        <v>49</v>
      </c>
      <c r="K275" s="180">
        <v>3</v>
      </c>
      <c r="L275" s="180">
        <v>4.5</v>
      </c>
      <c r="M275" s="180">
        <v>90</v>
      </c>
      <c r="N275" s="180">
        <v>7.6</v>
      </c>
      <c r="O275" s="94">
        <v>10.1</v>
      </c>
      <c r="P275" s="239">
        <f t="shared" si="104"/>
        <v>1.5040773967762742</v>
      </c>
      <c r="Q275" s="296" t="str">
        <f t="shared" si="98"/>
        <v>Chlorella</v>
      </c>
      <c r="R275" s="297">
        <f t="shared" si="100"/>
        <v>1.1116718419026408</v>
      </c>
      <c r="S275" s="220">
        <f t="shared" ref="S275:S330" si="108">P275-R275</f>
        <v>0.39240555487363338</v>
      </c>
      <c r="T275" s="236">
        <f t="shared" si="88"/>
        <v>33</v>
      </c>
      <c r="U275" s="221" t="str">
        <f t="shared" si="87"/>
        <v>33-POP-EC10-EX</v>
      </c>
      <c r="V275" s="222" cm="1">
        <f t="array" ref="V275">MEDIAN(IF(U275=$U$4:$U$359,$S$4:$S$359))</f>
        <v>0.5483589578715401</v>
      </c>
      <c r="W275" s="298">
        <f t="shared" si="99"/>
        <v>-9.8429864646369603E-2</v>
      </c>
      <c r="X275" s="299">
        <f t="shared" si="106"/>
        <v>0.90625925119845641</v>
      </c>
      <c r="Y275" s="225">
        <f t="shared" si="107"/>
        <v>0.90625925119845641</v>
      </c>
      <c r="Z275" s="226"/>
      <c r="AA275" s="226"/>
      <c r="AB275" s="254"/>
      <c r="AC275" s="228" t="s">
        <v>1772</v>
      </c>
      <c r="AD275" s="276">
        <v>0.8</v>
      </c>
      <c r="AE275" s="228" t="s">
        <v>1859</v>
      </c>
      <c r="AG275" s="248"/>
    </row>
    <row r="276" spans="1:38" s="182" customFormat="1" ht="15.75" hidden="1" customHeight="1" x14ac:dyDescent="0.25">
      <c r="A276" s="183" t="s">
        <v>1936</v>
      </c>
      <c r="B276" s="180"/>
      <c r="C276" s="217">
        <v>2023</v>
      </c>
      <c r="D276" s="180" t="s">
        <v>1652</v>
      </c>
      <c r="E276" s="180" t="s">
        <v>1659</v>
      </c>
      <c r="F276" s="180" t="s">
        <v>567</v>
      </c>
      <c r="G276" s="180" t="s">
        <v>1303</v>
      </c>
      <c r="H276" s="180" t="s">
        <v>264</v>
      </c>
      <c r="I276" s="180" t="s">
        <v>256</v>
      </c>
      <c r="J276" s="180" t="s">
        <v>49</v>
      </c>
      <c r="K276" s="180">
        <v>3</v>
      </c>
      <c r="L276" s="180">
        <v>6.1</v>
      </c>
      <c r="M276" s="180">
        <v>90</v>
      </c>
      <c r="N276" s="180">
        <v>7.6</v>
      </c>
      <c r="O276" s="94">
        <v>15.1</v>
      </c>
      <c r="P276" s="239">
        <f t="shared" si="104"/>
        <v>1.8082887711792655</v>
      </c>
      <c r="Q276" s="296" t="str">
        <f t="shared" si="98"/>
        <v>Chlorella</v>
      </c>
      <c r="R276" s="297">
        <f t="shared" si="100"/>
        <v>1.2528297632133971</v>
      </c>
      <c r="S276" s="220">
        <f t="shared" si="108"/>
        <v>0.55545900796586833</v>
      </c>
      <c r="T276" s="236">
        <f t="shared" si="88"/>
        <v>33</v>
      </c>
      <c r="U276" s="221" t="str">
        <f t="shared" si="87"/>
        <v>33-POP-EC10-EX</v>
      </c>
      <c r="V276" s="222" cm="1">
        <f t="array" ref="V276">MEDIAN(IF(U276=$U$4:$U$359,$S$4:$S$359))</f>
        <v>0.5483589578715401</v>
      </c>
      <c r="W276" s="298">
        <f t="shared" si="99"/>
        <v>-9.8429864646369603E-2</v>
      </c>
      <c r="X276" s="299">
        <f t="shared" si="106"/>
        <v>0.90625925119845641</v>
      </c>
      <c r="Y276" s="225">
        <f t="shared" si="107"/>
        <v>0.90625925119845641</v>
      </c>
      <c r="Z276" s="226"/>
      <c r="AA276" s="226"/>
      <c r="AB276" s="254"/>
      <c r="AC276" s="228" t="s">
        <v>1772</v>
      </c>
      <c r="AD276" s="276">
        <v>0.8</v>
      </c>
      <c r="AE276" s="228" t="s">
        <v>1859</v>
      </c>
      <c r="AG276" s="248"/>
    </row>
    <row r="277" spans="1:38" s="182" customFormat="1" ht="15.75" hidden="1" customHeight="1" x14ac:dyDescent="0.25">
      <c r="A277" s="183" t="s">
        <v>1937</v>
      </c>
      <c r="B277" s="180"/>
      <c r="C277" s="217">
        <v>2023</v>
      </c>
      <c r="D277" s="180" t="s">
        <v>1652</v>
      </c>
      <c r="E277" s="180" t="s">
        <v>1659</v>
      </c>
      <c r="F277" s="180" t="s">
        <v>567</v>
      </c>
      <c r="G277" s="180" t="s">
        <v>1303</v>
      </c>
      <c r="H277" s="180" t="s">
        <v>264</v>
      </c>
      <c r="I277" s="180" t="s">
        <v>256</v>
      </c>
      <c r="J277" s="180" t="s">
        <v>49</v>
      </c>
      <c r="K277" s="180">
        <v>3</v>
      </c>
      <c r="L277" s="180">
        <v>2.7</v>
      </c>
      <c r="M277" s="180">
        <v>90</v>
      </c>
      <c r="N277" s="180">
        <v>6.7</v>
      </c>
      <c r="O277" s="94">
        <v>5.5</v>
      </c>
      <c r="P277" s="239">
        <f t="shared" si="104"/>
        <v>0.99325177301028345</v>
      </c>
      <c r="Q277" s="296" t="str">
        <f t="shared" si="98"/>
        <v>Chlorella</v>
      </c>
      <c r="R277" s="297">
        <f t="shared" si="100"/>
        <v>1.2214384885079557</v>
      </c>
      <c r="S277" s="220">
        <f t="shared" si="108"/>
        <v>-0.22818671549767222</v>
      </c>
      <c r="T277" s="236">
        <f t="shared" si="88"/>
        <v>33</v>
      </c>
      <c r="U277" s="221" t="str">
        <f t="shared" si="87"/>
        <v>33-POP-EC10-EX</v>
      </c>
      <c r="V277" s="222" cm="1">
        <f t="array" ref="V277">MEDIAN(IF(U277=$U$4:$U$359,$S$4:$S$359))</f>
        <v>0.5483589578715401</v>
      </c>
      <c r="W277" s="298">
        <f t="shared" si="99"/>
        <v>-9.8429864646369603E-2</v>
      </c>
      <c r="X277" s="225">
        <f t="shared" si="106"/>
        <v>0.90625925119845641</v>
      </c>
      <c r="Y277" s="225"/>
      <c r="Z277" s="226"/>
      <c r="AA277" s="226"/>
      <c r="AB277" s="254"/>
      <c r="AC277" s="228" t="s">
        <v>1772</v>
      </c>
      <c r="AD277" s="276">
        <v>0.8</v>
      </c>
      <c r="AE277" s="228" t="s">
        <v>1859</v>
      </c>
      <c r="AG277" s="248"/>
    </row>
    <row r="278" spans="1:38" s="182" customFormat="1" ht="15.75" hidden="1" customHeight="1" x14ac:dyDescent="0.25">
      <c r="A278" s="183" t="s">
        <v>1938</v>
      </c>
      <c r="B278" s="180"/>
      <c r="C278" s="217">
        <v>2023</v>
      </c>
      <c r="D278" s="180" t="s">
        <v>1652</v>
      </c>
      <c r="E278" s="180" t="s">
        <v>1659</v>
      </c>
      <c r="F278" s="180" t="s">
        <v>567</v>
      </c>
      <c r="G278" s="180" t="s">
        <v>1303</v>
      </c>
      <c r="H278" s="180" t="s">
        <v>264</v>
      </c>
      <c r="I278" s="180" t="s">
        <v>256</v>
      </c>
      <c r="J278" s="180" t="s">
        <v>49</v>
      </c>
      <c r="K278" s="180">
        <v>3</v>
      </c>
      <c r="L278" s="180">
        <v>2.8</v>
      </c>
      <c r="M278" s="180">
        <v>90</v>
      </c>
      <c r="N278" s="180">
        <v>8.3000000000000007</v>
      </c>
      <c r="O278" s="94">
        <v>5.5</v>
      </c>
      <c r="P278" s="239">
        <f t="shared" si="104"/>
        <v>1.0296194171811581</v>
      </c>
      <c r="Q278" s="296" t="str">
        <f t="shared" si="98"/>
        <v>Chlorella</v>
      </c>
      <c r="R278" s="297">
        <f t="shared" si="100"/>
        <v>0.64703848850795542</v>
      </c>
      <c r="S278" s="220">
        <f t="shared" si="108"/>
        <v>0.3825809286732027</v>
      </c>
      <c r="T278" s="236">
        <f t="shared" si="88"/>
        <v>33</v>
      </c>
      <c r="U278" s="221" t="str">
        <f t="shared" si="87"/>
        <v>33-POP-EC10-EX</v>
      </c>
      <c r="V278" s="222" cm="1">
        <f t="array" ref="V278">MEDIAN(IF(U278=$U$4:$U$359,$S$4:$S$359))</f>
        <v>0.5483589578715401</v>
      </c>
      <c r="W278" s="298">
        <f t="shared" si="99"/>
        <v>-9.8429864646369603E-2</v>
      </c>
      <c r="X278" s="225">
        <f t="shared" si="106"/>
        <v>0.90625925119845641</v>
      </c>
      <c r="Y278" s="299">
        <f t="shared" ref="Y278:Y279" si="109">X278</f>
        <v>0.90625925119845641</v>
      </c>
      <c r="Z278" s="226"/>
      <c r="AA278" s="226"/>
      <c r="AB278" s="254"/>
      <c r="AC278" s="228" t="s">
        <v>1772</v>
      </c>
      <c r="AD278" s="276">
        <v>0.8</v>
      </c>
      <c r="AE278" s="228" t="s">
        <v>1859</v>
      </c>
      <c r="AG278" s="248"/>
      <c r="AH278" s="183"/>
      <c r="AI278" s="183"/>
      <c r="AJ278" s="183"/>
      <c r="AK278" s="183"/>
    </row>
    <row r="279" spans="1:38" s="182" customFormat="1" ht="15.75" hidden="1" customHeight="1" x14ac:dyDescent="0.25">
      <c r="A279" s="183" t="s">
        <v>1939</v>
      </c>
      <c r="B279" s="180"/>
      <c r="C279" s="217">
        <v>2023</v>
      </c>
      <c r="D279" s="180" t="s">
        <v>1652</v>
      </c>
      <c r="E279" s="180" t="s">
        <v>1660</v>
      </c>
      <c r="F279" s="180" t="s">
        <v>567</v>
      </c>
      <c r="G279" s="180" t="s">
        <v>1303</v>
      </c>
      <c r="H279" s="180" t="s">
        <v>264</v>
      </c>
      <c r="I279" s="180" t="s">
        <v>256</v>
      </c>
      <c r="J279" s="180" t="s">
        <v>49</v>
      </c>
      <c r="K279" s="180">
        <v>3</v>
      </c>
      <c r="L279" s="180">
        <v>1.8</v>
      </c>
      <c r="M279" s="180">
        <v>90</v>
      </c>
      <c r="N279" s="180">
        <v>7.6</v>
      </c>
      <c r="O279" s="94">
        <v>2</v>
      </c>
      <c r="P279" s="239">
        <f t="shared" si="104"/>
        <v>0.58778666490211906</v>
      </c>
      <c r="Q279" s="296" t="str">
        <f t="shared" si="98"/>
        <v>Chlorella</v>
      </c>
      <c r="R279" s="297">
        <f t="shared" si="100"/>
        <v>0.5432665685088095</v>
      </c>
      <c r="S279" s="220">
        <f t="shared" si="108"/>
        <v>4.4520096393309561E-2</v>
      </c>
      <c r="T279" s="236">
        <f t="shared" si="88"/>
        <v>33</v>
      </c>
      <c r="U279" s="221" t="str">
        <f t="shared" si="87"/>
        <v>33-POP-EC10-EX</v>
      </c>
      <c r="V279" s="222" cm="1">
        <f t="array" ref="V279">MEDIAN(IF(U279=$U$4:$U$359,$S$4:$S$359))</f>
        <v>0.5483589578715401</v>
      </c>
      <c r="W279" s="298">
        <f t="shared" si="99"/>
        <v>-9.8429864646369603E-2</v>
      </c>
      <c r="X279" s="225">
        <f t="shared" si="106"/>
        <v>0.90625925119845641</v>
      </c>
      <c r="Y279" s="225">
        <f t="shared" si="109"/>
        <v>0.90625925119845641</v>
      </c>
      <c r="Z279" s="226"/>
      <c r="AA279" s="226"/>
      <c r="AB279" s="254"/>
      <c r="AC279" s="228" t="s">
        <v>1772</v>
      </c>
      <c r="AD279" s="276">
        <v>0.8</v>
      </c>
      <c r="AE279" s="228" t="s">
        <v>1859</v>
      </c>
      <c r="AG279" s="248"/>
      <c r="AH279" s="183"/>
      <c r="AI279" s="183"/>
      <c r="AJ279" s="183"/>
      <c r="AK279" s="183"/>
    </row>
    <row r="280" spans="1:38" s="182" customFormat="1" ht="15.75" hidden="1" customHeight="1" x14ac:dyDescent="0.25">
      <c r="A280" s="183" t="s">
        <v>1940</v>
      </c>
      <c r="B280" s="180"/>
      <c r="C280" s="217">
        <v>2023</v>
      </c>
      <c r="D280" s="180" t="s">
        <v>1652</v>
      </c>
      <c r="E280" s="180" t="s">
        <v>1660</v>
      </c>
      <c r="F280" s="180" t="s">
        <v>567</v>
      </c>
      <c r="G280" s="180" t="s">
        <v>1303</v>
      </c>
      <c r="H280" s="180" t="s">
        <v>264</v>
      </c>
      <c r="I280" s="180" t="s">
        <v>256</v>
      </c>
      <c r="J280" s="180" t="s">
        <v>49</v>
      </c>
      <c r="K280" s="180">
        <v>3</v>
      </c>
      <c r="L280" s="180">
        <v>2.2999999999999998</v>
      </c>
      <c r="M280" s="180">
        <v>90</v>
      </c>
      <c r="N280" s="180">
        <v>7.6</v>
      </c>
      <c r="O280" s="94">
        <v>4.5999999999999996</v>
      </c>
      <c r="P280" s="239">
        <f t="shared" si="104"/>
        <v>0.83290912293510388</v>
      </c>
      <c r="Q280" s="296" t="str">
        <f t="shared" si="98"/>
        <v>Chlorella</v>
      </c>
      <c r="R280" s="297">
        <f t="shared" si="100"/>
        <v>0.83561767065903092</v>
      </c>
      <c r="S280" s="253">
        <f t="shared" si="108"/>
        <v>-2.708547723927035E-3</v>
      </c>
      <c r="T280" s="236">
        <f t="shared" si="88"/>
        <v>33</v>
      </c>
      <c r="U280" s="221" t="str">
        <f t="shared" si="87"/>
        <v>33-POP-EC10-EX</v>
      </c>
      <c r="V280" s="222" cm="1">
        <f t="array" ref="V280">MEDIAN(IF(U280=$U$4:$U$359,$S$4:$S$359))</f>
        <v>0.5483589578715401</v>
      </c>
      <c r="W280" s="298">
        <f t="shared" si="99"/>
        <v>-9.8429864646369603E-2</v>
      </c>
      <c r="X280" s="225">
        <f t="shared" si="106"/>
        <v>0.90625925119845641</v>
      </c>
      <c r="Y280" s="225"/>
      <c r="Z280" s="226"/>
      <c r="AA280" s="226"/>
      <c r="AB280" s="254"/>
      <c r="AC280" s="228" t="s">
        <v>1772</v>
      </c>
      <c r="AD280" s="276">
        <v>0.8</v>
      </c>
      <c r="AE280" s="228" t="s">
        <v>1859</v>
      </c>
      <c r="AG280" s="248"/>
      <c r="AH280" s="183"/>
      <c r="AI280" s="183"/>
      <c r="AJ280" s="183"/>
      <c r="AK280" s="183"/>
      <c r="AL280" s="183"/>
    </row>
    <row r="281" spans="1:38" s="182" customFormat="1" ht="15.75" hidden="1" customHeight="1" x14ac:dyDescent="0.25">
      <c r="A281" s="183" t="s">
        <v>1941</v>
      </c>
      <c r="B281" s="180"/>
      <c r="C281" s="217">
        <v>2023</v>
      </c>
      <c r="D281" s="180" t="s">
        <v>1652</v>
      </c>
      <c r="E281" s="180" t="s">
        <v>1660</v>
      </c>
      <c r="F281" s="180" t="s">
        <v>567</v>
      </c>
      <c r="G281" s="180" t="s">
        <v>1303</v>
      </c>
      <c r="H281" s="180" t="s">
        <v>264</v>
      </c>
      <c r="I281" s="180" t="s">
        <v>256</v>
      </c>
      <c r="J281" s="180" t="s">
        <v>49</v>
      </c>
      <c r="K281" s="180">
        <v>3</v>
      </c>
      <c r="L281" s="180">
        <v>2.9</v>
      </c>
      <c r="M281" s="180">
        <v>90</v>
      </c>
      <c r="N281" s="180">
        <v>7.6</v>
      </c>
      <c r="O281" s="94">
        <v>8.8000000000000007</v>
      </c>
      <c r="P281" s="239">
        <f t="shared" si="104"/>
        <v>1.0647107369924282</v>
      </c>
      <c r="Q281" s="296" t="str">
        <f t="shared" si="98"/>
        <v>Chlorella</v>
      </c>
      <c r="R281" s="297">
        <f t="shared" si="100"/>
        <v>1.0633097623732093</v>
      </c>
      <c r="S281" s="253">
        <f t="shared" si="108"/>
        <v>1.4009746192189532E-3</v>
      </c>
      <c r="T281" s="236">
        <f t="shared" si="88"/>
        <v>33</v>
      </c>
      <c r="U281" s="221" t="str">
        <f t="shared" si="87"/>
        <v>33-POP-EC10-EX</v>
      </c>
      <c r="V281" s="222" cm="1">
        <f t="array" ref="V281">MEDIAN(IF(U281=$U$4:$U$359,$S$4:$S$359))</f>
        <v>0.5483589578715401</v>
      </c>
      <c r="W281" s="298">
        <f t="shared" si="99"/>
        <v>-9.8429864646369603E-2</v>
      </c>
      <c r="X281" s="225">
        <f t="shared" si="106"/>
        <v>0.90625925119845641</v>
      </c>
      <c r="Y281" s="225">
        <f t="shared" ref="Y281:Y282" si="110">X281</f>
        <v>0.90625925119845641</v>
      </c>
      <c r="Z281" s="226"/>
      <c r="AA281" s="226"/>
      <c r="AB281" s="254"/>
      <c r="AC281" s="228" t="s">
        <v>1772</v>
      </c>
      <c r="AD281" s="276">
        <v>0.8</v>
      </c>
      <c r="AE281" s="228" t="s">
        <v>1859</v>
      </c>
      <c r="AG281" s="248"/>
      <c r="AH281" s="183"/>
      <c r="AI281" s="183"/>
      <c r="AJ281" s="183"/>
      <c r="AK281" s="183"/>
      <c r="AL281" s="183"/>
    </row>
    <row r="282" spans="1:38" s="182" customFormat="1" ht="15.75" hidden="1" customHeight="1" x14ac:dyDescent="0.25">
      <c r="A282" s="183" t="s">
        <v>1942</v>
      </c>
      <c r="B282" s="180"/>
      <c r="C282" s="217">
        <v>2023</v>
      </c>
      <c r="D282" s="180" t="s">
        <v>1652</v>
      </c>
      <c r="E282" s="180" t="s">
        <v>1660</v>
      </c>
      <c r="F282" s="180" t="s">
        <v>567</v>
      </c>
      <c r="G282" s="180" t="s">
        <v>1303</v>
      </c>
      <c r="H282" s="180" t="s">
        <v>264</v>
      </c>
      <c r="I282" s="180" t="s">
        <v>256</v>
      </c>
      <c r="J282" s="180" t="s">
        <v>49</v>
      </c>
      <c r="K282" s="180">
        <v>3</v>
      </c>
      <c r="L282" s="180">
        <v>3.4</v>
      </c>
      <c r="M282" s="180">
        <v>90</v>
      </c>
      <c r="N282" s="180">
        <v>7.6</v>
      </c>
      <c r="O282" s="94">
        <v>13</v>
      </c>
      <c r="P282" s="239">
        <f t="shared" si="104"/>
        <v>1.2237754316221157</v>
      </c>
      <c r="Q282" s="296" t="str">
        <f t="shared" si="98"/>
        <v>Chlorella</v>
      </c>
      <c r="R282" s="297">
        <f t="shared" si="100"/>
        <v>1.200269132601268</v>
      </c>
      <c r="S282" s="253">
        <f t="shared" si="108"/>
        <v>2.3506299020847665E-2</v>
      </c>
      <c r="T282" s="236">
        <f t="shared" si="88"/>
        <v>33</v>
      </c>
      <c r="U282" s="221" t="str">
        <f t="shared" si="87"/>
        <v>33-POP-EC10-EX</v>
      </c>
      <c r="V282" s="222" cm="1">
        <f t="array" ref="V282">MEDIAN(IF(U282=$U$4:$U$359,$S$4:$S$359))</f>
        <v>0.5483589578715401</v>
      </c>
      <c r="W282" s="298">
        <f t="shared" si="99"/>
        <v>-9.8429864646369603E-2</v>
      </c>
      <c r="X282" s="225">
        <f t="shared" si="106"/>
        <v>0.90625925119845641</v>
      </c>
      <c r="Y282" s="225">
        <f t="shared" si="110"/>
        <v>0.90625925119845641</v>
      </c>
      <c r="Z282" s="226"/>
      <c r="AA282" s="226"/>
      <c r="AB282" s="254"/>
      <c r="AC282" s="228" t="s">
        <v>1772</v>
      </c>
      <c r="AD282" s="276">
        <v>0.8</v>
      </c>
      <c r="AE282" s="228" t="s">
        <v>1859</v>
      </c>
      <c r="AG282" s="248"/>
      <c r="AH282" s="183"/>
      <c r="AI282" s="183"/>
      <c r="AJ282" s="183"/>
      <c r="AK282" s="183"/>
      <c r="AL282" s="183"/>
    </row>
    <row r="283" spans="1:38" s="182" customFormat="1" ht="15.75" hidden="1" customHeight="1" x14ac:dyDescent="0.25">
      <c r="A283" s="183" t="s">
        <v>1943</v>
      </c>
      <c r="B283" s="180"/>
      <c r="C283" s="217">
        <v>2023</v>
      </c>
      <c r="D283" s="180" t="s">
        <v>1652</v>
      </c>
      <c r="E283" s="180" t="s">
        <v>1660</v>
      </c>
      <c r="F283" s="180" t="s">
        <v>567</v>
      </c>
      <c r="G283" s="180" t="s">
        <v>1303</v>
      </c>
      <c r="H283" s="180" t="s">
        <v>264</v>
      </c>
      <c r="I283" s="180" t="s">
        <v>256</v>
      </c>
      <c r="J283" s="180" t="s">
        <v>49</v>
      </c>
      <c r="K283" s="180">
        <v>3</v>
      </c>
      <c r="L283" s="180">
        <v>2.2000000000000002</v>
      </c>
      <c r="M283" s="180">
        <v>90</v>
      </c>
      <c r="N283" s="180">
        <v>6.7</v>
      </c>
      <c r="O283" s="94">
        <v>4.9000000000000004</v>
      </c>
      <c r="P283" s="239">
        <f t="shared" si="104"/>
        <v>0.78845736036427028</v>
      </c>
      <c r="Q283" s="296" t="str">
        <f t="shared" si="98"/>
        <v>Chlorella</v>
      </c>
      <c r="R283" s="297">
        <f t="shared" si="100"/>
        <v>1.1808934651281884</v>
      </c>
      <c r="S283" s="220">
        <f t="shared" si="108"/>
        <v>-0.3924361047639181</v>
      </c>
      <c r="T283" s="236">
        <f t="shared" si="88"/>
        <v>33</v>
      </c>
      <c r="U283" s="221" t="str">
        <f t="shared" si="87"/>
        <v>33-POP-EC10-EX</v>
      </c>
      <c r="V283" s="222" cm="1">
        <f t="array" ref="V283">MEDIAN(IF(U283=$U$4:$U$359,$S$4:$S$359))</f>
        <v>0.5483589578715401</v>
      </c>
      <c r="W283" s="298">
        <f t="shared" si="99"/>
        <v>-9.8429864646369603E-2</v>
      </c>
      <c r="X283" s="225">
        <f t="shared" si="106"/>
        <v>0.90625925119845641</v>
      </c>
      <c r="Y283" s="225"/>
      <c r="Z283" s="226"/>
      <c r="AA283" s="226"/>
      <c r="AB283" s="254"/>
      <c r="AC283" s="228" t="s">
        <v>1772</v>
      </c>
      <c r="AD283" s="276">
        <v>0.8</v>
      </c>
      <c r="AE283" s="228" t="s">
        <v>1859</v>
      </c>
      <c r="AG283" s="248"/>
      <c r="AH283" s="183"/>
      <c r="AI283" s="183"/>
      <c r="AJ283" s="183"/>
      <c r="AK283" s="183"/>
      <c r="AL283" s="183"/>
    </row>
    <row r="284" spans="1:38" s="183" customFormat="1" ht="15.75" hidden="1" customHeight="1" x14ac:dyDescent="0.25">
      <c r="A284" s="183" t="s">
        <v>1944</v>
      </c>
      <c r="B284" s="180"/>
      <c r="C284" s="217">
        <v>2023</v>
      </c>
      <c r="D284" s="180" t="s">
        <v>1652</v>
      </c>
      <c r="E284" s="180" t="s">
        <v>1660</v>
      </c>
      <c r="F284" s="180" t="s">
        <v>567</v>
      </c>
      <c r="G284" s="180" t="s">
        <v>1303</v>
      </c>
      <c r="H284" s="180" t="s">
        <v>264</v>
      </c>
      <c r="I284" s="180" t="s">
        <v>256</v>
      </c>
      <c r="J284" s="180" t="s">
        <v>49</v>
      </c>
      <c r="K284" s="180">
        <v>3</v>
      </c>
      <c r="L284" s="180">
        <v>2</v>
      </c>
      <c r="M284" s="180">
        <v>90</v>
      </c>
      <c r="N284" s="180">
        <v>8.3000000000000007</v>
      </c>
      <c r="O284" s="94">
        <v>4.9000000000000004</v>
      </c>
      <c r="P284" s="239">
        <f t="shared" si="104"/>
        <v>0.69314718055994529</v>
      </c>
      <c r="Q284" s="296" t="str">
        <f t="shared" si="98"/>
        <v>Chlorella</v>
      </c>
      <c r="R284" s="297">
        <f t="shared" si="100"/>
        <v>0.60649346512818814</v>
      </c>
      <c r="S284" s="220">
        <f t="shared" si="108"/>
        <v>8.665371543175715E-2</v>
      </c>
      <c r="T284" s="236">
        <f t="shared" si="88"/>
        <v>33</v>
      </c>
      <c r="U284" s="221" t="str">
        <f t="shared" si="87"/>
        <v>33-POP-EC10-EX</v>
      </c>
      <c r="V284" s="222" cm="1">
        <f t="array" ref="V284">MEDIAN(IF(U284=$U$4:$U$359,$S$4:$S$359))</f>
        <v>0.5483589578715401</v>
      </c>
      <c r="W284" s="298">
        <f t="shared" si="99"/>
        <v>-9.8429864646369603E-2</v>
      </c>
      <c r="X284" s="225">
        <f t="shared" si="106"/>
        <v>0.90625925119845641</v>
      </c>
      <c r="Y284" s="301">
        <f t="shared" ref="Y284:Y285" si="111">X284</f>
        <v>0.90625925119845641</v>
      </c>
      <c r="Z284" s="226"/>
      <c r="AA284" s="226"/>
      <c r="AB284" s="254"/>
      <c r="AC284" s="228" t="s">
        <v>1772</v>
      </c>
      <c r="AD284" s="276">
        <v>0.8</v>
      </c>
      <c r="AE284" s="228" t="s">
        <v>1859</v>
      </c>
      <c r="AG284" s="248"/>
    </row>
    <row r="285" spans="1:38" s="183" customFormat="1" ht="15.75" hidden="1" customHeight="1" x14ac:dyDescent="0.25">
      <c r="A285" s="183" t="s">
        <v>1945</v>
      </c>
      <c r="B285" s="180"/>
      <c r="C285" s="217">
        <v>2022</v>
      </c>
      <c r="D285" s="180" t="s">
        <v>1654</v>
      </c>
      <c r="E285" s="180" t="s">
        <v>1661</v>
      </c>
      <c r="F285" s="180" t="s">
        <v>567</v>
      </c>
      <c r="G285" s="180" t="s">
        <v>1303</v>
      </c>
      <c r="H285" s="180" t="s">
        <v>264</v>
      </c>
      <c r="I285" s="180" t="s">
        <v>256</v>
      </c>
      <c r="J285" s="180" t="s">
        <v>49</v>
      </c>
      <c r="K285" s="180">
        <v>3</v>
      </c>
      <c r="L285" s="180">
        <v>145</v>
      </c>
      <c r="M285" s="180">
        <v>355</v>
      </c>
      <c r="N285" s="180">
        <v>8.0500000000000007</v>
      </c>
      <c r="O285" s="94">
        <v>4.2</v>
      </c>
      <c r="P285" s="239">
        <f t="shared" si="104"/>
        <v>4.9767337424205742</v>
      </c>
      <c r="Q285" s="296" t="str">
        <f t="shared" si="98"/>
        <v>Chlorella</v>
      </c>
      <c r="R285" s="297">
        <f t="shared" si="100"/>
        <v>1.5656999406935075</v>
      </c>
      <c r="S285" s="220">
        <f t="shared" si="108"/>
        <v>3.4110338017270667</v>
      </c>
      <c r="T285" s="236">
        <f t="shared" si="88"/>
        <v>33</v>
      </c>
      <c r="U285" s="221" t="str">
        <f t="shared" si="87"/>
        <v>33-POP-EC10-EX</v>
      </c>
      <c r="V285" s="222" cm="1">
        <f t="array" ref="V285">MEDIAN(IF(U285=$U$4:$U$359,$S$4:$S$359))</f>
        <v>0.5483589578715401</v>
      </c>
      <c r="W285" s="298">
        <f t="shared" si="99"/>
        <v>-9.8429864646369603E-2</v>
      </c>
      <c r="X285" s="299">
        <f t="shared" si="106"/>
        <v>0.90625925119845641</v>
      </c>
      <c r="Y285" s="299">
        <f t="shared" si="111"/>
        <v>0.90625925119845641</v>
      </c>
      <c r="Z285" s="226"/>
      <c r="AA285" s="226"/>
      <c r="AB285" s="254"/>
      <c r="AC285" s="228" t="s">
        <v>1772</v>
      </c>
      <c r="AD285" s="276">
        <v>0.85</v>
      </c>
      <c r="AE285" s="228" t="s">
        <v>1859</v>
      </c>
      <c r="AG285" s="248"/>
    </row>
    <row r="286" spans="1:38" s="183" customFormat="1" ht="15.75" hidden="1" customHeight="1" x14ac:dyDescent="0.25">
      <c r="B286" s="180"/>
      <c r="C286" s="217">
        <v>2022</v>
      </c>
      <c r="D286" s="180" t="s">
        <v>1654</v>
      </c>
      <c r="E286" s="180" t="s">
        <v>1667</v>
      </c>
      <c r="F286" s="180" t="s">
        <v>567</v>
      </c>
      <c r="G286" s="180" t="s">
        <v>1303</v>
      </c>
      <c r="H286" s="180" t="s">
        <v>264</v>
      </c>
      <c r="I286" s="180" t="s">
        <v>256</v>
      </c>
      <c r="J286" s="180" t="s">
        <v>49</v>
      </c>
      <c r="K286" s="180">
        <v>3</v>
      </c>
      <c r="L286" s="180">
        <v>42</v>
      </c>
      <c r="M286" s="180">
        <v>355</v>
      </c>
      <c r="N286" s="180">
        <v>8.1999999999999993</v>
      </c>
      <c r="O286" s="94">
        <v>4.2</v>
      </c>
      <c r="P286" s="239">
        <f t="shared" si="104"/>
        <v>3.7376696182833684</v>
      </c>
      <c r="Q286" s="296" t="str">
        <f t="shared" si="98"/>
        <v>Chlorella</v>
      </c>
      <c r="R286" s="297">
        <f t="shared" si="100"/>
        <v>1.5118499406935082</v>
      </c>
      <c r="S286" s="220">
        <f t="shared" si="108"/>
        <v>2.2258196775898602</v>
      </c>
      <c r="T286" s="236">
        <f t="shared" si="88"/>
        <v>33</v>
      </c>
      <c r="U286" s="221"/>
      <c r="V286" s="222" cm="1">
        <f t="array" ref="V286">MEDIAN(IF(U286=$U$4:$U$359,$S$4:$S$359))</f>
        <v>4.2196406827236466</v>
      </c>
      <c r="W286" s="298">
        <f t="shared" si="99"/>
        <v>3.5728518602057369</v>
      </c>
      <c r="X286" s="225">
        <f t="shared" si="106"/>
        <v>35.618026077796735</v>
      </c>
      <c r="Y286" s="225"/>
      <c r="AA286" s="221" t="s">
        <v>1946</v>
      </c>
      <c r="AB286" s="254"/>
      <c r="AC286" s="228"/>
      <c r="AD286" s="228"/>
      <c r="AE286" s="228"/>
      <c r="AG286" s="248"/>
    </row>
    <row r="287" spans="1:38" s="183" customFormat="1" ht="15.75" hidden="1" customHeight="1" x14ac:dyDescent="0.25">
      <c r="A287" s="183" t="s">
        <v>1947</v>
      </c>
      <c r="B287" s="180"/>
      <c r="C287" s="217">
        <v>2022</v>
      </c>
      <c r="D287" s="180" t="s">
        <v>1654</v>
      </c>
      <c r="E287" s="180" t="s">
        <v>1662</v>
      </c>
      <c r="F287" s="180" t="s">
        <v>567</v>
      </c>
      <c r="G287" s="180" t="s">
        <v>1303</v>
      </c>
      <c r="H287" s="180" t="s">
        <v>264</v>
      </c>
      <c r="I287" s="180" t="s">
        <v>256</v>
      </c>
      <c r="J287" s="180" t="s">
        <v>49</v>
      </c>
      <c r="K287" s="180">
        <v>3</v>
      </c>
      <c r="L287" s="180">
        <v>35</v>
      </c>
      <c r="M287" s="180">
        <v>89</v>
      </c>
      <c r="N287" s="180">
        <v>7.42</v>
      </c>
      <c r="O287" s="94">
        <v>20</v>
      </c>
      <c r="P287" s="239">
        <f t="shared" si="104"/>
        <v>3.5553480614894135</v>
      </c>
      <c r="Q287" s="296" t="str">
        <f t="shared" si="98"/>
        <v>Chlorella</v>
      </c>
      <c r="R287" s="297">
        <f t="shared" si="100"/>
        <v>1.408574304847181</v>
      </c>
      <c r="S287" s="220">
        <f t="shared" si="108"/>
        <v>2.1467737566422325</v>
      </c>
      <c r="T287" s="236">
        <f t="shared" si="88"/>
        <v>33</v>
      </c>
      <c r="U287" s="221"/>
      <c r="V287" s="222" cm="1">
        <f t="array" ref="V287">MEDIAN(IF(U287=$U$4:$U$359,$S$4:$S$359))</f>
        <v>4.2196406827236466</v>
      </c>
      <c r="W287" s="298">
        <f t="shared" si="99"/>
        <v>3.5728518602057369</v>
      </c>
      <c r="X287" s="225">
        <f t="shared" si="106"/>
        <v>35.618026077796735</v>
      </c>
      <c r="Y287" s="225" t="s">
        <v>1406</v>
      </c>
      <c r="Z287" s="226"/>
      <c r="AA287" s="226" t="s">
        <v>1948</v>
      </c>
      <c r="AB287" s="254"/>
      <c r="AC287" s="228" t="s">
        <v>1772</v>
      </c>
      <c r="AD287" s="276">
        <v>0.85</v>
      </c>
      <c r="AE287" s="228" t="s">
        <v>1859</v>
      </c>
      <c r="AG287" s="248"/>
    </row>
    <row r="288" spans="1:38" s="183" customFormat="1" ht="15.75" hidden="1" customHeight="1" x14ac:dyDescent="0.25">
      <c r="B288" s="180"/>
      <c r="C288" s="217">
        <v>2022</v>
      </c>
      <c r="D288" s="180" t="s">
        <v>1654</v>
      </c>
      <c r="E288" s="180" t="s">
        <v>1668</v>
      </c>
      <c r="F288" s="180" t="s">
        <v>567</v>
      </c>
      <c r="G288" s="180" t="s">
        <v>1303</v>
      </c>
      <c r="H288" s="180" t="s">
        <v>264</v>
      </c>
      <c r="I288" s="180" t="s">
        <v>256</v>
      </c>
      <c r="J288" s="180" t="s">
        <v>49</v>
      </c>
      <c r="K288" s="180">
        <v>3</v>
      </c>
      <c r="L288" s="180">
        <v>51</v>
      </c>
      <c r="M288" s="180">
        <v>89</v>
      </c>
      <c r="N288" s="180">
        <v>8</v>
      </c>
      <c r="O288" s="94">
        <v>20</v>
      </c>
      <c r="P288" s="239">
        <f t="shared" si="104"/>
        <v>3.9318256327243257</v>
      </c>
      <c r="Q288" s="296" t="str">
        <f t="shared" si="98"/>
        <v>Chlorella</v>
      </c>
      <c r="R288" s="297">
        <f t="shared" si="100"/>
        <v>1.2003543048471812</v>
      </c>
      <c r="S288" s="220">
        <f t="shared" si="108"/>
        <v>2.7314713278771445</v>
      </c>
      <c r="T288" s="236">
        <f t="shared" si="88"/>
        <v>33</v>
      </c>
      <c r="U288" s="221"/>
      <c r="V288" s="222" cm="1">
        <f t="array" ref="V288">MEDIAN(IF(U288=$U$4:$U$359,$S$4:$S$359))</f>
        <v>4.2196406827236466</v>
      </c>
      <c r="W288" s="298">
        <f t="shared" si="99"/>
        <v>3.5728518602057369</v>
      </c>
      <c r="X288" s="225">
        <f t="shared" si="106"/>
        <v>35.618026077796735</v>
      </c>
      <c r="Y288" s="225"/>
      <c r="AA288" s="221" t="s">
        <v>1946</v>
      </c>
      <c r="AB288" s="254"/>
      <c r="AC288" s="228"/>
      <c r="AD288" s="228"/>
      <c r="AE288" s="228"/>
      <c r="AG288" s="248"/>
    </row>
    <row r="289" spans="1:33" s="183" customFormat="1" ht="15.75" hidden="1" customHeight="1" x14ac:dyDescent="0.25">
      <c r="A289" s="183" t="s">
        <v>1949</v>
      </c>
      <c r="C289" s="217">
        <v>2022</v>
      </c>
      <c r="D289" s="180" t="s">
        <v>1654</v>
      </c>
      <c r="E289" s="180" t="s">
        <v>1663</v>
      </c>
      <c r="F289" s="180" t="s">
        <v>567</v>
      </c>
      <c r="G289" s="180" t="s">
        <v>1303</v>
      </c>
      <c r="H289" s="180" t="s">
        <v>264</v>
      </c>
      <c r="I289" s="180" t="s">
        <v>256</v>
      </c>
      <c r="J289" s="180" t="s">
        <v>49</v>
      </c>
      <c r="K289" s="180">
        <v>3</v>
      </c>
      <c r="L289" s="180">
        <v>27</v>
      </c>
      <c r="M289" s="180">
        <v>3</v>
      </c>
      <c r="N289" s="180">
        <v>6.38</v>
      </c>
      <c r="O289" s="94">
        <v>6</v>
      </c>
      <c r="P289" s="239">
        <f t="shared" si="104"/>
        <v>3.2958368660043291</v>
      </c>
      <c r="Q289" s="296" t="str">
        <f t="shared" si="98"/>
        <v>Chlorella</v>
      </c>
      <c r="R289" s="297">
        <f t="shared" si="100"/>
        <v>-0.92214635602731443</v>
      </c>
      <c r="S289" s="220">
        <f t="shared" si="108"/>
        <v>4.2179832220316431</v>
      </c>
      <c r="T289" s="236">
        <f t="shared" si="88"/>
        <v>33</v>
      </c>
      <c r="U289" s="221" t="str">
        <f t="shared" ref="U289" si="112">CONCATENATE(T289,"-",I289,"-",J289,"-",H289)</f>
        <v>33-POP-EC10-EX</v>
      </c>
      <c r="V289" s="222" cm="1">
        <f t="array" ref="V289">MEDIAN(IF(U289=$U$4:$U$359,$S$4:$S$359))</f>
        <v>0.5483589578715401</v>
      </c>
      <c r="W289" s="298">
        <f t="shared" si="99"/>
        <v>-9.8429864646369603E-2</v>
      </c>
      <c r="X289" s="225">
        <f t="shared" si="106"/>
        <v>0.90625925119845641</v>
      </c>
      <c r="Y289" s="225"/>
      <c r="Z289" s="226"/>
      <c r="AA289" s="226"/>
      <c r="AB289" s="254"/>
      <c r="AC289" s="228" t="s">
        <v>1772</v>
      </c>
      <c r="AD289" s="276">
        <v>0.85</v>
      </c>
      <c r="AE289" s="228" t="s">
        <v>1859</v>
      </c>
      <c r="AG289" s="248"/>
    </row>
    <row r="290" spans="1:33" s="183" customFormat="1" ht="15.75" hidden="1" customHeight="1" x14ac:dyDescent="0.25">
      <c r="B290" s="180"/>
      <c r="C290" s="217">
        <v>2022</v>
      </c>
      <c r="D290" s="180" t="s">
        <v>1654</v>
      </c>
      <c r="E290" s="180" t="s">
        <v>1669</v>
      </c>
      <c r="F290" s="180" t="s">
        <v>567</v>
      </c>
      <c r="G290" s="180" t="s">
        <v>1303</v>
      </c>
      <c r="H290" s="180" t="s">
        <v>264</v>
      </c>
      <c r="I290" s="180" t="s">
        <v>256</v>
      </c>
      <c r="J290" s="180" t="s">
        <v>49</v>
      </c>
      <c r="K290" s="180">
        <v>3</v>
      </c>
      <c r="L290" s="180">
        <v>14</v>
      </c>
      <c r="M290" s="180">
        <v>3</v>
      </c>
      <c r="N290" s="180">
        <v>6.7</v>
      </c>
      <c r="O290" s="94">
        <v>6</v>
      </c>
      <c r="P290" s="239">
        <f t="shared" si="104"/>
        <v>2.6390573296152584</v>
      </c>
      <c r="Q290" s="296" t="str">
        <f t="shared" si="98"/>
        <v>Chlorella</v>
      </c>
      <c r="R290" s="297">
        <f t="shared" si="100"/>
        <v>-1.0370263560273147</v>
      </c>
      <c r="S290" s="220">
        <f t="shared" si="108"/>
        <v>3.6760836856425732</v>
      </c>
      <c r="T290" s="236">
        <f t="shared" si="88"/>
        <v>33</v>
      </c>
      <c r="U290" s="221"/>
      <c r="V290" s="222" cm="1">
        <f t="array" ref="V290">MEDIAN(IF(U290=$U$4:$U$359,$S$4:$S$359))</f>
        <v>4.2196406827236466</v>
      </c>
      <c r="W290" s="298">
        <f t="shared" si="99"/>
        <v>3.5728518602057369</v>
      </c>
      <c r="X290" s="225">
        <f t="shared" si="106"/>
        <v>35.618026077796735</v>
      </c>
      <c r="Y290" s="225"/>
      <c r="AA290" s="221" t="s">
        <v>1946</v>
      </c>
      <c r="AB290" s="254"/>
      <c r="AC290" s="228"/>
      <c r="AD290" s="228"/>
      <c r="AE290" s="228"/>
      <c r="AG290" s="248"/>
    </row>
    <row r="291" spans="1:33" s="183" customFormat="1" ht="15.75" hidden="1" customHeight="1" x14ac:dyDescent="0.25">
      <c r="A291" s="183" t="s">
        <v>1950</v>
      </c>
      <c r="B291" s="180"/>
      <c r="C291" s="217">
        <v>2022</v>
      </c>
      <c r="D291" s="180" t="s">
        <v>1654</v>
      </c>
      <c r="E291" s="180" t="s">
        <v>1664</v>
      </c>
      <c r="F291" s="180" t="s">
        <v>567</v>
      </c>
      <c r="G291" s="180" t="s">
        <v>1303</v>
      </c>
      <c r="H291" s="180" t="s">
        <v>264</v>
      </c>
      <c r="I291" s="180" t="s">
        <v>256</v>
      </c>
      <c r="J291" s="180" t="s">
        <v>49</v>
      </c>
      <c r="K291" s="180">
        <v>3</v>
      </c>
      <c r="L291" s="180">
        <v>6.6</v>
      </c>
      <c r="M291" s="180">
        <v>11</v>
      </c>
      <c r="N291" s="180">
        <v>7.47</v>
      </c>
      <c r="O291" s="94">
        <v>0.5</v>
      </c>
      <c r="P291" s="239">
        <f t="shared" si="104"/>
        <v>1.8870696490323797</v>
      </c>
      <c r="Q291" s="296" t="str">
        <f t="shared" si="98"/>
        <v>Chlorella</v>
      </c>
      <c r="R291" s="297">
        <f t="shared" si="100"/>
        <v>-1.311241141783237</v>
      </c>
      <c r="S291" s="220">
        <f t="shared" si="108"/>
        <v>3.1983107908156168</v>
      </c>
      <c r="T291" s="236">
        <f t="shared" ref="T291:T327" si="113">IF(F291=F290,T290,T290+1)</f>
        <v>33</v>
      </c>
      <c r="U291" s="221" t="str">
        <f t="shared" ref="U291" si="114">CONCATENATE(T291,"-",I291,"-",J291,"-",H291)</f>
        <v>33-POP-EC10-EX</v>
      </c>
      <c r="V291" s="222" cm="1">
        <f t="array" ref="V291">MEDIAN(IF(U291=$U$4:$U$359,$S$4:$S$359))</f>
        <v>0.5483589578715401</v>
      </c>
      <c r="W291" s="298">
        <f t="shared" si="99"/>
        <v>-9.8429864646369603E-2</v>
      </c>
      <c r="X291" s="225">
        <f t="shared" si="106"/>
        <v>0.90625925119845641</v>
      </c>
      <c r="Y291" s="225"/>
      <c r="AA291" s="226"/>
      <c r="AB291" s="254"/>
      <c r="AC291" s="228" t="s">
        <v>1772</v>
      </c>
      <c r="AD291" s="276">
        <v>0.85</v>
      </c>
      <c r="AE291" s="228" t="s">
        <v>1859</v>
      </c>
      <c r="AG291" s="248"/>
    </row>
    <row r="292" spans="1:33" s="183" customFormat="1" ht="15.75" hidden="1" customHeight="1" x14ac:dyDescent="0.25">
      <c r="B292" s="180"/>
      <c r="C292" s="217">
        <v>2022</v>
      </c>
      <c r="D292" s="180" t="s">
        <v>1654</v>
      </c>
      <c r="E292" s="180" t="s">
        <v>1670</v>
      </c>
      <c r="F292" s="180" t="s">
        <v>567</v>
      </c>
      <c r="G292" s="180" t="s">
        <v>1303</v>
      </c>
      <c r="H292" s="180" t="s">
        <v>264</v>
      </c>
      <c r="I292" s="180" t="s">
        <v>256</v>
      </c>
      <c r="J292" s="180" t="s">
        <v>49</v>
      </c>
      <c r="K292" s="180">
        <v>3</v>
      </c>
      <c r="L292" s="180">
        <v>7.4</v>
      </c>
      <c r="M292" s="180">
        <v>11</v>
      </c>
      <c r="N292" s="180">
        <v>7.7</v>
      </c>
      <c r="O292" s="94">
        <v>0.5</v>
      </c>
      <c r="P292" s="239">
        <f t="shared" si="104"/>
        <v>2.0014800002101243</v>
      </c>
      <c r="Q292" s="296" t="str">
        <f t="shared" si="98"/>
        <v>Chlorella</v>
      </c>
      <c r="R292" s="297">
        <f t="shared" si="100"/>
        <v>-1.3938111417832371</v>
      </c>
      <c r="S292" s="220">
        <f t="shared" si="108"/>
        <v>3.3952911419933614</v>
      </c>
      <c r="T292" s="236">
        <f t="shared" si="113"/>
        <v>33</v>
      </c>
      <c r="U292" s="221"/>
      <c r="V292" s="222" cm="1">
        <f t="array" ref="V292">MEDIAN(IF(U292=$U$4:$U$359,$S$4:$S$359))</f>
        <v>4.2196406827236466</v>
      </c>
      <c r="W292" s="298">
        <f t="shared" si="99"/>
        <v>3.5728518602057369</v>
      </c>
      <c r="X292" s="225">
        <f t="shared" si="106"/>
        <v>35.618026077796735</v>
      </c>
      <c r="Y292" s="225"/>
      <c r="AA292" s="221" t="s">
        <v>1946</v>
      </c>
      <c r="AB292" s="254"/>
      <c r="AC292" s="228"/>
      <c r="AD292" s="228"/>
      <c r="AE292" s="228"/>
      <c r="AG292" s="248"/>
    </row>
    <row r="293" spans="1:33" s="183" customFormat="1" ht="15.75" hidden="1" customHeight="1" x14ac:dyDescent="0.25">
      <c r="A293" s="183" t="s">
        <v>1951</v>
      </c>
      <c r="B293" s="180"/>
      <c r="C293" s="217">
        <v>2022</v>
      </c>
      <c r="D293" s="180" t="s">
        <v>1654</v>
      </c>
      <c r="E293" s="180" t="s">
        <v>1672</v>
      </c>
      <c r="F293" s="180" t="s">
        <v>567</v>
      </c>
      <c r="G293" s="180" t="s">
        <v>1303</v>
      </c>
      <c r="H293" s="180" t="s">
        <v>264</v>
      </c>
      <c r="I293" s="180" t="s">
        <v>256</v>
      </c>
      <c r="J293" s="180" t="s">
        <v>49</v>
      </c>
      <c r="K293" s="180">
        <v>3</v>
      </c>
      <c r="L293" s="180">
        <v>6.3</v>
      </c>
      <c r="M293" s="180">
        <v>11</v>
      </c>
      <c r="N293" s="180">
        <v>8.01</v>
      </c>
      <c r="O293" s="94">
        <v>0.5</v>
      </c>
      <c r="P293" s="239">
        <f t="shared" si="104"/>
        <v>1.8405496333974869</v>
      </c>
      <c r="Q293" s="296" t="str">
        <f t="shared" si="98"/>
        <v>Chlorella</v>
      </c>
      <c r="R293" s="297">
        <f t="shared" si="100"/>
        <v>-1.505101141783237</v>
      </c>
      <c r="S293" s="220">
        <f t="shared" si="108"/>
        <v>3.3456507751807241</v>
      </c>
      <c r="T293" s="236">
        <f t="shared" si="113"/>
        <v>33</v>
      </c>
      <c r="U293" s="221" t="str">
        <f t="shared" ref="U293" si="115">CONCATENATE(T293,"-",I293,"-",J293,"-",H293)</f>
        <v>33-POP-EC10-EX</v>
      </c>
      <c r="V293" s="222" cm="1">
        <f t="array" ref="V293">MEDIAN(IF(U293=$U$4:$U$359,$S$4:$S$359))</f>
        <v>0.5483589578715401</v>
      </c>
      <c r="W293" s="298">
        <f t="shared" si="99"/>
        <v>-9.8429864646369603E-2</v>
      </c>
      <c r="X293" s="225">
        <f t="shared" si="106"/>
        <v>0.90625925119845641</v>
      </c>
      <c r="Y293" s="225"/>
      <c r="Z293" s="226"/>
      <c r="AA293" s="226"/>
      <c r="AB293" s="254"/>
      <c r="AC293" s="228" t="s">
        <v>1772</v>
      </c>
      <c r="AD293" s="276">
        <v>0.85</v>
      </c>
      <c r="AE293" s="228" t="s">
        <v>1859</v>
      </c>
      <c r="AG293" s="248"/>
    </row>
    <row r="294" spans="1:33" s="183" customFormat="1" ht="15.75" hidden="1" customHeight="1" x14ac:dyDescent="0.25">
      <c r="B294" s="180"/>
      <c r="C294" s="217">
        <v>2022</v>
      </c>
      <c r="D294" s="180" t="s">
        <v>1654</v>
      </c>
      <c r="E294" s="180" t="s">
        <v>1666</v>
      </c>
      <c r="F294" s="180" t="s">
        <v>567</v>
      </c>
      <c r="G294" s="180" t="s">
        <v>1303</v>
      </c>
      <c r="H294" s="180" t="s">
        <v>264</v>
      </c>
      <c r="I294" s="180" t="s">
        <v>256</v>
      </c>
      <c r="J294" s="180" t="s">
        <v>49</v>
      </c>
      <c r="K294" s="180">
        <v>3</v>
      </c>
      <c r="L294" s="180">
        <v>109</v>
      </c>
      <c r="M294" s="180">
        <v>13</v>
      </c>
      <c r="N294" s="180">
        <v>6.1</v>
      </c>
      <c r="O294" s="94">
        <v>25</v>
      </c>
      <c r="P294" s="239">
        <f t="shared" si="104"/>
        <v>4.6913478822291435</v>
      </c>
      <c r="Q294" s="296" t="str">
        <f t="shared" si="98"/>
        <v>Chlorella</v>
      </c>
      <c r="R294" s="297">
        <f t="shared" si="100"/>
        <v>0.66613633210035283</v>
      </c>
      <c r="S294" s="220">
        <f t="shared" si="108"/>
        <v>4.0252115501287911</v>
      </c>
      <c r="T294" s="236">
        <f t="shared" si="113"/>
        <v>33</v>
      </c>
      <c r="U294" s="221"/>
      <c r="V294" s="222" cm="1">
        <f t="array" ref="V294">MEDIAN(IF(U294=$U$4:$U$359,$S$4:$S$359))</f>
        <v>4.2196406827236466</v>
      </c>
      <c r="W294" s="298">
        <f t="shared" si="99"/>
        <v>3.5728518602057369</v>
      </c>
      <c r="X294" s="225">
        <f t="shared" si="106"/>
        <v>35.618026077796735</v>
      </c>
      <c r="Y294" s="225" t="s">
        <v>1406</v>
      </c>
      <c r="Z294" s="226"/>
      <c r="AA294" s="226" t="s">
        <v>1948</v>
      </c>
      <c r="AB294" s="254"/>
      <c r="AC294" s="228"/>
      <c r="AD294" s="228"/>
      <c r="AE294" s="228"/>
      <c r="AG294" s="248"/>
    </row>
    <row r="295" spans="1:33" s="183" customFormat="1" ht="15.75" hidden="1" customHeight="1" x14ac:dyDescent="0.25">
      <c r="A295" s="183" t="s">
        <v>1952</v>
      </c>
      <c r="B295" s="180"/>
      <c r="C295" s="217">
        <v>2022</v>
      </c>
      <c r="D295" s="180" t="s">
        <v>1654</v>
      </c>
      <c r="E295" s="180" t="s">
        <v>1665</v>
      </c>
      <c r="F295" s="180" t="s">
        <v>567</v>
      </c>
      <c r="G295" s="180" t="s">
        <v>1303</v>
      </c>
      <c r="H295" s="180" t="s">
        <v>264</v>
      </c>
      <c r="I295" s="180" t="s">
        <v>256</v>
      </c>
      <c r="J295" s="180" t="s">
        <v>49</v>
      </c>
      <c r="K295" s="180">
        <v>3</v>
      </c>
      <c r="L295" s="180">
        <v>193</v>
      </c>
      <c r="M295" s="180">
        <v>18</v>
      </c>
      <c r="N295" s="180">
        <v>7.11</v>
      </c>
      <c r="O295" s="94">
        <v>5.3</v>
      </c>
      <c r="P295" s="239">
        <f t="shared" si="104"/>
        <v>5.2626901889048856</v>
      </c>
      <c r="Q295" s="296" t="str">
        <f t="shared" si="98"/>
        <v>Chlorella</v>
      </c>
      <c r="R295" s="297">
        <f t="shared" si="100"/>
        <v>-2.1904712919996627E-2</v>
      </c>
      <c r="S295" s="220">
        <f t="shared" si="108"/>
        <v>5.2845949018248826</v>
      </c>
      <c r="T295" s="236">
        <f t="shared" si="113"/>
        <v>33</v>
      </c>
      <c r="U295" s="221" t="str">
        <f t="shared" ref="U295" si="116">CONCATENATE(T295,"-",I295,"-",J295,"-",H295)</f>
        <v>33-POP-EC10-EX</v>
      </c>
      <c r="V295" s="222" cm="1">
        <f t="array" ref="V295">MEDIAN(IF(U295=$U$4:$U$359,$S$4:$S$359))</f>
        <v>0.5483589578715401</v>
      </c>
      <c r="W295" s="298">
        <f t="shared" si="99"/>
        <v>-9.8429864646369603E-2</v>
      </c>
      <c r="X295" s="225">
        <f t="shared" si="106"/>
        <v>0.90625925119845641</v>
      </c>
      <c r="Y295" s="225"/>
      <c r="Z295" s="226"/>
      <c r="AA295" s="226"/>
      <c r="AB295" s="254"/>
      <c r="AC295" s="228" t="s">
        <v>1772</v>
      </c>
      <c r="AD295" s="276">
        <v>0.85</v>
      </c>
      <c r="AE295" s="228" t="s">
        <v>1859</v>
      </c>
      <c r="AG295" s="248"/>
    </row>
    <row r="296" spans="1:33" s="183" customFormat="1" ht="15.75" hidden="1" customHeight="1" x14ac:dyDescent="0.25">
      <c r="B296" s="180"/>
      <c r="C296" s="217">
        <v>2022</v>
      </c>
      <c r="D296" s="180" t="s">
        <v>1654</v>
      </c>
      <c r="E296" s="180" t="s">
        <v>1671</v>
      </c>
      <c r="F296" s="180" t="s">
        <v>567</v>
      </c>
      <c r="G296" s="180" t="s">
        <v>1303</v>
      </c>
      <c r="H296" s="180" t="s">
        <v>264</v>
      </c>
      <c r="I296" s="180" t="s">
        <v>256</v>
      </c>
      <c r="J296" s="180" t="s">
        <v>49</v>
      </c>
      <c r="K296" s="180">
        <v>3</v>
      </c>
      <c r="L296" s="180">
        <v>92</v>
      </c>
      <c r="M296" s="180">
        <v>18</v>
      </c>
      <c r="N296" s="180">
        <v>7.4</v>
      </c>
      <c r="O296" s="94">
        <v>5.3</v>
      </c>
      <c r="P296" s="239">
        <f t="shared" si="104"/>
        <v>4.5217885770490405</v>
      </c>
      <c r="Q296" s="296" t="str">
        <f t="shared" si="98"/>
        <v>Chlorella</v>
      </c>
      <c r="R296" s="297">
        <f t="shared" si="100"/>
        <v>-0.12601471291999655</v>
      </c>
      <c r="S296" s="220">
        <f t="shared" si="108"/>
        <v>4.6478032899690369</v>
      </c>
      <c r="T296" s="236">
        <f t="shared" si="113"/>
        <v>33</v>
      </c>
      <c r="U296" s="221"/>
      <c r="V296" s="222" cm="1">
        <f t="array" ref="V296">MEDIAN(IF(U296=$U$4:$U$359,$S$4:$S$359))</f>
        <v>4.2196406827236466</v>
      </c>
      <c r="W296" s="298">
        <f t="shared" si="99"/>
        <v>3.5728518602057369</v>
      </c>
      <c r="X296" s="225">
        <f t="shared" si="106"/>
        <v>35.618026077796735</v>
      </c>
      <c r="Y296" s="225"/>
      <c r="AA296" s="221" t="s">
        <v>1946</v>
      </c>
      <c r="AB296" s="254"/>
      <c r="AC296" s="228"/>
      <c r="AD296" s="228"/>
      <c r="AE296" s="228"/>
      <c r="AG296" s="248"/>
    </row>
    <row r="297" spans="1:33" s="183" customFormat="1" ht="15.75" hidden="1" customHeight="1" x14ac:dyDescent="0.25">
      <c r="B297" s="180"/>
      <c r="C297" s="217">
        <v>2022</v>
      </c>
      <c r="D297" s="180" t="s">
        <v>1654</v>
      </c>
      <c r="E297" s="180" t="s">
        <v>1661</v>
      </c>
      <c r="F297" s="180" t="s">
        <v>567</v>
      </c>
      <c r="G297" s="180" t="s">
        <v>1303</v>
      </c>
      <c r="H297" s="180" t="s">
        <v>264</v>
      </c>
      <c r="I297" s="180" t="s">
        <v>256</v>
      </c>
      <c r="J297" s="180" t="s">
        <v>927</v>
      </c>
      <c r="K297" s="180">
        <v>3</v>
      </c>
      <c r="L297" s="180">
        <v>256</v>
      </c>
      <c r="M297" s="180">
        <v>355</v>
      </c>
      <c r="N297" s="180">
        <v>8.0500000000000007</v>
      </c>
      <c r="O297" s="94">
        <v>4.2</v>
      </c>
      <c r="P297" s="239">
        <f t="shared" si="104"/>
        <v>5.5451774444795623</v>
      </c>
      <c r="Q297" s="296" t="str">
        <f t="shared" si="98"/>
        <v>Chlorella</v>
      </c>
      <c r="R297" s="297">
        <f t="shared" si="100"/>
        <v>1.5656999406935075</v>
      </c>
      <c r="S297" s="220">
        <f t="shared" si="108"/>
        <v>3.9794775037860548</v>
      </c>
      <c r="T297" s="236">
        <f t="shared" si="113"/>
        <v>33</v>
      </c>
      <c r="U297" s="221"/>
      <c r="V297" s="222" cm="1">
        <f t="array" ref="V297">MEDIAN(IF(U297=$U$4:$U$359,$S$4:$S$359))</f>
        <v>4.2196406827236466</v>
      </c>
      <c r="W297" s="298">
        <f t="shared" si="99"/>
        <v>3.5728518602057369</v>
      </c>
      <c r="X297" s="225">
        <f t="shared" si="106"/>
        <v>35.618026077796735</v>
      </c>
      <c r="Y297" s="225"/>
      <c r="Z297" s="183" t="s">
        <v>1953</v>
      </c>
      <c r="AA297" s="226"/>
      <c r="AB297" s="254"/>
      <c r="AC297" s="228"/>
      <c r="AD297" s="228"/>
      <c r="AE297" s="228"/>
      <c r="AG297" s="248"/>
    </row>
    <row r="298" spans="1:33" s="183" customFormat="1" ht="15.75" hidden="1" customHeight="1" x14ac:dyDescent="0.25">
      <c r="B298" s="180"/>
      <c r="C298" s="217">
        <v>2022</v>
      </c>
      <c r="D298" s="180" t="s">
        <v>1654</v>
      </c>
      <c r="E298" s="180" t="s">
        <v>1667</v>
      </c>
      <c r="F298" s="180" t="s">
        <v>567</v>
      </c>
      <c r="G298" s="180" t="s">
        <v>1303</v>
      </c>
      <c r="H298" s="180" t="s">
        <v>264</v>
      </c>
      <c r="I298" s="180" t="s">
        <v>256</v>
      </c>
      <c r="J298" s="180" t="s">
        <v>927</v>
      </c>
      <c r="K298" s="180">
        <v>3</v>
      </c>
      <c r="L298" s="180">
        <v>89</v>
      </c>
      <c r="M298" s="180">
        <v>355</v>
      </c>
      <c r="N298" s="180">
        <v>8.1999999999999993</v>
      </c>
      <c r="O298" s="94">
        <v>4.2</v>
      </c>
      <c r="P298" s="239">
        <f t="shared" si="104"/>
        <v>4.4886363697321396</v>
      </c>
      <c r="Q298" s="296" t="str">
        <f t="shared" si="98"/>
        <v>Chlorella</v>
      </c>
      <c r="R298" s="297">
        <f t="shared" si="100"/>
        <v>1.5118499406935082</v>
      </c>
      <c r="S298" s="220">
        <f t="shared" si="108"/>
        <v>2.9767864290386314</v>
      </c>
      <c r="T298" s="236">
        <f t="shared" si="113"/>
        <v>33</v>
      </c>
      <c r="U298" s="221"/>
      <c r="V298" s="222" cm="1">
        <f t="array" ref="V298">MEDIAN(IF(U298=$U$4:$U$359,$S$4:$S$359))</f>
        <v>4.2196406827236466</v>
      </c>
      <c r="W298" s="298">
        <f t="shared" si="99"/>
        <v>3.5728518602057369</v>
      </c>
      <c r="X298" s="225">
        <f t="shared" si="106"/>
        <v>35.618026077796735</v>
      </c>
      <c r="Y298" s="225"/>
      <c r="Z298" s="183" t="s">
        <v>1953</v>
      </c>
      <c r="AA298" s="221" t="s">
        <v>1946</v>
      </c>
      <c r="AB298" s="254"/>
      <c r="AC298" s="228"/>
      <c r="AD298" s="228"/>
      <c r="AE298" s="228"/>
      <c r="AG298" s="248"/>
    </row>
    <row r="299" spans="1:33" s="183" customFormat="1" ht="15.75" hidden="1" customHeight="1" x14ac:dyDescent="0.25">
      <c r="B299" s="180"/>
      <c r="C299" s="217">
        <v>2022</v>
      </c>
      <c r="D299" s="180" t="s">
        <v>1654</v>
      </c>
      <c r="E299" s="180" t="s">
        <v>1662</v>
      </c>
      <c r="F299" s="180" t="s">
        <v>567</v>
      </c>
      <c r="G299" s="180" t="s">
        <v>1303</v>
      </c>
      <c r="H299" s="180" t="s">
        <v>264</v>
      </c>
      <c r="I299" s="180" t="s">
        <v>256</v>
      </c>
      <c r="J299" s="180" t="s">
        <v>927</v>
      </c>
      <c r="K299" s="180">
        <v>3</v>
      </c>
      <c r="L299" s="180">
        <v>81</v>
      </c>
      <c r="M299" s="180">
        <v>89</v>
      </c>
      <c r="N299" s="180">
        <v>7.42</v>
      </c>
      <c r="O299" s="94">
        <v>20</v>
      </c>
      <c r="P299" s="239">
        <f t="shared" si="104"/>
        <v>4.3944491546724391</v>
      </c>
      <c r="Q299" s="296" t="str">
        <f t="shared" si="98"/>
        <v>Chlorella</v>
      </c>
      <c r="R299" s="297">
        <f t="shared" si="100"/>
        <v>1.408574304847181</v>
      </c>
      <c r="S299" s="220">
        <f t="shared" si="108"/>
        <v>2.9858748498252581</v>
      </c>
      <c r="T299" s="236">
        <f t="shared" si="113"/>
        <v>33</v>
      </c>
      <c r="U299" s="221"/>
      <c r="V299" s="222" cm="1">
        <f t="array" ref="V299">MEDIAN(IF(U299=$U$4:$U$359,$S$4:$S$359))</f>
        <v>4.2196406827236466</v>
      </c>
      <c r="W299" s="298">
        <f t="shared" si="99"/>
        <v>3.5728518602057369</v>
      </c>
      <c r="X299" s="225">
        <f t="shared" si="106"/>
        <v>35.618026077796735</v>
      </c>
      <c r="Y299" s="225"/>
      <c r="Z299" s="183" t="s">
        <v>1953</v>
      </c>
      <c r="AA299" s="226" t="s">
        <v>1948</v>
      </c>
      <c r="AB299" s="254"/>
      <c r="AC299" s="228"/>
      <c r="AD299" s="228"/>
      <c r="AE299" s="228"/>
      <c r="AG299" s="248"/>
    </row>
    <row r="300" spans="1:33" s="183" customFormat="1" ht="15.75" hidden="1" customHeight="1" x14ac:dyDescent="0.25">
      <c r="B300" s="180"/>
      <c r="C300" s="217">
        <v>2022</v>
      </c>
      <c r="D300" s="180" t="s">
        <v>1654</v>
      </c>
      <c r="E300" s="180" t="s">
        <v>1668</v>
      </c>
      <c r="F300" s="180" t="s">
        <v>567</v>
      </c>
      <c r="G300" s="180" t="s">
        <v>1303</v>
      </c>
      <c r="H300" s="180" t="s">
        <v>264</v>
      </c>
      <c r="I300" s="180" t="s">
        <v>256</v>
      </c>
      <c r="J300" s="180" t="s">
        <v>927</v>
      </c>
      <c r="K300" s="180">
        <v>3</v>
      </c>
      <c r="L300" s="180">
        <v>96</v>
      </c>
      <c r="M300" s="180">
        <v>89</v>
      </c>
      <c r="N300" s="180">
        <v>8</v>
      </c>
      <c r="O300" s="94">
        <v>20</v>
      </c>
      <c r="P300" s="239">
        <f t="shared" si="104"/>
        <v>4.5643481914678361</v>
      </c>
      <c r="Q300" s="296" t="str">
        <f t="shared" si="98"/>
        <v>Chlorella</v>
      </c>
      <c r="R300" s="297">
        <f t="shared" si="100"/>
        <v>1.2003543048471812</v>
      </c>
      <c r="S300" s="220">
        <f t="shared" si="108"/>
        <v>3.3639938866206549</v>
      </c>
      <c r="T300" s="236">
        <f t="shared" si="113"/>
        <v>33</v>
      </c>
      <c r="U300" s="221"/>
      <c r="V300" s="222" cm="1">
        <f t="array" ref="V300">MEDIAN(IF(U300=$U$4:$U$359,$S$4:$S$359))</f>
        <v>4.2196406827236466</v>
      </c>
      <c r="W300" s="298">
        <f t="shared" si="99"/>
        <v>3.5728518602057369</v>
      </c>
      <c r="X300" s="225">
        <f t="shared" si="106"/>
        <v>35.618026077796735</v>
      </c>
      <c r="Y300" s="225"/>
      <c r="Z300" s="183" t="s">
        <v>1953</v>
      </c>
      <c r="AA300" s="226" t="s">
        <v>1948</v>
      </c>
      <c r="AB300" s="254"/>
      <c r="AC300" s="228"/>
      <c r="AD300" s="228"/>
      <c r="AE300" s="228"/>
      <c r="AG300" s="248"/>
    </row>
    <row r="301" spans="1:33" s="183" customFormat="1" ht="15.75" hidden="1" customHeight="1" x14ac:dyDescent="0.25">
      <c r="B301" s="180"/>
      <c r="C301" s="217">
        <v>2022</v>
      </c>
      <c r="D301" s="180" t="s">
        <v>1654</v>
      </c>
      <c r="E301" s="180" t="s">
        <v>1663</v>
      </c>
      <c r="F301" s="180" t="s">
        <v>567</v>
      </c>
      <c r="G301" s="180" t="s">
        <v>1303</v>
      </c>
      <c r="H301" s="180" t="s">
        <v>264</v>
      </c>
      <c r="I301" s="180" t="s">
        <v>256</v>
      </c>
      <c r="J301" s="180" t="s">
        <v>927</v>
      </c>
      <c r="K301" s="180">
        <v>3</v>
      </c>
      <c r="L301" s="180">
        <v>41</v>
      </c>
      <c r="M301" s="180">
        <v>3</v>
      </c>
      <c r="N301" s="180">
        <v>6.38</v>
      </c>
      <c r="O301" s="94">
        <v>6</v>
      </c>
      <c r="P301" s="239">
        <f t="shared" si="104"/>
        <v>3.713572066704308</v>
      </c>
      <c r="Q301" s="296" t="str">
        <f t="shared" si="98"/>
        <v>Chlorella</v>
      </c>
      <c r="R301" s="297">
        <f t="shared" si="100"/>
        <v>-0.92214635602731443</v>
      </c>
      <c r="S301" s="220">
        <f t="shared" si="108"/>
        <v>4.6357184227316228</v>
      </c>
      <c r="T301" s="236">
        <f t="shared" si="113"/>
        <v>33</v>
      </c>
      <c r="U301" s="221"/>
      <c r="V301" s="222" cm="1">
        <f t="array" ref="V301">MEDIAN(IF(U301=$U$4:$U$359,$S$4:$S$359))</f>
        <v>4.2196406827236466</v>
      </c>
      <c r="W301" s="298">
        <f t="shared" si="99"/>
        <v>3.5728518602057369</v>
      </c>
      <c r="X301" s="225">
        <f t="shared" si="106"/>
        <v>35.618026077796735</v>
      </c>
      <c r="Y301" s="225"/>
      <c r="Z301" s="183" t="s">
        <v>1953</v>
      </c>
      <c r="AA301" s="226"/>
      <c r="AB301" s="254"/>
      <c r="AC301" s="228"/>
      <c r="AD301" s="228"/>
      <c r="AE301" s="228"/>
      <c r="AG301" s="248"/>
    </row>
    <row r="302" spans="1:33" s="183" customFormat="1" ht="15.75" hidden="1" customHeight="1" x14ac:dyDescent="0.25">
      <c r="B302" s="180"/>
      <c r="C302" s="217">
        <v>2022</v>
      </c>
      <c r="D302" s="180" t="s">
        <v>1654</v>
      </c>
      <c r="E302" s="180" t="s">
        <v>1669</v>
      </c>
      <c r="F302" s="180" t="s">
        <v>567</v>
      </c>
      <c r="G302" s="180" t="s">
        <v>1303</v>
      </c>
      <c r="H302" s="180" t="s">
        <v>264</v>
      </c>
      <c r="I302" s="180" t="s">
        <v>256</v>
      </c>
      <c r="J302" s="180" t="s">
        <v>927</v>
      </c>
      <c r="K302" s="180">
        <v>3</v>
      </c>
      <c r="L302" s="180">
        <v>26</v>
      </c>
      <c r="M302" s="180">
        <v>3</v>
      </c>
      <c r="N302" s="180">
        <v>6.7</v>
      </c>
      <c r="O302" s="94">
        <v>6</v>
      </c>
      <c r="P302" s="239">
        <f t="shared" si="104"/>
        <v>3.2580965380214821</v>
      </c>
      <c r="Q302" s="296" t="str">
        <f t="shared" si="98"/>
        <v>Chlorella</v>
      </c>
      <c r="R302" s="297">
        <f t="shared" si="100"/>
        <v>-1.0370263560273147</v>
      </c>
      <c r="S302" s="220">
        <f t="shared" si="108"/>
        <v>4.2951228940487969</v>
      </c>
      <c r="T302" s="236">
        <f t="shared" si="113"/>
        <v>33</v>
      </c>
      <c r="U302" s="221"/>
      <c r="V302" s="222" cm="1">
        <f t="array" ref="V302">MEDIAN(IF(U302=$U$4:$U$359,$S$4:$S$359))</f>
        <v>4.2196406827236466</v>
      </c>
      <c r="W302" s="298">
        <f t="shared" si="99"/>
        <v>3.5728518602057369</v>
      </c>
      <c r="X302" s="225">
        <f t="shared" si="106"/>
        <v>35.618026077796735</v>
      </c>
      <c r="Y302" s="225"/>
      <c r="Z302" s="183" t="s">
        <v>1953</v>
      </c>
      <c r="AA302" s="221" t="s">
        <v>1946</v>
      </c>
      <c r="AB302" s="254"/>
      <c r="AC302" s="228"/>
      <c r="AD302" s="228"/>
      <c r="AE302" s="228"/>
      <c r="AG302" s="248"/>
    </row>
    <row r="303" spans="1:33" s="183" customFormat="1" ht="15.75" hidden="1" customHeight="1" x14ac:dyDescent="0.25">
      <c r="B303" s="180"/>
      <c r="C303" s="217">
        <v>2022</v>
      </c>
      <c r="D303" s="180" t="s">
        <v>1654</v>
      </c>
      <c r="E303" s="180" t="s">
        <v>1664</v>
      </c>
      <c r="F303" s="180" t="s">
        <v>567</v>
      </c>
      <c r="G303" s="180" t="s">
        <v>1303</v>
      </c>
      <c r="H303" s="180" t="s">
        <v>264</v>
      </c>
      <c r="I303" s="180" t="s">
        <v>256</v>
      </c>
      <c r="J303" s="180" t="s">
        <v>927</v>
      </c>
      <c r="K303" s="180">
        <v>3</v>
      </c>
      <c r="L303" s="180">
        <v>16</v>
      </c>
      <c r="M303" s="180">
        <v>11</v>
      </c>
      <c r="N303" s="180">
        <v>7.47</v>
      </c>
      <c r="O303" s="94">
        <v>0.5</v>
      </c>
      <c r="P303" s="239">
        <f t="shared" si="104"/>
        <v>2.7725887222397811</v>
      </c>
      <c r="Q303" s="296" t="str">
        <f t="shared" si="98"/>
        <v>Chlorella</v>
      </c>
      <c r="R303" s="297">
        <f t="shared" si="100"/>
        <v>-1.311241141783237</v>
      </c>
      <c r="S303" s="220">
        <f t="shared" si="108"/>
        <v>4.0838298640230182</v>
      </c>
      <c r="T303" s="236">
        <f t="shared" si="113"/>
        <v>33</v>
      </c>
      <c r="U303" s="221"/>
      <c r="V303" s="222" cm="1">
        <f t="array" ref="V303">MEDIAN(IF(U303=$U$4:$U$359,$S$4:$S$359))</f>
        <v>4.2196406827236466</v>
      </c>
      <c r="W303" s="298">
        <f t="shared" si="99"/>
        <v>3.5728518602057369</v>
      </c>
      <c r="X303" s="225">
        <f t="shared" si="106"/>
        <v>35.618026077796735</v>
      </c>
      <c r="Y303" s="225"/>
      <c r="Z303" s="183" t="s">
        <v>1953</v>
      </c>
      <c r="AA303" s="226"/>
      <c r="AB303" s="254"/>
      <c r="AC303" s="228"/>
      <c r="AD303" s="228"/>
      <c r="AE303" s="228"/>
      <c r="AG303" s="248"/>
    </row>
    <row r="304" spans="1:33" s="183" customFormat="1" ht="15.75" hidden="1" customHeight="1" x14ac:dyDescent="0.25">
      <c r="B304" s="180"/>
      <c r="C304" s="217">
        <v>2022</v>
      </c>
      <c r="D304" s="180" t="s">
        <v>1654</v>
      </c>
      <c r="E304" s="180" t="s">
        <v>1670</v>
      </c>
      <c r="F304" s="180" t="s">
        <v>567</v>
      </c>
      <c r="G304" s="180" t="s">
        <v>1303</v>
      </c>
      <c r="H304" s="180" t="s">
        <v>264</v>
      </c>
      <c r="I304" s="180" t="s">
        <v>256</v>
      </c>
      <c r="J304" s="180" t="s">
        <v>927</v>
      </c>
      <c r="K304" s="180">
        <v>3</v>
      </c>
      <c r="L304" s="180">
        <v>14</v>
      </c>
      <c r="M304" s="180">
        <v>11</v>
      </c>
      <c r="N304" s="180">
        <v>7.7</v>
      </c>
      <c r="O304" s="94">
        <v>0.5</v>
      </c>
      <c r="P304" s="239">
        <f t="shared" si="104"/>
        <v>2.6390573296152584</v>
      </c>
      <c r="Q304" s="296" t="str">
        <f t="shared" si="98"/>
        <v>Chlorella</v>
      </c>
      <c r="R304" s="297">
        <f t="shared" si="100"/>
        <v>-1.3938111417832371</v>
      </c>
      <c r="S304" s="220">
        <f t="shared" si="108"/>
        <v>4.0328684713984959</v>
      </c>
      <c r="T304" s="236">
        <f t="shared" si="113"/>
        <v>33</v>
      </c>
      <c r="U304" s="221"/>
      <c r="V304" s="222" cm="1">
        <f t="array" ref="V304">MEDIAN(IF(U304=$U$4:$U$359,$S$4:$S$359))</f>
        <v>4.2196406827236466</v>
      </c>
      <c r="W304" s="298">
        <f t="shared" si="99"/>
        <v>3.5728518602057369</v>
      </c>
      <c r="X304" s="225">
        <f t="shared" si="106"/>
        <v>35.618026077796735</v>
      </c>
      <c r="Y304" s="225"/>
      <c r="Z304" s="183" t="s">
        <v>1953</v>
      </c>
      <c r="AA304" s="221" t="s">
        <v>1946</v>
      </c>
      <c r="AB304" s="254"/>
      <c r="AC304" s="228"/>
      <c r="AD304" s="228"/>
      <c r="AE304" s="228"/>
      <c r="AG304" s="248"/>
    </row>
    <row r="305" spans="1:37" s="183" customFormat="1" ht="15.75" hidden="1" customHeight="1" x14ac:dyDescent="0.25">
      <c r="B305" s="180"/>
      <c r="C305" s="217">
        <v>2022</v>
      </c>
      <c r="D305" s="180" t="s">
        <v>1654</v>
      </c>
      <c r="E305" s="180" t="s">
        <v>1672</v>
      </c>
      <c r="F305" s="180" t="s">
        <v>567</v>
      </c>
      <c r="G305" s="180" t="s">
        <v>1303</v>
      </c>
      <c r="H305" s="180" t="s">
        <v>264</v>
      </c>
      <c r="I305" s="180" t="s">
        <v>256</v>
      </c>
      <c r="J305" s="180" t="s">
        <v>927</v>
      </c>
      <c r="K305" s="180">
        <v>3</v>
      </c>
      <c r="L305" s="180">
        <v>14</v>
      </c>
      <c r="M305" s="180">
        <v>11</v>
      </c>
      <c r="N305" s="180">
        <v>8.01</v>
      </c>
      <c r="O305" s="94">
        <v>0.5</v>
      </c>
      <c r="P305" s="239">
        <f t="shared" si="104"/>
        <v>2.6390573296152584</v>
      </c>
      <c r="Q305" s="296" t="str">
        <f t="shared" si="98"/>
        <v>Chlorella</v>
      </c>
      <c r="R305" s="297">
        <f t="shared" si="100"/>
        <v>-1.505101141783237</v>
      </c>
      <c r="S305" s="220">
        <f t="shared" si="108"/>
        <v>4.1441584713984954</v>
      </c>
      <c r="T305" s="236">
        <f t="shared" si="113"/>
        <v>33</v>
      </c>
      <c r="U305" s="221"/>
      <c r="V305" s="222" cm="1">
        <f t="array" ref="V305">MEDIAN(IF(U305=$U$4:$U$359,$S$4:$S$359))</f>
        <v>4.2196406827236466</v>
      </c>
      <c r="W305" s="298">
        <f t="shared" si="99"/>
        <v>3.5728518602057369</v>
      </c>
      <c r="X305" s="225">
        <f t="shared" si="106"/>
        <v>35.618026077796735</v>
      </c>
      <c r="Y305" s="225"/>
      <c r="Z305" s="183" t="s">
        <v>1953</v>
      </c>
      <c r="AA305" s="226"/>
      <c r="AB305" s="254"/>
      <c r="AC305" s="228"/>
      <c r="AD305" s="228"/>
      <c r="AE305" s="228"/>
      <c r="AG305" s="248"/>
    </row>
    <row r="306" spans="1:37" s="183" customFormat="1" ht="15.75" hidden="1" customHeight="1" x14ac:dyDescent="0.25">
      <c r="B306" s="180"/>
      <c r="C306" s="217">
        <v>2022</v>
      </c>
      <c r="D306" s="180" t="s">
        <v>1654</v>
      </c>
      <c r="E306" s="180" t="s">
        <v>1666</v>
      </c>
      <c r="F306" s="180" t="s">
        <v>567</v>
      </c>
      <c r="G306" s="180" t="s">
        <v>1303</v>
      </c>
      <c r="H306" s="180" t="s">
        <v>264</v>
      </c>
      <c r="I306" s="180" t="s">
        <v>256</v>
      </c>
      <c r="J306" s="180" t="s">
        <v>927</v>
      </c>
      <c r="K306" s="180">
        <v>3</v>
      </c>
      <c r="L306" s="180">
        <v>194</v>
      </c>
      <c r="M306" s="180">
        <v>13</v>
      </c>
      <c r="N306" s="180">
        <v>6.1</v>
      </c>
      <c r="O306" s="94">
        <v>25</v>
      </c>
      <c r="P306" s="239">
        <f t="shared" si="104"/>
        <v>5.2678581590633282</v>
      </c>
      <c r="Q306" s="296" t="str">
        <f t="shared" si="98"/>
        <v>Chlorella</v>
      </c>
      <c r="R306" s="297">
        <f t="shared" si="100"/>
        <v>0.66613633210035283</v>
      </c>
      <c r="S306" s="220">
        <f t="shared" si="108"/>
        <v>4.6017218269629758</v>
      </c>
      <c r="T306" s="236">
        <f t="shared" si="113"/>
        <v>33</v>
      </c>
      <c r="U306" s="221"/>
      <c r="V306" s="222" cm="1">
        <f t="array" ref="V306">MEDIAN(IF(U306=$U$4:$U$359,$S$4:$S$359))</f>
        <v>4.2196406827236466</v>
      </c>
      <c r="W306" s="298">
        <f t="shared" si="99"/>
        <v>3.5728518602057369</v>
      </c>
      <c r="X306" s="225">
        <f t="shared" si="106"/>
        <v>35.618026077796735</v>
      </c>
      <c r="Y306" s="225"/>
      <c r="Z306" s="183" t="s">
        <v>1953</v>
      </c>
      <c r="AA306" s="221" t="s">
        <v>1946</v>
      </c>
      <c r="AB306" s="254"/>
      <c r="AC306" s="228"/>
      <c r="AD306" s="228"/>
      <c r="AE306" s="228"/>
      <c r="AG306" s="248"/>
    </row>
    <row r="307" spans="1:37" s="183" customFormat="1" ht="15.75" hidden="1" customHeight="1" x14ac:dyDescent="0.25">
      <c r="B307" s="180"/>
      <c r="C307" s="217">
        <v>2022</v>
      </c>
      <c r="D307" s="180" t="s">
        <v>1654</v>
      </c>
      <c r="E307" s="180" t="s">
        <v>1665</v>
      </c>
      <c r="F307" s="180" t="s">
        <v>567</v>
      </c>
      <c r="G307" s="180" t="s">
        <v>1303</v>
      </c>
      <c r="H307" s="180" t="s">
        <v>264</v>
      </c>
      <c r="I307" s="180" t="s">
        <v>256</v>
      </c>
      <c r="J307" s="180" t="s">
        <v>927</v>
      </c>
      <c r="K307" s="180">
        <v>3</v>
      </c>
      <c r="L307" s="180">
        <v>271</v>
      </c>
      <c r="M307" s="180">
        <v>18</v>
      </c>
      <c r="N307" s="180">
        <v>7.11</v>
      </c>
      <c r="O307" s="94">
        <v>5.3</v>
      </c>
      <c r="P307" s="239">
        <f t="shared" si="104"/>
        <v>5.602118820879701</v>
      </c>
      <c r="Q307" s="296" t="str">
        <f t="shared" si="98"/>
        <v>Chlorella</v>
      </c>
      <c r="R307" s="297">
        <f t="shared" si="100"/>
        <v>-2.1904712919996627E-2</v>
      </c>
      <c r="S307" s="220">
        <f t="shared" si="108"/>
        <v>5.624023533799698</v>
      </c>
      <c r="T307" s="236">
        <f t="shared" si="113"/>
        <v>33</v>
      </c>
      <c r="U307" s="221"/>
      <c r="V307" s="222" cm="1">
        <f t="array" ref="V307">MEDIAN(IF(U307=$U$4:$U$359,$S$4:$S$359))</f>
        <v>4.2196406827236466</v>
      </c>
      <c r="W307" s="298">
        <f t="shared" si="99"/>
        <v>3.5728518602057369</v>
      </c>
      <c r="X307" s="225">
        <f t="shared" si="106"/>
        <v>35.618026077796735</v>
      </c>
      <c r="Y307" s="225"/>
      <c r="Z307" s="183" t="s">
        <v>1953</v>
      </c>
      <c r="AA307" s="226"/>
      <c r="AB307" s="254"/>
      <c r="AC307" s="228"/>
      <c r="AD307" s="228"/>
      <c r="AE307" s="228"/>
      <c r="AG307" s="248"/>
    </row>
    <row r="308" spans="1:37" s="183" customFormat="1" ht="15.75" hidden="1" customHeight="1" thickBot="1" x14ac:dyDescent="0.3">
      <c r="B308" s="180"/>
      <c r="C308" s="217">
        <v>2022</v>
      </c>
      <c r="D308" s="180" t="s">
        <v>1654</v>
      </c>
      <c r="E308" s="180" t="s">
        <v>1671</v>
      </c>
      <c r="F308" s="180" t="s">
        <v>567</v>
      </c>
      <c r="G308" s="180" t="s">
        <v>1303</v>
      </c>
      <c r="H308" s="180" t="s">
        <v>264</v>
      </c>
      <c r="I308" s="180" t="s">
        <v>256</v>
      </c>
      <c r="J308" s="180" t="s">
        <v>927</v>
      </c>
      <c r="K308" s="180">
        <v>3</v>
      </c>
      <c r="L308" s="180">
        <v>139</v>
      </c>
      <c r="M308" s="180">
        <v>18</v>
      </c>
      <c r="N308" s="180">
        <v>7.4</v>
      </c>
      <c r="O308" s="94">
        <v>5.3</v>
      </c>
      <c r="P308" s="239">
        <f t="shared" si="104"/>
        <v>4.9344739331306915</v>
      </c>
      <c r="Q308" s="296" t="str">
        <f t="shared" si="98"/>
        <v>Chlorella</v>
      </c>
      <c r="R308" s="297">
        <f t="shared" si="100"/>
        <v>-0.12601471291999655</v>
      </c>
      <c r="S308" s="220">
        <f t="shared" si="108"/>
        <v>5.0604886460506879</v>
      </c>
      <c r="T308" s="236">
        <f t="shared" si="113"/>
        <v>33</v>
      </c>
      <c r="U308" s="221"/>
      <c r="V308" s="222" cm="1">
        <f t="array" ref="V308">MEDIAN(IF(U308=$U$4:$U$359,$S$4:$S$359))</f>
        <v>4.2196406827236466</v>
      </c>
      <c r="W308" s="298">
        <f t="shared" si="99"/>
        <v>3.5728518602057369</v>
      </c>
      <c r="X308" s="225">
        <f t="shared" si="106"/>
        <v>35.618026077796735</v>
      </c>
      <c r="Y308" s="225"/>
      <c r="Z308" s="183" t="s">
        <v>1953</v>
      </c>
      <c r="AA308" s="221" t="s">
        <v>1946</v>
      </c>
      <c r="AB308" s="254"/>
      <c r="AC308" s="228"/>
      <c r="AD308" s="228"/>
      <c r="AE308" s="228"/>
      <c r="AG308" s="248"/>
    </row>
    <row r="309" spans="1:37" s="183" customFormat="1" ht="15.75" hidden="1" customHeight="1" x14ac:dyDescent="0.25">
      <c r="B309" s="245" t="s">
        <v>1723</v>
      </c>
      <c r="C309" s="245">
        <v>2020</v>
      </c>
      <c r="D309" s="245" t="s">
        <v>1721</v>
      </c>
      <c r="E309" s="245" t="s">
        <v>1740</v>
      </c>
      <c r="F309" s="245" t="s">
        <v>1724</v>
      </c>
      <c r="G309" s="245" t="s">
        <v>1303</v>
      </c>
      <c r="H309" s="180" t="s">
        <v>264</v>
      </c>
      <c r="I309" s="180" t="s">
        <v>256</v>
      </c>
      <c r="J309" s="245" t="s">
        <v>49</v>
      </c>
      <c r="K309" s="245">
        <v>3</v>
      </c>
      <c r="L309" s="245">
        <v>286</v>
      </c>
      <c r="M309" s="280">
        <v>3.5</v>
      </c>
      <c r="N309" s="278">
        <v>6.4</v>
      </c>
      <c r="O309" s="280">
        <v>1.4</v>
      </c>
      <c r="P309" s="239">
        <f t="shared" si="104"/>
        <v>5.6559918108198524</v>
      </c>
      <c r="Q309" s="296" t="str">
        <f t="shared" si="98"/>
        <v>Chlorella</v>
      </c>
      <c r="R309" s="297">
        <f t="shared" si="100"/>
        <v>-1.3363887671485717</v>
      </c>
      <c r="S309" s="220">
        <f t="shared" si="108"/>
        <v>6.992380577968424</v>
      </c>
      <c r="T309" s="236">
        <f t="shared" si="113"/>
        <v>34</v>
      </c>
      <c r="U309" s="221" t="str">
        <f t="shared" ref="U309:U345" si="117">CONCATENATE(T309,"-",I309,"-",J309,"-",H309)</f>
        <v>34-POP-EC10-EX</v>
      </c>
      <c r="V309" s="222" cm="1">
        <f t="array" ref="V309">GEOMEAN(IF(U309=$U$4:$U$359,$S$4:$S$359))</f>
        <v>6.992380577968424</v>
      </c>
      <c r="W309" s="298">
        <f t="shared" si="99"/>
        <v>6.3455917554505143</v>
      </c>
      <c r="X309" s="225">
        <f t="shared" si="106"/>
        <v>569.9745755015324</v>
      </c>
      <c r="Y309" s="225">
        <f t="shared" ref="Y309:Y339" si="118">X309</f>
        <v>569.9745755015324</v>
      </c>
      <c r="Z309" s="226"/>
      <c r="AA309" s="226" t="s">
        <v>1954</v>
      </c>
      <c r="AB309" s="254"/>
      <c r="AC309" s="247" t="s">
        <v>1772</v>
      </c>
      <c r="AD309" s="276">
        <v>0.9</v>
      </c>
      <c r="AE309" s="244" t="s">
        <v>1773</v>
      </c>
      <c r="AG309" s="248"/>
    </row>
    <row r="310" spans="1:37" s="183" customFormat="1" ht="15.75" hidden="1" customHeight="1" x14ac:dyDescent="0.25">
      <c r="B310" s="180">
        <v>84052</v>
      </c>
      <c r="C310" s="217">
        <v>2005</v>
      </c>
      <c r="D310" s="180" t="s">
        <v>785</v>
      </c>
      <c r="E310" s="180" t="s">
        <v>41</v>
      </c>
      <c r="F310" s="180" t="s">
        <v>344</v>
      </c>
      <c r="G310" s="180" t="s">
        <v>1303</v>
      </c>
      <c r="H310" s="180" t="s">
        <v>264</v>
      </c>
      <c r="I310" s="180" t="s">
        <v>256</v>
      </c>
      <c r="J310" s="180" t="s">
        <v>49</v>
      </c>
      <c r="K310" s="180" t="s">
        <v>103</v>
      </c>
      <c r="L310" s="180">
        <v>109</v>
      </c>
      <c r="M310" s="250">
        <v>26.995100000000001</v>
      </c>
      <c r="N310" s="180">
        <v>6.26</v>
      </c>
      <c r="O310" s="94">
        <v>2.48</v>
      </c>
      <c r="P310" s="239">
        <f t="shared" si="104"/>
        <v>4.6913478822291435</v>
      </c>
      <c r="Q310" s="178" t="str">
        <f t="shared" ref="Q310:Q345" si="119">$AG$7</f>
        <v>R. sub - DeForest</v>
      </c>
      <c r="R310" s="302">
        <f>$AI$7*N310+$AH$7*LN(M310)+$AJ$7*LN(O310)</f>
        <v>-5.2250739609230292</v>
      </c>
      <c r="S310" s="220">
        <f t="shared" si="108"/>
        <v>9.9164218431521718</v>
      </c>
      <c r="T310" s="236">
        <f t="shared" si="113"/>
        <v>35</v>
      </c>
      <c r="U310" s="221" t="str">
        <f t="shared" si="117"/>
        <v>35-POP-EC10-EX</v>
      </c>
      <c r="V310" s="222" cm="1">
        <f t="array" ref="V310">GEOMEAN(IF(U310=$U$4:$U$359,$S$4:$S$359))</f>
        <v>9.4587127901440979</v>
      </c>
      <c r="W310" s="303">
        <f t="shared" ref="W310:W330" si="120">V310+$AI$7*$AI$2+$AH$7*LN($AH$2)+$AJ$7*LN($AJ$2)</f>
        <v>2.8263450294070696</v>
      </c>
      <c r="X310" s="225">
        <f t="shared" si="106"/>
        <v>16.883638711368956</v>
      </c>
      <c r="Y310" s="225">
        <f t="shared" si="118"/>
        <v>16.883638711368956</v>
      </c>
      <c r="Z310" s="226"/>
      <c r="AA310" s="226"/>
      <c r="AB310" s="227" t="s">
        <v>1846</v>
      </c>
      <c r="AC310" s="243" t="s">
        <v>1798</v>
      </c>
      <c r="AD310" s="228"/>
      <c r="AE310" s="229" t="s">
        <v>1584</v>
      </c>
      <c r="AG310" s="248"/>
    </row>
    <row r="311" spans="1:37" s="183" customFormat="1" ht="15.75" hidden="1" customHeight="1" x14ac:dyDescent="0.25">
      <c r="B311" s="180">
        <v>84052</v>
      </c>
      <c r="C311" s="217">
        <v>2005</v>
      </c>
      <c r="D311" s="180" t="s">
        <v>785</v>
      </c>
      <c r="E311" s="180" t="s">
        <v>41</v>
      </c>
      <c r="F311" s="180" t="s">
        <v>344</v>
      </c>
      <c r="G311" s="180" t="s">
        <v>1303</v>
      </c>
      <c r="H311" s="180" t="s">
        <v>264</v>
      </c>
      <c r="I311" s="180" t="s">
        <v>256</v>
      </c>
      <c r="J311" s="180" t="s">
        <v>49</v>
      </c>
      <c r="K311" s="180" t="s">
        <v>103</v>
      </c>
      <c r="L311" s="180">
        <v>78.5</v>
      </c>
      <c r="M311" s="250">
        <v>26.587723999999998</v>
      </c>
      <c r="N311" s="180">
        <v>6.43</v>
      </c>
      <c r="O311" s="94">
        <v>3.65</v>
      </c>
      <c r="P311" s="239">
        <f t="shared" si="104"/>
        <v>4.3630986247883632</v>
      </c>
      <c r="Q311" s="178" t="str">
        <f t="shared" si="119"/>
        <v>R. sub - DeForest</v>
      </c>
      <c r="R311" s="302">
        <f t="shared" ref="R311:R330" si="121">$AI$7*N311+$AH$7*LN(M311)+$AJ$7*LN(O311)</f>
        <v>-5.2913520219727701</v>
      </c>
      <c r="S311" s="220">
        <f t="shared" si="108"/>
        <v>9.6544506467611342</v>
      </c>
      <c r="T311" s="236">
        <f t="shared" si="113"/>
        <v>35</v>
      </c>
      <c r="U311" s="221" t="str">
        <f t="shared" si="117"/>
        <v>35-POP-EC10-EX</v>
      </c>
      <c r="V311" s="222" cm="1">
        <f t="array" ref="V311">GEOMEAN(IF(U311=$U$4:$U$359,$S$4:$S$359))</f>
        <v>9.4587127901440979</v>
      </c>
      <c r="W311" s="303">
        <f t="shared" si="120"/>
        <v>2.8263450294070696</v>
      </c>
      <c r="X311" s="225">
        <f t="shared" si="106"/>
        <v>16.883638711368956</v>
      </c>
      <c r="Y311" s="225">
        <f t="shared" si="118"/>
        <v>16.883638711368956</v>
      </c>
      <c r="Z311" s="226"/>
      <c r="AA311" s="226"/>
      <c r="AB311" s="227" t="s">
        <v>1846</v>
      </c>
      <c r="AC311" s="243" t="s">
        <v>1798</v>
      </c>
      <c r="AD311" s="228"/>
      <c r="AE311" s="229" t="s">
        <v>1584</v>
      </c>
      <c r="AG311" s="248"/>
    </row>
    <row r="312" spans="1:37" s="183" customFormat="1" ht="15.75" hidden="1" customHeight="1" x14ac:dyDescent="0.25">
      <c r="B312" s="180">
        <v>84052</v>
      </c>
      <c r="C312" s="217">
        <v>2005</v>
      </c>
      <c r="D312" s="180" t="s">
        <v>785</v>
      </c>
      <c r="E312" s="180" t="s">
        <v>41</v>
      </c>
      <c r="F312" s="180" t="s">
        <v>344</v>
      </c>
      <c r="G312" s="180" t="s">
        <v>1303</v>
      </c>
      <c r="H312" s="180" t="s">
        <v>264</v>
      </c>
      <c r="I312" s="180" t="s">
        <v>256</v>
      </c>
      <c r="J312" s="180" t="s">
        <v>49</v>
      </c>
      <c r="K312" s="180" t="s">
        <v>103</v>
      </c>
      <c r="L312" s="180">
        <v>136</v>
      </c>
      <c r="M312" s="250">
        <v>144.36112</v>
      </c>
      <c r="N312" s="180">
        <v>7.42</v>
      </c>
      <c r="O312" s="94">
        <v>22.3</v>
      </c>
      <c r="P312" s="239">
        <f t="shared" si="104"/>
        <v>4.9126548857360524</v>
      </c>
      <c r="Q312" s="178" t="str">
        <f t="shared" si="119"/>
        <v>R. sub - DeForest</v>
      </c>
      <c r="R312" s="302">
        <f t="shared" si="121"/>
        <v>-5.7694413842005901</v>
      </c>
      <c r="S312" s="220">
        <f t="shared" si="108"/>
        <v>10.682096269936643</v>
      </c>
      <c r="T312" s="236">
        <f t="shared" si="113"/>
        <v>35</v>
      </c>
      <c r="U312" s="221" t="str">
        <f t="shared" si="117"/>
        <v>35-POP-EC10-EX</v>
      </c>
      <c r="V312" s="222" cm="1">
        <f t="array" ref="V312">GEOMEAN(IF(U312=$U$4:$U$359,$S$4:$S$359))</f>
        <v>9.4587127901440979</v>
      </c>
      <c r="W312" s="303">
        <f t="shared" si="120"/>
        <v>2.8263450294070696</v>
      </c>
      <c r="X312" s="225">
        <f t="shared" si="106"/>
        <v>16.883638711368956</v>
      </c>
      <c r="Y312" s="225">
        <f t="shared" si="118"/>
        <v>16.883638711368956</v>
      </c>
      <c r="Z312" s="226"/>
      <c r="AA312" s="226"/>
      <c r="AB312" s="227" t="s">
        <v>1846</v>
      </c>
      <c r="AC312" s="243" t="s">
        <v>1798</v>
      </c>
      <c r="AD312" s="228"/>
      <c r="AE312" s="229" t="s">
        <v>1584</v>
      </c>
      <c r="AG312" s="248"/>
    </row>
    <row r="313" spans="1:37" s="183" customFormat="1" ht="15.75" hidden="1" customHeight="1" x14ac:dyDescent="0.25">
      <c r="B313" s="180">
        <v>84052</v>
      </c>
      <c r="C313" s="217">
        <v>2005</v>
      </c>
      <c r="D313" s="180" t="s">
        <v>785</v>
      </c>
      <c r="E313" s="180" t="s">
        <v>41</v>
      </c>
      <c r="F313" s="180" t="s">
        <v>344</v>
      </c>
      <c r="G313" s="180" t="s">
        <v>1303</v>
      </c>
      <c r="H313" s="180" t="s">
        <v>264</v>
      </c>
      <c r="I313" s="180" t="s">
        <v>256</v>
      </c>
      <c r="J313" s="180" t="s">
        <v>49</v>
      </c>
      <c r="K313" s="180" t="s">
        <v>103</v>
      </c>
      <c r="L313" s="180">
        <v>27.3</v>
      </c>
      <c r="M313" s="250">
        <v>239.07499999999999</v>
      </c>
      <c r="N313" s="180">
        <v>8.01</v>
      </c>
      <c r="O313" s="94">
        <v>5.89</v>
      </c>
      <c r="P313" s="239">
        <f t="shared" si="104"/>
        <v>3.3068867021909143</v>
      </c>
      <c r="Q313" s="178" t="str">
        <f t="shared" si="119"/>
        <v>R. sub - DeForest</v>
      </c>
      <c r="R313" s="302">
        <f t="shared" si="121"/>
        <v>-6.5580394964883286</v>
      </c>
      <c r="S313" s="220">
        <f t="shared" si="108"/>
        <v>9.8649261986792425</v>
      </c>
      <c r="T313" s="236">
        <f t="shared" si="113"/>
        <v>35</v>
      </c>
      <c r="U313" s="221" t="str">
        <f t="shared" si="117"/>
        <v>35-POP-EC10-EX</v>
      </c>
      <c r="V313" s="222" cm="1">
        <f t="array" ref="V313">GEOMEAN(IF(U313=$U$4:$U$359,$S$4:$S$359))</f>
        <v>9.4587127901440979</v>
      </c>
      <c r="W313" s="303">
        <f t="shared" si="120"/>
        <v>2.8263450294070696</v>
      </c>
      <c r="X313" s="225">
        <f t="shared" si="106"/>
        <v>16.883638711368956</v>
      </c>
      <c r="Y313" s="225">
        <f t="shared" si="118"/>
        <v>16.883638711368956</v>
      </c>
      <c r="Z313" s="226"/>
      <c r="AA313" s="226"/>
      <c r="AB313" s="227" t="s">
        <v>1846</v>
      </c>
      <c r="AC313" s="243" t="s">
        <v>1798</v>
      </c>
      <c r="AD313" s="228"/>
      <c r="AE313" s="229" t="s">
        <v>1584</v>
      </c>
      <c r="AG313" s="248"/>
    </row>
    <row r="314" spans="1:37" s="183" customFormat="1" ht="15.75" hidden="1" customHeight="1" x14ac:dyDescent="0.25">
      <c r="A314" s="183" t="s">
        <v>1955</v>
      </c>
      <c r="B314" s="183" t="s">
        <v>1526</v>
      </c>
      <c r="C314" s="183">
        <v>2017</v>
      </c>
      <c r="D314" s="183" t="s">
        <v>1527</v>
      </c>
      <c r="E314" s="183" t="s">
        <v>1956</v>
      </c>
      <c r="F314" s="180" t="s">
        <v>344</v>
      </c>
      <c r="G314" s="183" t="s">
        <v>1303</v>
      </c>
      <c r="H314" s="183" t="s">
        <v>264</v>
      </c>
      <c r="I314" s="183" t="s">
        <v>256</v>
      </c>
      <c r="J314" s="183" t="s">
        <v>49</v>
      </c>
      <c r="K314" s="183">
        <v>2</v>
      </c>
      <c r="L314" s="183">
        <v>89</v>
      </c>
      <c r="M314" s="183">
        <v>75.2</v>
      </c>
      <c r="N314" s="183">
        <v>6.98</v>
      </c>
      <c r="O314" s="183">
        <v>9.5</v>
      </c>
      <c r="P314" s="239">
        <f t="shared" si="104"/>
        <v>4.4886363697321396</v>
      </c>
      <c r="Q314" s="178" t="str">
        <f t="shared" si="119"/>
        <v>R. sub - DeForest</v>
      </c>
      <c r="R314" s="302">
        <f t="shared" si="121"/>
        <v>-5.5671800140912424</v>
      </c>
      <c r="S314" s="220">
        <f t="shared" si="108"/>
        <v>10.055816383823382</v>
      </c>
      <c r="T314" s="236">
        <f t="shared" si="113"/>
        <v>35</v>
      </c>
      <c r="U314" s="221" t="str">
        <f t="shared" si="117"/>
        <v>35-POP-EC10-EX</v>
      </c>
      <c r="V314" s="222" cm="1">
        <f t="array" ref="V314">GEOMEAN(IF(U314=$U$4:$U$359,$S$4:$S$359))</f>
        <v>9.4587127901440979</v>
      </c>
      <c r="W314" s="303">
        <f t="shared" si="120"/>
        <v>2.8263450294070696</v>
      </c>
      <c r="X314" s="225">
        <f t="shared" si="106"/>
        <v>16.883638711368956</v>
      </c>
      <c r="Y314" s="225">
        <f t="shared" si="118"/>
        <v>16.883638711368956</v>
      </c>
      <c r="Z314" s="226"/>
      <c r="AA314" s="226"/>
      <c r="AB314" s="244"/>
      <c r="AC314" s="244" t="s">
        <v>1772</v>
      </c>
      <c r="AD314" s="247">
        <v>0.81399999999999995</v>
      </c>
      <c r="AE314" s="244" t="s">
        <v>1859</v>
      </c>
      <c r="AG314" s="248"/>
    </row>
    <row r="315" spans="1:37" s="183" customFormat="1" ht="15.75" hidden="1" customHeight="1" x14ac:dyDescent="0.25">
      <c r="A315" s="183" t="s">
        <v>1957</v>
      </c>
      <c r="B315" s="183" t="s">
        <v>1526</v>
      </c>
      <c r="C315" s="183">
        <v>2017</v>
      </c>
      <c r="D315" s="183" t="s">
        <v>1527</v>
      </c>
      <c r="E315" s="183" t="s">
        <v>1958</v>
      </c>
      <c r="F315" s="180" t="s">
        <v>344</v>
      </c>
      <c r="G315" s="183" t="s">
        <v>1303</v>
      </c>
      <c r="H315" s="183" t="s">
        <v>264</v>
      </c>
      <c r="I315" s="183" t="s">
        <v>256</v>
      </c>
      <c r="J315" s="183" t="s">
        <v>49</v>
      </c>
      <c r="K315" s="183">
        <v>2</v>
      </c>
      <c r="L315" s="183">
        <v>36</v>
      </c>
      <c r="M315" s="183">
        <v>45</v>
      </c>
      <c r="N315" s="183">
        <v>7.26</v>
      </c>
      <c r="O315" s="183">
        <v>12</v>
      </c>
      <c r="P315" s="239">
        <f t="shared" si="104"/>
        <v>3.5835189384561099</v>
      </c>
      <c r="Q315" s="178" t="str">
        <f t="shared" si="119"/>
        <v>R. sub - DeForest</v>
      </c>
      <c r="R315" s="302">
        <f t="shared" si="121"/>
        <v>-5.7605545101943072</v>
      </c>
      <c r="S315" s="220">
        <f t="shared" si="108"/>
        <v>9.3440734486504162</v>
      </c>
      <c r="T315" s="236">
        <f t="shared" si="113"/>
        <v>35</v>
      </c>
      <c r="U315" s="221" t="str">
        <f t="shared" si="117"/>
        <v>35-POP-EC10-EX</v>
      </c>
      <c r="V315" s="222" cm="1">
        <f t="array" ref="V315">GEOMEAN(IF(U315=$U$4:$U$359,$S$4:$S$359))</f>
        <v>9.4587127901440979</v>
      </c>
      <c r="W315" s="303">
        <f t="shared" si="120"/>
        <v>2.8263450294070696</v>
      </c>
      <c r="X315" s="225">
        <f t="shared" si="106"/>
        <v>16.883638711368956</v>
      </c>
      <c r="Y315" s="225">
        <f t="shared" si="118"/>
        <v>16.883638711368956</v>
      </c>
      <c r="Z315" s="226"/>
      <c r="AA315" s="226"/>
      <c r="AB315" s="227"/>
      <c r="AC315" s="244" t="s">
        <v>1772</v>
      </c>
      <c r="AD315" s="247">
        <v>0.81399999999999995</v>
      </c>
      <c r="AE315" s="244" t="s">
        <v>1859</v>
      </c>
      <c r="AG315" s="248"/>
    </row>
    <row r="316" spans="1:37" s="183" customFormat="1" ht="15.75" hidden="1" customHeight="1" x14ac:dyDescent="0.25">
      <c r="A316" s="183" t="s">
        <v>1959</v>
      </c>
      <c r="B316" s="183" t="s">
        <v>1526</v>
      </c>
      <c r="C316" s="183">
        <v>2017</v>
      </c>
      <c r="D316" s="183" t="s">
        <v>1527</v>
      </c>
      <c r="E316" s="183" t="s">
        <v>1691</v>
      </c>
      <c r="F316" s="180" t="s">
        <v>344</v>
      </c>
      <c r="G316" s="183" t="s">
        <v>1303</v>
      </c>
      <c r="H316" s="183" t="s">
        <v>264</v>
      </c>
      <c r="I316" s="183" t="s">
        <v>256</v>
      </c>
      <c r="J316" s="183" t="s">
        <v>49</v>
      </c>
      <c r="K316" s="183">
        <v>2</v>
      </c>
      <c r="L316" s="183">
        <v>116</v>
      </c>
      <c r="M316" s="183">
        <v>21.5</v>
      </c>
      <c r="N316" s="183">
        <v>6.26</v>
      </c>
      <c r="O316" s="183">
        <v>4.0999999999999996</v>
      </c>
      <c r="P316" s="239">
        <f t="shared" si="104"/>
        <v>4.7535901911063645</v>
      </c>
      <c r="Q316" s="178" t="str">
        <f t="shared" si="119"/>
        <v>R. sub - DeForest</v>
      </c>
      <c r="R316" s="302">
        <f t="shared" si="121"/>
        <v>-5.1200037224945545</v>
      </c>
      <c r="S316" s="220">
        <f t="shared" si="108"/>
        <v>9.873593913600919</v>
      </c>
      <c r="T316" s="236">
        <f t="shared" si="113"/>
        <v>35</v>
      </c>
      <c r="U316" s="221" t="str">
        <f t="shared" si="117"/>
        <v>35-POP-EC10-EX</v>
      </c>
      <c r="V316" s="222" cm="1">
        <f t="array" ref="V316">GEOMEAN(IF(U316=$U$4:$U$359,$S$4:$S$359))</f>
        <v>9.4587127901440979</v>
      </c>
      <c r="W316" s="303">
        <f t="shared" si="120"/>
        <v>2.8263450294070696</v>
      </c>
      <c r="X316" s="225">
        <f t="shared" si="106"/>
        <v>16.883638711368956</v>
      </c>
      <c r="Y316" s="225">
        <f t="shared" si="118"/>
        <v>16.883638711368956</v>
      </c>
      <c r="Z316" s="226"/>
      <c r="AA316" s="226"/>
      <c r="AB316" s="227"/>
      <c r="AC316" s="244" t="s">
        <v>1772</v>
      </c>
      <c r="AD316" s="247">
        <v>0.81399999999999995</v>
      </c>
      <c r="AE316" s="244" t="s">
        <v>1859</v>
      </c>
      <c r="AG316" s="248"/>
    </row>
    <row r="317" spans="1:37" s="183" customFormat="1" ht="15.75" hidden="1" customHeight="1" x14ac:dyDescent="0.25">
      <c r="A317" s="183" t="s">
        <v>1960</v>
      </c>
      <c r="B317" s="183" t="s">
        <v>1526</v>
      </c>
      <c r="C317" s="183">
        <v>2017</v>
      </c>
      <c r="D317" s="183" t="s">
        <v>1527</v>
      </c>
      <c r="E317" s="183" t="s">
        <v>1961</v>
      </c>
      <c r="F317" s="180" t="s">
        <v>344</v>
      </c>
      <c r="G317" s="183" t="s">
        <v>1303</v>
      </c>
      <c r="H317" s="183" t="s">
        <v>264</v>
      </c>
      <c r="I317" s="183" t="s">
        <v>256</v>
      </c>
      <c r="J317" s="183" t="s">
        <v>49</v>
      </c>
      <c r="K317" s="183">
        <v>2</v>
      </c>
      <c r="L317" s="227">
        <v>17</v>
      </c>
      <c r="M317" s="227">
        <v>70.5</v>
      </c>
      <c r="N317" s="183">
        <v>8.5399999999999991</v>
      </c>
      <c r="O317" s="183">
        <v>9</v>
      </c>
      <c r="P317" s="239">
        <f t="shared" si="104"/>
        <v>2.8332133440562162</v>
      </c>
      <c r="Q317" s="178" t="str">
        <f t="shared" si="119"/>
        <v>R. sub - DeForest</v>
      </c>
      <c r="R317" s="302">
        <f t="shared" si="121"/>
        <v>-6.9278800633367297</v>
      </c>
      <c r="S317" s="220">
        <f t="shared" si="108"/>
        <v>9.761093407392945</v>
      </c>
      <c r="T317" s="236">
        <f t="shared" si="113"/>
        <v>35</v>
      </c>
      <c r="U317" s="221" t="str">
        <f t="shared" si="117"/>
        <v>35-POP-EC10-EX</v>
      </c>
      <c r="V317" s="222" cm="1">
        <f t="array" ref="V317">GEOMEAN(IF(U317=$U$4:$U$359,$S$4:$S$359))</f>
        <v>9.4587127901440979</v>
      </c>
      <c r="W317" s="303">
        <f t="shared" si="120"/>
        <v>2.8263450294070696</v>
      </c>
      <c r="X317" s="225">
        <f t="shared" si="106"/>
        <v>16.883638711368956</v>
      </c>
      <c r="Y317" s="225">
        <f t="shared" si="118"/>
        <v>16.883638711368956</v>
      </c>
      <c r="Z317" s="226"/>
      <c r="AA317" s="226"/>
      <c r="AB317" s="227"/>
      <c r="AC317" s="244" t="s">
        <v>1772</v>
      </c>
      <c r="AD317" s="247">
        <v>0.81399999999999995</v>
      </c>
      <c r="AE317" s="244" t="s">
        <v>1859</v>
      </c>
      <c r="AG317" s="248"/>
    </row>
    <row r="318" spans="1:37" s="183" customFormat="1" ht="15.75" hidden="1" customHeight="1" x14ac:dyDescent="0.25">
      <c r="A318" s="183" t="s">
        <v>1962</v>
      </c>
      <c r="B318" s="183" t="s">
        <v>1526</v>
      </c>
      <c r="C318" s="183">
        <v>2017</v>
      </c>
      <c r="D318" s="183" t="s">
        <v>1527</v>
      </c>
      <c r="E318" s="183" t="s">
        <v>1961</v>
      </c>
      <c r="F318" s="180" t="s">
        <v>344</v>
      </c>
      <c r="G318" s="183" t="s">
        <v>1303</v>
      </c>
      <c r="H318" s="183" t="s">
        <v>264</v>
      </c>
      <c r="I318" s="183" t="s">
        <v>256</v>
      </c>
      <c r="J318" s="183" t="s">
        <v>49</v>
      </c>
      <c r="K318" s="183">
        <v>3</v>
      </c>
      <c r="L318" s="227">
        <v>14</v>
      </c>
      <c r="M318" s="227">
        <v>70.5</v>
      </c>
      <c r="N318" s="183">
        <v>8.5399999999999991</v>
      </c>
      <c r="O318" s="183">
        <v>9</v>
      </c>
      <c r="P318" s="239">
        <f t="shared" si="104"/>
        <v>2.6390573296152584</v>
      </c>
      <c r="Q318" s="178" t="str">
        <f t="shared" si="119"/>
        <v>R. sub - DeForest</v>
      </c>
      <c r="R318" s="302">
        <f t="shared" si="121"/>
        <v>-6.9278800633367297</v>
      </c>
      <c r="S318" s="220">
        <f t="shared" si="108"/>
        <v>9.5669373929519885</v>
      </c>
      <c r="T318" s="236">
        <f t="shared" si="113"/>
        <v>35</v>
      </c>
      <c r="U318" s="221" t="str">
        <f t="shared" si="117"/>
        <v>35-POP-EC10-EX</v>
      </c>
      <c r="V318" s="222" cm="1">
        <f t="array" ref="V318">GEOMEAN(IF(U318=$U$4:$U$359,$S$4:$S$359))</f>
        <v>9.4587127901440979</v>
      </c>
      <c r="W318" s="303">
        <f t="shared" si="120"/>
        <v>2.8263450294070696</v>
      </c>
      <c r="X318" s="225">
        <f t="shared" si="106"/>
        <v>16.883638711368956</v>
      </c>
      <c r="Y318" s="225">
        <f t="shared" si="118"/>
        <v>16.883638711368956</v>
      </c>
      <c r="Z318" s="226"/>
      <c r="AA318" s="226"/>
      <c r="AB318" s="227"/>
      <c r="AC318" s="244" t="s">
        <v>1772</v>
      </c>
      <c r="AD318" s="247">
        <v>0.81399999999999995</v>
      </c>
      <c r="AE318" s="244" t="s">
        <v>1859</v>
      </c>
      <c r="AG318" s="248"/>
    </row>
    <row r="319" spans="1:37" s="183" customFormat="1" ht="15.75" hidden="1" customHeight="1" x14ac:dyDescent="0.25">
      <c r="A319" s="183" t="s">
        <v>1963</v>
      </c>
      <c r="B319" s="183" t="s">
        <v>1526</v>
      </c>
      <c r="C319" s="183">
        <v>2017</v>
      </c>
      <c r="D319" s="183" t="s">
        <v>1527</v>
      </c>
      <c r="E319" s="183" t="s">
        <v>1964</v>
      </c>
      <c r="F319" s="180" t="s">
        <v>344</v>
      </c>
      <c r="G319" s="183" t="s">
        <v>1303</v>
      </c>
      <c r="H319" s="183" t="s">
        <v>264</v>
      </c>
      <c r="I319" s="183" t="s">
        <v>256</v>
      </c>
      <c r="J319" s="183" t="s">
        <v>49</v>
      </c>
      <c r="K319" s="183">
        <v>2</v>
      </c>
      <c r="L319" s="183">
        <v>89</v>
      </c>
      <c r="M319" s="183">
        <v>22.7</v>
      </c>
      <c r="N319" s="183">
        <v>6.16</v>
      </c>
      <c r="O319" s="183">
        <v>11.3</v>
      </c>
      <c r="P319" s="239">
        <f t="shared" si="104"/>
        <v>4.4886363697321396</v>
      </c>
      <c r="Q319" s="178" t="str">
        <f t="shared" si="119"/>
        <v>R. sub - DeForest</v>
      </c>
      <c r="R319" s="302">
        <f t="shared" si="121"/>
        <v>-4.8216162303248762</v>
      </c>
      <c r="S319" s="220">
        <f t="shared" si="108"/>
        <v>9.3102526000570158</v>
      </c>
      <c r="T319" s="236">
        <f t="shared" si="113"/>
        <v>35</v>
      </c>
      <c r="U319" s="221" t="str">
        <f t="shared" si="117"/>
        <v>35-POP-EC10-EX</v>
      </c>
      <c r="V319" s="222" cm="1">
        <f t="array" ref="V319">GEOMEAN(IF(U319=$U$4:$U$359,$S$4:$S$359))</f>
        <v>9.4587127901440979</v>
      </c>
      <c r="W319" s="303">
        <f t="shared" si="120"/>
        <v>2.8263450294070696</v>
      </c>
      <c r="X319" s="225">
        <f t="shared" si="106"/>
        <v>16.883638711368956</v>
      </c>
      <c r="Y319" s="225">
        <f t="shared" si="118"/>
        <v>16.883638711368956</v>
      </c>
      <c r="Z319" s="226"/>
      <c r="AA319" s="226"/>
      <c r="AB319" s="227"/>
      <c r="AC319" s="244" t="s">
        <v>1772</v>
      </c>
      <c r="AD319" s="247">
        <v>0.81399999999999995</v>
      </c>
      <c r="AE319" s="244" t="s">
        <v>1859</v>
      </c>
      <c r="AG319" s="248"/>
    </row>
    <row r="320" spans="1:37" s="183" customFormat="1" ht="15.75" hidden="1" customHeight="1" x14ac:dyDescent="0.25">
      <c r="A320" s="183" t="s">
        <v>1965</v>
      </c>
      <c r="B320" s="183" t="s">
        <v>1526</v>
      </c>
      <c r="C320" s="183">
        <v>2017</v>
      </c>
      <c r="D320" s="183" t="s">
        <v>1527</v>
      </c>
      <c r="E320" s="183" t="s">
        <v>1958</v>
      </c>
      <c r="F320" s="180" t="s">
        <v>344</v>
      </c>
      <c r="G320" s="183" t="s">
        <v>1303</v>
      </c>
      <c r="H320" s="183" t="s">
        <v>264</v>
      </c>
      <c r="I320" s="183" t="s">
        <v>256</v>
      </c>
      <c r="J320" s="183" t="s">
        <v>49</v>
      </c>
      <c r="K320" s="183">
        <v>2</v>
      </c>
      <c r="L320" s="183">
        <v>51</v>
      </c>
      <c r="M320" s="183">
        <v>47.8</v>
      </c>
      <c r="N320" s="183">
        <v>7.13</v>
      </c>
      <c r="O320" s="183">
        <v>9.9</v>
      </c>
      <c r="P320" s="239">
        <f t="shared" si="104"/>
        <v>3.9318256327243257</v>
      </c>
      <c r="Q320" s="178" t="str">
        <f t="shared" si="119"/>
        <v>R. sub - DeForest</v>
      </c>
      <c r="R320" s="302">
        <f t="shared" si="121"/>
        <v>-5.6883102357576263</v>
      </c>
      <c r="S320" s="220">
        <f t="shared" si="108"/>
        <v>9.6201358684819525</v>
      </c>
      <c r="T320" s="236">
        <f t="shared" si="113"/>
        <v>35</v>
      </c>
      <c r="U320" s="221" t="str">
        <f t="shared" si="117"/>
        <v>35-POP-EC10-EX</v>
      </c>
      <c r="V320" s="222" cm="1">
        <f t="array" ref="V320">GEOMEAN(IF(U320=$U$4:$U$359,$S$4:$S$359))</f>
        <v>9.4587127901440979</v>
      </c>
      <c r="W320" s="303">
        <f t="shared" si="120"/>
        <v>2.8263450294070696</v>
      </c>
      <c r="X320" s="225">
        <f t="shared" si="106"/>
        <v>16.883638711368956</v>
      </c>
      <c r="Y320" s="225">
        <f t="shared" si="118"/>
        <v>16.883638711368956</v>
      </c>
      <c r="Z320" s="226"/>
      <c r="AA320" s="226"/>
      <c r="AB320" s="227"/>
      <c r="AC320" s="244" t="s">
        <v>1772</v>
      </c>
      <c r="AD320" s="247">
        <v>0.81399999999999995</v>
      </c>
      <c r="AE320" s="244" t="s">
        <v>1859</v>
      </c>
      <c r="AG320" s="248"/>
      <c r="AH320" s="182"/>
      <c r="AI320" s="182"/>
      <c r="AJ320" s="182"/>
      <c r="AK320" s="182"/>
    </row>
    <row r="321" spans="1:38" s="183" customFormat="1" ht="15.75" hidden="1" customHeight="1" x14ac:dyDescent="0.25">
      <c r="A321" s="183" t="s">
        <v>1966</v>
      </c>
      <c r="B321" s="183" t="s">
        <v>1526</v>
      </c>
      <c r="C321" s="183">
        <v>2017</v>
      </c>
      <c r="D321" s="183" t="s">
        <v>1527</v>
      </c>
      <c r="E321" s="183" t="s">
        <v>1958</v>
      </c>
      <c r="F321" s="180" t="s">
        <v>344</v>
      </c>
      <c r="G321" s="183" t="s">
        <v>1303</v>
      </c>
      <c r="H321" s="183" t="s">
        <v>264</v>
      </c>
      <c r="I321" s="183" t="s">
        <v>256</v>
      </c>
      <c r="J321" s="183" t="s">
        <v>49</v>
      </c>
      <c r="K321" s="183">
        <v>3</v>
      </c>
      <c r="L321" s="183">
        <v>55</v>
      </c>
      <c r="M321" s="183">
        <v>47.8</v>
      </c>
      <c r="N321" s="183">
        <v>7.15</v>
      </c>
      <c r="O321" s="183">
        <v>9.9</v>
      </c>
      <c r="P321" s="239">
        <f t="shared" si="104"/>
        <v>4.0073331852324712</v>
      </c>
      <c r="Q321" s="178" t="str">
        <f t="shared" si="119"/>
        <v>R. sub - DeForest</v>
      </c>
      <c r="R321" s="302">
        <f t="shared" si="121"/>
        <v>-5.7056102357576268</v>
      </c>
      <c r="S321" s="220">
        <f t="shared" si="108"/>
        <v>9.7129434209900971</v>
      </c>
      <c r="T321" s="236">
        <f t="shared" si="113"/>
        <v>35</v>
      </c>
      <c r="U321" s="221" t="str">
        <f t="shared" si="117"/>
        <v>35-POP-EC10-EX</v>
      </c>
      <c r="V321" s="222" cm="1">
        <f t="array" ref="V321">GEOMEAN(IF(U321=$U$4:$U$359,$S$4:$S$359))</f>
        <v>9.4587127901440979</v>
      </c>
      <c r="W321" s="303">
        <f t="shared" si="120"/>
        <v>2.8263450294070696</v>
      </c>
      <c r="X321" s="225">
        <f t="shared" si="106"/>
        <v>16.883638711368956</v>
      </c>
      <c r="Y321" s="225">
        <f t="shared" si="118"/>
        <v>16.883638711368956</v>
      </c>
      <c r="Z321" s="226"/>
      <c r="AA321" s="226"/>
      <c r="AB321" s="227"/>
      <c r="AC321" s="244" t="s">
        <v>1772</v>
      </c>
      <c r="AD321" s="247">
        <v>0.81399999999999995</v>
      </c>
      <c r="AE321" s="244" t="s">
        <v>1859</v>
      </c>
      <c r="AG321" s="248"/>
      <c r="AH321" s="182"/>
      <c r="AI321" s="182"/>
      <c r="AJ321" s="182"/>
      <c r="AK321" s="182"/>
    </row>
    <row r="322" spans="1:38" s="183" customFormat="1" ht="15.75" hidden="1" customHeight="1" x14ac:dyDescent="0.25">
      <c r="A322" s="183" t="s">
        <v>1967</v>
      </c>
      <c r="B322" s="183" t="s">
        <v>1526</v>
      </c>
      <c r="C322" s="183">
        <v>2017</v>
      </c>
      <c r="D322" s="183" t="s">
        <v>1527</v>
      </c>
      <c r="E322" s="183" t="s">
        <v>1968</v>
      </c>
      <c r="F322" s="180" t="s">
        <v>344</v>
      </c>
      <c r="G322" s="183" t="s">
        <v>1303</v>
      </c>
      <c r="H322" s="183" t="s">
        <v>264</v>
      </c>
      <c r="I322" s="183" t="s">
        <v>256</v>
      </c>
      <c r="J322" s="183" t="s">
        <v>49</v>
      </c>
      <c r="K322" s="183">
        <v>2</v>
      </c>
      <c r="L322" s="183">
        <v>6</v>
      </c>
      <c r="M322" s="183">
        <v>46.7</v>
      </c>
      <c r="N322" s="183">
        <v>8.27</v>
      </c>
      <c r="O322" s="183">
        <v>4.5</v>
      </c>
      <c r="P322" s="239">
        <f t="shared" si="104"/>
        <v>1.791759469228055</v>
      </c>
      <c r="Q322" s="178" t="str">
        <f t="shared" si="119"/>
        <v>R. sub - DeForest</v>
      </c>
      <c r="R322" s="302">
        <f t="shared" si="121"/>
        <v>-6.8391978240737581</v>
      </c>
      <c r="S322" s="220">
        <f t="shared" si="108"/>
        <v>8.6309572933018135</v>
      </c>
      <c r="T322" s="236">
        <f t="shared" si="113"/>
        <v>35</v>
      </c>
      <c r="U322" s="221" t="str">
        <f t="shared" si="117"/>
        <v>35-POP-EC10-EX</v>
      </c>
      <c r="V322" s="222" cm="1">
        <f t="array" ref="V322">GEOMEAN(IF(U322=$U$4:$U$359,$S$4:$S$359))</f>
        <v>9.4587127901440979</v>
      </c>
      <c r="W322" s="303">
        <f t="shared" si="120"/>
        <v>2.8263450294070696</v>
      </c>
      <c r="X322" s="225">
        <f t="shared" si="106"/>
        <v>16.883638711368956</v>
      </c>
      <c r="Y322" s="225">
        <f t="shared" si="118"/>
        <v>16.883638711368956</v>
      </c>
      <c r="Z322" s="226"/>
      <c r="AA322" s="226"/>
      <c r="AB322" s="227"/>
      <c r="AC322" s="244" t="s">
        <v>1772</v>
      </c>
      <c r="AD322" s="247">
        <v>0.81399999999999995</v>
      </c>
      <c r="AE322" s="244" t="s">
        <v>1859</v>
      </c>
      <c r="AG322" s="248"/>
      <c r="AH322" s="182"/>
      <c r="AI322" s="182"/>
      <c r="AJ322" s="182"/>
      <c r="AK322" s="182"/>
      <c r="AL322" s="182"/>
    </row>
    <row r="323" spans="1:38" s="183" customFormat="1" ht="15.75" hidden="1" customHeight="1" x14ac:dyDescent="0.25">
      <c r="A323" s="183" t="s">
        <v>1969</v>
      </c>
      <c r="B323" s="183" t="s">
        <v>1526</v>
      </c>
      <c r="C323" s="183">
        <v>2017</v>
      </c>
      <c r="D323" s="183" t="s">
        <v>1527</v>
      </c>
      <c r="E323" s="183" t="s">
        <v>1968</v>
      </c>
      <c r="F323" s="180" t="s">
        <v>344</v>
      </c>
      <c r="G323" s="183" t="s">
        <v>1303</v>
      </c>
      <c r="H323" s="183" t="s">
        <v>264</v>
      </c>
      <c r="I323" s="183" t="s">
        <v>256</v>
      </c>
      <c r="J323" s="183" t="s">
        <v>49</v>
      </c>
      <c r="K323" s="183">
        <v>3</v>
      </c>
      <c r="L323" s="183">
        <v>10</v>
      </c>
      <c r="M323" s="183">
        <v>46.7</v>
      </c>
      <c r="N323" s="183">
        <v>8.32</v>
      </c>
      <c r="O323" s="183">
        <v>4.5</v>
      </c>
      <c r="P323" s="239">
        <f t="shared" si="104"/>
        <v>2.3025850929940459</v>
      </c>
      <c r="Q323" s="178" t="str">
        <f t="shared" si="119"/>
        <v>R. sub - DeForest</v>
      </c>
      <c r="R323" s="302">
        <f t="shared" si="121"/>
        <v>-6.8824478240737594</v>
      </c>
      <c r="S323" s="220">
        <f t="shared" si="108"/>
        <v>9.1850329170678044</v>
      </c>
      <c r="T323" s="236">
        <f t="shared" si="113"/>
        <v>35</v>
      </c>
      <c r="U323" s="221" t="str">
        <f t="shared" si="117"/>
        <v>35-POP-EC10-EX</v>
      </c>
      <c r="V323" s="222" cm="1">
        <f t="array" ref="V323">GEOMEAN(IF(U323=$U$4:$U$359,$S$4:$S$359))</f>
        <v>9.4587127901440979</v>
      </c>
      <c r="W323" s="303">
        <f t="shared" si="120"/>
        <v>2.8263450294070696</v>
      </c>
      <c r="X323" s="225">
        <f t="shared" si="106"/>
        <v>16.883638711368956</v>
      </c>
      <c r="Y323" s="225">
        <f t="shared" si="118"/>
        <v>16.883638711368956</v>
      </c>
      <c r="Z323" s="226"/>
      <c r="AA323" s="226"/>
      <c r="AB323" s="227"/>
      <c r="AC323" s="244" t="s">
        <v>1772</v>
      </c>
      <c r="AD323" s="247">
        <v>0.81399999999999995</v>
      </c>
      <c r="AE323" s="244" t="s">
        <v>1859</v>
      </c>
      <c r="AG323" s="248"/>
      <c r="AH323" s="182"/>
      <c r="AI323" s="182"/>
      <c r="AJ323" s="182"/>
      <c r="AK323" s="182"/>
      <c r="AL323" s="182"/>
    </row>
    <row r="324" spans="1:38" s="183" customFormat="1" ht="15.75" hidden="1" customHeight="1" x14ac:dyDescent="0.25">
      <c r="A324" s="183" t="s">
        <v>1970</v>
      </c>
      <c r="B324" s="183" t="s">
        <v>1526</v>
      </c>
      <c r="C324" s="183">
        <v>2017</v>
      </c>
      <c r="D324" s="183" t="s">
        <v>1527</v>
      </c>
      <c r="E324" s="183" t="s">
        <v>1971</v>
      </c>
      <c r="F324" s="180" t="s">
        <v>344</v>
      </c>
      <c r="G324" s="183" t="s">
        <v>1303</v>
      </c>
      <c r="H324" s="183" t="s">
        <v>264</v>
      </c>
      <c r="I324" s="183" t="s">
        <v>256</v>
      </c>
      <c r="J324" s="183" t="s">
        <v>49</v>
      </c>
      <c r="K324" s="183">
        <v>2</v>
      </c>
      <c r="L324" s="183">
        <v>16</v>
      </c>
      <c r="M324" s="183">
        <v>46.2</v>
      </c>
      <c r="N324" s="183">
        <v>8.51</v>
      </c>
      <c r="O324" s="183">
        <v>4.8</v>
      </c>
      <c r="P324" s="239">
        <f t="shared" si="104"/>
        <v>2.7725887222397811</v>
      </c>
      <c r="Q324" s="178" t="str">
        <f t="shared" si="119"/>
        <v>R. sub - DeForest</v>
      </c>
      <c r="R324" s="302">
        <f t="shared" si="121"/>
        <v>-7.0333092731560054</v>
      </c>
      <c r="S324" s="220">
        <f t="shared" si="108"/>
        <v>9.805897995395787</v>
      </c>
      <c r="T324" s="236">
        <f t="shared" si="113"/>
        <v>35</v>
      </c>
      <c r="U324" s="221" t="str">
        <f t="shared" si="117"/>
        <v>35-POP-EC10-EX</v>
      </c>
      <c r="V324" s="222" cm="1">
        <f t="array" ref="V324">GEOMEAN(IF(U324=$U$4:$U$359,$S$4:$S$359))</f>
        <v>9.4587127901440979</v>
      </c>
      <c r="W324" s="303">
        <f t="shared" si="120"/>
        <v>2.8263450294070696</v>
      </c>
      <c r="X324" s="225">
        <f t="shared" si="106"/>
        <v>16.883638711368956</v>
      </c>
      <c r="Y324" s="225">
        <f t="shared" si="118"/>
        <v>16.883638711368956</v>
      </c>
      <c r="Z324" s="226"/>
      <c r="AA324" s="226"/>
      <c r="AB324" s="227"/>
      <c r="AC324" s="244" t="s">
        <v>1772</v>
      </c>
      <c r="AD324" s="247">
        <v>0.81399999999999995</v>
      </c>
      <c r="AE324" s="244" t="s">
        <v>1859</v>
      </c>
      <c r="AG324" s="248"/>
      <c r="AH324" s="182"/>
      <c r="AI324" s="182"/>
      <c r="AJ324" s="182"/>
      <c r="AK324" s="182"/>
      <c r="AL324" s="182"/>
    </row>
    <row r="325" spans="1:38" s="183" customFormat="1" ht="15.75" hidden="1" customHeight="1" x14ac:dyDescent="0.25">
      <c r="A325" s="183" t="s">
        <v>1972</v>
      </c>
      <c r="B325" s="183" t="s">
        <v>1526</v>
      </c>
      <c r="C325" s="183">
        <v>2017</v>
      </c>
      <c r="D325" s="183" t="s">
        <v>1527</v>
      </c>
      <c r="E325" s="183" t="s">
        <v>1971</v>
      </c>
      <c r="F325" s="180" t="s">
        <v>344</v>
      </c>
      <c r="G325" s="183" t="s">
        <v>1303</v>
      </c>
      <c r="H325" s="183" t="s">
        <v>264</v>
      </c>
      <c r="I325" s="183" t="s">
        <v>256</v>
      </c>
      <c r="J325" s="183" t="s">
        <v>49</v>
      </c>
      <c r="K325" s="183">
        <v>3</v>
      </c>
      <c r="L325" s="183">
        <v>16</v>
      </c>
      <c r="M325" s="183">
        <v>46.2</v>
      </c>
      <c r="N325" s="183">
        <v>8.5299999999999994</v>
      </c>
      <c r="O325" s="183">
        <v>4.8</v>
      </c>
      <c r="P325" s="239">
        <f t="shared" si="104"/>
        <v>2.7725887222397811</v>
      </c>
      <c r="Q325" s="178" t="str">
        <f t="shared" si="119"/>
        <v>R. sub - DeForest</v>
      </c>
      <c r="R325" s="302">
        <f t="shared" si="121"/>
        <v>-7.0506092731560051</v>
      </c>
      <c r="S325" s="220">
        <f t="shared" si="108"/>
        <v>9.8231979953957858</v>
      </c>
      <c r="T325" s="236">
        <f t="shared" si="113"/>
        <v>35</v>
      </c>
      <c r="U325" s="221" t="str">
        <f t="shared" si="117"/>
        <v>35-POP-EC10-EX</v>
      </c>
      <c r="V325" s="222" cm="1">
        <f t="array" ref="V325">GEOMEAN(IF(U325=$U$4:$U$359,$S$4:$S$359))</f>
        <v>9.4587127901440979</v>
      </c>
      <c r="W325" s="303">
        <f t="shared" si="120"/>
        <v>2.8263450294070696</v>
      </c>
      <c r="X325" s="225">
        <f t="shared" si="106"/>
        <v>16.883638711368956</v>
      </c>
      <c r="Y325" s="225">
        <f t="shared" si="118"/>
        <v>16.883638711368956</v>
      </c>
      <c r="Z325" s="226"/>
      <c r="AA325" s="226"/>
      <c r="AB325" s="227"/>
      <c r="AC325" s="244" t="s">
        <v>1772</v>
      </c>
      <c r="AD325" s="247">
        <v>0.81399999999999995</v>
      </c>
      <c r="AE325" s="244" t="s">
        <v>1859</v>
      </c>
      <c r="AG325" s="248"/>
      <c r="AH325" s="182"/>
      <c r="AI325" s="182"/>
      <c r="AJ325" s="182"/>
      <c r="AK325" s="182"/>
      <c r="AL325" s="182"/>
    </row>
    <row r="326" spans="1:38" s="183" customFormat="1" ht="15.75" hidden="1" customHeight="1" x14ac:dyDescent="0.25">
      <c r="A326" s="183" t="s">
        <v>1973</v>
      </c>
      <c r="B326" s="183" t="s">
        <v>1526</v>
      </c>
      <c r="C326" s="183">
        <v>2017</v>
      </c>
      <c r="D326" s="183" t="s">
        <v>1527</v>
      </c>
      <c r="E326" s="183" t="s">
        <v>1964</v>
      </c>
      <c r="F326" s="180" t="s">
        <v>344</v>
      </c>
      <c r="G326" s="183" t="s">
        <v>1303</v>
      </c>
      <c r="H326" s="183" t="s">
        <v>264</v>
      </c>
      <c r="I326" s="183" t="s">
        <v>256</v>
      </c>
      <c r="J326" s="183" t="s">
        <v>49</v>
      </c>
      <c r="K326" s="183">
        <v>2</v>
      </c>
      <c r="L326" s="183">
        <v>80</v>
      </c>
      <c r="M326" s="183">
        <v>19.100000000000001</v>
      </c>
      <c r="N326" s="183">
        <v>6.23</v>
      </c>
      <c r="O326" s="183">
        <v>9.3000000000000007</v>
      </c>
      <c r="P326" s="239">
        <f t="shared" si="104"/>
        <v>4.3820266346738812</v>
      </c>
      <c r="Q326" s="178" t="str">
        <f t="shared" si="119"/>
        <v>R. sub - DeForest</v>
      </c>
      <c r="R326" s="302">
        <f t="shared" si="121"/>
        <v>-4.9228769903667251</v>
      </c>
      <c r="S326" s="220">
        <f t="shared" si="108"/>
        <v>9.3049036250406054</v>
      </c>
      <c r="T326" s="236">
        <f t="shared" si="113"/>
        <v>35</v>
      </c>
      <c r="U326" s="221" t="str">
        <f t="shared" si="117"/>
        <v>35-POP-EC10-EX</v>
      </c>
      <c r="V326" s="222" cm="1">
        <f t="array" ref="V326">GEOMEAN(IF(U326=$U$4:$U$359,$S$4:$S$359))</f>
        <v>9.4587127901440979</v>
      </c>
      <c r="W326" s="303">
        <f t="shared" si="120"/>
        <v>2.8263450294070696</v>
      </c>
      <c r="X326" s="225">
        <f t="shared" si="106"/>
        <v>16.883638711368956</v>
      </c>
      <c r="Y326" s="225">
        <f t="shared" si="118"/>
        <v>16.883638711368956</v>
      </c>
      <c r="Z326" s="226"/>
      <c r="AA326" s="226"/>
      <c r="AB326" s="227"/>
      <c r="AC326" s="244" t="s">
        <v>1772</v>
      </c>
      <c r="AD326" s="247">
        <v>0.81399999999999995</v>
      </c>
      <c r="AE326" s="244" t="s">
        <v>1859</v>
      </c>
      <c r="AG326" s="248"/>
      <c r="AH326" s="182"/>
      <c r="AI326" s="182"/>
      <c r="AJ326" s="182"/>
      <c r="AK326" s="182"/>
      <c r="AL326" s="182"/>
    </row>
    <row r="327" spans="1:38" s="183" customFormat="1" ht="15.75" hidden="1" customHeight="1" x14ac:dyDescent="0.25">
      <c r="A327" s="183" t="s">
        <v>1974</v>
      </c>
      <c r="B327" s="183" t="s">
        <v>1526</v>
      </c>
      <c r="C327" s="183">
        <v>2017</v>
      </c>
      <c r="D327" s="183" t="s">
        <v>1527</v>
      </c>
      <c r="E327" s="183" t="s">
        <v>1964</v>
      </c>
      <c r="F327" s="180" t="s">
        <v>344</v>
      </c>
      <c r="G327" s="183" t="s">
        <v>1303</v>
      </c>
      <c r="H327" s="183" t="s">
        <v>264</v>
      </c>
      <c r="I327" s="183" t="s">
        <v>256</v>
      </c>
      <c r="J327" s="183" t="s">
        <v>49</v>
      </c>
      <c r="K327" s="183">
        <v>3</v>
      </c>
      <c r="L327" s="183">
        <v>131</v>
      </c>
      <c r="M327" s="183">
        <v>19.100000000000001</v>
      </c>
      <c r="N327" s="183">
        <v>6.23</v>
      </c>
      <c r="O327" s="183">
        <v>9.3000000000000007</v>
      </c>
      <c r="P327" s="239">
        <f t="shared" si="104"/>
        <v>4.8751973232011512</v>
      </c>
      <c r="Q327" s="178" t="str">
        <f t="shared" si="119"/>
        <v>R. sub - DeForest</v>
      </c>
      <c r="R327" s="302">
        <f t="shared" si="121"/>
        <v>-4.9228769903667251</v>
      </c>
      <c r="S327" s="220">
        <f t="shared" si="108"/>
        <v>9.7980743135678772</v>
      </c>
      <c r="T327" s="236">
        <f t="shared" si="113"/>
        <v>35</v>
      </c>
      <c r="U327" s="221" t="str">
        <f t="shared" si="117"/>
        <v>35-POP-EC10-EX</v>
      </c>
      <c r="V327" s="222" cm="1">
        <f t="array" ref="V327">GEOMEAN(IF(U327=$U$4:$U$359,$S$4:$S$359))</f>
        <v>9.4587127901440979</v>
      </c>
      <c r="W327" s="303">
        <f t="shared" si="120"/>
        <v>2.8263450294070696</v>
      </c>
      <c r="X327" s="225">
        <f t="shared" si="106"/>
        <v>16.883638711368956</v>
      </c>
      <c r="Y327" s="225">
        <f t="shared" si="118"/>
        <v>16.883638711368956</v>
      </c>
      <c r="Z327" s="226"/>
      <c r="AA327" s="226"/>
      <c r="AB327" s="227"/>
      <c r="AC327" s="244" t="s">
        <v>1772</v>
      </c>
      <c r="AD327" s="247">
        <v>0.81399999999999995</v>
      </c>
      <c r="AE327" s="244" t="s">
        <v>1859</v>
      </c>
      <c r="AG327" s="248"/>
      <c r="AH327" s="182"/>
      <c r="AI327" s="182"/>
      <c r="AJ327" s="182"/>
      <c r="AK327" s="182"/>
      <c r="AL327" s="182"/>
    </row>
    <row r="328" spans="1:38" s="182" customFormat="1" ht="15.75" hidden="1" customHeight="1" x14ac:dyDescent="0.25">
      <c r="A328" s="183" t="s">
        <v>1975</v>
      </c>
      <c r="B328" s="183" t="s">
        <v>1526</v>
      </c>
      <c r="C328" s="183">
        <v>2017</v>
      </c>
      <c r="D328" s="183" t="s">
        <v>1527</v>
      </c>
      <c r="E328" s="183" t="s">
        <v>1976</v>
      </c>
      <c r="F328" s="180" t="s">
        <v>344</v>
      </c>
      <c r="G328" s="183" t="s">
        <v>1303</v>
      </c>
      <c r="H328" s="183" t="s">
        <v>264</v>
      </c>
      <c r="I328" s="183" t="s">
        <v>256</v>
      </c>
      <c r="J328" s="183" t="s">
        <v>49</v>
      </c>
      <c r="K328" s="183">
        <v>2</v>
      </c>
      <c r="L328" s="183">
        <v>34</v>
      </c>
      <c r="M328" s="183">
        <v>513.4</v>
      </c>
      <c r="N328" s="183">
        <v>8.32</v>
      </c>
      <c r="O328" s="183">
        <v>7</v>
      </c>
      <c r="P328" s="239">
        <f t="shared" si="104"/>
        <v>3.5263605246161616</v>
      </c>
      <c r="Q328" s="178" t="str">
        <f t="shared" si="119"/>
        <v>R. sub - DeForest</v>
      </c>
      <c r="R328" s="302">
        <f t="shared" si="121"/>
        <v>-6.7901047788474402</v>
      </c>
      <c r="S328" s="220">
        <f t="shared" si="108"/>
        <v>10.316465303463602</v>
      </c>
      <c r="T328" s="236">
        <f>IF(F328=F327,T327,T327+1)</f>
        <v>35</v>
      </c>
      <c r="U328" s="221" t="str">
        <f t="shared" si="117"/>
        <v>35-POP-EC10-EX</v>
      </c>
      <c r="V328" s="222" cm="1">
        <f t="array" ref="V328">GEOMEAN(IF(U328=$U$4:$U$359,$S$4:$S$359))</f>
        <v>9.4587127901440979</v>
      </c>
      <c r="W328" s="303">
        <f t="shared" si="120"/>
        <v>2.8263450294070696</v>
      </c>
      <c r="X328" s="225">
        <f t="shared" si="106"/>
        <v>16.883638711368956</v>
      </c>
      <c r="Y328" s="225">
        <f t="shared" si="118"/>
        <v>16.883638711368956</v>
      </c>
      <c r="Z328" s="226"/>
      <c r="AA328" s="226"/>
      <c r="AB328" s="227"/>
      <c r="AC328" s="244" t="s">
        <v>1772</v>
      </c>
      <c r="AD328" s="247">
        <v>0.81399999999999995</v>
      </c>
      <c r="AE328" s="244" t="s">
        <v>1859</v>
      </c>
      <c r="AG328" s="248"/>
    </row>
    <row r="329" spans="1:38" s="182" customFormat="1" ht="15.75" hidden="1" customHeight="1" x14ac:dyDescent="0.25">
      <c r="A329" s="183" t="s">
        <v>1977</v>
      </c>
      <c r="B329" s="183" t="s">
        <v>1526</v>
      </c>
      <c r="C329" s="183">
        <v>2017</v>
      </c>
      <c r="D329" s="183" t="s">
        <v>1527</v>
      </c>
      <c r="E329" s="183" t="s">
        <v>1978</v>
      </c>
      <c r="F329" s="180" t="s">
        <v>344</v>
      </c>
      <c r="G329" s="183" t="s">
        <v>1303</v>
      </c>
      <c r="H329" s="183" t="s">
        <v>264</v>
      </c>
      <c r="I329" s="183" t="s">
        <v>256</v>
      </c>
      <c r="J329" s="183" t="s">
        <v>49</v>
      </c>
      <c r="K329" s="183">
        <v>2</v>
      </c>
      <c r="L329" s="183">
        <v>65</v>
      </c>
      <c r="M329" s="183">
        <v>14.4</v>
      </c>
      <c r="N329" s="183">
        <v>6.67</v>
      </c>
      <c r="O329" s="183">
        <v>2.2999999999999998</v>
      </c>
      <c r="P329" s="239">
        <f t="shared" si="104"/>
        <v>4.1743872698956368</v>
      </c>
      <c r="Q329" s="178" t="str">
        <f t="shared" si="119"/>
        <v>R. sub - DeForest</v>
      </c>
      <c r="R329" s="302">
        <f t="shared" si="121"/>
        <v>-5.5954719933065631</v>
      </c>
      <c r="S329" s="220">
        <f t="shared" si="108"/>
        <v>9.7698592632021999</v>
      </c>
      <c r="T329" s="236">
        <f t="shared" ref="T329:T330" si="122">IF(F329=F328,T328,T328+1)</f>
        <v>35</v>
      </c>
      <c r="U329" s="221" t="str">
        <f t="shared" si="117"/>
        <v>35-POP-EC10-EX</v>
      </c>
      <c r="V329" s="222" cm="1">
        <f t="array" ref="V329">GEOMEAN(IF(U329=$U$4:$U$359,$S$4:$S$359))</f>
        <v>9.4587127901440979</v>
      </c>
      <c r="W329" s="303">
        <f t="shared" si="120"/>
        <v>2.8263450294070696</v>
      </c>
      <c r="X329" s="225">
        <f t="shared" si="106"/>
        <v>16.883638711368956</v>
      </c>
      <c r="Y329" s="225">
        <f t="shared" si="118"/>
        <v>16.883638711368956</v>
      </c>
      <c r="Z329" s="226"/>
      <c r="AA329" s="226"/>
      <c r="AB329" s="227"/>
      <c r="AC329" s="244" t="s">
        <v>1772</v>
      </c>
      <c r="AD329" s="247">
        <v>0.81399999999999995</v>
      </c>
      <c r="AE329" s="244" t="s">
        <v>1859</v>
      </c>
      <c r="AG329" s="248"/>
    </row>
    <row r="330" spans="1:38" s="182" customFormat="1" ht="15.75" hidden="1" customHeight="1" x14ac:dyDescent="0.25">
      <c r="A330" s="183" t="s">
        <v>1979</v>
      </c>
      <c r="B330" s="183" t="s">
        <v>1526</v>
      </c>
      <c r="C330" s="183">
        <v>2017</v>
      </c>
      <c r="D330" s="183" t="s">
        <v>1527</v>
      </c>
      <c r="E330" s="183" t="s">
        <v>1980</v>
      </c>
      <c r="F330" s="180" t="s">
        <v>344</v>
      </c>
      <c r="G330" s="183" t="s">
        <v>1303</v>
      </c>
      <c r="H330" s="183" t="s">
        <v>264</v>
      </c>
      <c r="I330" s="183" t="s">
        <v>256</v>
      </c>
      <c r="J330" s="183" t="s">
        <v>49</v>
      </c>
      <c r="K330" s="183">
        <v>2</v>
      </c>
      <c r="L330" s="183">
        <v>68</v>
      </c>
      <c r="M330" s="183">
        <v>13.8</v>
      </c>
      <c r="N330" s="183">
        <v>6.72</v>
      </c>
      <c r="O330" s="183">
        <v>3.7</v>
      </c>
      <c r="P330" s="239">
        <f t="shared" si="104"/>
        <v>4.219507705176107</v>
      </c>
      <c r="Q330" s="178" t="str">
        <f t="shared" si="119"/>
        <v>R. sub - DeForest</v>
      </c>
      <c r="R330" s="302">
        <f t="shared" si="121"/>
        <v>-5.5393584406931122</v>
      </c>
      <c r="S330" s="220">
        <f t="shared" si="108"/>
        <v>9.7588661458692201</v>
      </c>
      <c r="T330" s="236">
        <f t="shared" si="122"/>
        <v>35</v>
      </c>
      <c r="U330" s="221" t="str">
        <f t="shared" si="117"/>
        <v>35-POP-EC10-EX</v>
      </c>
      <c r="V330" s="222" cm="1">
        <f t="array" ref="V330">GEOMEAN(IF(U330=$U$4:$U$359,$S$4:$S$359))</f>
        <v>9.4587127901440979</v>
      </c>
      <c r="W330" s="303">
        <f t="shared" si="120"/>
        <v>2.8263450294070696</v>
      </c>
      <c r="X330" s="225">
        <f t="shared" si="106"/>
        <v>16.883638711368956</v>
      </c>
      <c r="Y330" s="225">
        <f t="shared" si="118"/>
        <v>16.883638711368956</v>
      </c>
      <c r="Z330" s="226"/>
      <c r="AA330" s="226"/>
      <c r="AB330" s="227"/>
      <c r="AC330" s="244" t="s">
        <v>1772</v>
      </c>
      <c r="AD330" s="247">
        <v>0.81399999999999995</v>
      </c>
      <c r="AE330" s="244" t="s">
        <v>1859</v>
      </c>
      <c r="AG330" s="248"/>
    </row>
    <row r="331" spans="1:38" s="182" customFormat="1" ht="15.75" hidden="1" customHeight="1" x14ac:dyDescent="0.25">
      <c r="A331" s="183" t="s">
        <v>1981</v>
      </c>
      <c r="B331" s="183" t="s">
        <v>1529</v>
      </c>
      <c r="C331" s="183">
        <v>2017</v>
      </c>
      <c r="D331" s="183" t="s">
        <v>1527</v>
      </c>
      <c r="E331" s="183" t="s">
        <v>1982</v>
      </c>
      <c r="F331" s="180" t="s">
        <v>344</v>
      </c>
      <c r="G331" s="183" t="s">
        <v>1303</v>
      </c>
      <c r="H331" s="183" t="s">
        <v>264</v>
      </c>
      <c r="I331" s="183" t="s">
        <v>256</v>
      </c>
      <c r="J331" s="183" t="s">
        <v>49</v>
      </c>
      <c r="K331" s="183">
        <v>2</v>
      </c>
      <c r="L331" s="183">
        <v>62</v>
      </c>
      <c r="M331" s="183">
        <v>19.3</v>
      </c>
      <c r="N331" s="183">
        <v>5.85</v>
      </c>
      <c r="O331" s="183">
        <v>2.9</v>
      </c>
      <c r="P331" s="239">
        <f>LN(L331)</f>
        <v>4.1271343850450917</v>
      </c>
      <c r="Q331" s="178" t="str">
        <f t="shared" si="119"/>
        <v>R. sub - DeForest</v>
      </c>
      <c r="R331" s="302">
        <f>$AI$7*N331+$AH$7*LN(M331)+$AJ$7*LN(O331)</f>
        <v>-4.8377254559685827</v>
      </c>
      <c r="S331" s="220">
        <f>P331-R331</f>
        <v>8.9648598410136735</v>
      </c>
      <c r="T331" s="236">
        <f>IF(F331=F332,T332,T332+1)</f>
        <v>35</v>
      </c>
      <c r="U331" s="221" t="str">
        <f t="shared" si="117"/>
        <v>35-POP-EC10-EX</v>
      </c>
      <c r="V331" s="222" cm="1">
        <f t="array" ref="V331">GEOMEAN(IF(U331=$U$4:$U$359,$S$4:$S$359))</f>
        <v>9.4587127901440979</v>
      </c>
      <c r="W331" s="303">
        <f>V331+$AI$7*$AI$2+$AH$7*LN($AH$2)+$AJ$7*LN($AJ$2)</f>
        <v>2.8263450294070696</v>
      </c>
      <c r="X331" s="225">
        <f>EXP(W331)</f>
        <v>16.883638711368956</v>
      </c>
      <c r="Y331" s="225">
        <f t="shared" si="118"/>
        <v>16.883638711368956</v>
      </c>
      <c r="Z331" s="226"/>
      <c r="AA331" s="226"/>
      <c r="AB331" s="227"/>
      <c r="AC331" s="244" t="s">
        <v>1772</v>
      </c>
      <c r="AD331" s="247">
        <v>0.81399999999999995</v>
      </c>
      <c r="AE331" s="244" t="s">
        <v>1859</v>
      </c>
      <c r="AG331" s="248"/>
    </row>
    <row r="332" spans="1:38" s="182" customFormat="1" ht="15.75" hidden="1" customHeight="1" x14ac:dyDescent="0.25">
      <c r="A332" s="183" t="s">
        <v>1983</v>
      </c>
      <c r="B332" s="183" t="s">
        <v>1529</v>
      </c>
      <c r="C332" s="183">
        <v>2017</v>
      </c>
      <c r="D332" s="183" t="s">
        <v>1527</v>
      </c>
      <c r="E332" s="183"/>
      <c r="F332" s="180" t="s">
        <v>344</v>
      </c>
      <c r="G332" s="183" t="s">
        <v>1303</v>
      </c>
      <c r="H332" s="183" t="s">
        <v>264</v>
      </c>
      <c r="I332" s="183" t="s">
        <v>256</v>
      </c>
      <c r="J332" s="183" t="s">
        <v>49</v>
      </c>
      <c r="K332" s="183">
        <v>3</v>
      </c>
      <c r="L332" s="183">
        <v>22</v>
      </c>
      <c r="M332" s="183">
        <v>8.6</v>
      </c>
      <c r="N332" s="183">
        <v>6.08</v>
      </c>
      <c r="O332" s="183">
        <v>4.5</v>
      </c>
      <c r="P332" s="239">
        <f t="shared" ref="P332:P345" si="123">LN(L332)</f>
        <v>3.0910424533583161</v>
      </c>
      <c r="Q332" s="178" t="str">
        <f t="shared" si="119"/>
        <v>R. sub - DeForest</v>
      </c>
      <c r="R332" s="302">
        <f t="shared" ref="R332:R345" si="124">$AI$7*N332+$AH$7*LN(M332)+$AJ$7*LN(O332)</f>
        <v>-4.9448478240737588</v>
      </c>
      <c r="S332" s="220">
        <f t="shared" ref="S332:S345" si="125">P332-R332</f>
        <v>8.035890277432074</v>
      </c>
      <c r="T332" s="236">
        <f>IF(F332=F330,T330,T330+1)</f>
        <v>35</v>
      </c>
      <c r="U332" s="221" t="str">
        <f t="shared" si="117"/>
        <v>35-POP-EC10-EX</v>
      </c>
      <c r="V332" s="222" cm="1">
        <f t="array" ref="V332">GEOMEAN(IF(U332=$U$4:$U$359,$S$4:$S$359))</f>
        <v>9.4587127901440979</v>
      </c>
      <c r="W332" s="303">
        <f t="shared" ref="W332:W345" si="126">V332+$AI$7*$AI$2+$AH$7*LN($AH$2)+$AJ$7*LN($AJ$2)</f>
        <v>2.8263450294070696</v>
      </c>
      <c r="X332" s="225">
        <f t="shared" ref="X332:X345" si="127">EXP(W332)</f>
        <v>16.883638711368956</v>
      </c>
      <c r="Y332" s="225">
        <f t="shared" si="118"/>
        <v>16.883638711368956</v>
      </c>
      <c r="Z332" s="226"/>
      <c r="AA332" s="226"/>
      <c r="AB332" s="227"/>
      <c r="AC332" s="244" t="s">
        <v>1772</v>
      </c>
      <c r="AD332" s="247">
        <v>0.81399999999999995</v>
      </c>
      <c r="AE332" s="244" t="s">
        <v>1859</v>
      </c>
      <c r="AG332" s="248"/>
    </row>
    <row r="333" spans="1:38" s="182" customFormat="1" ht="15.75" hidden="1" customHeight="1" x14ac:dyDescent="0.25">
      <c r="A333" s="183" t="s">
        <v>1984</v>
      </c>
      <c r="B333" s="183" t="s">
        <v>1529</v>
      </c>
      <c r="C333" s="183">
        <v>2017</v>
      </c>
      <c r="D333" s="183" t="s">
        <v>1527</v>
      </c>
      <c r="E333" s="183"/>
      <c r="F333" s="180" t="s">
        <v>344</v>
      </c>
      <c r="G333" s="183" t="s">
        <v>1303</v>
      </c>
      <c r="H333" s="183" t="s">
        <v>264</v>
      </c>
      <c r="I333" s="183" t="s">
        <v>256</v>
      </c>
      <c r="J333" s="183" t="s">
        <v>49</v>
      </c>
      <c r="K333" s="183">
        <v>3</v>
      </c>
      <c r="L333" s="183">
        <v>32</v>
      </c>
      <c r="M333" s="183">
        <v>8.9</v>
      </c>
      <c r="N333" s="183">
        <v>6.01</v>
      </c>
      <c r="O333" s="183">
        <v>4.4000000000000004</v>
      </c>
      <c r="P333" s="239">
        <f t="shared" si="123"/>
        <v>3.4657359027997265</v>
      </c>
      <c r="Q333" s="178" t="str">
        <f t="shared" si="119"/>
        <v>R. sub - DeForest</v>
      </c>
      <c r="R333" s="302">
        <f t="shared" si="124"/>
        <v>-4.8889946509468389</v>
      </c>
      <c r="S333" s="220">
        <f t="shared" si="125"/>
        <v>8.354730553746565</v>
      </c>
      <c r="T333" s="236">
        <f>IF(F333=F330,T330,T330+1)</f>
        <v>35</v>
      </c>
      <c r="U333" s="221" t="str">
        <f t="shared" si="117"/>
        <v>35-POP-EC10-EX</v>
      </c>
      <c r="V333" s="222" cm="1">
        <f t="array" ref="V333">GEOMEAN(IF(U333=$U$4:$U$359,$S$4:$S$359))</f>
        <v>9.4587127901440979</v>
      </c>
      <c r="W333" s="303">
        <f t="shared" si="126"/>
        <v>2.8263450294070696</v>
      </c>
      <c r="X333" s="225">
        <f t="shared" si="127"/>
        <v>16.883638711368956</v>
      </c>
      <c r="Y333" s="225">
        <f t="shared" si="118"/>
        <v>16.883638711368956</v>
      </c>
      <c r="Z333" s="226"/>
      <c r="AA333" s="226"/>
      <c r="AB333" s="227"/>
      <c r="AC333" s="244" t="s">
        <v>1772</v>
      </c>
      <c r="AD333" s="247">
        <v>0.81399999999999995</v>
      </c>
      <c r="AE333" s="244" t="s">
        <v>1859</v>
      </c>
      <c r="AG333" s="248"/>
    </row>
    <row r="334" spans="1:38" s="182" customFormat="1" ht="15.75" hidden="1" customHeight="1" x14ac:dyDescent="0.25">
      <c r="B334" s="180"/>
      <c r="C334" s="217">
        <v>2022</v>
      </c>
      <c r="D334" s="180" t="s">
        <v>1654</v>
      </c>
      <c r="E334" s="180" t="s">
        <v>1311</v>
      </c>
      <c r="F334" s="180" t="s">
        <v>344</v>
      </c>
      <c r="G334" s="180" t="s">
        <v>1303</v>
      </c>
      <c r="H334" s="183" t="s">
        <v>264</v>
      </c>
      <c r="I334" s="183" t="s">
        <v>256</v>
      </c>
      <c r="J334" s="180" t="s">
        <v>49</v>
      </c>
      <c r="K334" s="180">
        <v>3</v>
      </c>
      <c r="L334" s="180">
        <v>21</v>
      </c>
      <c r="M334" s="180">
        <v>18</v>
      </c>
      <c r="N334" s="180">
        <v>7.4</v>
      </c>
      <c r="O334" s="94">
        <v>0.5</v>
      </c>
      <c r="P334" s="239">
        <f t="shared" si="123"/>
        <v>3.044522437723423</v>
      </c>
      <c r="Q334" s="178" t="str">
        <f t="shared" si="119"/>
        <v>R. sub - DeForest</v>
      </c>
      <c r="R334" s="302">
        <f t="shared" si="124"/>
        <v>-6.5458677607370284</v>
      </c>
      <c r="S334" s="220">
        <f t="shared" si="125"/>
        <v>9.5903901984604509</v>
      </c>
      <c r="T334" s="236">
        <f>IF(F334=F331,T331,T331+1)</f>
        <v>35</v>
      </c>
      <c r="U334" s="221" t="str">
        <f t="shared" si="117"/>
        <v>35-POP-EC10-EX</v>
      </c>
      <c r="V334" s="222" cm="1">
        <f t="array" ref="V334">GEOMEAN(IF(U334=$U$4:$U$359,$S$4:$S$359))</f>
        <v>9.4587127901440979</v>
      </c>
      <c r="W334" s="303">
        <f t="shared" si="126"/>
        <v>2.8263450294070696</v>
      </c>
      <c r="X334" s="225">
        <f t="shared" si="127"/>
        <v>16.883638711368956</v>
      </c>
      <c r="Y334" s="225">
        <f t="shared" si="118"/>
        <v>16.883638711368956</v>
      </c>
      <c r="Z334" s="226"/>
      <c r="AA334" s="226"/>
      <c r="AB334" s="227"/>
      <c r="AC334" s="244" t="s">
        <v>1772</v>
      </c>
      <c r="AD334" s="247">
        <v>0.94799999999999995</v>
      </c>
      <c r="AE334" s="244" t="s">
        <v>2001</v>
      </c>
      <c r="AG334" s="248"/>
    </row>
    <row r="335" spans="1:38" s="182" customFormat="1" ht="15.75" hidden="1" customHeight="1" x14ac:dyDescent="0.25">
      <c r="B335" s="180"/>
      <c r="C335" s="217">
        <v>2022</v>
      </c>
      <c r="D335" s="180" t="s">
        <v>1654</v>
      </c>
      <c r="E335" s="180" t="s">
        <v>1678</v>
      </c>
      <c r="F335" s="180" t="s">
        <v>344</v>
      </c>
      <c r="G335" s="180" t="s">
        <v>1303</v>
      </c>
      <c r="H335" s="183" t="s">
        <v>264</v>
      </c>
      <c r="I335" s="183" t="s">
        <v>256</v>
      </c>
      <c r="J335" s="180" t="s">
        <v>49</v>
      </c>
      <c r="K335" s="180">
        <v>3</v>
      </c>
      <c r="L335" s="180">
        <v>6.3</v>
      </c>
      <c r="M335" s="180">
        <v>39</v>
      </c>
      <c r="N335" s="180">
        <v>7.9</v>
      </c>
      <c r="O335" s="94">
        <v>0.5</v>
      </c>
      <c r="P335" s="239">
        <f t="shared" si="123"/>
        <v>1.8405496333974869</v>
      </c>
      <c r="Q335" s="178" t="str">
        <f t="shared" si="119"/>
        <v>R. sub - DeForest</v>
      </c>
      <c r="R335" s="302">
        <f t="shared" si="124"/>
        <v>-6.9783677607370285</v>
      </c>
      <c r="S335" s="220">
        <f t="shared" si="125"/>
        <v>8.818917394134516</v>
      </c>
      <c r="T335" s="236">
        <f t="shared" ref="T335:T345" si="128">IF(F335=F334,T334,T334+1)</f>
        <v>35</v>
      </c>
      <c r="U335" s="221" t="str">
        <f t="shared" si="117"/>
        <v>35-POP-EC10-EX</v>
      </c>
      <c r="V335" s="222" cm="1">
        <f t="array" ref="V335">GEOMEAN(IF(U335=$U$4:$U$359,$S$4:$S$359))</f>
        <v>9.4587127901440979</v>
      </c>
      <c r="W335" s="303">
        <f t="shared" si="126"/>
        <v>2.8263450294070696</v>
      </c>
      <c r="X335" s="225">
        <f t="shared" si="127"/>
        <v>16.883638711368956</v>
      </c>
      <c r="Y335" s="225">
        <f t="shared" si="118"/>
        <v>16.883638711368956</v>
      </c>
      <c r="Z335" s="226"/>
      <c r="AA335" s="226"/>
      <c r="AB335" s="227"/>
      <c r="AC335" s="244" t="s">
        <v>1772</v>
      </c>
      <c r="AD335" s="247">
        <v>0.94799999999999995</v>
      </c>
      <c r="AE335" s="244" t="s">
        <v>2001</v>
      </c>
      <c r="AG335" s="248"/>
    </row>
    <row r="336" spans="1:38" s="182" customFormat="1" ht="15.75" hidden="1" customHeight="1" x14ac:dyDescent="0.25">
      <c r="B336" s="180"/>
      <c r="C336" s="217">
        <v>2022</v>
      </c>
      <c r="D336" s="180" t="s">
        <v>1654</v>
      </c>
      <c r="E336" s="180" t="s">
        <v>1679</v>
      </c>
      <c r="F336" s="180" t="s">
        <v>344</v>
      </c>
      <c r="G336" s="180" t="s">
        <v>1303</v>
      </c>
      <c r="H336" s="183" t="s">
        <v>264</v>
      </c>
      <c r="I336" s="183" t="s">
        <v>256</v>
      </c>
      <c r="J336" s="180" t="s">
        <v>49</v>
      </c>
      <c r="K336" s="180">
        <v>3</v>
      </c>
      <c r="L336" s="180">
        <v>7.7</v>
      </c>
      <c r="M336" s="180">
        <v>50</v>
      </c>
      <c r="N336" s="180">
        <v>8</v>
      </c>
      <c r="O336" s="94">
        <v>0.4</v>
      </c>
      <c r="P336" s="239">
        <f t="shared" si="123"/>
        <v>2.0412203288596382</v>
      </c>
      <c r="Q336" s="178" t="str">
        <f t="shared" si="119"/>
        <v>R. sub - DeForest</v>
      </c>
      <c r="R336" s="302">
        <f t="shared" si="124"/>
        <v>-7.1115047629616983</v>
      </c>
      <c r="S336" s="220">
        <f t="shared" si="125"/>
        <v>9.1527250918213365</v>
      </c>
      <c r="T336" s="236">
        <f t="shared" si="128"/>
        <v>35</v>
      </c>
      <c r="U336" s="221" t="str">
        <f t="shared" si="117"/>
        <v>35-POP-EC10-EX</v>
      </c>
      <c r="V336" s="222" cm="1">
        <f t="array" ref="V336">GEOMEAN(IF(U336=$U$4:$U$359,$S$4:$S$359))</f>
        <v>9.4587127901440979</v>
      </c>
      <c r="W336" s="303">
        <f t="shared" si="126"/>
        <v>2.8263450294070696</v>
      </c>
      <c r="X336" s="225">
        <f t="shared" si="127"/>
        <v>16.883638711368956</v>
      </c>
      <c r="Y336" s="225">
        <f t="shared" si="118"/>
        <v>16.883638711368956</v>
      </c>
      <c r="Z336" s="226"/>
      <c r="AA336" s="226"/>
      <c r="AB336" s="227"/>
      <c r="AC336" s="244" t="s">
        <v>1772</v>
      </c>
      <c r="AD336" s="247">
        <v>0.94799999999999995</v>
      </c>
      <c r="AE336" s="244" t="s">
        <v>2001</v>
      </c>
      <c r="AG336" s="248"/>
    </row>
    <row r="337" spans="2:38" s="182" customFormat="1" ht="15.75" hidden="1" customHeight="1" x14ac:dyDescent="0.25">
      <c r="B337" s="180"/>
      <c r="C337" s="217">
        <v>2022</v>
      </c>
      <c r="D337" s="180" t="s">
        <v>1654</v>
      </c>
      <c r="E337" s="180" t="s">
        <v>1680</v>
      </c>
      <c r="F337" s="180" t="s">
        <v>344</v>
      </c>
      <c r="G337" s="180" t="s">
        <v>1303</v>
      </c>
      <c r="H337" s="183" t="s">
        <v>264</v>
      </c>
      <c r="I337" s="183" t="s">
        <v>256</v>
      </c>
      <c r="J337" s="180" t="s">
        <v>49</v>
      </c>
      <c r="K337" s="180">
        <v>3</v>
      </c>
      <c r="L337" s="180">
        <v>20</v>
      </c>
      <c r="M337" s="180">
        <v>110</v>
      </c>
      <c r="N337" s="180">
        <v>8.1999999999999993</v>
      </c>
      <c r="O337" s="94">
        <v>2.4</v>
      </c>
      <c r="P337" s="239">
        <f t="shared" si="123"/>
        <v>2.9957322735539909</v>
      </c>
      <c r="Q337" s="178" t="str">
        <f t="shared" si="119"/>
        <v>R. sub - DeForest</v>
      </c>
      <c r="R337" s="302">
        <f t="shared" si="124"/>
        <v>-6.9100270338930336</v>
      </c>
      <c r="S337" s="220">
        <f t="shared" si="125"/>
        <v>9.905759307447024</v>
      </c>
      <c r="T337" s="236">
        <f t="shared" si="128"/>
        <v>35</v>
      </c>
      <c r="U337" s="221" t="str">
        <f t="shared" si="117"/>
        <v>35-POP-EC10-EX</v>
      </c>
      <c r="V337" s="222" cm="1">
        <f t="array" ref="V337">GEOMEAN(IF(U337=$U$4:$U$359,$S$4:$S$359))</f>
        <v>9.4587127901440979</v>
      </c>
      <c r="W337" s="303">
        <f t="shared" si="126"/>
        <v>2.8263450294070696</v>
      </c>
      <c r="X337" s="225">
        <f t="shared" si="127"/>
        <v>16.883638711368956</v>
      </c>
      <c r="Y337" s="225">
        <f t="shared" si="118"/>
        <v>16.883638711368956</v>
      </c>
      <c r="Z337" s="226"/>
      <c r="AA337" s="226"/>
      <c r="AB337" s="227"/>
      <c r="AC337" s="244" t="s">
        <v>1772</v>
      </c>
      <c r="AD337" s="247">
        <v>0.94799999999999995</v>
      </c>
      <c r="AE337" s="244" t="s">
        <v>2001</v>
      </c>
      <c r="AG337" s="248"/>
    </row>
    <row r="338" spans="2:38" s="182" customFormat="1" ht="15.75" hidden="1" customHeight="1" x14ac:dyDescent="0.25">
      <c r="B338" s="180"/>
      <c r="C338" s="217">
        <v>2022</v>
      </c>
      <c r="D338" s="180" t="s">
        <v>1654</v>
      </c>
      <c r="E338" s="180" t="s">
        <v>1681</v>
      </c>
      <c r="F338" s="180" t="s">
        <v>344</v>
      </c>
      <c r="G338" s="180" t="s">
        <v>1303</v>
      </c>
      <c r="H338" s="183" t="s">
        <v>264</v>
      </c>
      <c r="I338" s="183" t="s">
        <v>256</v>
      </c>
      <c r="J338" s="180" t="s">
        <v>49</v>
      </c>
      <c r="K338" s="180">
        <v>3</v>
      </c>
      <c r="L338" s="180">
        <v>43</v>
      </c>
      <c r="M338" s="180">
        <v>25.6</v>
      </c>
      <c r="N338" s="180">
        <v>7.2</v>
      </c>
      <c r="O338" s="94">
        <v>7.3</v>
      </c>
      <c r="P338" s="239">
        <f t="shared" si="123"/>
        <v>3.7612001156935624</v>
      </c>
      <c r="Q338" s="178" t="str">
        <f t="shared" si="119"/>
        <v>R. sub - DeForest</v>
      </c>
      <c r="R338" s="302">
        <f t="shared" si="124"/>
        <v>-5.8125342612357418</v>
      </c>
      <c r="S338" s="220">
        <f t="shared" si="125"/>
        <v>9.5737343769293037</v>
      </c>
      <c r="T338" s="236">
        <f t="shared" si="128"/>
        <v>35</v>
      </c>
      <c r="U338" s="221" t="str">
        <f t="shared" si="117"/>
        <v>35-POP-EC10-EX</v>
      </c>
      <c r="V338" s="222" cm="1">
        <f t="array" ref="V338">GEOMEAN(IF(U338=$U$4:$U$359,$S$4:$S$359))</f>
        <v>9.4587127901440979</v>
      </c>
      <c r="W338" s="303">
        <f t="shared" si="126"/>
        <v>2.8263450294070696</v>
      </c>
      <c r="X338" s="225">
        <f t="shared" si="127"/>
        <v>16.883638711368956</v>
      </c>
      <c r="Y338" s="225">
        <f t="shared" si="118"/>
        <v>16.883638711368956</v>
      </c>
      <c r="Z338" s="226"/>
      <c r="AA338" s="226"/>
      <c r="AB338" s="227"/>
      <c r="AC338" s="244" t="s">
        <v>1772</v>
      </c>
      <c r="AD338" s="247">
        <v>0.94799999999999995</v>
      </c>
      <c r="AE338" s="244" t="s">
        <v>2001</v>
      </c>
      <c r="AG338" s="248"/>
    </row>
    <row r="339" spans="2:38" s="182" customFormat="1" ht="15.75" hidden="1" customHeight="1" x14ac:dyDescent="0.25">
      <c r="B339" s="180"/>
      <c r="C339" s="217">
        <v>2022</v>
      </c>
      <c r="D339" s="180" t="s">
        <v>1654</v>
      </c>
      <c r="E339" s="180" t="s">
        <v>1682</v>
      </c>
      <c r="F339" s="180" t="s">
        <v>344</v>
      </c>
      <c r="G339" s="180" t="s">
        <v>1303</v>
      </c>
      <c r="H339" s="183" t="s">
        <v>264</v>
      </c>
      <c r="I339" s="183" t="s">
        <v>256</v>
      </c>
      <c r="J339" s="180" t="s">
        <v>49</v>
      </c>
      <c r="K339" s="180">
        <v>3</v>
      </c>
      <c r="L339" s="180">
        <v>6.9</v>
      </c>
      <c r="M339" s="180">
        <v>72.3</v>
      </c>
      <c r="N339" s="180">
        <v>7.6</v>
      </c>
      <c r="O339" s="94">
        <v>4.5999999999999996</v>
      </c>
      <c r="P339" s="239">
        <f t="shared" si="123"/>
        <v>1.9315214116032138</v>
      </c>
      <c r="Q339" s="178" t="str">
        <f t="shared" si="119"/>
        <v>R. sub - DeForest</v>
      </c>
      <c r="R339" s="302">
        <f t="shared" si="124"/>
        <v>-6.2550542325695346</v>
      </c>
      <c r="S339" s="220">
        <f t="shared" si="125"/>
        <v>8.1865756441727484</v>
      </c>
      <c r="T339" s="236">
        <f t="shared" si="128"/>
        <v>35</v>
      </c>
      <c r="U339" s="221" t="str">
        <f t="shared" si="117"/>
        <v>35-POP-EC10-EX</v>
      </c>
      <c r="V339" s="222" cm="1">
        <f t="array" ref="V339">GEOMEAN(IF(U339=$U$4:$U$359,$S$4:$S$359))</f>
        <v>9.4587127901440979</v>
      </c>
      <c r="W339" s="303">
        <f t="shared" si="126"/>
        <v>2.8263450294070696</v>
      </c>
      <c r="X339" s="225">
        <f t="shared" si="127"/>
        <v>16.883638711368956</v>
      </c>
      <c r="Y339" s="225">
        <f t="shared" si="118"/>
        <v>16.883638711368956</v>
      </c>
      <c r="Z339" s="226"/>
      <c r="AA339" s="226"/>
      <c r="AB339" s="227"/>
      <c r="AC339" s="244" t="s">
        <v>1772</v>
      </c>
      <c r="AD339" s="247">
        <v>0.94799999999999995</v>
      </c>
      <c r="AE339" s="244" t="s">
        <v>2001</v>
      </c>
      <c r="AG339" s="248"/>
    </row>
    <row r="340" spans="2:38" s="182" customFormat="1" ht="15.75" hidden="1" customHeight="1" x14ac:dyDescent="0.25">
      <c r="B340" s="180"/>
      <c r="C340" s="217">
        <v>2022</v>
      </c>
      <c r="D340" s="180" t="s">
        <v>1654</v>
      </c>
      <c r="E340" s="180" t="s">
        <v>1311</v>
      </c>
      <c r="F340" s="180" t="s">
        <v>344</v>
      </c>
      <c r="G340" s="180" t="s">
        <v>1303</v>
      </c>
      <c r="H340" s="183" t="s">
        <v>264</v>
      </c>
      <c r="I340" s="183" t="s">
        <v>256</v>
      </c>
      <c r="J340" s="180" t="s">
        <v>927</v>
      </c>
      <c r="K340" s="180">
        <v>3</v>
      </c>
      <c r="L340" s="180">
        <v>39</v>
      </c>
      <c r="M340" s="180">
        <v>18</v>
      </c>
      <c r="N340" s="180">
        <v>7.4</v>
      </c>
      <c r="O340" s="94">
        <v>0.5</v>
      </c>
      <c r="P340" s="239">
        <f t="shared" si="123"/>
        <v>3.6635616461296463</v>
      </c>
      <c r="Q340" s="178" t="str">
        <f t="shared" si="119"/>
        <v>R. sub - DeForest</v>
      </c>
      <c r="R340" s="302">
        <f t="shared" si="124"/>
        <v>-6.5458677607370284</v>
      </c>
      <c r="S340" s="220">
        <f t="shared" si="125"/>
        <v>10.209429406866676</v>
      </c>
      <c r="T340" s="236">
        <f t="shared" si="128"/>
        <v>35</v>
      </c>
      <c r="U340" s="221" t="str">
        <f t="shared" si="117"/>
        <v>35-POP-EC20-EX</v>
      </c>
      <c r="V340" s="222" cm="1">
        <f t="array" ref="V340">GEOMEAN(IF(U340=$U$4:$U$359,$S$4:$S$359))</f>
        <v>9.9287428066666941</v>
      </c>
      <c r="W340" s="303">
        <f t="shared" si="126"/>
        <v>3.2963750459296657</v>
      </c>
      <c r="X340" s="225">
        <f t="shared" si="127"/>
        <v>27.014534768793663</v>
      </c>
      <c r="Y340" s="225"/>
      <c r="Z340" s="226" t="s">
        <v>1467</v>
      </c>
      <c r="AA340" s="226"/>
      <c r="AB340" s="227"/>
      <c r="AC340" s="244" t="s">
        <v>1772</v>
      </c>
      <c r="AD340" s="247">
        <v>0.94799999999999995</v>
      </c>
      <c r="AE340" s="244" t="s">
        <v>2001</v>
      </c>
      <c r="AG340" s="248"/>
      <c r="AH340" s="248"/>
      <c r="AI340" s="248"/>
      <c r="AJ340" s="248"/>
      <c r="AK340" s="248"/>
    </row>
    <row r="341" spans="2:38" s="182" customFormat="1" ht="15.75" hidden="1" customHeight="1" x14ac:dyDescent="0.25">
      <c r="B341" s="180"/>
      <c r="C341" s="217">
        <v>2022</v>
      </c>
      <c r="D341" s="180" t="s">
        <v>1654</v>
      </c>
      <c r="E341" s="180" t="s">
        <v>1678</v>
      </c>
      <c r="F341" s="180" t="s">
        <v>344</v>
      </c>
      <c r="G341" s="180" t="s">
        <v>1303</v>
      </c>
      <c r="H341" s="183" t="s">
        <v>264</v>
      </c>
      <c r="I341" s="183" t="s">
        <v>256</v>
      </c>
      <c r="J341" s="180" t="s">
        <v>927</v>
      </c>
      <c r="K341" s="180">
        <v>3</v>
      </c>
      <c r="L341" s="180">
        <v>16</v>
      </c>
      <c r="M341" s="180">
        <v>39</v>
      </c>
      <c r="N341" s="180">
        <v>7.9</v>
      </c>
      <c r="O341" s="94">
        <v>0.5</v>
      </c>
      <c r="P341" s="239">
        <f t="shared" si="123"/>
        <v>2.7725887222397811</v>
      </c>
      <c r="Q341" s="178" t="str">
        <f t="shared" si="119"/>
        <v>R. sub - DeForest</v>
      </c>
      <c r="R341" s="302">
        <f t="shared" si="124"/>
        <v>-6.9783677607370285</v>
      </c>
      <c r="S341" s="220">
        <f t="shared" si="125"/>
        <v>9.7509564829768092</v>
      </c>
      <c r="T341" s="236">
        <f t="shared" si="128"/>
        <v>35</v>
      </c>
      <c r="U341" s="221" t="str">
        <f t="shared" si="117"/>
        <v>35-POP-EC20-EX</v>
      </c>
      <c r="V341" s="222" cm="1">
        <f t="array" ref="V341">GEOMEAN(IF(U341=$U$4:$U$359,$S$4:$S$359))</f>
        <v>9.9287428066666941</v>
      </c>
      <c r="W341" s="303">
        <f t="shared" si="126"/>
        <v>3.2963750459296657</v>
      </c>
      <c r="X341" s="225">
        <f t="shared" si="127"/>
        <v>27.014534768793663</v>
      </c>
      <c r="Y341" s="225"/>
      <c r="Z341" s="226" t="s">
        <v>1467</v>
      </c>
      <c r="AA341" s="226"/>
      <c r="AB341" s="254"/>
      <c r="AC341" s="244" t="s">
        <v>1772</v>
      </c>
      <c r="AD341" s="247">
        <v>0.94799999999999995</v>
      </c>
      <c r="AE341" s="244" t="s">
        <v>2001</v>
      </c>
      <c r="AG341" s="248"/>
      <c r="AH341" s="248"/>
      <c r="AI341" s="248"/>
      <c r="AJ341" s="248"/>
      <c r="AK341" s="248"/>
    </row>
    <row r="342" spans="2:38" s="182" customFormat="1" ht="15.75" hidden="1" customHeight="1" x14ac:dyDescent="0.25">
      <c r="B342" s="180"/>
      <c r="C342" s="217">
        <v>2022</v>
      </c>
      <c r="D342" s="180" t="s">
        <v>1654</v>
      </c>
      <c r="E342" s="180" t="s">
        <v>1679</v>
      </c>
      <c r="F342" s="180" t="s">
        <v>344</v>
      </c>
      <c r="G342" s="180" t="s">
        <v>1303</v>
      </c>
      <c r="H342" s="183" t="s">
        <v>264</v>
      </c>
      <c r="I342" s="183" t="s">
        <v>256</v>
      </c>
      <c r="J342" s="180" t="s">
        <v>927</v>
      </c>
      <c r="K342" s="180">
        <v>3</v>
      </c>
      <c r="L342" s="180">
        <v>18</v>
      </c>
      <c r="M342" s="180">
        <v>50</v>
      </c>
      <c r="N342" s="180">
        <v>8</v>
      </c>
      <c r="O342" s="94">
        <v>0.4</v>
      </c>
      <c r="P342" s="239">
        <f t="shared" si="123"/>
        <v>2.8903717578961645</v>
      </c>
      <c r="Q342" s="178" t="str">
        <f t="shared" si="119"/>
        <v>R. sub - DeForest</v>
      </c>
      <c r="R342" s="302">
        <f t="shared" si="124"/>
        <v>-7.1115047629616983</v>
      </c>
      <c r="S342" s="220">
        <f t="shared" si="125"/>
        <v>10.001876520857863</v>
      </c>
      <c r="T342" s="236">
        <f t="shared" si="128"/>
        <v>35</v>
      </c>
      <c r="U342" s="221" t="str">
        <f t="shared" si="117"/>
        <v>35-POP-EC20-EX</v>
      </c>
      <c r="V342" s="222" cm="1">
        <f t="array" ref="V342">GEOMEAN(IF(U342=$U$4:$U$359,$S$4:$S$359))</f>
        <v>9.9287428066666941</v>
      </c>
      <c r="W342" s="303">
        <f t="shared" si="126"/>
        <v>3.2963750459296657</v>
      </c>
      <c r="X342" s="225">
        <f t="shared" si="127"/>
        <v>27.014534768793663</v>
      </c>
      <c r="Y342" s="225"/>
      <c r="Z342" s="226" t="s">
        <v>1467</v>
      </c>
      <c r="AA342" s="226"/>
      <c r="AB342" s="254"/>
      <c r="AC342" s="244" t="s">
        <v>1772</v>
      </c>
      <c r="AD342" s="247">
        <v>0.94799999999999995</v>
      </c>
      <c r="AE342" s="244" t="s">
        <v>2001</v>
      </c>
      <c r="AG342" s="248"/>
      <c r="AH342" s="248"/>
      <c r="AI342" s="248"/>
      <c r="AJ342" s="248"/>
      <c r="AK342" s="248"/>
      <c r="AL342" s="248"/>
    </row>
    <row r="343" spans="2:38" s="182" customFormat="1" ht="15.75" hidden="1" customHeight="1" x14ac:dyDescent="0.25">
      <c r="B343" s="180"/>
      <c r="C343" s="217">
        <v>2022</v>
      </c>
      <c r="D343" s="180" t="s">
        <v>1654</v>
      </c>
      <c r="E343" s="180" t="s">
        <v>1680</v>
      </c>
      <c r="F343" s="180" t="s">
        <v>344</v>
      </c>
      <c r="G343" s="180" t="s">
        <v>1303</v>
      </c>
      <c r="H343" s="183" t="s">
        <v>264</v>
      </c>
      <c r="I343" s="183" t="s">
        <v>256</v>
      </c>
      <c r="J343" s="180" t="s">
        <v>927</v>
      </c>
      <c r="K343" s="180">
        <v>3</v>
      </c>
      <c r="L343" s="180">
        <v>41</v>
      </c>
      <c r="M343" s="180">
        <v>110</v>
      </c>
      <c r="N343" s="180">
        <v>8.1999999999999993</v>
      </c>
      <c r="O343" s="94">
        <v>2.4</v>
      </c>
      <c r="P343" s="239">
        <f t="shared" si="123"/>
        <v>3.713572066704308</v>
      </c>
      <c r="Q343" s="178" t="str">
        <f t="shared" si="119"/>
        <v>R. sub - DeForest</v>
      </c>
      <c r="R343" s="302">
        <f t="shared" si="124"/>
        <v>-6.9100270338930336</v>
      </c>
      <c r="S343" s="220">
        <f t="shared" si="125"/>
        <v>10.623599100597342</v>
      </c>
      <c r="T343" s="236">
        <f t="shared" si="128"/>
        <v>35</v>
      </c>
      <c r="U343" s="221" t="str">
        <f t="shared" si="117"/>
        <v>35-POP-EC20-EX</v>
      </c>
      <c r="V343" s="222" cm="1">
        <f t="array" ref="V343">GEOMEAN(IF(U343=$U$4:$U$359,$S$4:$S$359))</f>
        <v>9.9287428066666941</v>
      </c>
      <c r="W343" s="303">
        <f t="shared" si="126"/>
        <v>3.2963750459296657</v>
      </c>
      <c r="X343" s="225">
        <f t="shared" si="127"/>
        <v>27.014534768793663</v>
      </c>
      <c r="Y343" s="225"/>
      <c r="Z343" s="226" t="s">
        <v>1467</v>
      </c>
      <c r="AA343" s="226"/>
      <c r="AB343" s="254"/>
      <c r="AC343" s="244" t="s">
        <v>1772</v>
      </c>
      <c r="AD343" s="247">
        <v>0.94799999999999995</v>
      </c>
      <c r="AE343" s="244" t="s">
        <v>2001</v>
      </c>
      <c r="AG343" s="248"/>
      <c r="AH343" s="248"/>
      <c r="AI343" s="248"/>
      <c r="AJ343" s="248"/>
      <c r="AK343" s="248"/>
      <c r="AL343" s="248"/>
    </row>
    <row r="344" spans="2:38" s="182" customFormat="1" ht="15.75" hidden="1" customHeight="1" x14ac:dyDescent="0.25">
      <c r="B344" s="180"/>
      <c r="C344" s="217">
        <v>2022</v>
      </c>
      <c r="D344" s="180" t="s">
        <v>1654</v>
      </c>
      <c r="E344" s="180" t="s">
        <v>1681</v>
      </c>
      <c r="F344" s="180" t="s">
        <v>344</v>
      </c>
      <c r="G344" s="180" t="s">
        <v>1303</v>
      </c>
      <c r="H344" s="183" t="s">
        <v>264</v>
      </c>
      <c r="I344" s="183" t="s">
        <v>256</v>
      </c>
      <c r="J344" s="180" t="s">
        <v>927</v>
      </c>
      <c r="K344" s="180">
        <v>3</v>
      </c>
      <c r="L344" s="180">
        <v>68</v>
      </c>
      <c r="M344" s="180">
        <v>25.6</v>
      </c>
      <c r="N344" s="180">
        <v>7.2</v>
      </c>
      <c r="O344" s="94">
        <v>7.3</v>
      </c>
      <c r="P344" s="239">
        <f t="shared" si="123"/>
        <v>4.219507705176107</v>
      </c>
      <c r="Q344" s="178" t="str">
        <f t="shared" si="119"/>
        <v>R. sub - DeForest</v>
      </c>
      <c r="R344" s="302">
        <f t="shared" si="124"/>
        <v>-5.8125342612357418</v>
      </c>
      <c r="S344" s="220">
        <f t="shared" si="125"/>
        <v>10.03204196641185</v>
      </c>
      <c r="T344" s="236">
        <f t="shared" si="128"/>
        <v>35</v>
      </c>
      <c r="U344" s="221" t="str">
        <f t="shared" si="117"/>
        <v>35-POP-EC20-EX</v>
      </c>
      <c r="V344" s="222" cm="1">
        <f t="array" ref="V344">GEOMEAN(IF(U344=$U$4:$U$359,$S$4:$S$359))</f>
        <v>9.9287428066666941</v>
      </c>
      <c r="W344" s="303">
        <f t="shared" si="126"/>
        <v>3.2963750459296657</v>
      </c>
      <c r="X344" s="225">
        <f t="shared" si="127"/>
        <v>27.014534768793663</v>
      </c>
      <c r="Y344" s="225"/>
      <c r="Z344" s="226" t="s">
        <v>1467</v>
      </c>
      <c r="AA344" s="226"/>
      <c r="AB344" s="254"/>
      <c r="AC344" s="244" t="s">
        <v>1772</v>
      </c>
      <c r="AD344" s="247">
        <v>0.94799999999999995</v>
      </c>
      <c r="AE344" s="244" t="s">
        <v>2001</v>
      </c>
      <c r="AG344" s="248"/>
      <c r="AH344" s="248"/>
      <c r="AI344" s="248"/>
      <c r="AJ344" s="248"/>
      <c r="AK344" s="248"/>
      <c r="AL344" s="248"/>
    </row>
    <row r="345" spans="2:38" s="182" customFormat="1" ht="15.75" hidden="1" customHeight="1" x14ac:dyDescent="0.25">
      <c r="B345" s="180"/>
      <c r="C345" s="217">
        <v>2022</v>
      </c>
      <c r="D345" s="180" t="s">
        <v>1654</v>
      </c>
      <c r="E345" s="180" t="s">
        <v>1682</v>
      </c>
      <c r="F345" s="180" t="s">
        <v>344</v>
      </c>
      <c r="G345" s="180" t="s">
        <v>1303</v>
      </c>
      <c r="H345" s="183" t="s">
        <v>264</v>
      </c>
      <c r="I345" s="183" t="s">
        <v>256</v>
      </c>
      <c r="J345" s="180" t="s">
        <v>927</v>
      </c>
      <c r="K345" s="180">
        <v>3</v>
      </c>
      <c r="L345" s="180">
        <v>16</v>
      </c>
      <c r="M345" s="180">
        <v>72.3</v>
      </c>
      <c r="N345" s="180">
        <v>7.6</v>
      </c>
      <c r="O345" s="94">
        <v>4.5999999999999996</v>
      </c>
      <c r="P345" s="239">
        <f t="shared" si="123"/>
        <v>2.7725887222397811</v>
      </c>
      <c r="Q345" s="178" t="str">
        <f t="shared" si="119"/>
        <v>R. sub - DeForest</v>
      </c>
      <c r="R345" s="302">
        <f t="shared" si="124"/>
        <v>-6.2550542325695346</v>
      </c>
      <c r="S345" s="220">
        <f t="shared" si="125"/>
        <v>9.0276429548093162</v>
      </c>
      <c r="T345" s="236">
        <f t="shared" si="128"/>
        <v>35</v>
      </c>
      <c r="U345" s="221" t="str">
        <f t="shared" si="117"/>
        <v>35-POP-EC20-EX</v>
      </c>
      <c r="V345" s="222" cm="1">
        <f t="array" ref="V345">GEOMEAN(IF(U345=$U$4:$U$359,$S$4:$S$359))</f>
        <v>9.9287428066666941</v>
      </c>
      <c r="W345" s="303">
        <f t="shared" si="126"/>
        <v>3.2963750459296657</v>
      </c>
      <c r="X345" s="225">
        <f t="shared" si="127"/>
        <v>27.014534768793663</v>
      </c>
      <c r="Y345" s="225"/>
      <c r="Z345" s="226" t="s">
        <v>1467</v>
      </c>
      <c r="AA345" s="226"/>
      <c r="AB345" s="254"/>
      <c r="AC345" s="244" t="s">
        <v>1772</v>
      </c>
      <c r="AD345" s="247">
        <v>0.94799999999999995</v>
      </c>
      <c r="AE345" s="244" t="s">
        <v>2001</v>
      </c>
      <c r="AG345" s="248"/>
      <c r="AH345" s="248"/>
      <c r="AI345" s="248"/>
      <c r="AJ345" s="248"/>
      <c r="AK345" s="248"/>
      <c r="AL345" s="248"/>
    </row>
    <row r="346" spans="2:38" x14ac:dyDescent="0.25">
      <c r="AB346" s="254"/>
      <c r="AC346" s="228"/>
      <c r="AD346" s="228"/>
      <c r="AE346" s="228"/>
      <c r="AG346" s="248"/>
    </row>
    <row r="347" spans="2:38" x14ac:dyDescent="0.25">
      <c r="AB347" s="254"/>
      <c r="AC347" s="228"/>
      <c r="AD347" s="228"/>
      <c r="AE347" s="228"/>
      <c r="AG347" s="248"/>
    </row>
    <row r="348" spans="2:38" x14ac:dyDescent="0.25">
      <c r="AB348" s="254"/>
      <c r="AC348" s="228"/>
      <c r="AD348" s="228"/>
      <c r="AE348" s="228"/>
      <c r="AG348" s="248"/>
    </row>
    <row r="349" spans="2:38" x14ac:dyDescent="0.25">
      <c r="AB349" s="254"/>
      <c r="AC349" s="228"/>
      <c r="AD349" s="228"/>
      <c r="AE349" s="228"/>
      <c r="AG349" s="248"/>
    </row>
    <row r="350" spans="2:38" x14ac:dyDescent="0.25">
      <c r="AB350" s="254"/>
      <c r="AC350" s="228"/>
      <c r="AD350" s="228"/>
      <c r="AE350" s="228"/>
      <c r="AG350" s="248"/>
    </row>
    <row r="351" spans="2:38" x14ac:dyDescent="0.25">
      <c r="AB351" s="254"/>
      <c r="AC351" s="228"/>
      <c r="AD351" s="228"/>
      <c r="AE351" s="228"/>
      <c r="AG351" s="248"/>
    </row>
    <row r="352" spans="2:38" x14ac:dyDescent="0.25">
      <c r="AB352" s="254"/>
      <c r="AC352" s="228"/>
      <c r="AD352" s="228"/>
      <c r="AE352" s="228"/>
      <c r="AG352" s="248"/>
    </row>
  </sheetData>
  <autoFilter ref="A3:BE345" xr:uid="{AA7F5568-B76C-4ECF-A916-D0607C60E1BD}">
    <filterColumn colId="6">
      <filters>
        <filter val="Fish"/>
      </filters>
    </filterColumn>
  </autoFilter>
  <conditionalFormatting sqref="S112">
    <cfRule type="containsBlanks" dxfId="70" priority="3">
      <formula>LEN(TRIM(S112))=0</formula>
    </cfRule>
    <cfRule type="cellIs" dxfId="69" priority="4" operator="equal">
      <formula>""</formula>
    </cfRule>
  </conditionalFormatting>
  <conditionalFormatting sqref="S119">
    <cfRule type="containsBlanks" dxfId="68" priority="1">
      <formula>LEN(TRIM(S119))=0</formula>
    </cfRule>
    <cfRule type="cellIs" dxfId="67" priority="2" operator="equal">
      <formula>""</formula>
    </cfRule>
  </conditionalFormatting>
  <conditionalFormatting sqref="T4:U345">
    <cfRule type="containsBlanks" dxfId="66" priority="25">
      <formula>LEN(TRIM(T4))=0</formula>
    </cfRule>
    <cfRule type="cellIs" dxfId="65" priority="26" operator="equal">
      <formula>""</formula>
    </cfRule>
  </conditionalFormatting>
  <conditionalFormatting sqref="AA286">
    <cfRule type="containsBlanks" dxfId="64" priority="11">
      <formula>LEN(TRIM(AA286))=0</formula>
    </cfRule>
    <cfRule type="cellIs" dxfId="63" priority="12" operator="equal">
      <formula>""</formula>
    </cfRule>
  </conditionalFormatting>
  <conditionalFormatting sqref="AA288">
    <cfRule type="containsBlanks" dxfId="62" priority="9">
      <formula>LEN(TRIM(AA288))=0</formula>
    </cfRule>
    <cfRule type="cellIs" dxfId="61" priority="10" operator="equal">
      <formula>""</formula>
    </cfRule>
  </conditionalFormatting>
  <conditionalFormatting sqref="AA290">
    <cfRule type="containsBlanks" dxfId="60" priority="7">
      <formula>LEN(TRIM(AA290))=0</formula>
    </cfRule>
    <cfRule type="cellIs" dxfId="59" priority="8" operator="equal">
      <formula>""</formula>
    </cfRule>
  </conditionalFormatting>
  <conditionalFormatting sqref="AA292">
    <cfRule type="containsBlanks" dxfId="58" priority="5">
      <formula>LEN(TRIM(AA292))=0</formula>
    </cfRule>
    <cfRule type="cellIs" dxfId="57" priority="6" operator="equal">
      <formula>""</formula>
    </cfRule>
  </conditionalFormatting>
  <conditionalFormatting sqref="AA296">
    <cfRule type="containsBlanks" dxfId="56" priority="13">
      <formula>LEN(TRIM(AA296))=0</formula>
    </cfRule>
    <cfRule type="cellIs" dxfId="55" priority="14" operator="equal">
      <formula>""</formula>
    </cfRule>
  </conditionalFormatting>
  <conditionalFormatting sqref="AA298">
    <cfRule type="containsBlanks" dxfId="54" priority="15">
      <formula>LEN(TRIM(AA298))=0</formula>
    </cfRule>
    <cfRule type="cellIs" dxfId="53" priority="16" operator="equal">
      <formula>""</formula>
    </cfRule>
  </conditionalFormatting>
  <conditionalFormatting sqref="AA302">
    <cfRule type="containsBlanks" dxfId="52" priority="17">
      <formula>LEN(TRIM(AA302))=0</formula>
    </cfRule>
    <cfRule type="cellIs" dxfId="51" priority="18" operator="equal">
      <formula>""</formula>
    </cfRule>
  </conditionalFormatting>
  <conditionalFormatting sqref="AA304">
    <cfRule type="containsBlanks" dxfId="50" priority="19">
      <formula>LEN(TRIM(AA304))=0</formula>
    </cfRule>
    <cfRule type="cellIs" dxfId="49" priority="20" operator="equal">
      <formula>""</formula>
    </cfRule>
  </conditionalFormatting>
  <conditionalFormatting sqref="AA306">
    <cfRule type="containsBlanks" dxfId="48" priority="21">
      <formula>LEN(TRIM(AA306))=0</formula>
    </cfRule>
    <cfRule type="cellIs" dxfId="47" priority="22" operator="equal">
      <formula>""</formula>
    </cfRule>
  </conditionalFormatting>
  <conditionalFormatting sqref="AA308">
    <cfRule type="containsBlanks" dxfId="46" priority="23">
      <formula>LEN(TRIM(AA308))=0</formula>
    </cfRule>
    <cfRule type="cellIs" dxfId="45" priority="24" operator="equal">
      <formula>""</formula>
    </cfRule>
  </conditionalFormatting>
  <conditionalFormatting sqref="AH2">
    <cfRule type="dataBar" priority="2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{D04DBD0E-9AB9-4F7C-B822-8B51F77B6351}</x14:id>
        </ext>
      </extLst>
    </cfRule>
  </conditionalFormatting>
  <hyperlinks>
    <hyperlink ref="A267" location="'FW metal plant_WS'!D36" display="'FW metal plant_WS'!D36" xr:uid="{4CDF8657-C43E-4B22-99F3-80AAF69A638F}"/>
    <hyperlink ref="A268" location="'FW metal plant_WS'!D39" display="'FW metal plant_WS'!D39" xr:uid="{55374C01-3E63-4A98-9BA6-4D6D3F310E77}"/>
    <hyperlink ref="A269" location="'FW metal plant_WS'!D42" display="'FW metal plant_WS'!D42" xr:uid="{056CE9D1-D804-49A0-A846-2889AC4AF47E}"/>
    <hyperlink ref="A270" location="'FW metal plant_WS'!D45" display="'FW metal plant_WS'!D45" xr:uid="{F11ECC61-66DE-4768-84AA-959B9EEA6DD0}"/>
    <hyperlink ref="A271" location="'FW metal plant_WS'!D48" display="'FW metal plant_WS'!D48" xr:uid="{4B69B261-3866-46D4-8DCD-4A3F422B3978}"/>
  </hyperlinks>
  <pageMargins left="0.7" right="0.7" top="0.75" bottom="0.75" header="0.3" footer="0.3"/>
  <pageSetup orientation="portrait"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04DBD0E-9AB9-4F7C-B822-8B51F77B635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AH2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F0EB9-0F7E-4072-904C-2DAED51D0C3E}">
  <sheetPr codeName="Sheet4">
    <tabColor theme="9" tint="0.39997558519241921"/>
  </sheetPr>
  <dimension ref="A1:BE353"/>
  <sheetViews>
    <sheetView workbookViewId="0">
      <selection activeCell="D2" sqref="D2"/>
    </sheetView>
  </sheetViews>
  <sheetFormatPr defaultColWidth="8" defaultRowHeight="15" x14ac:dyDescent="0.25"/>
  <cols>
    <col min="1" max="1" width="11.28515625" style="248" customWidth="1"/>
    <col min="2" max="3" width="8" style="248"/>
    <col min="4" max="4" width="10.7109375" style="248" customWidth="1"/>
    <col min="5" max="5" width="18.140625" style="248" customWidth="1"/>
    <col min="6" max="6" width="18.42578125" style="248" customWidth="1"/>
    <col min="7" max="7" width="8" style="248"/>
    <col min="8" max="8" width="13.42578125" style="248" customWidth="1"/>
    <col min="9" max="15" width="8" style="248"/>
    <col min="16" max="16" width="6.42578125" style="248" customWidth="1"/>
    <col min="17" max="17" width="11.85546875" style="248" customWidth="1"/>
    <col min="18" max="18" width="10.42578125" style="248" customWidth="1"/>
    <col min="19" max="19" width="6.140625" style="248" customWidth="1"/>
    <col min="20" max="20" width="6.140625" style="244" customWidth="1"/>
    <col min="21" max="21" width="26" style="244" customWidth="1"/>
    <col min="22" max="23" width="8" style="248"/>
    <col min="24" max="25" width="9.28515625" style="248" customWidth="1"/>
    <col min="26" max="26" width="8.42578125" style="248" customWidth="1"/>
    <col min="27" max="27" width="24.140625" style="248" customWidth="1"/>
    <col min="28" max="28" width="12.140625" style="244" customWidth="1"/>
    <col min="29" max="31" width="5.7109375" style="244" customWidth="1"/>
    <col min="32" max="32" width="8" style="248"/>
    <col min="33" max="33" width="23.28515625" style="304" bestFit="1" customWidth="1"/>
    <col min="34" max="34" width="19.28515625" style="248" bestFit="1" customWidth="1"/>
    <col min="35" max="35" width="8" style="248"/>
    <col min="36" max="36" width="17.28515625" style="248" customWidth="1"/>
    <col min="37" max="37" width="12.42578125" style="248" customWidth="1"/>
    <col min="38" max="41" width="8" style="248"/>
    <col min="42" max="42" width="23.28515625" style="248" bestFit="1" customWidth="1"/>
    <col min="43" max="43" width="19.28515625" style="248" bestFit="1" customWidth="1"/>
    <col min="44" max="16384" width="8" style="248"/>
  </cols>
  <sheetData>
    <row r="1" spans="1:43" x14ac:dyDescent="0.25">
      <c r="A1" s="318" t="s">
        <v>2048</v>
      </c>
      <c r="B1" s="248" t="s">
        <v>2050</v>
      </c>
    </row>
    <row r="2" spans="1:43" x14ac:dyDescent="0.25">
      <c r="A2" s="318" t="s">
        <v>2049</v>
      </c>
      <c r="B2" s="248" t="s">
        <v>41</v>
      </c>
    </row>
    <row r="4" spans="1:43" s="183" customFormat="1" ht="15.75" customHeight="1" x14ac:dyDescent="0.2">
      <c r="B4" s="184"/>
      <c r="C4" s="185"/>
      <c r="D4" s="185"/>
      <c r="E4" s="186" t="s">
        <v>1</v>
      </c>
      <c r="F4" s="186"/>
      <c r="G4" s="186"/>
      <c r="H4" s="186"/>
      <c r="I4" s="187" t="s">
        <v>2</v>
      </c>
      <c r="J4" s="187"/>
      <c r="K4" s="187"/>
      <c r="L4" s="188"/>
      <c r="M4" s="189"/>
      <c r="N4" s="189"/>
      <c r="O4" s="189"/>
      <c r="P4" s="190"/>
      <c r="Q4" s="191"/>
      <c r="R4" s="190"/>
      <c r="S4" s="192"/>
      <c r="T4" s="162" t="s">
        <v>1538</v>
      </c>
      <c r="U4" s="162"/>
      <c r="V4" s="192"/>
      <c r="W4" s="192"/>
      <c r="X4" s="193" t="s">
        <v>1833</v>
      </c>
      <c r="Y4" s="193" t="s">
        <v>1833</v>
      </c>
      <c r="Z4" s="194"/>
      <c r="AA4" s="194"/>
      <c r="AB4" s="195"/>
      <c r="AC4" s="195" t="s">
        <v>1536</v>
      </c>
      <c r="AD4" s="196"/>
      <c r="AE4" s="196"/>
      <c r="AF4" s="197" t="s">
        <v>1834</v>
      </c>
      <c r="AG4" s="194"/>
      <c r="AH4" s="198" t="s">
        <v>1537</v>
      </c>
      <c r="AI4" s="199" t="s">
        <v>23</v>
      </c>
      <c r="AJ4" s="200" t="s">
        <v>1796</v>
      </c>
    </row>
    <row r="5" spans="1:43" s="183" customFormat="1" ht="15.75" customHeight="1" x14ac:dyDescent="0.25">
      <c r="B5" s="184"/>
      <c r="C5" s="185"/>
      <c r="D5" s="185"/>
      <c r="E5" s="186"/>
      <c r="F5" s="186"/>
      <c r="G5" s="186"/>
      <c r="H5" s="186"/>
      <c r="I5" s="187"/>
      <c r="J5" s="187"/>
      <c r="K5" s="187"/>
      <c r="L5" s="188"/>
      <c r="M5" s="189"/>
      <c r="N5" s="189"/>
      <c r="O5" s="189"/>
      <c r="P5" s="201"/>
      <c r="Q5" s="191"/>
      <c r="R5" s="191"/>
      <c r="S5" s="192"/>
      <c r="T5" s="202"/>
      <c r="U5" s="202"/>
      <c r="V5" s="192"/>
      <c r="W5" s="193">
        <f>COUNT(W7:W360)</f>
        <v>319</v>
      </c>
      <c r="X5" s="193" t="s">
        <v>1835</v>
      </c>
      <c r="Y5" s="193" t="s">
        <v>1835</v>
      </c>
      <c r="Z5" s="203"/>
      <c r="AA5" s="78"/>
      <c r="AB5" s="196"/>
      <c r="AC5" s="196"/>
      <c r="AD5" s="196"/>
      <c r="AE5" s="196"/>
      <c r="AG5" s="194"/>
      <c r="AH5" s="204">
        <v>30</v>
      </c>
      <c r="AI5" s="204">
        <v>7.5</v>
      </c>
      <c r="AJ5" s="204">
        <v>0.5</v>
      </c>
      <c r="AN5" s="183" t="s">
        <v>1836</v>
      </c>
    </row>
    <row r="6" spans="1:43" s="183" customFormat="1" ht="52.5" customHeight="1" x14ac:dyDescent="0.25">
      <c r="A6" s="183" t="s">
        <v>1837</v>
      </c>
      <c r="B6" s="4" t="s">
        <v>8</v>
      </c>
      <c r="C6" s="4" t="s">
        <v>1323</v>
      </c>
      <c r="D6" s="4" t="s">
        <v>1696</v>
      </c>
      <c r="E6" s="5" t="s">
        <v>10</v>
      </c>
      <c r="F6" s="5" t="s">
        <v>11</v>
      </c>
      <c r="G6" s="5" t="s">
        <v>152</v>
      </c>
      <c r="H6" s="5" t="s">
        <v>15</v>
      </c>
      <c r="I6" s="6" t="s">
        <v>17</v>
      </c>
      <c r="J6" s="6" t="s">
        <v>19</v>
      </c>
      <c r="K6" s="6" t="s">
        <v>1702</v>
      </c>
      <c r="L6" s="8" t="s">
        <v>30</v>
      </c>
      <c r="M6" s="7" t="s">
        <v>1812</v>
      </c>
      <c r="N6" s="7" t="s">
        <v>23</v>
      </c>
      <c r="O6" s="165" t="s">
        <v>1796</v>
      </c>
      <c r="P6" s="8" t="s">
        <v>1838</v>
      </c>
      <c r="Q6" s="163" t="s">
        <v>1799</v>
      </c>
      <c r="R6" s="205" t="s">
        <v>1839</v>
      </c>
      <c r="S6" s="206" t="s">
        <v>1840</v>
      </c>
      <c r="T6" s="164" t="s">
        <v>1287</v>
      </c>
      <c r="U6" s="164" t="s">
        <v>1841</v>
      </c>
      <c r="V6" s="206" t="s">
        <v>1842</v>
      </c>
      <c r="W6" s="206" t="s">
        <v>1843</v>
      </c>
      <c r="X6" s="206" t="s">
        <v>1844</v>
      </c>
      <c r="Y6" s="206" t="s">
        <v>1845</v>
      </c>
      <c r="Z6" s="91" t="s">
        <v>1286</v>
      </c>
      <c r="AA6" s="86" t="s">
        <v>211</v>
      </c>
      <c r="AB6" s="207" t="s">
        <v>1700</v>
      </c>
      <c r="AC6" s="208" t="s">
        <v>1701</v>
      </c>
      <c r="AD6" s="209" t="s">
        <v>1283</v>
      </c>
      <c r="AE6" s="210" t="s">
        <v>1284</v>
      </c>
      <c r="AG6" s="211" t="s">
        <v>1703</v>
      </c>
      <c r="AH6" s="198" t="s">
        <v>1537</v>
      </c>
      <c r="AI6" s="199" t="s">
        <v>23</v>
      </c>
      <c r="AJ6" s="200" t="s">
        <v>1796</v>
      </c>
      <c r="AK6" s="212" t="s">
        <v>1704</v>
      </c>
      <c r="AN6" s="213" t="s">
        <v>1703</v>
      </c>
      <c r="AO6" s="214" t="s">
        <v>1537</v>
      </c>
      <c r="AP6" s="215" t="s">
        <v>23</v>
      </c>
      <c r="AQ6" s="216" t="s">
        <v>1796</v>
      </c>
    </row>
    <row r="7" spans="1:43" s="183" customFormat="1" ht="15.75" customHeight="1" x14ac:dyDescent="0.2">
      <c r="C7" s="217">
        <v>1999</v>
      </c>
      <c r="D7" s="180" t="s">
        <v>903</v>
      </c>
      <c r="E7" s="180" t="s">
        <v>41</v>
      </c>
      <c r="F7" s="180" t="s">
        <v>1360</v>
      </c>
      <c r="G7" s="180" t="s">
        <v>167</v>
      </c>
      <c r="H7" s="180" t="s">
        <v>1251</v>
      </c>
      <c r="I7" s="180" t="s">
        <v>1309</v>
      </c>
      <c r="J7" s="180" t="s">
        <v>54</v>
      </c>
      <c r="K7" s="180">
        <v>28</v>
      </c>
      <c r="L7" s="180">
        <v>172</v>
      </c>
      <c r="M7" s="183">
        <v>57</v>
      </c>
      <c r="N7" s="181">
        <v>7.22</v>
      </c>
      <c r="O7" s="94">
        <v>0.5</v>
      </c>
      <c r="P7" s="218">
        <f>LN(L7)</f>
        <v>5.1474944768134527</v>
      </c>
      <c r="Q7" s="179" t="str">
        <f t="shared" ref="Q7:Q70" si="0">$AG$7</f>
        <v>CCME Fish</v>
      </c>
      <c r="R7" s="219">
        <f t="shared" ref="R7:R9" si="1">$AI$7*N7+$AH$7*LN(M7)+$AJ$7*LN(O7)</f>
        <v>-2.3314030272235389</v>
      </c>
      <c r="S7" s="220">
        <f>P7-R7</f>
        <v>7.4788975040369916</v>
      </c>
      <c r="T7" s="57">
        <v>1</v>
      </c>
      <c r="U7" s="221" t="str">
        <f>CONCATENATE(T7,"-",I7,"-",J7,"-",H7)</f>
        <v>1-DEV-NOEC-Larvae</v>
      </c>
      <c r="V7" s="222" cm="1">
        <f t="array" ref="V7">GEOMEAN(IF(U7=$U$7:$U$360,$S$7:$S$360))</f>
        <v>7.4788975040369916</v>
      </c>
      <c r="W7" s="223">
        <f t="shared" ref="W7:W10" si="2">V7+$AI$7*$AI$5+$AH$7*LN($AH$5)+$AJ$7*LN($AJ$5)</f>
        <v>4.3114588466081942</v>
      </c>
      <c r="X7" s="224">
        <f>EXP(W7)</f>
        <v>74.54916544705091</v>
      </c>
      <c r="Y7" s="225">
        <f>X7</f>
        <v>74.54916544705091</v>
      </c>
      <c r="Z7" s="226"/>
      <c r="AA7" s="194"/>
      <c r="AB7" s="227" t="s">
        <v>1846</v>
      </c>
      <c r="AC7" s="228" t="s">
        <v>1798</v>
      </c>
      <c r="AD7" s="228"/>
      <c r="AE7" s="229" t="s">
        <v>1584</v>
      </c>
      <c r="AG7" s="230" t="s">
        <v>1847</v>
      </c>
      <c r="AH7" s="231">
        <v>0.94699999999999995</v>
      </c>
      <c r="AI7" s="232">
        <v>-0.81499999999999995</v>
      </c>
      <c r="AJ7" s="233">
        <v>0.39800000000000002</v>
      </c>
      <c r="AN7" s="234" t="s">
        <v>1847</v>
      </c>
      <c r="AO7" s="235" t="s">
        <v>1813</v>
      </c>
      <c r="AP7" s="235" t="s">
        <v>1820</v>
      </c>
      <c r="AQ7" s="235" t="s">
        <v>1821</v>
      </c>
    </row>
    <row r="8" spans="1:43" s="183" customFormat="1" ht="15.75" customHeight="1" x14ac:dyDescent="0.2">
      <c r="C8" s="217">
        <v>1999</v>
      </c>
      <c r="D8" s="180" t="s">
        <v>903</v>
      </c>
      <c r="E8" s="180" t="s">
        <v>41</v>
      </c>
      <c r="F8" s="180" t="s">
        <v>1360</v>
      </c>
      <c r="G8" s="180" t="s">
        <v>167</v>
      </c>
      <c r="H8" s="180" t="s">
        <v>1251</v>
      </c>
      <c r="I8" s="180" t="s">
        <v>1309</v>
      </c>
      <c r="J8" s="180" t="s">
        <v>54</v>
      </c>
      <c r="K8" s="180">
        <v>42</v>
      </c>
      <c r="L8" s="180">
        <v>172</v>
      </c>
      <c r="M8" s="183">
        <v>57</v>
      </c>
      <c r="N8" s="181">
        <v>7.22</v>
      </c>
      <c r="O8" s="94">
        <v>0.5</v>
      </c>
      <c r="P8" s="218">
        <f t="shared" ref="P8:P71" si="3">LN(L8)</f>
        <v>5.1474944768134527</v>
      </c>
      <c r="Q8" s="179" t="str">
        <f t="shared" si="0"/>
        <v>CCME Fish</v>
      </c>
      <c r="R8" s="219">
        <f t="shared" si="1"/>
        <v>-2.3314030272235389</v>
      </c>
      <c r="S8" s="220">
        <f t="shared" ref="S8:S10" si="4">P8-R8</f>
        <v>7.4788975040369916</v>
      </c>
      <c r="T8" s="236">
        <f>IF(F8=F7,T7,T7+1)</f>
        <v>1</v>
      </c>
      <c r="U8" s="221" t="str">
        <f t="shared" ref="U8:U16" si="5">CONCATENATE(T8,"-",I8,"-",J8,"-",H8)</f>
        <v>1-DEV-NOEC-Larvae</v>
      </c>
      <c r="V8" s="222" cm="1">
        <f t="array" ref="V8">GEOMEAN(IF(U8=$U$7:$U$360,$S$7:$S$360))</f>
        <v>7.4788975040369916</v>
      </c>
      <c r="W8" s="223">
        <f t="shared" si="2"/>
        <v>4.3114588466081942</v>
      </c>
      <c r="X8" s="225">
        <f t="shared" ref="X8:X71" si="6">EXP(W8)</f>
        <v>74.54916544705091</v>
      </c>
      <c r="Y8" s="225">
        <f t="shared" ref="Y8:Y13" si="7">X8</f>
        <v>74.54916544705091</v>
      </c>
      <c r="Z8" s="226"/>
      <c r="AA8" s="194"/>
      <c r="AB8" s="227"/>
      <c r="AC8" s="228"/>
      <c r="AD8" s="228"/>
      <c r="AE8" s="229"/>
      <c r="AG8" s="230" t="s">
        <v>1848</v>
      </c>
      <c r="AH8" s="231">
        <v>0.31</v>
      </c>
      <c r="AI8" s="232">
        <v>-0.52</v>
      </c>
      <c r="AJ8" s="237">
        <v>-1.4</v>
      </c>
      <c r="AK8" s="183">
        <v>0.24</v>
      </c>
      <c r="AN8" s="234" t="s">
        <v>1848</v>
      </c>
      <c r="AO8" s="235" t="s">
        <v>1849</v>
      </c>
      <c r="AP8" s="235" t="s">
        <v>1850</v>
      </c>
      <c r="AQ8" s="235" t="s">
        <v>1851</v>
      </c>
    </row>
    <row r="9" spans="1:43" s="183" customFormat="1" ht="15.75" customHeight="1" x14ac:dyDescent="0.2">
      <c r="C9" s="217">
        <v>1999</v>
      </c>
      <c r="D9" s="180" t="s">
        <v>903</v>
      </c>
      <c r="E9" s="180" t="s">
        <v>41</v>
      </c>
      <c r="F9" s="180" t="s">
        <v>1360</v>
      </c>
      <c r="G9" s="180" t="s">
        <v>167</v>
      </c>
      <c r="H9" s="180" t="s">
        <v>1251</v>
      </c>
      <c r="I9" s="180" t="s">
        <v>81</v>
      </c>
      <c r="J9" s="180" t="s">
        <v>54</v>
      </c>
      <c r="K9" s="180">
        <v>14</v>
      </c>
      <c r="L9" s="180">
        <v>172</v>
      </c>
      <c r="M9" s="183">
        <v>57</v>
      </c>
      <c r="N9" s="181">
        <v>7.22</v>
      </c>
      <c r="O9" s="94">
        <v>0.5</v>
      </c>
      <c r="P9" s="218">
        <f t="shared" si="3"/>
        <v>5.1474944768134527</v>
      </c>
      <c r="Q9" s="179" t="str">
        <f t="shared" si="0"/>
        <v>CCME Fish</v>
      </c>
      <c r="R9" s="219">
        <f t="shared" si="1"/>
        <v>-2.3314030272235389</v>
      </c>
      <c r="S9" s="220">
        <f t="shared" si="4"/>
        <v>7.4788975040369916</v>
      </c>
      <c r="T9" s="236">
        <f t="shared" ref="T9:T72" si="8">IF(F9=F8,T8,T8+1)</f>
        <v>1</v>
      </c>
      <c r="U9" s="221" t="str">
        <f t="shared" si="5"/>
        <v>1-GRO-NOEC-Larvae</v>
      </c>
      <c r="V9" s="222" cm="1">
        <f t="array" ref="V9">GEOMEAN(IF(U9=$U$7:$U$360,$S$7:$S$360))</f>
        <v>7.4788975040369916</v>
      </c>
      <c r="W9" s="223">
        <f t="shared" si="2"/>
        <v>4.3114588466081942</v>
      </c>
      <c r="X9" s="225">
        <f t="shared" si="6"/>
        <v>74.54916544705091</v>
      </c>
      <c r="Y9" s="225">
        <f t="shared" si="7"/>
        <v>74.54916544705091</v>
      </c>
      <c r="Z9" s="226"/>
      <c r="AA9" s="194"/>
      <c r="AB9" s="227"/>
      <c r="AC9" s="228"/>
      <c r="AD9" s="228"/>
      <c r="AE9" s="229"/>
      <c r="AG9" s="238" t="s">
        <v>1811</v>
      </c>
      <c r="AH9" s="231">
        <v>0.67300000000000004</v>
      </c>
      <c r="AI9" s="232">
        <v>-0.35899999999999999</v>
      </c>
      <c r="AJ9" s="233">
        <v>0.35099999999999998</v>
      </c>
      <c r="AN9" s="234" t="s">
        <v>1811</v>
      </c>
      <c r="AO9" s="235" t="s">
        <v>1815</v>
      </c>
      <c r="AP9" s="235" t="s">
        <v>1814</v>
      </c>
      <c r="AQ9" s="235" t="s">
        <v>1816</v>
      </c>
    </row>
    <row r="10" spans="1:43" s="183" customFormat="1" ht="15.75" customHeight="1" x14ac:dyDescent="0.2">
      <c r="C10" s="217">
        <v>1999</v>
      </c>
      <c r="D10" s="180" t="s">
        <v>903</v>
      </c>
      <c r="E10" s="180" t="s">
        <v>41</v>
      </c>
      <c r="F10" s="180" t="s">
        <v>1360</v>
      </c>
      <c r="G10" s="180" t="s">
        <v>167</v>
      </c>
      <c r="H10" s="180" t="s">
        <v>1251</v>
      </c>
      <c r="I10" s="180" t="s">
        <v>237</v>
      </c>
      <c r="J10" s="180" t="s">
        <v>54</v>
      </c>
      <c r="K10" s="180">
        <v>14</v>
      </c>
      <c r="L10" s="180">
        <v>404</v>
      </c>
      <c r="M10" s="183">
        <v>57</v>
      </c>
      <c r="N10" s="181">
        <v>7.22</v>
      </c>
      <c r="O10" s="94">
        <v>0.5</v>
      </c>
      <c r="P10" s="239">
        <f t="shared" si="3"/>
        <v>6.0014148779611505</v>
      </c>
      <c r="Q10" s="179" t="str">
        <f t="shared" si="0"/>
        <v>CCME Fish</v>
      </c>
      <c r="R10" s="219">
        <f>$AI$7*N10+$AH$7*LN(M10)+$AJ$7*LN(O10)</f>
        <v>-2.3314030272235389</v>
      </c>
      <c r="S10" s="220">
        <f t="shared" si="4"/>
        <v>8.3328179051846902</v>
      </c>
      <c r="T10" s="236">
        <f t="shared" si="8"/>
        <v>1</v>
      </c>
      <c r="U10" s="221" t="str">
        <f t="shared" si="5"/>
        <v>1-MOR-NOEC-Larvae</v>
      </c>
      <c r="V10" s="222" cm="1">
        <f t="array" ref="V10">GEOMEAN(IF(U10=$U$7:$U$360,$S$7:$S$360))</f>
        <v>8.3328179051846902</v>
      </c>
      <c r="W10" s="223">
        <f t="shared" si="2"/>
        <v>5.1653792477558929</v>
      </c>
      <c r="X10" s="225">
        <f t="shared" si="6"/>
        <v>175.10385372446871</v>
      </c>
      <c r="Y10" s="225">
        <f t="shared" si="7"/>
        <v>175.10385372446871</v>
      </c>
      <c r="Z10" s="226"/>
      <c r="AA10" s="194"/>
      <c r="AB10" s="227" t="s">
        <v>1846</v>
      </c>
      <c r="AC10" s="228" t="s">
        <v>1798</v>
      </c>
      <c r="AD10" s="228"/>
      <c r="AE10" s="229" t="s">
        <v>1584</v>
      </c>
      <c r="AG10" s="230" t="s">
        <v>1852</v>
      </c>
      <c r="AH10" s="231"/>
      <c r="AI10" s="232">
        <v>-0.86499999999999999</v>
      </c>
      <c r="AJ10" s="233">
        <v>0.20899999999999999</v>
      </c>
      <c r="AK10" s="227"/>
      <c r="AN10" s="234" t="s">
        <v>1852</v>
      </c>
      <c r="AO10" s="240" t="s">
        <v>1818</v>
      </c>
      <c r="AP10" s="240" t="s">
        <v>1817</v>
      </c>
      <c r="AQ10" s="240" t="s">
        <v>1819</v>
      </c>
    </row>
    <row r="11" spans="1:43" s="183" customFormat="1" ht="15.75" customHeight="1" x14ac:dyDescent="0.2">
      <c r="C11" s="217">
        <v>1999</v>
      </c>
      <c r="D11" s="180" t="s">
        <v>903</v>
      </c>
      <c r="E11" s="180" t="s">
        <v>41</v>
      </c>
      <c r="F11" s="180" t="s">
        <v>1360</v>
      </c>
      <c r="G11" s="180" t="s">
        <v>167</v>
      </c>
      <c r="H11" s="180" t="s">
        <v>1251</v>
      </c>
      <c r="I11" s="180" t="s">
        <v>237</v>
      </c>
      <c r="J11" s="180" t="s">
        <v>54</v>
      </c>
      <c r="K11" s="180">
        <v>28</v>
      </c>
      <c r="L11" s="180">
        <v>404</v>
      </c>
      <c r="M11" s="183">
        <v>57</v>
      </c>
      <c r="N11" s="181">
        <v>7.22</v>
      </c>
      <c r="O11" s="94">
        <v>0.5</v>
      </c>
      <c r="P11" s="239">
        <f t="shared" si="3"/>
        <v>6.0014148779611505</v>
      </c>
      <c r="Q11" s="179" t="str">
        <f t="shared" si="0"/>
        <v>CCME Fish</v>
      </c>
      <c r="R11" s="219">
        <f t="shared" ref="R11:R74" si="9">$AI$7*N11+$AH$7*LN(M11)+$AJ$7*LN(O11)</f>
        <v>-2.3314030272235389</v>
      </c>
      <c r="S11" s="220">
        <f>P11-R11</f>
        <v>8.3328179051846902</v>
      </c>
      <c r="T11" s="236">
        <f t="shared" si="8"/>
        <v>1</v>
      </c>
      <c r="U11" s="221" t="str">
        <f t="shared" si="5"/>
        <v>1-MOR-NOEC-Larvae</v>
      </c>
      <c r="V11" s="222" cm="1">
        <f t="array" ref="V11">GEOMEAN(IF(U11=$U$7:$U$360,$S$7:$S$360))</f>
        <v>8.3328179051846902</v>
      </c>
      <c r="W11" s="223">
        <f>V11+$AI$7*$AI$5+$AH$7*LN($AH$5)+$AJ$7*LN($AJ$5)</f>
        <v>5.1653792477558929</v>
      </c>
      <c r="X11" s="225">
        <f t="shared" si="6"/>
        <v>175.10385372446871</v>
      </c>
      <c r="Y11" s="225">
        <f t="shared" si="7"/>
        <v>175.10385372446871</v>
      </c>
      <c r="Z11" s="226"/>
      <c r="AA11" s="194"/>
      <c r="AB11" s="227"/>
      <c r="AC11" s="228"/>
      <c r="AD11" s="228"/>
      <c r="AE11" s="229"/>
      <c r="AG11" s="230"/>
      <c r="AH11" s="231"/>
      <c r="AI11" s="232"/>
      <c r="AJ11" s="233"/>
      <c r="AK11" s="227"/>
    </row>
    <row r="12" spans="1:43" s="183" customFormat="1" ht="15.75" customHeight="1" x14ac:dyDescent="0.2">
      <c r="C12" s="217">
        <v>1999</v>
      </c>
      <c r="D12" s="180" t="s">
        <v>903</v>
      </c>
      <c r="E12" s="180" t="s">
        <v>41</v>
      </c>
      <c r="F12" s="180" t="s">
        <v>1360</v>
      </c>
      <c r="G12" s="180" t="s">
        <v>167</v>
      </c>
      <c r="H12" s="180" t="s">
        <v>1251</v>
      </c>
      <c r="I12" s="180" t="s">
        <v>237</v>
      </c>
      <c r="J12" s="180" t="s">
        <v>54</v>
      </c>
      <c r="K12" s="180">
        <v>42</v>
      </c>
      <c r="L12" s="180">
        <v>404</v>
      </c>
      <c r="M12" s="183">
        <v>57</v>
      </c>
      <c r="N12" s="181">
        <v>7.22</v>
      </c>
      <c r="O12" s="94">
        <v>0.5</v>
      </c>
      <c r="P12" s="239">
        <f t="shared" si="3"/>
        <v>6.0014148779611505</v>
      </c>
      <c r="Q12" s="179" t="str">
        <f t="shared" si="0"/>
        <v>CCME Fish</v>
      </c>
      <c r="R12" s="219">
        <f t="shared" si="9"/>
        <v>-2.3314030272235389</v>
      </c>
      <c r="S12" s="220">
        <f t="shared" ref="S12:S75" si="10">P12-R12</f>
        <v>8.3328179051846902</v>
      </c>
      <c r="T12" s="236">
        <f t="shared" si="8"/>
        <v>1</v>
      </c>
      <c r="U12" s="221" t="str">
        <f t="shared" si="5"/>
        <v>1-MOR-NOEC-Larvae</v>
      </c>
      <c r="V12" s="222" cm="1">
        <f t="array" ref="V12">GEOMEAN(IF(U12=$U$7:$U$360,$S$7:$S$360))</f>
        <v>8.3328179051846902</v>
      </c>
      <c r="W12" s="223">
        <f t="shared" ref="W12:W75" si="11">V12+$AI$7*$AI$5+$AH$7*LN($AH$5)+$AJ$7*LN($AJ$5)</f>
        <v>5.1653792477558929</v>
      </c>
      <c r="X12" s="225">
        <f t="shared" si="6"/>
        <v>175.10385372446871</v>
      </c>
      <c r="Y12" s="225">
        <f t="shared" si="7"/>
        <v>175.10385372446871</v>
      </c>
      <c r="Z12" s="226"/>
      <c r="AA12" s="194"/>
      <c r="AB12" s="227"/>
      <c r="AC12" s="228"/>
      <c r="AD12" s="228"/>
      <c r="AE12" s="229"/>
      <c r="AG12" s="230" t="s">
        <v>1853</v>
      </c>
      <c r="AH12" s="231"/>
      <c r="AI12" s="232"/>
      <c r="AJ12" s="233"/>
    </row>
    <row r="13" spans="1:43" s="183" customFormat="1" ht="15.75" customHeight="1" x14ac:dyDescent="0.2">
      <c r="B13" s="241">
        <v>84053</v>
      </c>
      <c r="C13" s="217">
        <v>2005</v>
      </c>
      <c r="D13" s="180" t="s">
        <v>863</v>
      </c>
      <c r="E13" s="180" t="s">
        <v>41</v>
      </c>
      <c r="F13" s="180" t="s">
        <v>574</v>
      </c>
      <c r="G13" s="180" t="s">
        <v>82</v>
      </c>
      <c r="H13" s="180" t="s">
        <v>2046</v>
      </c>
      <c r="I13" s="180" t="s">
        <v>156</v>
      </c>
      <c r="J13" s="180" t="s">
        <v>49</v>
      </c>
      <c r="K13" s="217" t="s">
        <v>78</v>
      </c>
      <c r="L13" s="217">
        <v>155.69999999999999</v>
      </c>
      <c r="M13" s="180">
        <v>154</v>
      </c>
      <c r="N13" s="181">
        <v>7.5</v>
      </c>
      <c r="O13" s="242">
        <v>1.9</v>
      </c>
      <c r="P13" s="239">
        <f t="shared" si="3"/>
        <v>5.0479310788399525</v>
      </c>
      <c r="Q13" s="179" t="str">
        <f t="shared" si="0"/>
        <v>CCME Fish</v>
      </c>
      <c r="R13" s="219">
        <f t="shared" si="9"/>
        <v>-1.08704803881768</v>
      </c>
      <c r="S13" s="220">
        <f t="shared" si="10"/>
        <v>6.1349791176576325</v>
      </c>
      <c r="T13" s="236">
        <f t="shared" si="8"/>
        <v>2</v>
      </c>
      <c r="U13" s="221" t="str">
        <f t="shared" si="5"/>
        <v>2-Mortality-EC10-Recently emerged</v>
      </c>
      <c r="V13" s="222" cm="1">
        <f t="array" ref="V13">GEOMEAN(IF(U13=$U$7:$U$360,$S$7:$S$360))</f>
        <v>6.1349791176576325</v>
      </c>
      <c r="W13" s="223">
        <f t="shared" si="11"/>
        <v>2.9675404602288356</v>
      </c>
      <c r="X13" s="225">
        <f t="shared" si="6"/>
        <v>19.44403735284704</v>
      </c>
      <c r="Y13" s="225">
        <f t="shared" si="7"/>
        <v>19.44403735284704</v>
      </c>
      <c r="Z13" s="194"/>
      <c r="AA13" s="226" t="s">
        <v>1596</v>
      </c>
      <c r="AB13" s="227" t="s">
        <v>1846</v>
      </c>
      <c r="AC13" s="228" t="s">
        <v>1798</v>
      </c>
      <c r="AD13" s="229" t="s">
        <v>1596</v>
      </c>
      <c r="AE13" s="229" t="s">
        <v>1584</v>
      </c>
      <c r="AG13" s="230" t="s">
        <v>1853</v>
      </c>
      <c r="AH13" s="231"/>
      <c r="AI13" s="232"/>
      <c r="AJ13" s="233"/>
    </row>
    <row r="14" spans="1:43" s="183" customFormat="1" ht="15.75" customHeight="1" x14ac:dyDescent="0.2">
      <c r="B14" s="241">
        <v>84053</v>
      </c>
      <c r="C14" s="217">
        <v>2005</v>
      </c>
      <c r="D14" s="180" t="s">
        <v>863</v>
      </c>
      <c r="E14" s="180" t="s">
        <v>41</v>
      </c>
      <c r="F14" s="180" t="s">
        <v>574</v>
      </c>
      <c r="G14" s="180" t="s">
        <v>82</v>
      </c>
      <c r="H14" s="180" t="s">
        <v>2046</v>
      </c>
      <c r="I14" s="180" t="s">
        <v>81</v>
      </c>
      <c r="J14" s="180" t="s">
        <v>54</v>
      </c>
      <c r="K14" s="217" t="s">
        <v>78</v>
      </c>
      <c r="L14" s="217">
        <v>379</v>
      </c>
      <c r="M14" s="180">
        <v>154</v>
      </c>
      <c r="N14" s="181">
        <v>7.5</v>
      </c>
      <c r="O14" s="242">
        <v>1.9</v>
      </c>
      <c r="P14" s="239">
        <f t="shared" si="3"/>
        <v>5.9375362050824263</v>
      </c>
      <c r="Q14" s="179" t="str">
        <f t="shared" si="0"/>
        <v>CCME Fish</v>
      </c>
      <c r="R14" s="219">
        <f t="shared" si="9"/>
        <v>-1.08704803881768</v>
      </c>
      <c r="S14" s="220">
        <f t="shared" si="10"/>
        <v>7.0245842439001063</v>
      </c>
      <c r="T14" s="236">
        <f t="shared" si="8"/>
        <v>2</v>
      </c>
      <c r="U14" s="221" t="str">
        <f t="shared" si="5"/>
        <v>2-GRO-NOEC-Recently emerged</v>
      </c>
      <c r="V14" s="222" cm="1">
        <f t="array" ref="V14">GEOMEAN(IF(U14=$U$7:$U$360,$S$7:$S$360))</f>
        <v>7.0245842439001063</v>
      </c>
      <c r="W14" s="223">
        <f t="shared" si="11"/>
        <v>3.8571455864713093</v>
      </c>
      <c r="X14" s="225">
        <f t="shared" si="6"/>
        <v>47.330058810077254</v>
      </c>
      <c r="Y14" s="225"/>
      <c r="Z14" s="194" t="s">
        <v>1854</v>
      </c>
      <c r="AA14" s="226" t="s">
        <v>1596</v>
      </c>
      <c r="AC14" s="243"/>
      <c r="AD14" s="229" t="s">
        <v>1596</v>
      </c>
      <c r="AE14" s="243"/>
      <c r="AG14" s="230" t="s">
        <v>1853</v>
      </c>
      <c r="AH14" s="231"/>
      <c r="AI14" s="232"/>
      <c r="AJ14" s="233"/>
      <c r="AL14" s="244"/>
    </row>
    <row r="15" spans="1:43" s="183" customFormat="1" ht="15.75" customHeight="1" x14ac:dyDescent="0.2">
      <c r="B15" s="241">
        <v>84053</v>
      </c>
      <c r="C15" s="217">
        <v>2005</v>
      </c>
      <c r="D15" s="180" t="s">
        <v>863</v>
      </c>
      <c r="E15" s="180" t="s">
        <v>41</v>
      </c>
      <c r="F15" s="180" t="s">
        <v>574</v>
      </c>
      <c r="G15" s="180" t="s">
        <v>82</v>
      </c>
      <c r="H15" s="180" t="s">
        <v>2046</v>
      </c>
      <c r="I15" s="180" t="s">
        <v>81</v>
      </c>
      <c r="J15" s="180" t="s">
        <v>54</v>
      </c>
      <c r="K15" s="217" t="s">
        <v>78</v>
      </c>
      <c r="L15" s="217">
        <v>379</v>
      </c>
      <c r="M15" s="180">
        <v>154</v>
      </c>
      <c r="N15" s="181">
        <v>7.5</v>
      </c>
      <c r="O15" s="242">
        <v>1.9</v>
      </c>
      <c r="P15" s="239">
        <f t="shared" si="3"/>
        <v>5.9375362050824263</v>
      </c>
      <c r="Q15" s="179" t="str">
        <f t="shared" si="0"/>
        <v>CCME Fish</v>
      </c>
      <c r="R15" s="219">
        <f t="shared" si="9"/>
        <v>-1.08704803881768</v>
      </c>
      <c r="S15" s="220">
        <f t="shared" si="10"/>
        <v>7.0245842439001063</v>
      </c>
      <c r="T15" s="236">
        <f t="shared" si="8"/>
        <v>2</v>
      </c>
      <c r="U15" s="221" t="str">
        <f t="shared" si="5"/>
        <v>2-GRO-NOEC-Recently emerged</v>
      </c>
      <c r="V15" s="222" cm="1">
        <f t="array" ref="V15">GEOMEAN(IF(U15=$U$7:$U$360,$S$7:$S$360))</f>
        <v>7.0245842439001063</v>
      </c>
      <c r="W15" s="223">
        <f t="shared" si="11"/>
        <v>3.8571455864713093</v>
      </c>
      <c r="X15" s="225">
        <f t="shared" si="6"/>
        <v>47.330058810077254</v>
      </c>
      <c r="Y15" s="225"/>
      <c r="Z15" s="194" t="s">
        <v>1854</v>
      </c>
      <c r="AA15" s="226" t="s">
        <v>1596</v>
      </c>
      <c r="AC15" s="243"/>
      <c r="AD15" s="229" t="s">
        <v>1596</v>
      </c>
      <c r="AE15" s="243"/>
      <c r="AL15" s="244"/>
    </row>
    <row r="16" spans="1:43" s="183" customFormat="1" ht="15.75" customHeight="1" x14ac:dyDescent="0.2">
      <c r="B16" s="241">
        <v>84053</v>
      </c>
      <c r="C16" s="217">
        <v>2005</v>
      </c>
      <c r="D16" s="180" t="s">
        <v>863</v>
      </c>
      <c r="E16" s="180" t="s">
        <v>41</v>
      </c>
      <c r="F16" s="180" t="s">
        <v>574</v>
      </c>
      <c r="G16" s="180" t="s">
        <v>82</v>
      </c>
      <c r="H16" s="180" t="s">
        <v>2046</v>
      </c>
      <c r="I16" s="180" t="s">
        <v>237</v>
      </c>
      <c r="J16" s="180" t="s">
        <v>54</v>
      </c>
      <c r="K16" s="217" t="s">
        <v>78</v>
      </c>
      <c r="L16" s="217">
        <v>172</v>
      </c>
      <c r="M16" s="180">
        <v>154</v>
      </c>
      <c r="N16" s="181">
        <v>7.5</v>
      </c>
      <c r="O16" s="242">
        <v>1.9</v>
      </c>
      <c r="P16" s="239">
        <f t="shared" si="3"/>
        <v>5.1474944768134527</v>
      </c>
      <c r="Q16" s="179" t="str">
        <f t="shared" si="0"/>
        <v>CCME Fish</v>
      </c>
      <c r="R16" s="219">
        <f t="shared" si="9"/>
        <v>-1.08704803881768</v>
      </c>
      <c r="S16" s="220">
        <f t="shared" si="10"/>
        <v>6.2345425156311327</v>
      </c>
      <c r="T16" s="236">
        <f t="shared" si="8"/>
        <v>2</v>
      </c>
      <c r="U16" s="221" t="str">
        <f t="shared" si="5"/>
        <v>2-MOR-NOEC-Recently emerged</v>
      </c>
      <c r="V16" s="222" cm="1">
        <f t="array" ref="V16">GEOMEAN(IF(U16=$U$7:$U$360,$S$7:$S$360))</f>
        <v>6.2345425156311327</v>
      </c>
      <c r="W16" s="223">
        <f t="shared" si="11"/>
        <v>3.0671038582023358</v>
      </c>
      <c r="X16" s="225">
        <f t="shared" si="6"/>
        <v>21.479604525945344</v>
      </c>
      <c r="Y16" s="225">
        <f t="shared" ref="Y16" si="12">X16</f>
        <v>21.479604525945344</v>
      </c>
      <c r="Z16" s="194"/>
      <c r="AA16" s="226" t="s">
        <v>1596</v>
      </c>
      <c r="AB16" s="227" t="s">
        <v>1846</v>
      </c>
      <c r="AC16" s="228" t="s">
        <v>1798</v>
      </c>
      <c r="AD16" s="229" t="s">
        <v>1596</v>
      </c>
      <c r="AE16" s="229" t="s">
        <v>1584</v>
      </c>
      <c r="AI16" s="182"/>
      <c r="AL16" s="244"/>
    </row>
    <row r="17" spans="1:57" s="244" customFormat="1" ht="15.75" customHeight="1" x14ac:dyDescent="0.25">
      <c r="B17" s="245" t="s">
        <v>1733</v>
      </c>
      <c r="C17" s="245">
        <v>2020</v>
      </c>
      <c r="D17" s="245" t="s">
        <v>1721</v>
      </c>
      <c r="E17" s="245" t="s">
        <v>1740</v>
      </c>
      <c r="F17" s="245" t="s">
        <v>1734</v>
      </c>
      <c r="G17" s="245" t="s">
        <v>82</v>
      </c>
      <c r="H17" s="245" t="s">
        <v>1735</v>
      </c>
      <c r="I17" s="245" t="s">
        <v>1253</v>
      </c>
      <c r="J17" s="245" t="s">
        <v>49</v>
      </c>
      <c r="K17" s="245">
        <v>7</v>
      </c>
      <c r="L17" s="245">
        <v>29</v>
      </c>
      <c r="M17" s="245">
        <v>3.5</v>
      </c>
      <c r="N17" s="245">
        <v>6.7</v>
      </c>
      <c r="O17" s="246">
        <v>1.4</v>
      </c>
      <c r="P17" s="239">
        <f t="shared" si="3"/>
        <v>3.3672958299864741</v>
      </c>
      <c r="Q17" s="179" t="str">
        <f t="shared" si="0"/>
        <v>CCME Fish</v>
      </c>
      <c r="R17" s="219">
        <f t="shared" si="9"/>
        <v>-4.1402175186596439</v>
      </c>
      <c r="S17" s="220">
        <f t="shared" si="10"/>
        <v>7.5075133486461176</v>
      </c>
      <c r="T17" s="236">
        <f t="shared" si="8"/>
        <v>3</v>
      </c>
      <c r="U17" s="221"/>
      <c r="V17" s="222" t="e" cm="1">
        <f t="array" ref="V17">GEOMEAN(IF(U17=$U$7:$U$360,$S$7:$S$360))</f>
        <v>#NUM!</v>
      </c>
      <c r="W17" s="223" t="e">
        <f t="shared" si="11"/>
        <v>#NUM!</v>
      </c>
      <c r="X17" s="225" t="e">
        <f t="shared" si="6"/>
        <v>#NUM!</v>
      </c>
      <c r="Y17" s="225"/>
      <c r="Z17" s="246" t="s">
        <v>1855</v>
      </c>
      <c r="AA17" s="246"/>
      <c r="AC17" s="247" t="s">
        <v>1772</v>
      </c>
      <c r="AD17" s="247">
        <v>0.9</v>
      </c>
      <c r="AE17" s="244" t="s">
        <v>1773</v>
      </c>
      <c r="AF17" s="183"/>
      <c r="AG17" s="244" t="s">
        <v>1539</v>
      </c>
      <c r="AH17" s="244" t="s">
        <v>1856</v>
      </c>
      <c r="AI17" s="244" t="s">
        <v>1822</v>
      </c>
      <c r="AJ17" s="248" t="s">
        <v>2004</v>
      </c>
      <c r="AK17" s="248"/>
      <c r="AM17" s="246"/>
      <c r="AN17" s="246"/>
      <c r="AO17" s="246"/>
      <c r="AP17" s="244" t="s">
        <v>1539</v>
      </c>
      <c r="AQ17" s="244" t="s">
        <v>1856</v>
      </c>
      <c r="AR17" s="246"/>
      <c r="AS17" s="246"/>
      <c r="AT17" s="246"/>
      <c r="AU17" s="246"/>
      <c r="AV17" s="246"/>
      <c r="AW17" s="246"/>
      <c r="AX17" s="246"/>
      <c r="AY17" s="246"/>
      <c r="AZ17" s="246"/>
      <c r="BA17" s="246"/>
      <c r="BB17" s="246"/>
      <c r="BC17" s="246"/>
      <c r="BE17" s="249"/>
    </row>
    <row r="18" spans="1:57" s="183" customFormat="1" ht="15.75" customHeight="1" x14ac:dyDescent="0.25">
      <c r="A18" s="183" t="s">
        <v>1857</v>
      </c>
      <c r="B18" s="241"/>
      <c r="C18" s="217">
        <v>2004</v>
      </c>
      <c r="D18" s="180" t="s">
        <v>1408</v>
      </c>
      <c r="E18" s="180" t="s">
        <v>1409</v>
      </c>
      <c r="F18" s="180" t="s">
        <v>1080</v>
      </c>
      <c r="G18" s="180" t="s">
        <v>82</v>
      </c>
      <c r="H18" s="180" t="s">
        <v>172</v>
      </c>
      <c r="I18" s="180" t="s">
        <v>237</v>
      </c>
      <c r="J18" s="180" t="s">
        <v>927</v>
      </c>
      <c r="K18" s="217">
        <v>30</v>
      </c>
      <c r="L18" s="217">
        <v>129</v>
      </c>
      <c r="M18" s="250">
        <v>31.1</v>
      </c>
      <c r="N18" s="181">
        <v>7.24</v>
      </c>
      <c r="O18" s="94">
        <v>0.5</v>
      </c>
      <c r="P18" s="239">
        <f t="shared" si="3"/>
        <v>4.8598124043616719</v>
      </c>
      <c r="Q18" s="179" t="str">
        <f t="shared" si="0"/>
        <v>CCME Fish</v>
      </c>
      <c r="R18" s="219">
        <f t="shared" si="9"/>
        <v>-2.9214367730944848</v>
      </c>
      <c r="S18" s="220">
        <f t="shared" si="10"/>
        <v>7.7812491774561572</v>
      </c>
      <c r="T18" s="236">
        <f t="shared" si="8"/>
        <v>4</v>
      </c>
      <c r="U18" s="221" t="str">
        <f t="shared" ref="U18:U53" si="13">CONCATENATE(T18,"-",I18,"-",J18,"-",H18)</f>
        <v>4-MOR-EC20-Larvae (fry)</v>
      </c>
      <c r="V18" s="222" cm="1">
        <f t="array" ref="V18">GEOMEAN(IF(U18=$U$7:$U$360,$S$7:$S$360))</f>
        <v>8.3660107785872579</v>
      </c>
      <c r="W18" s="223">
        <f t="shared" si="11"/>
        <v>5.1985721211584606</v>
      </c>
      <c r="X18" s="225">
        <f t="shared" si="6"/>
        <v>181.01359178086321</v>
      </c>
      <c r="Y18" s="225">
        <f t="shared" ref="Y18" si="14">X18</f>
        <v>181.01359178086321</v>
      </c>
      <c r="Z18" s="226"/>
      <c r="AA18" s="226"/>
      <c r="AC18" s="228" t="s">
        <v>1858</v>
      </c>
      <c r="AD18" s="251">
        <v>0.6</v>
      </c>
      <c r="AE18" s="252" t="s">
        <v>1859</v>
      </c>
      <c r="AG18" s="249" t="s">
        <v>1786</v>
      </c>
      <c r="AH18" s="253">
        <v>14.044289755578918</v>
      </c>
      <c r="AI18" s="244" t="str">
        <f>VLOOKUP(AG18,$F$6:$G$346,2,FALSE)</f>
        <v>Molluscs</v>
      </c>
      <c r="AJ18" s="248" t="s">
        <v>52</v>
      </c>
      <c r="AK18" s="248"/>
      <c r="AL18" s="244"/>
      <c r="AP18" s="249" t="s">
        <v>1786</v>
      </c>
      <c r="AQ18" s="253">
        <v>14.044289755578918</v>
      </c>
    </row>
    <row r="19" spans="1:57" s="183" customFormat="1" ht="15.75" customHeight="1" x14ac:dyDescent="0.25">
      <c r="B19" s="241"/>
      <c r="C19" s="217">
        <v>2004</v>
      </c>
      <c r="D19" s="180" t="s">
        <v>1408</v>
      </c>
      <c r="E19" s="180" t="s">
        <v>1409</v>
      </c>
      <c r="F19" s="180" t="s">
        <v>1080</v>
      </c>
      <c r="G19" s="180" t="s">
        <v>82</v>
      </c>
      <c r="H19" s="180" t="s">
        <v>172</v>
      </c>
      <c r="I19" s="180" t="s">
        <v>237</v>
      </c>
      <c r="J19" s="180" t="s">
        <v>54</v>
      </c>
      <c r="K19" s="217">
        <v>30</v>
      </c>
      <c r="L19" s="217">
        <v>95</v>
      </c>
      <c r="M19" s="250">
        <v>31.1</v>
      </c>
      <c r="N19" s="181">
        <v>7.24</v>
      </c>
      <c r="O19" s="94">
        <v>0.5</v>
      </c>
      <c r="P19" s="239">
        <f t="shared" si="3"/>
        <v>4.5538768916005408</v>
      </c>
      <c r="Q19" s="179" t="str">
        <f t="shared" si="0"/>
        <v>CCME Fish</v>
      </c>
      <c r="R19" s="219">
        <f t="shared" si="9"/>
        <v>-2.9214367730944848</v>
      </c>
      <c r="S19" s="220">
        <f t="shared" si="10"/>
        <v>7.475313664695026</v>
      </c>
      <c r="T19" s="236">
        <f t="shared" si="8"/>
        <v>4</v>
      </c>
      <c r="U19" s="221" t="str">
        <f t="shared" si="13"/>
        <v>4-MOR-NOEC-Larvae (fry)</v>
      </c>
      <c r="V19" s="222" cm="1">
        <f t="array" ref="V19">GEOMEAN(IF(U19=$U$7:$U$360,$S$7:$S$360))</f>
        <v>7.9651981470925692</v>
      </c>
      <c r="W19" s="223">
        <f t="shared" si="11"/>
        <v>4.7977594896637719</v>
      </c>
      <c r="X19" s="225">
        <f t="shared" si="6"/>
        <v>121.23847692893513</v>
      </c>
      <c r="Y19" s="225"/>
      <c r="Z19" s="226"/>
      <c r="AA19" s="226"/>
      <c r="AB19" s="227" t="s">
        <v>1846</v>
      </c>
      <c r="AC19" s="228" t="s">
        <v>1798</v>
      </c>
      <c r="AD19" s="243"/>
      <c r="AE19" s="229" t="s">
        <v>1584</v>
      </c>
      <c r="AG19" s="249" t="s">
        <v>1722</v>
      </c>
      <c r="AH19" s="253" t="e">
        <v>#NUM!</v>
      </c>
      <c r="AI19" s="244" t="str">
        <f t="shared" ref="AI19:AI52" si="15">VLOOKUP(AG19,$F$6:$G$346,2,FALSE)</f>
        <v>Molluscs</v>
      </c>
      <c r="AJ19" s="248" t="s">
        <v>49</v>
      </c>
      <c r="AK19" s="248"/>
      <c r="AL19" s="244"/>
      <c r="AP19" s="249" t="s">
        <v>1722</v>
      </c>
      <c r="AQ19" s="253" t="e">
        <v>#NUM!</v>
      </c>
    </row>
    <row r="20" spans="1:57" s="183" customFormat="1" ht="15.75" customHeight="1" x14ac:dyDescent="0.25">
      <c r="A20" s="183" t="s">
        <v>1860</v>
      </c>
      <c r="B20" s="241"/>
      <c r="C20" s="217">
        <v>2004</v>
      </c>
      <c r="D20" s="180" t="s">
        <v>1408</v>
      </c>
      <c r="E20" s="180" t="s">
        <v>1410</v>
      </c>
      <c r="F20" s="180" t="s">
        <v>1080</v>
      </c>
      <c r="G20" s="180" t="s">
        <v>82</v>
      </c>
      <c r="H20" s="180" t="s">
        <v>172</v>
      </c>
      <c r="I20" s="180" t="s">
        <v>237</v>
      </c>
      <c r="J20" s="180" t="s">
        <v>927</v>
      </c>
      <c r="K20" s="217">
        <v>30</v>
      </c>
      <c r="L20" s="217">
        <v>1515</v>
      </c>
      <c r="M20" s="250">
        <v>149.4</v>
      </c>
      <c r="N20" s="181">
        <v>7.53</v>
      </c>
      <c r="O20" s="94">
        <v>0.5</v>
      </c>
      <c r="P20" s="239">
        <f t="shared" si="3"/>
        <v>7.3231707179434693</v>
      </c>
      <c r="Q20" s="179" t="str">
        <f t="shared" si="0"/>
        <v>CCME Fish</v>
      </c>
      <c r="R20" s="219">
        <f t="shared" si="9"/>
        <v>-1.6715465506171729</v>
      </c>
      <c r="S20" s="220">
        <f t="shared" si="10"/>
        <v>8.9947172685606418</v>
      </c>
      <c r="T20" s="236">
        <f t="shared" si="8"/>
        <v>4</v>
      </c>
      <c r="U20" s="221" t="str">
        <f t="shared" si="13"/>
        <v>4-MOR-EC20-Larvae (fry)</v>
      </c>
      <c r="V20" s="222" cm="1">
        <f t="array" ref="V20">GEOMEAN(IF(U20=$U$7:$U$360,$S$7:$S$360))</f>
        <v>8.3660107785872579</v>
      </c>
      <c r="W20" s="223">
        <f t="shared" si="11"/>
        <v>5.1985721211584606</v>
      </c>
      <c r="X20" s="225">
        <f t="shared" si="6"/>
        <v>181.01359178086321</v>
      </c>
      <c r="Y20" s="225">
        <f t="shared" ref="Y20" si="16">X20</f>
        <v>181.01359178086321</v>
      </c>
      <c r="Z20" s="226"/>
      <c r="AA20" s="226"/>
      <c r="AC20" s="228" t="s">
        <v>1858</v>
      </c>
      <c r="AD20" s="251">
        <v>0.6</v>
      </c>
      <c r="AE20" s="252" t="s">
        <v>1859</v>
      </c>
      <c r="AG20" s="249" t="s">
        <v>1567</v>
      </c>
      <c r="AH20" s="253">
        <v>82.935518498179519</v>
      </c>
      <c r="AI20" s="244" t="str">
        <f t="shared" si="15"/>
        <v>Rotifers</v>
      </c>
      <c r="AJ20" s="248" t="s">
        <v>49</v>
      </c>
      <c r="AK20" s="248"/>
      <c r="AL20" s="244"/>
      <c r="AP20" s="249" t="s">
        <v>1567</v>
      </c>
      <c r="AQ20" s="253">
        <v>82.935518498179519</v>
      </c>
    </row>
    <row r="21" spans="1:57" s="183" customFormat="1" ht="15.75" customHeight="1" x14ac:dyDescent="0.25">
      <c r="B21" s="241"/>
      <c r="C21" s="217">
        <v>2004</v>
      </c>
      <c r="D21" s="180" t="s">
        <v>1408</v>
      </c>
      <c r="E21" s="180" t="s">
        <v>1410</v>
      </c>
      <c r="F21" s="180" t="s">
        <v>1080</v>
      </c>
      <c r="G21" s="180" t="s">
        <v>82</v>
      </c>
      <c r="H21" s="180" t="s">
        <v>172</v>
      </c>
      <c r="I21" s="180" t="s">
        <v>237</v>
      </c>
      <c r="J21" s="180" t="s">
        <v>54</v>
      </c>
      <c r="K21" s="217">
        <v>30</v>
      </c>
      <c r="L21" s="217">
        <v>912</v>
      </c>
      <c r="M21" s="250">
        <v>149.4</v>
      </c>
      <c r="N21" s="181">
        <v>7.53</v>
      </c>
      <c r="O21" s="94">
        <v>0.5</v>
      </c>
      <c r="P21" s="239">
        <f t="shared" si="3"/>
        <v>6.815639990074331</v>
      </c>
      <c r="Q21" s="179" t="str">
        <f t="shared" si="0"/>
        <v>CCME Fish</v>
      </c>
      <c r="R21" s="219">
        <f t="shared" si="9"/>
        <v>-1.6715465506171729</v>
      </c>
      <c r="S21" s="220">
        <f t="shared" si="10"/>
        <v>8.4871865406915035</v>
      </c>
      <c r="T21" s="236">
        <f t="shared" si="8"/>
        <v>4</v>
      </c>
      <c r="U21" s="221" t="str">
        <f t="shared" si="13"/>
        <v>4-MOR-NOEC-Larvae (fry)</v>
      </c>
      <c r="V21" s="222" cm="1">
        <f t="array" ref="V21">GEOMEAN(IF(U21=$U$7:$U$360,$S$7:$S$360))</f>
        <v>7.9651981470925692</v>
      </c>
      <c r="W21" s="223">
        <f t="shared" si="11"/>
        <v>4.7977594896637719</v>
      </c>
      <c r="X21" s="225">
        <f t="shared" si="6"/>
        <v>121.23847692893513</v>
      </c>
      <c r="Y21" s="225"/>
      <c r="Z21" s="226"/>
      <c r="AA21" s="226"/>
      <c r="AB21" s="227" t="s">
        <v>1846</v>
      </c>
      <c r="AC21" s="228" t="s">
        <v>1798</v>
      </c>
      <c r="AD21" s="243"/>
      <c r="AE21" s="229" t="s">
        <v>1584</v>
      </c>
      <c r="AG21" s="249" t="s">
        <v>1360</v>
      </c>
      <c r="AH21" s="253">
        <v>74.54916544705091</v>
      </c>
      <c r="AI21" s="244" t="str">
        <f t="shared" si="15"/>
        <v>Amphibian</v>
      </c>
      <c r="AJ21" s="248" t="s">
        <v>54</v>
      </c>
      <c r="AK21" s="248"/>
      <c r="AL21" s="244"/>
      <c r="AP21" s="249" t="s">
        <v>1360</v>
      </c>
      <c r="AQ21" s="253">
        <v>74.54916544705091</v>
      </c>
    </row>
    <row r="22" spans="1:57" s="183" customFormat="1" ht="15.75" customHeight="1" x14ac:dyDescent="0.25">
      <c r="B22" s="241"/>
      <c r="C22" s="217">
        <v>2004</v>
      </c>
      <c r="D22" s="180" t="s">
        <v>1408</v>
      </c>
      <c r="E22" s="180" t="s">
        <v>1409</v>
      </c>
      <c r="F22" s="180" t="s">
        <v>89</v>
      </c>
      <c r="G22" s="180" t="s">
        <v>82</v>
      </c>
      <c r="H22" s="180" t="s">
        <v>203</v>
      </c>
      <c r="I22" s="180" t="s">
        <v>1309</v>
      </c>
      <c r="J22" s="180" t="s">
        <v>54</v>
      </c>
      <c r="K22" s="217">
        <v>63</v>
      </c>
      <c r="L22" s="217">
        <v>112</v>
      </c>
      <c r="M22" s="250">
        <v>33.299999999999997</v>
      </c>
      <c r="N22" s="181">
        <v>7.5</v>
      </c>
      <c r="O22" s="94">
        <v>0.5</v>
      </c>
      <c r="P22" s="239">
        <f t="shared" si="3"/>
        <v>4.7184988712950942</v>
      </c>
      <c r="Q22" s="179" t="str">
        <f t="shared" si="0"/>
        <v>CCME Fish</v>
      </c>
      <c r="R22" s="219">
        <f t="shared" si="9"/>
        <v>-3.0686097229167393</v>
      </c>
      <c r="S22" s="220">
        <f t="shared" si="10"/>
        <v>7.7871085942118334</v>
      </c>
      <c r="T22" s="236">
        <f t="shared" si="8"/>
        <v>5</v>
      </c>
      <c r="U22" s="221" t="str">
        <f t="shared" si="13"/>
        <v>5-DEV-NOEC-Eggs</v>
      </c>
      <c r="V22" s="222" cm="1">
        <f t="array" ref="V22">GEOMEAN(IF(U22=$U$7:$U$360,$S$7:$S$360))</f>
        <v>8.103917664350714</v>
      </c>
      <c r="W22" s="223">
        <f t="shared" si="11"/>
        <v>4.9364790069219167</v>
      </c>
      <c r="X22" s="225">
        <f t="shared" si="6"/>
        <v>139.27898485612445</v>
      </c>
      <c r="Y22" s="225"/>
      <c r="Z22" s="226" t="s">
        <v>1513</v>
      </c>
      <c r="AA22" s="226"/>
      <c r="AB22" s="227" t="s">
        <v>1846</v>
      </c>
      <c r="AC22" s="228" t="s">
        <v>1798</v>
      </c>
      <c r="AD22" s="243"/>
      <c r="AE22" s="229" t="s">
        <v>1584</v>
      </c>
      <c r="AG22" s="249" t="s">
        <v>63</v>
      </c>
      <c r="AH22" s="253">
        <v>16.330414534816853</v>
      </c>
      <c r="AI22" s="244" t="str">
        <f t="shared" si="15"/>
        <v>Crustaceans</v>
      </c>
      <c r="AJ22" s="248" t="s">
        <v>49</v>
      </c>
      <c r="AK22" s="248"/>
      <c r="AL22" s="244"/>
      <c r="AP22" s="249" t="s">
        <v>63</v>
      </c>
      <c r="AQ22" s="253">
        <v>16.330414534816853</v>
      </c>
    </row>
    <row r="23" spans="1:57" s="182" customFormat="1" ht="15.75" customHeight="1" x14ac:dyDescent="0.25">
      <c r="B23" s="241"/>
      <c r="C23" s="217">
        <v>2004</v>
      </c>
      <c r="D23" s="180" t="s">
        <v>1408</v>
      </c>
      <c r="E23" s="180" t="s">
        <v>1410</v>
      </c>
      <c r="F23" s="180" t="s">
        <v>89</v>
      </c>
      <c r="G23" s="180" t="s">
        <v>82</v>
      </c>
      <c r="H23" s="180" t="s">
        <v>203</v>
      </c>
      <c r="I23" s="180" t="s">
        <v>1309</v>
      </c>
      <c r="J23" s="180" t="s">
        <v>54</v>
      </c>
      <c r="K23" s="217">
        <v>63</v>
      </c>
      <c r="L23" s="217">
        <v>831</v>
      </c>
      <c r="M23" s="250">
        <v>150.9</v>
      </c>
      <c r="N23" s="181">
        <v>7.59</v>
      </c>
      <c r="O23" s="94">
        <v>0.5</v>
      </c>
      <c r="P23" s="239">
        <f t="shared" si="3"/>
        <v>6.7226297948554485</v>
      </c>
      <c r="Q23" s="179" t="str">
        <f t="shared" si="0"/>
        <v>CCME Fish</v>
      </c>
      <c r="R23" s="219">
        <f t="shared" si="9"/>
        <v>-1.7109859324750656</v>
      </c>
      <c r="S23" s="220">
        <f t="shared" si="10"/>
        <v>8.4336157273305137</v>
      </c>
      <c r="T23" s="236">
        <f t="shared" si="8"/>
        <v>5</v>
      </c>
      <c r="U23" s="221" t="str">
        <f t="shared" si="13"/>
        <v>5-DEV-NOEC-Eggs</v>
      </c>
      <c r="V23" s="222" cm="1">
        <f t="array" ref="V23">GEOMEAN(IF(U23=$U$7:$U$360,$S$7:$S$360))</f>
        <v>8.103917664350714</v>
      </c>
      <c r="W23" s="223">
        <f t="shared" si="11"/>
        <v>4.9364790069219167</v>
      </c>
      <c r="X23" s="225">
        <f t="shared" si="6"/>
        <v>139.27898485612445</v>
      </c>
      <c r="Y23" s="225"/>
      <c r="Z23" s="226" t="s">
        <v>1513</v>
      </c>
      <c r="AA23" s="226"/>
      <c r="AB23" s="227" t="s">
        <v>1846</v>
      </c>
      <c r="AC23" s="228" t="s">
        <v>1798</v>
      </c>
      <c r="AD23" s="243"/>
      <c r="AE23" s="229" t="s">
        <v>1584</v>
      </c>
      <c r="AG23" s="249" t="s">
        <v>111</v>
      </c>
      <c r="AH23" s="253">
        <v>50.345007907439019</v>
      </c>
      <c r="AI23" s="244" t="str">
        <f t="shared" si="15"/>
        <v>Crustaceans</v>
      </c>
      <c r="AJ23" s="248" t="s">
        <v>54</v>
      </c>
      <c r="AK23" s="248"/>
      <c r="AL23" s="244"/>
      <c r="AP23" s="249" t="s">
        <v>111</v>
      </c>
      <c r="AQ23" s="253">
        <v>50.345007907439019</v>
      </c>
    </row>
    <row r="24" spans="1:57" s="182" customFormat="1" ht="15.75" customHeight="1" x14ac:dyDescent="0.25">
      <c r="B24" s="241"/>
      <c r="C24" s="217">
        <v>2004</v>
      </c>
      <c r="D24" s="180" t="s">
        <v>1408</v>
      </c>
      <c r="E24" s="180" t="s">
        <v>1410</v>
      </c>
      <c r="F24" s="180" t="s">
        <v>89</v>
      </c>
      <c r="G24" s="180" t="s">
        <v>82</v>
      </c>
      <c r="H24" s="180" t="s">
        <v>203</v>
      </c>
      <c r="I24" s="180" t="s">
        <v>81</v>
      </c>
      <c r="J24" s="180" t="s">
        <v>54</v>
      </c>
      <c r="K24" s="217">
        <v>63</v>
      </c>
      <c r="L24" s="217">
        <v>831</v>
      </c>
      <c r="M24" s="180">
        <v>150.9</v>
      </c>
      <c r="N24" s="181">
        <v>7.59</v>
      </c>
      <c r="O24" s="94">
        <v>0.5</v>
      </c>
      <c r="P24" s="239">
        <f t="shared" si="3"/>
        <v>6.7226297948554485</v>
      </c>
      <c r="Q24" s="179" t="str">
        <f t="shared" si="0"/>
        <v>CCME Fish</v>
      </c>
      <c r="R24" s="219">
        <f t="shared" si="9"/>
        <v>-1.7109859324750656</v>
      </c>
      <c r="S24" s="220">
        <f t="shared" si="10"/>
        <v>8.4336157273305137</v>
      </c>
      <c r="T24" s="236">
        <f t="shared" si="8"/>
        <v>5</v>
      </c>
      <c r="U24" s="221" t="str">
        <f t="shared" si="13"/>
        <v>5-GRO-NOEC-Eggs</v>
      </c>
      <c r="V24" s="222" cm="1">
        <f t="array" ref="V24">GEOMEAN(IF(U24=$U$7:$U$360,$S$7:$S$360))</f>
        <v>8.4336157273305137</v>
      </c>
      <c r="W24" s="223">
        <f t="shared" si="11"/>
        <v>5.2661770699017163</v>
      </c>
      <c r="X24" s="225">
        <f t="shared" si="6"/>
        <v>193.67414267699533</v>
      </c>
      <c r="Y24" s="225"/>
      <c r="Z24" s="226" t="s">
        <v>1513</v>
      </c>
      <c r="AA24" s="226"/>
      <c r="AB24" s="227" t="s">
        <v>1846</v>
      </c>
      <c r="AC24" s="228" t="s">
        <v>1798</v>
      </c>
      <c r="AD24" s="243"/>
      <c r="AE24" s="229" t="s">
        <v>1584</v>
      </c>
      <c r="AG24" s="249" t="s">
        <v>567</v>
      </c>
      <c r="AH24" s="253">
        <v>0.90625925119845641</v>
      </c>
      <c r="AI24" s="244" t="str">
        <f t="shared" si="15"/>
        <v>Green algae</v>
      </c>
      <c r="AJ24" s="248" t="s">
        <v>49</v>
      </c>
      <c r="AK24" s="248"/>
      <c r="AL24" s="244"/>
      <c r="AP24" s="249" t="s">
        <v>567</v>
      </c>
      <c r="AQ24" s="253">
        <v>0.90625925119845641</v>
      </c>
    </row>
    <row r="25" spans="1:57" s="182" customFormat="1" ht="15.75" customHeight="1" x14ac:dyDescent="0.25">
      <c r="B25" s="241"/>
      <c r="C25" s="217">
        <v>2004</v>
      </c>
      <c r="D25" s="180" t="s">
        <v>1408</v>
      </c>
      <c r="E25" s="180" t="s">
        <v>1409</v>
      </c>
      <c r="F25" s="180" t="s">
        <v>89</v>
      </c>
      <c r="G25" s="180" t="s">
        <v>82</v>
      </c>
      <c r="H25" s="180" t="s">
        <v>172</v>
      </c>
      <c r="I25" s="180" t="s">
        <v>237</v>
      </c>
      <c r="J25" s="180" t="s">
        <v>54</v>
      </c>
      <c r="K25" s="217">
        <v>30</v>
      </c>
      <c r="L25" s="217">
        <v>52</v>
      </c>
      <c r="M25" s="180">
        <v>33.200000000000003</v>
      </c>
      <c r="N25" s="180">
        <v>7.35</v>
      </c>
      <c r="O25" s="94">
        <v>0.5</v>
      </c>
      <c r="P25" s="239">
        <f t="shared" si="3"/>
        <v>3.9512437185814275</v>
      </c>
      <c r="Q25" s="179" t="str">
        <f t="shared" si="0"/>
        <v>CCME Fish</v>
      </c>
      <c r="R25" s="219">
        <f t="shared" si="9"/>
        <v>-2.9492078453643042</v>
      </c>
      <c r="S25" s="220">
        <f t="shared" si="10"/>
        <v>6.9004515639457313</v>
      </c>
      <c r="T25" s="236">
        <f t="shared" si="8"/>
        <v>5</v>
      </c>
      <c r="U25" s="221" t="str">
        <f t="shared" si="13"/>
        <v>5-MOR-NOEC-Larvae (fry)</v>
      </c>
      <c r="V25" s="222" cm="1">
        <f t="array" ref="V25">GEOMEAN(IF(U25=$U$7:$U$360,$S$7:$S$360))</f>
        <v>7.0417960906346835</v>
      </c>
      <c r="W25" s="223">
        <f t="shared" si="11"/>
        <v>3.8743574332058865</v>
      </c>
      <c r="X25" s="225">
        <f t="shared" si="6"/>
        <v>48.151747634123325</v>
      </c>
      <c r="Y25" s="225"/>
      <c r="Z25" s="226" t="s">
        <v>1517</v>
      </c>
      <c r="AA25" s="226"/>
      <c r="AB25" s="227" t="s">
        <v>1846</v>
      </c>
      <c r="AC25" s="228" t="s">
        <v>1798</v>
      </c>
      <c r="AD25" s="243"/>
      <c r="AE25" s="229" t="s">
        <v>1584</v>
      </c>
      <c r="AG25" s="249" t="s">
        <v>1724</v>
      </c>
      <c r="AH25" s="253">
        <v>569.9745755015324</v>
      </c>
      <c r="AI25" s="244" t="str">
        <f t="shared" si="15"/>
        <v>Green algae</v>
      </c>
      <c r="AJ25" s="248" t="s">
        <v>49</v>
      </c>
      <c r="AK25" s="248"/>
      <c r="AL25" s="244"/>
      <c r="AP25" s="249" t="s">
        <v>1724</v>
      </c>
      <c r="AQ25" s="253">
        <v>569.9745755015324</v>
      </c>
    </row>
    <row r="26" spans="1:57" s="182" customFormat="1" ht="15.75" customHeight="1" x14ac:dyDescent="0.25">
      <c r="B26" s="241"/>
      <c r="C26" s="217">
        <v>2004</v>
      </c>
      <c r="D26" s="180" t="s">
        <v>1408</v>
      </c>
      <c r="E26" s="180" t="s">
        <v>1410</v>
      </c>
      <c r="F26" s="180" t="s">
        <v>89</v>
      </c>
      <c r="G26" s="180" t="s">
        <v>82</v>
      </c>
      <c r="H26" s="180" t="s">
        <v>172</v>
      </c>
      <c r="I26" s="180" t="s">
        <v>237</v>
      </c>
      <c r="J26" s="180" t="s">
        <v>54</v>
      </c>
      <c r="K26" s="217">
        <v>30</v>
      </c>
      <c r="L26" s="217">
        <v>240</v>
      </c>
      <c r="M26" s="180">
        <v>145.4</v>
      </c>
      <c r="N26" s="180">
        <v>7.54</v>
      </c>
      <c r="O26" s="94">
        <v>0.5</v>
      </c>
      <c r="P26" s="239">
        <f t="shared" si="3"/>
        <v>5.4806389233419912</v>
      </c>
      <c r="Q26" s="179" t="str">
        <f t="shared" si="0"/>
        <v>CCME Fish</v>
      </c>
      <c r="R26" s="219">
        <f t="shared" si="9"/>
        <v>-1.7053969067137085</v>
      </c>
      <c r="S26" s="220">
        <f t="shared" si="10"/>
        <v>7.1860358300556992</v>
      </c>
      <c r="T26" s="236">
        <f t="shared" si="8"/>
        <v>5</v>
      </c>
      <c r="U26" s="221" t="str">
        <f t="shared" si="13"/>
        <v>5-MOR-NOEC-Larvae (fry)</v>
      </c>
      <c r="V26" s="222" cm="1">
        <f t="array" ref="V26">GEOMEAN(IF(U26=$U$7:$U$360,$S$7:$S$360))</f>
        <v>7.0417960906346835</v>
      </c>
      <c r="W26" s="223">
        <f t="shared" si="11"/>
        <v>3.8743574332058865</v>
      </c>
      <c r="X26" s="225">
        <f t="shared" si="6"/>
        <v>48.151747634123325</v>
      </c>
      <c r="Y26" s="225"/>
      <c r="Z26" s="226" t="s">
        <v>1517</v>
      </c>
      <c r="AA26" s="226"/>
      <c r="AB26" s="227" t="s">
        <v>1846</v>
      </c>
      <c r="AC26" s="228" t="s">
        <v>1798</v>
      </c>
      <c r="AD26" s="243"/>
      <c r="AE26" s="229" t="s">
        <v>1584</v>
      </c>
      <c r="AG26" s="249" t="s">
        <v>574</v>
      </c>
      <c r="AH26" s="253">
        <v>19.44403735284704</v>
      </c>
      <c r="AI26" s="244" t="str">
        <f t="shared" si="15"/>
        <v>Fish</v>
      </c>
      <c r="AJ26" s="248" t="s">
        <v>49</v>
      </c>
      <c r="AK26" s="248"/>
      <c r="AL26" s="244"/>
      <c r="AP26" s="249" t="s">
        <v>574</v>
      </c>
      <c r="AQ26" s="253">
        <v>19.44403735284704</v>
      </c>
    </row>
    <row r="27" spans="1:57" s="182" customFormat="1" ht="15.75" customHeight="1" x14ac:dyDescent="0.25">
      <c r="B27" s="180"/>
      <c r="C27" s="217">
        <v>1982</v>
      </c>
      <c r="D27" s="180" t="s">
        <v>1613</v>
      </c>
      <c r="E27" s="180" t="s">
        <v>41</v>
      </c>
      <c r="F27" s="180" t="s">
        <v>89</v>
      </c>
      <c r="G27" s="180" t="s">
        <v>82</v>
      </c>
      <c r="H27" s="180" t="s">
        <v>1615</v>
      </c>
      <c r="I27" s="180" t="s">
        <v>237</v>
      </c>
      <c r="J27" s="180" t="s">
        <v>174</v>
      </c>
      <c r="K27" s="180">
        <v>72</v>
      </c>
      <c r="L27" s="180">
        <v>458</v>
      </c>
      <c r="M27" s="180">
        <v>25</v>
      </c>
      <c r="N27" s="180">
        <v>7</v>
      </c>
      <c r="O27" s="94">
        <v>1.6</v>
      </c>
      <c r="P27" s="239">
        <f t="shared" si="3"/>
        <v>6.1268691841141854</v>
      </c>
      <c r="Q27" s="179" t="str">
        <f t="shared" si="0"/>
        <v>CCME Fish</v>
      </c>
      <c r="R27" s="219">
        <f t="shared" si="9"/>
        <v>-2.4696631494100116</v>
      </c>
      <c r="S27" s="220">
        <f t="shared" si="10"/>
        <v>8.5965323335241965</v>
      </c>
      <c r="T27" s="236">
        <f t="shared" si="8"/>
        <v>5</v>
      </c>
      <c r="U27" s="221" t="str">
        <f t="shared" si="13"/>
        <v>5-MOR-LC10-Embryo</v>
      </c>
      <c r="V27" s="222" cm="1">
        <f t="array" ref="V27">GEOMEAN(IF(U27=$U$7:$U$360,$S$7:$S$360))</f>
        <v>8.5965323335241965</v>
      </c>
      <c r="W27" s="223">
        <f t="shared" si="11"/>
        <v>5.4290936760953992</v>
      </c>
      <c r="X27" s="225">
        <f t="shared" si="6"/>
        <v>227.94256198427851</v>
      </c>
      <c r="Y27" s="225">
        <f t="shared" ref="Y27" si="17">X27</f>
        <v>227.94256198427851</v>
      </c>
      <c r="Z27" s="226"/>
      <c r="AA27" s="226" t="s">
        <v>1614</v>
      </c>
      <c r="AB27" s="227" t="s">
        <v>1846</v>
      </c>
      <c r="AC27" s="228" t="s">
        <v>1861</v>
      </c>
      <c r="AD27" s="243"/>
      <c r="AE27" s="229" t="s">
        <v>1584</v>
      </c>
      <c r="AG27" s="249" t="s">
        <v>1790</v>
      </c>
      <c r="AH27" s="253">
        <v>8.4265738533473513</v>
      </c>
      <c r="AI27" s="244" t="str">
        <f t="shared" si="15"/>
        <v>Molluscs</v>
      </c>
      <c r="AJ27" s="248" t="s">
        <v>52</v>
      </c>
      <c r="AK27" s="248"/>
      <c r="AL27" s="244"/>
      <c r="AP27" s="249" t="s">
        <v>1790</v>
      </c>
      <c r="AQ27" s="253">
        <v>8.4265738533473513</v>
      </c>
    </row>
    <row r="28" spans="1:57" s="182" customFormat="1" ht="15.75" customHeight="1" x14ac:dyDescent="0.25">
      <c r="B28" s="180"/>
      <c r="C28" s="217">
        <v>1982</v>
      </c>
      <c r="D28" s="180" t="s">
        <v>1613</v>
      </c>
      <c r="E28" s="180" t="s">
        <v>41</v>
      </c>
      <c r="F28" s="180" t="s">
        <v>89</v>
      </c>
      <c r="G28" s="180" t="s">
        <v>82</v>
      </c>
      <c r="H28" s="180" t="s">
        <v>1615</v>
      </c>
      <c r="I28" s="180" t="s">
        <v>237</v>
      </c>
      <c r="J28" s="180" t="s">
        <v>54</v>
      </c>
      <c r="K28" s="180">
        <v>72</v>
      </c>
      <c r="L28" s="180">
        <v>444</v>
      </c>
      <c r="M28" s="180">
        <v>25</v>
      </c>
      <c r="N28" s="180">
        <v>7</v>
      </c>
      <c r="O28" s="94">
        <v>1.6</v>
      </c>
      <c r="P28" s="239">
        <f t="shared" si="3"/>
        <v>6.0958245624322247</v>
      </c>
      <c r="Q28" s="179" t="str">
        <f t="shared" si="0"/>
        <v>CCME Fish</v>
      </c>
      <c r="R28" s="219">
        <f t="shared" si="9"/>
        <v>-2.4696631494100116</v>
      </c>
      <c r="S28" s="220">
        <f t="shared" si="10"/>
        <v>8.5654877118422359</v>
      </c>
      <c r="T28" s="236">
        <f t="shared" si="8"/>
        <v>5</v>
      </c>
      <c r="U28" s="221" t="str">
        <f t="shared" si="13"/>
        <v>5-MOR-NOEC-Embryo</v>
      </c>
      <c r="V28" s="222" cm="1">
        <f t="array" ref="V28">GEOMEAN(IF(U28=$U$7:$U$360,$S$7:$S$360))</f>
        <v>8.5654877118422359</v>
      </c>
      <c r="W28" s="223">
        <f t="shared" si="11"/>
        <v>5.3980490544134385</v>
      </c>
      <c r="X28" s="225">
        <f t="shared" si="6"/>
        <v>220.97488541707338</v>
      </c>
      <c r="Y28" s="225"/>
      <c r="Z28" s="226" t="s">
        <v>1517</v>
      </c>
      <c r="AA28" s="226"/>
      <c r="AB28" s="227" t="s">
        <v>1846</v>
      </c>
      <c r="AC28" s="228" t="s">
        <v>1861</v>
      </c>
      <c r="AD28" s="243"/>
      <c r="AE28" s="229" t="s">
        <v>1584</v>
      </c>
      <c r="AG28" s="249" t="s">
        <v>87</v>
      </c>
      <c r="AH28" s="253">
        <v>42.314541000879686</v>
      </c>
      <c r="AI28" s="244" t="str">
        <f t="shared" si="15"/>
        <v>Crustaceans</v>
      </c>
      <c r="AJ28" s="248" t="s">
        <v>49</v>
      </c>
      <c r="AK28" s="248"/>
      <c r="AL28" s="244"/>
      <c r="AP28" s="249" t="s">
        <v>87</v>
      </c>
      <c r="AQ28" s="253">
        <v>42.314541000879686</v>
      </c>
    </row>
    <row r="29" spans="1:57" s="182" customFormat="1" ht="15.75" customHeight="1" x14ac:dyDescent="0.25">
      <c r="B29" s="180">
        <v>84051</v>
      </c>
      <c r="C29" s="217">
        <v>2004</v>
      </c>
      <c r="D29" s="180" t="s">
        <v>711</v>
      </c>
      <c r="E29" s="180" t="s">
        <v>41</v>
      </c>
      <c r="F29" s="180" t="s">
        <v>89</v>
      </c>
      <c r="G29" s="180" t="s">
        <v>82</v>
      </c>
      <c r="H29" s="180" t="s">
        <v>160</v>
      </c>
      <c r="I29" s="180" t="s">
        <v>237</v>
      </c>
      <c r="J29" s="180" t="s">
        <v>174</v>
      </c>
      <c r="K29" s="180" t="s">
        <v>78</v>
      </c>
      <c r="L29" s="180">
        <v>99.1</v>
      </c>
      <c r="M29" s="250">
        <v>28.722304178000002</v>
      </c>
      <c r="N29" s="181">
        <v>6.7</v>
      </c>
      <c r="O29" s="94">
        <v>0.3</v>
      </c>
      <c r="P29" s="239">
        <f t="shared" si="3"/>
        <v>4.5961294413359424</v>
      </c>
      <c r="Q29" s="179" t="str">
        <f t="shared" si="0"/>
        <v>CCME Fish</v>
      </c>
      <c r="R29" s="219">
        <f t="shared" si="9"/>
        <v>-2.7599639265309239</v>
      </c>
      <c r="S29" s="220">
        <f t="shared" si="10"/>
        <v>7.3560933678668663</v>
      </c>
      <c r="T29" s="236">
        <f t="shared" si="8"/>
        <v>5</v>
      </c>
      <c r="U29" s="221" t="str">
        <f t="shared" si="13"/>
        <v>5-MOR-LC10-Juvenile</v>
      </c>
      <c r="V29" s="222" cm="1">
        <f t="array" ref="V29">GEOMEAN(IF(U29=$U$7:$U$360,$S$7:$S$360))</f>
        <v>7.3117177830372153</v>
      </c>
      <c r="W29" s="223">
        <f t="shared" si="11"/>
        <v>4.1442791256084179</v>
      </c>
      <c r="X29" s="225">
        <f t="shared" si="6"/>
        <v>63.072138420366656</v>
      </c>
      <c r="Y29" s="225">
        <f t="shared" ref="Y29" si="18">X29</f>
        <v>63.072138420366656</v>
      </c>
      <c r="Z29" s="226" t="s">
        <v>1592</v>
      </c>
      <c r="AA29" s="226"/>
      <c r="AB29" s="227" t="s">
        <v>1846</v>
      </c>
      <c r="AC29" s="228" t="s">
        <v>1798</v>
      </c>
      <c r="AD29" s="243"/>
      <c r="AE29" s="229" t="s">
        <v>1584</v>
      </c>
      <c r="AG29" s="249" t="s">
        <v>1657</v>
      </c>
      <c r="AH29" s="253">
        <v>21.544082508738349</v>
      </c>
      <c r="AI29" s="244" t="str">
        <f t="shared" si="15"/>
        <v>Crustaceans</v>
      </c>
      <c r="AJ29" s="248" t="s">
        <v>49</v>
      </c>
      <c r="AK29" s="248"/>
      <c r="AL29" s="244"/>
      <c r="AP29" s="249" t="s">
        <v>1657</v>
      </c>
      <c r="AQ29" s="253">
        <v>21.544082508738349</v>
      </c>
    </row>
    <row r="30" spans="1:57" s="182" customFormat="1" ht="15.75" customHeight="1" x14ac:dyDescent="0.25">
      <c r="B30" s="180">
        <v>84051</v>
      </c>
      <c r="C30" s="217">
        <v>2004</v>
      </c>
      <c r="D30" s="180" t="s">
        <v>711</v>
      </c>
      <c r="E30" s="180" t="s">
        <v>41</v>
      </c>
      <c r="F30" s="180" t="s">
        <v>89</v>
      </c>
      <c r="G30" s="180" t="s">
        <v>82</v>
      </c>
      <c r="H30" s="180" t="s">
        <v>160</v>
      </c>
      <c r="I30" s="180" t="s">
        <v>237</v>
      </c>
      <c r="J30" s="180" t="s">
        <v>54</v>
      </c>
      <c r="K30" s="180" t="s">
        <v>78</v>
      </c>
      <c r="L30" s="180">
        <v>256</v>
      </c>
      <c r="M30" s="250">
        <v>28.722304178000002</v>
      </c>
      <c r="N30" s="180">
        <v>6.7</v>
      </c>
      <c r="O30" s="94">
        <v>0.3</v>
      </c>
      <c r="P30" s="239">
        <f t="shared" si="3"/>
        <v>5.5451774444795623</v>
      </c>
      <c r="Q30" s="179" t="str">
        <f t="shared" si="0"/>
        <v>CCME Fish</v>
      </c>
      <c r="R30" s="219">
        <f t="shared" si="9"/>
        <v>-2.7599639265309239</v>
      </c>
      <c r="S30" s="220">
        <f t="shared" si="10"/>
        <v>8.3051413710104853</v>
      </c>
      <c r="T30" s="236">
        <f t="shared" si="8"/>
        <v>5</v>
      </c>
      <c r="U30" s="221" t="str">
        <f t="shared" si="13"/>
        <v>5-MOR-NOEC-Juvenile</v>
      </c>
      <c r="V30" s="222" cm="1">
        <f t="array" ref="V30">GEOMEAN(IF(U30=$U$7:$U$360,$S$7:$S$360))</f>
        <v>7.3366652494384184</v>
      </c>
      <c r="W30" s="223">
        <f t="shared" si="11"/>
        <v>4.169226592009621</v>
      </c>
      <c r="X30" s="225">
        <f t="shared" si="6"/>
        <v>64.665420009748175</v>
      </c>
      <c r="Y30" s="225"/>
      <c r="Z30" s="226" t="s">
        <v>1466</v>
      </c>
      <c r="AA30" s="226"/>
      <c r="AB30" s="254"/>
      <c r="AC30" s="243"/>
      <c r="AD30" s="243"/>
      <c r="AE30" s="243"/>
      <c r="AG30" s="249" t="s">
        <v>149</v>
      </c>
      <c r="AH30" s="253">
        <v>94.999872907632408</v>
      </c>
      <c r="AI30" s="244" t="str">
        <f t="shared" si="15"/>
        <v>Molluscs</v>
      </c>
      <c r="AJ30" s="248" t="s">
        <v>49</v>
      </c>
      <c r="AK30" s="248"/>
      <c r="AL30" s="244"/>
      <c r="AP30" s="249" t="s">
        <v>149</v>
      </c>
      <c r="AQ30" s="253">
        <v>94.999872907632408</v>
      </c>
    </row>
    <row r="31" spans="1:57" s="182" customFormat="1" ht="15.75" customHeight="1" x14ac:dyDescent="0.25">
      <c r="B31" s="180">
        <v>84051</v>
      </c>
      <c r="C31" s="217">
        <v>2004</v>
      </c>
      <c r="D31" s="180" t="s">
        <v>711</v>
      </c>
      <c r="E31" s="180" t="s">
        <v>41</v>
      </c>
      <c r="F31" s="180" t="s">
        <v>89</v>
      </c>
      <c r="G31" s="180" t="s">
        <v>82</v>
      </c>
      <c r="H31" s="180" t="s">
        <v>160</v>
      </c>
      <c r="I31" s="180" t="s">
        <v>237</v>
      </c>
      <c r="J31" s="180" t="s">
        <v>54</v>
      </c>
      <c r="K31" s="180" t="s">
        <v>78</v>
      </c>
      <c r="L31" s="180">
        <v>90.3</v>
      </c>
      <c r="M31" s="250">
        <v>332.08934569199999</v>
      </c>
      <c r="N31" s="180">
        <v>7.39</v>
      </c>
      <c r="O31" s="94">
        <v>0.3</v>
      </c>
      <c r="P31" s="239">
        <f t="shared" si="3"/>
        <v>4.5031374604229395</v>
      </c>
      <c r="Q31" s="179" t="str">
        <f t="shared" si="0"/>
        <v>CCME Fish</v>
      </c>
      <c r="R31" s="219">
        <f t="shared" si="9"/>
        <v>-1.0043135443304929</v>
      </c>
      <c r="S31" s="220">
        <f t="shared" si="10"/>
        <v>5.5074510047534329</v>
      </c>
      <c r="T31" s="236">
        <f t="shared" si="8"/>
        <v>5</v>
      </c>
      <c r="U31" s="221" t="str">
        <f t="shared" si="13"/>
        <v>5-MOR-NOEC-Juvenile</v>
      </c>
      <c r="V31" s="222" cm="1">
        <f t="array" ref="V31">GEOMEAN(IF(U31=$U$7:$U$360,$S$7:$S$360))</f>
        <v>7.3366652494384184</v>
      </c>
      <c r="W31" s="223">
        <f t="shared" si="11"/>
        <v>4.169226592009621</v>
      </c>
      <c r="X31" s="225">
        <f t="shared" si="6"/>
        <v>64.665420009748175</v>
      </c>
      <c r="Y31" s="225"/>
      <c r="Z31" s="226" t="s">
        <v>1466</v>
      </c>
      <c r="AA31" s="226"/>
      <c r="AB31" s="254"/>
      <c r="AC31" s="243"/>
      <c r="AD31" s="243"/>
      <c r="AE31" s="243"/>
      <c r="AG31" s="249" t="s">
        <v>1771</v>
      </c>
      <c r="AH31" s="253">
        <v>76.499702470774594</v>
      </c>
      <c r="AI31" s="244" t="str">
        <f t="shared" si="15"/>
        <v>Molluscs</v>
      </c>
      <c r="AJ31" s="248" t="s">
        <v>927</v>
      </c>
      <c r="AK31" s="248"/>
      <c r="AL31" s="244"/>
      <c r="AP31" s="249" t="s">
        <v>1771</v>
      </c>
      <c r="AQ31" s="253">
        <v>76.499702470774594</v>
      </c>
    </row>
    <row r="32" spans="1:57" s="182" customFormat="1" ht="15.75" customHeight="1" x14ac:dyDescent="0.25">
      <c r="B32" s="180">
        <v>84051</v>
      </c>
      <c r="C32" s="217">
        <v>2004</v>
      </c>
      <c r="D32" s="180" t="s">
        <v>711</v>
      </c>
      <c r="E32" s="180" t="s">
        <v>41</v>
      </c>
      <c r="F32" s="180" t="s">
        <v>89</v>
      </c>
      <c r="G32" s="180" t="s">
        <v>82</v>
      </c>
      <c r="H32" s="180" t="s">
        <v>160</v>
      </c>
      <c r="I32" s="180" t="s">
        <v>237</v>
      </c>
      <c r="J32" s="180" t="s">
        <v>174</v>
      </c>
      <c r="K32" s="180" t="s">
        <v>78</v>
      </c>
      <c r="L32" s="180">
        <v>38.4</v>
      </c>
      <c r="M32" s="250">
        <v>29.623122536</v>
      </c>
      <c r="N32" s="181">
        <v>7.45</v>
      </c>
      <c r="O32" s="94">
        <v>0.3</v>
      </c>
      <c r="P32" s="239">
        <f t="shared" si="3"/>
        <v>3.648057459593681</v>
      </c>
      <c r="Q32" s="179" t="str">
        <f t="shared" si="0"/>
        <v>CCME Fish</v>
      </c>
      <c r="R32" s="219">
        <f t="shared" si="9"/>
        <v>-3.3419693798130456</v>
      </c>
      <c r="S32" s="220">
        <f t="shared" si="10"/>
        <v>6.9900268394067266</v>
      </c>
      <c r="T32" s="236">
        <f t="shared" si="8"/>
        <v>5</v>
      </c>
      <c r="U32" s="221" t="str">
        <f t="shared" si="13"/>
        <v>5-MOR-LC10-Juvenile</v>
      </c>
      <c r="V32" s="222" cm="1">
        <f t="array" ref="V32">GEOMEAN(IF(U32=$U$7:$U$360,$S$7:$S$360))</f>
        <v>7.3117177830372153</v>
      </c>
      <c r="W32" s="223">
        <f t="shared" si="11"/>
        <v>4.1442791256084179</v>
      </c>
      <c r="X32" s="225">
        <f t="shared" si="6"/>
        <v>63.072138420366656</v>
      </c>
      <c r="Y32" s="225">
        <f t="shared" ref="Y32" si="19">X32</f>
        <v>63.072138420366656</v>
      </c>
      <c r="Z32" s="226" t="s">
        <v>1592</v>
      </c>
      <c r="AA32" s="226"/>
      <c r="AB32" s="227" t="s">
        <v>1846</v>
      </c>
      <c r="AC32" s="228" t="s">
        <v>1798</v>
      </c>
      <c r="AD32" s="243"/>
      <c r="AE32" s="229" t="s">
        <v>1584</v>
      </c>
      <c r="AG32" s="249" t="s">
        <v>553</v>
      </c>
      <c r="AH32" s="253">
        <v>44.924759856634694</v>
      </c>
      <c r="AI32" s="244" t="str">
        <f t="shared" si="15"/>
        <v>Crustaceans</v>
      </c>
      <c r="AJ32" s="248" t="s">
        <v>54</v>
      </c>
      <c r="AK32" s="248"/>
      <c r="AP32" s="249" t="s">
        <v>553</v>
      </c>
      <c r="AQ32" s="253">
        <v>44.924759856634694</v>
      </c>
    </row>
    <row r="33" spans="2:43" s="182" customFormat="1" ht="15.75" customHeight="1" x14ac:dyDescent="0.25">
      <c r="B33" s="180">
        <v>84051</v>
      </c>
      <c r="C33" s="217">
        <v>2004</v>
      </c>
      <c r="D33" s="180" t="s">
        <v>711</v>
      </c>
      <c r="E33" s="180" t="s">
        <v>41</v>
      </c>
      <c r="F33" s="180" t="s">
        <v>89</v>
      </c>
      <c r="G33" s="180" t="s">
        <v>82</v>
      </c>
      <c r="H33" s="180" t="s">
        <v>160</v>
      </c>
      <c r="I33" s="180" t="s">
        <v>237</v>
      </c>
      <c r="J33" s="180" t="s">
        <v>54</v>
      </c>
      <c r="K33" s="180" t="s">
        <v>78</v>
      </c>
      <c r="L33" s="180">
        <v>31.5</v>
      </c>
      <c r="M33" s="250">
        <v>29.623122536</v>
      </c>
      <c r="N33" s="180">
        <v>7.45</v>
      </c>
      <c r="O33" s="94">
        <v>0.3</v>
      </c>
      <c r="P33" s="239">
        <f t="shared" si="3"/>
        <v>3.4499875458315872</v>
      </c>
      <c r="Q33" s="179" t="str">
        <f t="shared" si="0"/>
        <v>CCME Fish</v>
      </c>
      <c r="R33" s="219">
        <f t="shared" si="9"/>
        <v>-3.3419693798130456</v>
      </c>
      <c r="S33" s="220">
        <f t="shared" si="10"/>
        <v>6.7919569256446328</v>
      </c>
      <c r="T33" s="236">
        <f t="shared" si="8"/>
        <v>5</v>
      </c>
      <c r="U33" s="221" t="str">
        <f t="shared" si="13"/>
        <v>5-MOR-NOEC-Juvenile</v>
      </c>
      <c r="V33" s="222" cm="1">
        <f t="array" ref="V33">GEOMEAN(IF(U33=$U$7:$U$360,$S$7:$S$360))</f>
        <v>7.3366652494384184</v>
      </c>
      <c r="W33" s="223">
        <f t="shared" si="11"/>
        <v>4.169226592009621</v>
      </c>
      <c r="X33" s="225">
        <f t="shared" si="6"/>
        <v>64.665420009748175</v>
      </c>
      <c r="Y33" s="225"/>
      <c r="Z33" s="226" t="s">
        <v>1466</v>
      </c>
      <c r="AA33" s="226"/>
      <c r="AB33" s="227" t="s">
        <v>1846</v>
      </c>
      <c r="AC33" s="228" t="s">
        <v>1798</v>
      </c>
      <c r="AD33" s="243"/>
      <c r="AE33" s="229" t="s">
        <v>1584</v>
      </c>
      <c r="AG33" s="249" t="s">
        <v>517</v>
      </c>
      <c r="AH33" s="253" t="e">
        <v>#NUM!</v>
      </c>
      <c r="AI33" s="244" t="str">
        <f t="shared" si="15"/>
        <v>Cnidaria</v>
      </c>
      <c r="AJ33" s="248" t="s">
        <v>49</v>
      </c>
      <c r="AK33" s="248"/>
      <c r="AP33" s="249" t="s">
        <v>517</v>
      </c>
      <c r="AQ33" s="253" t="e">
        <v>#NUM!</v>
      </c>
    </row>
    <row r="34" spans="2:43" s="182" customFormat="1" ht="15.75" customHeight="1" x14ac:dyDescent="0.25">
      <c r="B34" s="180">
        <v>84051</v>
      </c>
      <c r="C34" s="217">
        <v>2004</v>
      </c>
      <c r="D34" s="180" t="s">
        <v>711</v>
      </c>
      <c r="E34" s="180" t="s">
        <v>41</v>
      </c>
      <c r="F34" s="180" t="s">
        <v>89</v>
      </c>
      <c r="G34" s="180" t="s">
        <v>82</v>
      </c>
      <c r="H34" s="180" t="s">
        <v>160</v>
      </c>
      <c r="I34" s="180" t="s">
        <v>237</v>
      </c>
      <c r="J34" s="180" t="s">
        <v>54</v>
      </c>
      <c r="K34" s="180" t="s">
        <v>78</v>
      </c>
      <c r="L34" s="180">
        <v>95.1</v>
      </c>
      <c r="M34" s="250">
        <v>30.023381927999999</v>
      </c>
      <c r="N34" s="180">
        <v>7.49</v>
      </c>
      <c r="O34" s="94">
        <v>0.3</v>
      </c>
      <c r="P34" s="239">
        <f t="shared" si="3"/>
        <v>4.5549289695513444</v>
      </c>
      <c r="Q34" s="179" t="str">
        <f t="shared" si="0"/>
        <v>CCME Fish</v>
      </c>
      <c r="R34" s="219">
        <f t="shared" si="9"/>
        <v>-3.3618594536436985</v>
      </c>
      <c r="S34" s="220">
        <f t="shared" si="10"/>
        <v>7.9167884231950429</v>
      </c>
      <c r="T34" s="236">
        <f t="shared" si="8"/>
        <v>5</v>
      </c>
      <c r="U34" s="221" t="str">
        <f t="shared" si="13"/>
        <v>5-MOR-NOEC-Juvenile</v>
      </c>
      <c r="V34" s="222" cm="1">
        <f t="array" ref="V34">GEOMEAN(IF(U34=$U$7:$U$360,$S$7:$S$360))</f>
        <v>7.3366652494384184</v>
      </c>
      <c r="W34" s="223">
        <f t="shared" si="11"/>
        <v>4.169226592009621</v>
      </c>
      <c r="X34" s="225">
        <f t="shared" si="6"/>
        <v>64.665420009748175</v>
      </c>
      <c r="Y34" s="225"/>
      <c r="Z34" s="226" t="s">
        <v>1466</v>
      </c>
      <c r="AA34" s="226"/>
      <c r="AB34" s="254"/>
      <c r="AC34" s="243"/>
      <c r="AD34" s="243"/>
      <c r="AE34" s="243"/>
      <c r="AG34" s="249" t="s">
        <v>1791</v>
      </c>
      <c r="AH34" s="253">
        <v>8.7275229195383233</v>
      </c>
      <c r="AI34" s="244" t="str">
        <f t="shared" si="15"/>
        <v>Molluscs</v>
      </c>
      <c r="AJ34" s="248" t="s">
        <v>52</v>
      </c>
      <c r="AK34" s="248"/>
      <c r="AP34" s="249" t="s">
        <v>1791</v>
      </c>
      <c r="AQ34" s="253">
        <v>8.7275229195383233</v>
      </c>
    </row>
    <row r="35" spans="2:43" s="182" customFormat="1" ht="15.75" customHeight="1" x14ac:dyDescent="0.25">
      <c r="B35" s="180">
        <v>84051</v>
      </c>
      <c r="C35" s="217">
        <v>2004</v>
      </c>
      <c r="D35" s="180" t="s">
        <v>711</v>
      </c>
      <c r="E35" s="180" t="s">
        <v>41</v>
      </c>
      <c r="F35" s="180" t="s">
        <v>89</v>
      </c>
      <c r="G35" s="180" t="s">
        <v>82</v>
      </c>
      <c r="H35" s="180" t="s">
        <v>160</v>
      </c>
      <c r="I35" s="180" t="s">
        <v>237</v>
      </c>
      <c r="J35" s="180" t="s">
        <v>174</v>
      </c>
      <c r="K35" s="180" t="s">
        <v>78</v>
      </c>
      <c r="L35" s="180">
        <v>73.599999999999994</v>
      </c>
      <c r="M35" s="250">
        <v>28.422066655999998</v>
      </c>
      <c r="N35" s="181">
        <v>7.58</v>
      </c>
      <c r="O35" s="94">
        <v>0.3</v>
      </c>
      <c r="P35" s="239">
        <f t="shared" si="3"/>
        <v>4.2986450257348308</v>
      </c>
      <c r="Q35" s="179" t="str">
        <f t="shared" si="0"/>
        <v>CCME Fish</v>
      </c>
      <c r="R35" s="219">
        <f t="shared" si="9"/>
        <v>-3.4871151271640732</v>
      </c>
      <c r="S35" s="220">
        <f t="shared" si="10"/>
        <v>7.785760152898904</v>
      </c>
      <c r="T35" s="236">
        <f t="shared" si="8"/>
        <v>5</v>
      </c>
      <c r="U35" s="221" t="str">
        <f t="shared" si="13"/>
        <v>5-MOR-LC10-Juvenile</v>
      </c>
      <c r="V35" s="222" cm="1">
        <f t="array" ref="V35">GEOMEAN(IF(U35=$U$7:$U$360,$S$7:$S$360))</f>
        <v>7.3117177830372153</v>
      </c>
      <c r="W35" s="223">
        <f t="shared" si="11"/>
        <v>4.1442791256084179</v>
      </c>
      <c r="X35" s="225">
        <f t="shared" si="6"/>
        <v>63.072138420366656</v>
      </c>
      <c r="Y35" s="225">
        <f t="shared" ref="Y35:Y36" si="20">X35</f>
        <v>63.072138420366656</v>
      </c>
      <c r="AA35" s="226"/>
      <c r="AB35" s="252" t="s">
        <v>1846</v>
      </c>
      <c r="AC35" s="228" t="s">
        <v>1798</v>
      </c>
      <c r="AD35" s="243"/>
      <c r="AE35" s="229" t="s">
        <v>1584</v>
      </c>
      <c r="AG35" s="249" t="s">
        <v>1792</v>
      </c>
      <c r="AH35" s="253">
        <v>10.031635539699227</v>
      </c>
      <c r="AI35" s="244" t="str">
        <f t="shared" si="15"/>
        <v>Molluscs</v>
      </c>
      <c r="AJ35" s="248" t="s">
        <v>52</v>
      </c>
      <c r="AK35" s="248"/>
      <c r="AP35" s="249" t="s">
        <v>1792</v>
      </c>
      <c r="AQ35" s="253">
        <v>10.031635539699227</v>
      </c>
    </row>
    <row r="36" spans="2:43" s="182" customFormat="1" ht="15.75" customHeight="1" x14ac:dyDescent="0.25">
      <c r="B36" s="180">
        <v>84051</v>
      </c>
      <c r="C36" s="217">
        <v>2004</v>
      </c>
      <c r="D36" s="180" t="s">
        <v>711</v>
      </c>
      <c r="E36" s="180" t="s">
        <v>41</v>
      </c>
      <c r="F36" s="180" t="s">
        <v>89</v>
      </c>
      <c r="G36" s="180" t="s">
        <v>82</v>
      </c>
      <c r="H36" s="180" t="s">
        <v>160</v>
      </c>
      <c r="I36" s="180" t="s">
        <v>237</v>
      </c>
      <c r="J36" s="180" t="s">
        <v>174</v>
      </c>
      <c r="K36" s="180" t="s">
        <v>78</v>
      </c>
      <c r="L36" s="180">
        <v>171</v>
      </c>
      <c r="M36" s="250">
        <v>102.17723531799999</v>
      </c>
      <c r="N36" s="181">
        <v>7.58</v>
      </c>
      <c r="O36" s="94">
        <v>0.3</v>
      </c>
      <c r="P36" s="239">
        <f t="shared" si="3"/>
        <v>5.1416635565026603</v>
      </c>
      <c r="Q36" s="179" t="str">
        <f t="shared" si="0"/>
        <v>CCME Fish</v>
      </c>
      <c r="R36" s="219">
        <f t="shared" si="9"/>
        <v>-2.2753878416106121</v>
      </c>
      <c r="S36" s="220">
        <f t="shared" si="10"/>
        <v>7.4170513981132729</v>
      </c>
      <c r="T36" s="236">
        <f t="shared" si="8"/>
        <v>5</v>
      </c>
      <c r="U36" s="221" t="str">
        <f t="shared" si="13"/>
        <v>5-MOR-LC10-Juvenile</v>
      </c>
      <c r="V36" s="222" cm="1">
        <f t="array" ref="V36">GEOMEAN(IF(U36=$U$7:$U$360,$S$7:$S$360))</f>
        <v>7.3117177830372153</v>
      </c>
      <c r="W36" s="223">
        <f t="shared" si="11"/>
        <v>4.1442791256084179</v>
      </c>
      <c r="X36" s="225">
        <f t="shared" si="6"/>
        <v>63.072138420366656</v>
      </c>
      <c r="Y36" s="225">
        <f t="shared" si="20"/>
        <v>63.072138420366656</v>
      </c>
      <c r="AA36" s="226"/>
      <c r="AB36" s="227" t="s">
        <v>1846</v>
      </c>
      <c r="AC36" s="228" t="s">
        <v>1798</v>
      </c>
      <c r="AD36" s="243"/>
      <c r="AE36" s="229" t="s">
        <v>1584</v>
      </c>
      <c r="AG36" s="249" t="s">
        <v>1793</v>
      </c>
      <c r="AH36" s="253">
        <v>11.034799093669148</v>
      </c>
      <c r="AI36" s="244" t="str">
        <f t="shared" si="15"/>
        <v>Molluscs</v>
      </c>
      <c r="AJ36" s="248" t="s">
        <v>52</v>
      </c>
      <c r="AK36" s="248"/>
      <c r="AP36" s="249" t="s">
        <v>1793</v>
      </c>
      <c r="AQ36" s="253">
        <v>11.034799093669148</v>
      </c>
    </row>
    <row r="37" spans="2:43" s="182" customFormat="1" ht="15.75" customHeight="1" x14ac:dyDescent="0.25">
      <c r="B37" s="180">
        <v>84051</v>
      </c>
      <c r="C37" s="217">
        <v>2004</v>
      </c>
      <c r="D37" s="180" t="s">
        <v>711</v>
      </c>
      <c r="E37" s="180" t="s">
        <v>41</v>
      </c>
      <c r="F37" s="180" t="s">
        <v>89</v>
      </c>
      <c r="G37" s="180" t="s">
        <v>82</v>
      </c>
      <c r="H37" s="180" t="s">
        <v>160</v>
      </c>
      <c r="I37" s="180" t="s">
        <v>237</v>
      </c>
      <c r="J37" s="180" t="s">
        <v>54</v>
      </c>
      <c r="K37" s="180" t="s">
        <v>78</v>
      </c>
      <c r="L37" s="180">
        <v>157</v>
      </c>
      <c r="M37" s="250">
        <v>28.422066655999998</v>
      </c>
      <c r="N37" s="180">
        <v>7.58</v>
      </c>
      <c r="O37" s="94">
        <v>0.3</v>
      </c>
      <c r="P37" s="239">
        <f t="shared" si="3"/>
        <v>5.0562458053483077</v>
      </c>
      <c r="Q37" s="179" t="str">
        <f t="shared" si="0"/>
        <v>CCME Fish</v>
      </c>
      <c r="R37" s="219">
        <f t="shared" si="9"/>
        <v>-3.4871151271640732</v>
      </c>
      <c r="S37" s="220">
        <f t="shared" si="10"/>
        <v>8.5433609325123818</v>
      </c>
      <c r="T37" s="236">
        <f t="shared" si="8"/>
        <v>5</v>
      </c>
      <c r="U37" s="221" t="str">
        <f t="shared" si="13"/>
        <v>5-MOR-NOEC-Juvenile</v>
      </c>
      <c r="V37" s="222" cm="1">
        <f t="array" ref="V37">GEOMEAN(IF(U37=$U$7:$U$360,$S$7:$S$360))</f>
        <v>7.3366652494384184</v>
      </c>
      <c r="W37" s="223">
        <f t="shared" si="11"/>
        <v>4.169226592009621</v>
      </c>
      <c r="X37" s="225">
        <f t="shared" si="6"/>
        <v>64.665420009748175</v>
      </c>
      <c r="Y37" s="225"/>
      <c r="Z37" s="226" t="s">
        <v>1466</v>
      </c>
      <c r="AA37" s="226"/>
      <c r="AB37" s="254"/>
      <c r="AC37" s="243"/>
      <c r="AD37" s="243"/>
      <c r="AE37" s="243"/>
      <c r="AG37" s="249" t="s">
        <v>1380</v>
      </c>
      <c r="AH37" s="253">
        <v>40.488598573045472</v>
      </c>
      <c r="AI37" s="244" t="str">
        <f t="shared" si="15"/>
        <v>Molluscs</v>
      </c>
      <c r="AJ37" s="248" t="s">
        <v>49</v>
      </c>
      <c r="AK37" s="248"/>
      <c r="AP37" s="249" t="s">
        <v>1380</v>
      </c>
      <c r="AQ37" s="253">
        <v>40.488598573045472</v>
      </c>
    </row>
    <row r="38" spans="2:43" s="182" customFormat="1" ht="15.75" customHeight="1" x14ac:dyDescent="0.25">
      <c r="B38" s="180">
        <v>84051</v>
      </c>
      <c r="C38" s="217">
        <v>2004</v>
      </c>
      <c r="D38" s="180" t="s">
        <v>711</v>
      </c>
      <c r="E38" s="180" t="s">
        <v>41</v>
      </c>
      <c r="F38" s="180" t="s">
        <v>89</v>
      </c>
      <c r="G38" s="180" t="s">
        <v>82</v>
      </c>
      <c r="H38" s="180" t="s">
        <v>160</v>
      </c>
      <c r="I38" s="180" t="s">
        <v>237</v>
      </c>
      <c r="J38" s="180" t="s">
        <v>54</v>
      </c>
      <c r="K38" s="180" t="s">
        <v>78</v>
      </c>
      <c r="L38" s="180">
        <v>169</v>
      </c>
      <c r="M38" s="250">
        <v>102.17723531799999</v>
      </c>
      <c r="N38" s="180">
        <v>7.58</v>
      </c>
      <c r="O38" s="94">
        <v>0.3</v>
      </c>
      <c r="P38" s="239">
        <f t="shared" si="3"/>
        <v>5.1298987149230735</v>
      </c>
      <c r="Q38" s="179" t="str">
        <f t="shared" si="0"/>
        <v>CCME Fish</v>
      </c>
      <c r="R38" s="219">
        <f t="shared" si="9"/>
        <v>-2.2753878416106121</v>
      </c>
      <c r="S38" s="220">
        <f t="shared" si="10"/>
        <v>7.4052865565336852</v>
      </c>
      <c r="T38" s="236">
        <f t="shared" si="8"/>
        <v>5</v>
      </c>
      <c r="U38" s="221" t="str">
        <f t="shared" si="13"/>
        <v>5-MOR-NOEC-Juvenile</v>
      </c>
      <c r="V38" s="222" cm="1">
        <f t="array" ref="V38">GEOMEAN(IF(U38=$U$7:$U$360,$S$7:$S$360))</f>
        <v>7.3366652494384184</v>
      </c>
      <c r="W38" s="223">
        <f t="shared" si="11"/>
        <v>4.169226592009621</v>
      </c>
      <c r="X38" s="225">
        <f t="shared" si="6"/>
        <v>64.665420009748175</v>
      </c>
      <c r="Y38" s="225"/>
      <c r="Z38" s="226" t="s">
        <v>1466</v>
      </c>
      <c r="AA38" s="226"/>
      <c r="AB38" s="254"/>
      <c r="AC38" s="243"/>
      <c r="AD38" s="243"/>
      <c r="AE38" s="243"/>
      <c r="AG38" s="249" t="s">
        <v>1549</v>
      </c>
      <c r="AH38" s="253">
        <v>171.05747623683536</v>
      </c>
      <c r="AI38" s="244" t="str">
        <f t="shared" si="15"/>
        <v>Molluscs</v>
      </c>
      <c r="AJ38" s="248" t="s">
        <v>49</v>
      </c>
      <c r="AK38" s="248"/>
      <c r="AP38" s="249" t="s">
        <v>1549</v>
      </c>
      <c r="AQ38" s="253">
        <v>171.05747623683536</v>
      </c>
    </row>
    <row r="39" spans="2:43" s="182" customFormat="1" ht="15.75" customHeight="1" x14ac:dyDescent="0.25">
      <c r="B39" s="180">
        <v>84051</v>
      </c>
      <c r="C39" s="217">
        <v>2004</v>
      </c>
      <c r="D39" s="180" t="s">
        <v>711</v>
      </c>
      <c r="E39" s="180" t="s">
        <v>41</v>
      </c>
      <c r="F39" s="180" t="s">
        <v>89</v>
      </c>
      <c r="G39" s="180" t="s">
        <v>82</v>
      </c>
      <c r="H39" s="180" t="s">
        <v>160</v>
      </c>
      <c r="I39" s="180" t="s">
        <v>237</v>
      </c>
      <c r="J39" s="180" t="s">
        <v>174</v>
      </c>
      <c r="K39" s="180" t="s">
        <v>78</v>
      </c>
      <c r="L39" s="180">
        <v>34.5</v>
      </c>
      <c r="M39" s="250">
        <v>29.122590018000004</v>
      </c>
      <c r="N39" s="181">
        <v>7.61</v>
      </c>
      <c r="O39" s="94">
        <v>0.3</v>
      </c>
      <c r="P39" s="239">
        <f t="shared" si="3"/>
        <v>3.5409593240373143</v>
      </c>
      <c r="Q39" s="179" t="str">
        <f t="shared" si="0"/>
        <v>CCME Fish</v>
      </c>
      <c r="R39" s="219">
        <f t="shared" si="9"/>
        <v>-3.4885072644244537</v>
      </c>
      <c r="S39" s="220">
        <f t="shared" si="10"/>
        <v>7.0294665884617675</v>
      </c>
      <c r="T39" s="236">
        <f t="shared" si="8"/>
        <v>5</v>
      </c>
      <c r="U39" s="221" t="str">
        <f t="shared" si="13"/>
        <v>5-MOR-LC10-Juvenile</v>
      </c>
      <c r="V39" s="222" cm="1">
        <f t="array" ref="V39">GEOMEAN(IF(U39=$U$7:$U$360,$S$7:$S$360))</f>
        <v>7.3117177830372153</v>
      </c>
      <c r="W39" s="223">
        <f t="shared" si="11"/>
        <v>4.1442791256084179</v>
      </c>
      <c r="X39" s="225">
        <f t="shared" si="6"/>
        <v>63.072138420366656</v>
      </c>
      <c r="Y39" s="225">
        <f t="shared" ref="Y39" si="21">X39</f>
        <v>63.072138420366656</v>
      </c>
      <c r="AA39" s="226"/>
      <c r="AB39" s="227" t="s">
        <v>1846</v>
      </c>
      <c r="AC39" s="228" t="s">
        <v>1798</v>
      </c>
      <c r="AD39" s="243"/>
      <c r="AE39" s="229" t="s">
        <v>1584</v>
      </c>
      <c r="AG39" s="249" t="s">
        <v>1734</v>
      </c>
      <c r="AH39" s="253"/>
      <c r="AI39" s="244" t="str">
        <f t="shared" si="15"/>
        <v>Fish</v>
      </c>
      <c r="AJ39" s="248" t="s">
        <v>49</v>
      </c>
      <c r="AK39" s="248"/>
      <c r="AP39" s="249" t="s">
        <v>1734</v>
      </c>
      <c r="AQ39" s="253"/>
    </row>
    <row r="40" spans="2:43" s="182" customFormat="1" ht="15.75" customHeight="1" x14ac:dyDescent="0.25">
      <c r="B40" s="180">
        <v>84051</v>
      </c>
      <c r="C40" s="217">
        <v>2004</v>
      </c>
      <c r="D40" s="180" t="s">
        <v>711</v>
      </c>
      <c r="E40" s="180" t="s">
        <v>41</v>
      </c>
      <c r="F40" s="180" t="s">
        <v>89</v>
      </c>
      <c r="G40" s="180" t="s">
        <v>82</v>
      </c>
      <c r="H40" s="180" t="s">
        <v>160</v>
      </c>
      <c r="I40" s="180" t="s">
        <v>237</v>
      </c>
      <c r="J40" s="180" t="s">
        <v>54</v>
      </c>
      <c r="K40" s="180" t="s">
        <v>78</v>
      </c>
      <c r="L40" s="180">
        <v>78.900000000000006</v>
      </c>
      <c r="M40" s="250">
        <v>29.122590018000004</v>
      </c>
      <c r="N40" s="180">
        <v>7.61</v>
      </c>
      <c r="O40" s="94">
        <v>0.3</v>
      </c>
      <c r="P40" s="239">
        <f t="shared" si="3"/>
        <v>4.3681812278518288</v>
      </c>
      <c r="Q40" s="179" t="str">
        <f t="shared" si="0"/>
        <v>CCME Fish</v>
      </c>
      <c r="R40" s="219">
        <f t="shared" si="9"/>
        <v>-3.4885072644244537</v>
      </c>
      <c r="S40" s="220">
        <f t="shared" si="10"/>
        <v>7.8566884922762821</v>
      </c>
      <c r="T40" s="236">
        <f t="shared" si="8"/>
        <v>5</v>
      </c>
      <c r="U40" s="221" t="str">
        <f t="shared" si="13"/>
        <v>5-MOR-NOEC-Juvenile</v>
      </c>
      <c r="V40" s="222" cm="1">
        <f t="array" ref="V40">GEOMEAN(IF(U40=$U$7:$U$360,$S$7:$S$360))</f>
        <v>7.3366652494384184</v>
      </c>
      <c r="W40" s="223">
        <f t="shared" si="11"/>
        <v>4.169226592009621</v>
      </c>
      <c r="X40" s="225">
        <f t="shared" si="6"/>
        <v>64.665420009748175</v>
      </c>
      <c r="Y40" s="225"/>
      <c r="Z40" s="226" t="s">
        <v>1466</v>
      </c>
      <c r="AA40" s="226"/>
      <c r="AB40" s="227" t="s">
        <v>1846</v>
      </c>
      <c r="AC40" s="228" t="s">
        <v>1798</v>
      </c>
      <c r="AD40" s="243"/>
      <c r="AE40" s="229" t="s">
        <v>1584</v>
      </c>
      <c r="AG40" s="249" t="s">
        <v>1737</v>
      </c>
      <c r="AH40" s="253"/>
      <c r="AI40" s="244" t="str">
        <f t="shared" si="15"/>
        <v>Crustaceans</v>
      </c>
      <c r="AJ40" s="248" t="s">
        <v>49</v>
      </c>
      <c r="AK40" s="248"/>
      <c r="AP40" s="249" t="s">
        <v>1737</v>
      </c>
      <c r="AQ40" s="253"/>
    </row>
    <row r="41" spans="2:43" s="182" customFormat="1" ht="15.75" customHeight="1" x14ac:dyDescent="0.25">
      <c r="B41" s="180">
        <v>84051</v>
      </c>
      <c r="C41" s="217">
        <v>2004</v>
      </c>
      <c r="D41" s="180" t="s">
        <v>711</v>
      </c>
      <c r="E41" s="180" t="s">
        <v>41</v>
      </c>
      <c r="F41" s="180" t="s">
        <v>89</v>
      </c>
      <c r="G41" s="180" t="s">
        <v>82</v>
      </c>
      <c r="H41" s="180" t="s">
        <v>160</v>
      </c>
      <c r="I41" s="180" t="s">
        <v>81</v>
      </c>
      <c r="J41" s="180" t="s">
        <v>54</v>
      </c>
      <c r="K41" s="180" t="s">
        <v>78</v>
      </c>
      <c r="L41" s="180">
        <v>166</v>
      </c>
      <c r="M41" s="250">
        <v>29.122590018000004</v>
      </c>
      <c r="N41" s="181">
        <v>7.61</v>
      </c>
      <c r="O41" s="94">
        <v>0.3</v>
      </c>
      <c r="P41" s="239">
        <f t="shared" si="3"/>
        <v>5.1119877883565437</v>
      </c>
      <c r="Q41" s="179" t="str">
        <f t="shared" si="0"/>
        <v>CCME Fish</v>
      </c>
      <c r="R41" s="219">
        <f t="shared" si="9"/>
        <v>-3.4885072644244537</v>
      </c>
      <c r="S41" s="220">
        <f t="shared" si="10"/>
        <v>8.6004950527809978</v>
      </c>
      <c r="T41" s="236">
        <f t="shared" si="8"/>
        <v>5</v>
      </c>
      <c r="U41" s="221" t="str">
        <f t="shared" si="13"/>
        <v>5-GRO-NOEC-Juvenile</v>
      </c>
      <c r="V41" s="222" cm="1">
        <f t="array" ref="V41">GEOMEAN(IF(U41=$U$7:$U$360,$S$7:$S$360))</f>
        <v>7.9957832588069442</v>
      </c>
      <c r="W41" s="223">
        <f t="shared" si="11"/>
        <v>4.8283446013781468</v>
      </c>
      <c r="X41" s="225">
        <f t="shared" si="6"/>
        <v>125.00385806901828</v>
      </c>
      <c r="Y41" s="225"/>
      <c r="Z41" s="226" t="s">
        <v>1466</v>
      </c>
      <c r="AA41" s="226"/>
      <c r="AB41" s="227" t="s">
        <v>1846</v>
      </c>
      <c r="AC41" s="228" t="s">
        <v>1798</v>
      </c>
      <c r="AD41" s="243"/>
      <c r="AE41" s="229" t="s">
        <v>1584</v>
      </c>
      <c r="AG41" s="249" t="s">
        <v>1712</v>
      </c>
      <c r="AH41" s="253">
        <v>7.3053522602736782</v>
      </c>
      <c r="AI41" s="244" t="str">
        <f t="shared" si="15"/>
        <v>Insects</v>
      </c>
      <c r="AJ41" s="248" t="s">
        <v>927</v>
      </c>
      <c r="AK41" s="248"/>
      <c r="AP41" s="249" t="s">
        <v>1712</v>
      </c>
      <c r="AQ41" s="253">
        <v>7.3053522602736782</v>
      </c>
    </row>
    <row r="42" spans="2:43" s="182" customFormat="1" ht="15.75" customHeight="1" x14ac:dyDescent="0.25">
      <c r="B42" s="180">
        <v>84051</v>
      </c>
      <c r="C42" s="217">
        <v>2004</v>
      </c>
      <c r="D42" s="180" t="s">
        <v>711</v>
      </c>
      <c r="E42" s="180" t="s">
        <v>41</v>
      </c>
      <c r="F42" s="180" t="s">
        <v>89</v>
      </c>
      <c r="G42" s="180" t="s">
        <v>82</v>
      </c>
      <c r="H42" s="180" t="s">
        <v>160</v>
      </c>
      <c r="I42" s="180" t="s">
        <v>237</v>
      </c>
      <c r="J42" s="180" t="s">
        <v>174</v>
      </c>
      <c r="K42" s="180" t="s">
        <v>78</v>
      </c>
      <c r="L42" s="180">
        <v>46.1</v>
      </c>
      <c r="M42" s="250">
        <v>29.222863144000002</v>
      </c>
      <c r="N42" s="181">
        <v>7.65</v>
      </c>
      <c r="O42" s="94">
        <v>0.3</v>
      </c>
      <c r="P42" s="239">
        <f t="shared" si="3"/>
        <v>3.8308129500026027</v>
      </c>
      <c r="Q42" s="179" t="str">
        <f t="shared" si="0"/>
        <v>CCME Fish</v>
      </c>
      <c r="R42" s="219">
        <f t="shared" si="9"/>
        <v>-3.517852212362413</v>
      </c>
      <c r="S42" s="220">
        <f t="shared" si="10"/>
        <v>7.3486651623650161</v>
      </c>
      <c r="T42" s="236">
        <f t="shared" si="8"/>
        <v>5</v>
      </c>
      <c r="U42" s="221" t="str">
        <f t="shared" si="13"/>
        <v>5-MOR-LC10-Juvenile</v>
      </c>
      <c r="V42" s="222" cm="1">
        <f t="array" ref="V42">GEOMEAN(IF(U42=$U$7:$U$360,$S$7:$S$360))</f>
        <v>7.3117177830372153</v>
      </c>
      <c r="W42" s="223">
        <f t="shared" si="11"/>
        <v>4.1442791256084179</v>
      </c>
      <c r="X42" s="225">
        <f t="shared" si="6"/>
        <v>63.072138420366656</v>
      </c>
      <c r="Y42" s="225">
        <f t="shared" ref="Y42" si="22">X42</f>
        <v>63.072138420366656</v>
      </c>
      <c r="AA42" s="226"/>
      <c r="AB42" s="227" t="s">
        <v>1846</v>
      </c>
      <c r="AC42" s="228" t="s">
        <v>1798</v>
      </c>
      <c r="AD42" s="243"/>
      <c r="AE42" s="229" t="s">
        <v>1584</v>
      </c>
      <c r="AG42" s="249" t="s">
        <v>1080</v>
      </c>
      <c r="AH42" s="253">
        <v>181.01359178086321</v>
      </c>
      <c r="AI42" s="244" t="str">
        <f t="shared" si="15"/>
        <v>Fish</v>
      </c>
      <c r="AJ42" s="248" t="s">
        <v>927</v>
      </c>
      <c r="AK42" s="248"/>
      <c r="AP42" s="249" t="s">
        <v>1080</v>
      </c>
      <c r="AQ42" s="253">
        <v>181.01359178086321</v>
      </c>
    </row>
    <row r="43" spans="2:43" s="182" customFormat="1" ht="15.75" customHeight="1" x14ac:dyDescent="0.25">
      <c r="B43" s="180">
        <v>84051</v>
      </c>
      <c r="C43" s="217">
        <v>2004</v>
      </c>
      <c r="D43" s="180" t="s">
        <v>711</v>
      </c>
      <c r="E43" s="180" t="s">
        <v>41</v>
      </c>
      <c r="F43" s="180" t="s">
        <v>89</v>
      </c>
      <c r="G43" s="180" t="s">
        <v>82</v>
      </c>
      <c r="H43" s="180" t="s">
        <v>160</v>
      </c>
      <c r="I43" s="180" t="s">
        <v>237</v>
      </c>
      <c r="J43" s="180" t="s">
        <v>54</v>
      </c>
      <c r="K43" s="180" t="s">
        <v>78</v>
      </c>
      <c r="L43" s="180">
        <v>165</v>
      </c>
      <c r="M43" s="250">
        <v>333.59049363000003</v>
      </c>
      <c r="N43" s="180">
        <v>7.65</v>
      </c>
      <c r="O43" s="94">
        <v>0.3</v>
      </c>
      <c r="P43" s="239">
        <f t="shared" si="3"/>
        <v>5.1059454739005803</v>
      </c>
      <c r="Q43" s="179" t="str">
        <f t="shared" si="0"/>
        <v>CCME Fish</v>
      </c>
      <c r="R43" s="219">
        <f t="shared" si="9"/>
        <v>-1.2119424535656864</v>
      </c>
      <c r="S43" s="220">
        <f t="shared" si="10"/>
        <v>6.3178879274662663</v>
      </c>
      <c r="T43" s="236">
        <f t="shared" si="8"/>
        <v>5</v>
      </c>
      <c r="U43" s="221" t="str">
        <f t="shared" si="13"/>
        <v>5-MOR-NOEC-Juvenile</v>
      </c>
      <c r="V43" s="222" cm="1">
        <f t="array" ref="V43">GEOMEAN(IF(U43=$U$7:$U$360,$S$7:$S$360))</f>
        <v>7.3366652494384184</v>
      </c>
      <c r="W43" s="223">
        <f t="shared" si="11"/>
        <v>4.169226592009621</v>
      </c>
      <c r="X43" s="225">
        <f t="shared" si="6"/>
        <v>64.665420009748175</v>
      </c>
      <c r="Y43" s="225"/>
      <c r="Z43" s="226" t="s">
        <v>1466</v>
      </c>
      <c r="AA43" s="226"/>
      <c r="AB43" s="227" t="s">
        <v>1846</v>
      </c>
      <c r="AC43" s="228" t="s">
        <v>1798</v>
      </c>
      <c r="AD43" s="243"/>
      <c r="AE43" s="229" t="s">
        <v>1584</v>
      </c>
      <c r="AG43" s="249" t="s">
        <v>89</v>
      </c>
      <c r="AH43" s="253">
        <v>63.072138420366656</v>
      </c>
      <c r="AI43" s="244" t="str">
        <f t="shared" si="15"/>
        <v>Fish</v>
      </c>
      <c r="AJ43" s="248" t="s">
        <v>49</v>
      </c>
      <c r="AK43" s="248"/>
      <c r="AP43" s="249" t="s">
        <v>89</v>
      </c>
      <c r="AQ43" s="253">
        <v>63.072138420366656</v>
      </c>
    </row>
    <row r="44" spans="2:43" s="182" customFormat="1" ht="15.75" customHeight="1" x14ac:dyDescent="0.25">
      <c r="B44" s="180">
        <v>84051</v>
      </c>
      <c r="C44" s="217">
        <v>2004</v>
      </c>
      <c r="D44" s="180" t="s">
        <v>711</v>
      </c>
      <c r="E44" s="180" t="s">
        <v>41</v>
      </c>
      <c r="F44" s="180" t="s">
        <v>89</v>
      </c>
      <c r="G44" s="180" t="s">
        <v>82</v>
      </c>
      <c r="H44" s="180" t="s">
        <v>160</v>
      </c>
      <c r="I44" s="180" t="s">
        <v>237</v>
      </c>
      <c r="J44" s="180" t="s">
        <v>54</v>
      </c>
      <c r="K44" s="180" t="s">
        <v>78</v>
      </c>
      <c r="L44" s="180">
        <v>48</v>
      </c>
      <c r="M44" s="250">
        <v>29.222863144000002</v>
      </c>
      <c r="N44" s="180">
        <v>7.65</v>
      </c>
      <c r="O44" s="94">
        <v>0.3</v>
      </c>
      <c r="P44" s="239">
        <f t="shared" si="3"/>
        <v>3.8712010109078911</v>
      </c>
      <c r="Q44" s="179" t="str">
        <f t="shared" si="0"/>
        <v>CCME Fish</v>
      </c>
      <c r="R44" s="219">
        <f t="shared" si="9"/>
        <v>-3.517852212362413</v>
      </c>
      <c r="S44" s="220">
        <f t="shared" si="10"/>
        <v>7.3890532232703041</v>
      </c>
      <c r="T44" s="236">
        <f t="shared" si="8"/>
        <v>5</v>
      </c>
      <c r="U44" s="221" t="str">
        <f t="shared" si="13"/>
        <v>5-MOR-NOEC-Juvenile</v>
      </c>
      <c r="V44" s="222" cm="1">
        <f t="array" ref="V44">GEOMEAN(IF(U44=$U$7:$U$360,$S$7:$S$360))</f>
        <v>7.3366652494384184</v>
      </c>
      <c r="W44" s="223">
        <f t="shared" si="11"/>
        <v>4.169226592009621</v>
      </c>
      <c r="X44" s="225">
        <f t="shared" si="6"/>
        <v>64.665420009748175</v>
      </c>
      <c r="Y44" s="225"/>
      <c r="Z44" s="226" t="s">
        <v>1466</v>
      </c>
      <c r="AA44" s="226"/>
      <c r="AB44" s="254"/>
      <c r="AC44" s="243"/>
      <c r="AD44" s="243"/>
      <c r="AE44" s="243"/>
      <c r="AG44" s="249" t="s">
        <v>146</v>
      </c>
      <c r="AH44" s="253">
        <v>5533.2436974696711</v>
      </c>
      <c r="AI44" s="244" t="str">
        <f t="shared" si="15"/>
        <v>Crustaceans</v>
      </c>
      <c r="AJ44" s="248" t="s">
        <v>49</v>
      </c>
      <c r="AK44" s="248"/>
      <c r="AP44" s="249" t="s">
        <v>146</v>
      </c>
      <c r="AQ44" s="253">
        <v>5533.2436974696711</v>
      </c>
    </row>
    <row r="45" spans="2:43" s="182" customFormat="1" ht="15.75" customHeight="1" x14ac:dyDescent="0.25">
      <c r="B45" s="180">
        <v>84051</v>
      </c>
      <c r="C45" s="217">
        <v>2004</v>
      </c>
      <c r="D45" s="180" t="s">
        <v>711</v>
      </c>
      <c r="E45" s="180" t="s">
        <v>41</v>
      </c>
      <c r="F45" s="180" t="s">
        <v>89</v>
      </c>
      <c r="G45" s="180" t="s">
        <v>82</v>
      </c>
      <c r="H45" s="180" t="s">
        <v>160</v>
      </c>
      <c r="I45" s="180" t="s">
        <v>237</v>
      </c>
      <c r="J45" s="180" t="s">
        <v>174</v>
      </c>
      <c r="K45" s="180" t="s">
        <v>78</v>
      </c>
      <c r="L45" s="180">
        <v>337</v>
      </c>
      <c r="M45" s="250">
        <v>395.79661198600002</v>
      </c>
      <c r="N45" s="181">
        <v>7.68</v>
      </c>
      <c r="O45" s="94">
        <v>0.3</v>
      </c>
      <c r="P45" s="239">
        <f t="shared" si="3"/>
        <v>5.8200829303523616</v>
      </c>
      <c r="Q45" s="179" t="str">
        <f t="shared" si="0"/>
        <v>CCME Fish</v>
      </c>
      <c r="R45" s="219">
        <f t="shared" si="9"/>
        <v>-1.0744684279845305</v>
      </c>
      <c r="S45" s="220">
        <f t="shared" si="10"/>
        <v>6.8945513583368925</v>
      </c>
      <c r="T45" s="236">
        <f t="shared" si="8"/>
        <v>5</v>
      </c>
      <c r="U45" s="221" t="str">
        <f t="shared" si="13"/>
        <v>5-MOR-LC10-Juvenile</v>
      </c>
      <c r="V45" s="222" cm="1">
        <f t="array" ref="V45">GEOMEAN(IF(U45=$U$7:$U$360,$S$7:$S$360))</f>
        <v>7.3117177830372153</v>
      </c>
      <c r="W45" s="223">
        <f t="shared" si="11"/>
        <v>4.1442791256084179</v>
      </c>
      <c r="X45" s="225">
        <f t="shared" si="6"/>
        <v>63.072138420366656</v>
      </c>
      <c r="Y45" s="225">
        <f t="shared" ref="Y45" si="23">X45</f>
        <v>63.072138420366656</v>
      </c>
      <c r="AA45" s="226"/>
      <c r="AB45" s="227" t="s">
        <v>1846</v>
      </c>
      <c r="AC45" s="228" t="s">
        <v>1798</v>
      </c>
      <c r="AD45" s="243"/>
      <c r="AE45" s="229" t="s">
        <v>1584</v>
      </c>
      <c r="AG45" s="249" t="s">
        <v>147</v>
      </c>
      <c r="AH45" s="253">
        <v>356.84570312534936</v>
      </c>
      <c r="AI45" s="244" t="str">
        <f t="shared" si="15"/>
        <v>Molluscs</v>
      </c>
      <c r="AJ45" s="248" t="s">
        <v>54</v>
      </c>
      <c r="AK45" s="248"/>
      <c r="AP45" s="249" t="s">
        <v>147</v>
      </c>
      <c r="AQ45" s="253">
        <v>356.84570312534936</v>
      </c>
    </row>
    <row r="46" spans="2:43" s="182" customFormat="1" ht="15.75" customHeight="1" x14ac:dyDescent="0.25">
      <c r="B46" s="180">
        <v>84051</v>
      </c>
      <c r="C46" s="217">
        <v>2004</v>
      </c>
      <c r="D46" s="180" t="s">
        <v>711</v>
      </c>
      <c r="E46" s="180" t="s">
        <v>41</v>
      </c>
      <c r="F46" s="180" t="s">
        <v>89</v>
      </c>
      <c r="G46" s="180" t="s">
        <v>82</v>
      </c>
      <c r="H46" s="180" t="s">
        <v>160</v>
      </c>
      <c r="I46" s="180" t="s">
        <v>237</v>
      </c>
      <c r="J46" s="180" t="s">
        <v>54</v>
      </c>
      <c r="K46" s="180" t="s">
        <v>78</v>
      </c>
      <c r="L46" s="180">
        <v>786</v>
      </c>
      <c r="M46" s="250">
        <v>395.79661198600002</v>
      </c>
      <c r="N46" s="180">
        <v>7.68</v>
      </c>
      <c r="O46" s="94">
        <v>0.3</v>
      </c>
      <c r="P46" s="239">
        <f t="shared" si="3"/>
        <v>6.6669567924292066</v>
      </c>
      <c r="Q46" s="179" t="str">
        <f t="shared" si="0"/>
        <v>CCME Fish</v>
      </c>
      <c r="R46" s="219">
        <f t="shared" si="9"/>
        <v>-1.0744684279845305</v>
      </c>
      <c r="S46" s="220">
        <f t="shared" si="10"/>
        <v>7.7414252204137366</v>
      </c>
      <c r="T46" s="236">
        <f t="shared" si="8"/>
        <v>5</v>
      </c>
      <c r="U46" s="221" t="str">
        <f t="shared" si="13"/>
        <v>5-MOR-NOEC-Juvenile</v>
      </c>
      <c r="V46" s="222" cm="1">
        <f t="array" ref="V46">GEOMEAN(IF(U46=$U$7:$U$360,$S$7:$S$360))</f>
        <v>7.3366652494384184</v>
      </c>
      <c r="W46" s="223">
        <f t="shared" si="11"/>
        <v>4.169226592009621</v>
      </c>
      <c r="X46" s="225">
        <f t="shared" si="6"/>
        <v>64.665420009748175</v>
      </c>
      <c r="Y46" s="225"/>
      <c r="Z46" s="226" t="s">
        <v>1466</v>
      </c>
      <c r="AA46" s="226"/>
      <c r="AB46" s="254"/>
      <c r="AC46" s="243"/>
      <c r="AD46" s="243"/>
      <c r="AE46" s="243"/>
      <c r="AG46" s="249" t="s">
        <v>84</v>
      </c>
      <c r="AH46" s="253">
        <v>42.61584562542928</v>
      </c>
      <c r="AI46" s="244" t="str">
        <f t="shared" si="15"/>
        <v>Fish</v>
      </c>
      <c r="AJ46" s="248" t="s">
        <v>49</v>
      </c>
      <c r="AK46" s="248"/>
      <c r="AP46" s="249" t="s">
        <v>84</v>
      </c>
      <c r="AQ46" s="253">
        <v>42.61584562542928</v>
      </c>
    </row>
    <row r="47" spans="2:43" s="182" customFormat="1" ht="15.75" customHeight="1" x14ac:dyDescent="0.25">
      <c r="B47" s="180">
        <v>84051</v>
      </c>
      <c r="C47" s="217">
        <v>2004</v>
      </c>
      <c r="D47" s="180" t="s">
        <v>711</v>
      </c>
      <c r="E47" s="180" t="s">
        <v>41</v>
      </c>
      <c r="F47" s="180" t="s">
        <v>89</v>
      </c>
      <c r="G47" s="180" t="s">
        <v>82</v>
      </c>
      <c r="H47" s="180" t="s">
        <v>160</v>
      </c>
      <c r="I47" s="180" t="s">
        <v>237</v>
      </c>
      <c r="J47" s="180" t="s">
        <v>54</v>
      </c>
      <c r="K47" s="180" t="s">
        <v>78</v>
      </c>
      <c r="L47" s="180">
        <v>45.4</v>
      </c>
      <c r="M47" s="250">
        <v>44.836497016000003</v>
      </c>
      <c r="N47" s="180">
        <v>7.73</v>
      </c>
      <c r="O47" s="94">
        <v>0.3</v>
      </c>
      <c r="P47" s="239">
        <f t="shared" si="3"/>
        <v>3.8155121050473024</v>
      </c>
      <c r="Q47" s="179" t="str">
        <f t="shared" si="0"/>
        <v>CCME Fish</v>
      </c>
      <c r="R47" s="219">
        <f t="shared" si="9"/>
        <v>-3.1776688939096513</v>
      </c>
      <c r="S47" s="220">
        <f t="shared" si="10"/>
        <v>6.9931809989569533</v>
      </c>
      <c r="T47" s="236">
        <f t="shared" si="8"/>
        <v>5</v>
      </c>
      <c r="U47" s="221" t="str">
        <f t="shared" si="13"/>
        <v>5-MOR-NOEC-Juvenile</v>
      </c>
      <c r="V47" s="222" cm="1">
        <f t="array" ref="V47">GEOMEAN(IF(U47=$U$7:$U$360,$S$7:$S$360))</f>
        <v>7.3366652494384184</v>
      </c>
      <c r="W47" s="223">
        <f t="shared" si="11"/>
        <v>4.169226592009621</v>
      </c>
      <c r="X47" s="225">
        <f t="shared" si="6"/>
        <v>64.665420009748175</v>
      </c>
      <c r="Y47" s="225"/>
      <c r="Z47" s="226" t="s">
        <v>1466</v>
      </c>
      <c r="AA47" s="226"/>
      <c r="AB47" s="227" t="s">
        <v>1846</v>
      </c>
      <c r="AC47" s="228" t="s">
        <v>1798</v>
      </c>
      <c r="AD47" s="243"/>
      <c r="AE47" s="229" t="s">
        <v>1584</v>
      </c>
      <c r="AG47" s="249" t="s">
        <v>1316</v>
      </c>
      <c r="AH47" s="253">
        <v>17.437383184816362</v>
      </c>
      <c r="AI47" s="244" t="str">
        <f t="shared" si="15"/>
        <v>Molluscs</v>
      </c>
      <c r="AJ47" s="248" t="s">
        <v>54</v>
      </c>
      <c r="AK47" s="248"/>
      <c r="AP47" s="249" t="s">
        <v>1316</v>
      </c>
      <c r="AQ47" s="253">
        <v>17.437383184816362</v>
      </c>
    </row>
    <row r="48" spans="2:43" s="182" customFormat="1" ht="15.75" customHeight="1" x14ac:dyDescent="0.25">
      <c r="B48" s="180">
        <v>84051</v>
      </c>
      <c r="C48" s="217">
        <v>2004</v>
      </c>
      <c r="D48" s="180" t="s">
        <v>711</v>
      </c>
      <c r="E48" s="180" t="s">
        <v>41</v>
      </c>
      <c r="F48" s="180" t="s">
        <v>89</v>
      </c>
      <c r="G48" s="180" t="s">
        <v>82</v>
      </c>
      <c r="H48" s="180" t="s">
        <v>160</v>
      </c>
      <c r="I48" s="180" t="s">
        <v>237</v>
      </c>
      <c r="J48" s="180" t="s">
        <v>54</v>
      </c>
      <c r="K48" s="180" t="s">
        <v>78</v>
      </c>
      <c r="L48" s="180">
        <v>151</v>
      </c>
      <c r="M48" s="250">
        <v>139.41938308599998</v>
      </c>
      <c r="N48" s="180">
        <v>7.74</v>
      </c>
      <c r="O48" s="94">
        <v>0.3</v>
      </c>
      <c r="P48" s="239">
        <f t="shared" si="3"/>
        <v>5.0172798368149243</v>
      </c>
      <c r="Q48" s="179" t="str">
        <f t="shared" si="0"/>
        <v>CCME Fish</v>
      </c>
      <c r="R48" s="219">
        <f t="shared" si="9"/>
        <v>-2.1114814272983753</v>
      </c>
      <c r="S48" s="220">
        <f t="shared" si="10"/>
        <v>7.1287612641132991</v>
      </c>
      <c r="T48" s="236">
        <f t="shared" si="8"/>
        <v>5</v>
      </c>
      <c r="U48" s="221" t="str">
        <f t="shared" si="13"/>
        <v>5-MOR-NOEC-Juvenile</v>
      </c>
      <c r="V48" s="222" cm="1">
        <f t="array" ref="V48">GEOMEAN(IF(U48=$U$7:$U$360,$S$7:$S$360))</f>
        <v>7.3366652494384184</v>
      </c>
      <c r="W48" s="223">
        <f t="shared" si="11"/>
        <v>4.169226592009621</v>
      </c>
      <c r="X48" s="225">
        <f t="shared" si="6"/>
        <v>64.665420009748175</v>
      </c>
      <c r="Y48" s="225"/>
      <c r="Z48" s="226" t="s">
        <v>1466</v>
      </c>
      <c r="AA48" s="226"/>
      <c r="AB48" s="254"/>
      <c r="AC48" s="243"/>
      <c r="AD48" s="243"/>
      <c r="AE48" s="243"/>
      <c r="AG48" s="249" t="s">
        <v>1094</v>
      </c>
      <c r="AH48" s="253">
        <v>81.887918768257578</v>
      </c>
      <c r="AI48" s="244" t="str">
        <f t="shared" si="15"/>
        <v>Fish</v>
      </c>
      <c r="AJ48" s="248" t="s">
        <v>49</v>
      </c>
      <c r="AK48" s="248"/>
      <c r="AP48" s="249" t="s">
        <v>1094</v>
      </c>
      <c r="AQ48" s="253">
        <v>81.887918768257578</v>
      </c>
    </row>
    <row r="49" spans="2:43" s="182" customFormat="1" ht="15.75" customHeight="1" x14ac:dyDescent="0.25">
      <c r="B49" s="180">
        <v>84051</v>
      </c>
      <c r="C49" s="217">
        <v>2004</v>
      </c>
      <c r="D49" s="180" t="s">
        <v>711</v>
      </c>
      <c r="E49" s="180" t="s">
        <v>41</v>
      </c>
      <c r="F49" s="180" t="s">
        <v>89</v>
      </c>
      <c r="G49" s="180" t="s">
        <v>82</v>
      </c>
      <c r="H49" s="180" t="s">
        <v>160</v>
      </c>
      <c r="I49" s="180" t="s">
        <v>237</v>
      </c>
      <c r="J49" s="180" t="s">
        <v>54</v>
      </c>
      <c r="K49" s="180" t="s">
        <v>78</v>
      </c>
      <c r="L49" s="180">
        <v>159</v>
      </c>
      <c r="M49" s="250">
        <v>229.09838081400002</v>
      </c>
      <c r="N49" s="180">
        <v>7.79</v>
      </c>
      <c r="O49" s="94">
        <v>0.3</v>
      </c>
      <c r="P49" s="239">
        <f t="shared" si="3"/>
        <v>5.0689042022202315</v>
      </c>
      <c r="Q49" s="179" t="str">
        <f t="shared" si="0"/>
        <v>CCME Fish</v>
      </c>
      <c r="R49" s="219">
        <f t="shared" si="9"/>
        <v>-1.6818896849396805</v>
      </c>
      <c r="S49" s="220">
        <f t="shared" si="10"/>
        <v>6.7507938871599116</v>
      </c>
      <c r="T49" s="236">
        <f t="shared" si="8"/>
        <v>5</v>
      </c>
      <c r="U49" s="221" t="str">
        <f t="shared" si="13"/>
        <v>5-MOR-NOEC-Juvenile</v>
      </c>
      <c r="V49" s="222" cm="1">
        <f t="array" ref="V49">GEOMEAN(IF(U49=$U$7:$U$360,$S$7:$S$360))</f>
        <v>7.3366652494384184</v>
      </c>
      <c r="W49" s="223">
        <f t="shared" si="11"/>
        <v>4.169226592009621</v>
      </c>
      <c r="X49" s="225">
        <f t="shared" si="6"/>
        <v>64.665420009748175</v>
      </c>
      <c r="Y49" s="225"/>
      <c r="Z49" s="226" t="s">
        <v>1466</v>
      </c>
      <c r="AA49" s="226"/>
      <c r="AB49" s="254"/>
      <c r="AC49" s="243"/>
      <c r="AD49" s="243"/>
      <c r="AE49" s="243"/>
      <c r="AG49" s="249" t="s">
        <v>2005</v>
      </c>
      <c r="AH49" s="253">
        <v>16.883638711368956</v>
      </c>
      <c r="AI49" s="244" t="e">
        <f t="shared" si="15"/>
        <v>#N/A</v>
      </c>
      <c r="AJ49" s="248" t="s">
        <v>49</v>
      </c>
      <c r="AK49" s="248"/>
      <c r="AP49" s="249" t="s">
        <v>344</v>
      </c>
      <c r="AQ49" s="253">
        <v>16.883638711368956</v>
      </c>
    </row>
    <row r="50" spans="2:43" s="182" customFormat="1" ht="15.75" customHeight="1" x14ac:dyDescent="0.25">
      <c r="B50" s="180">
        <v>84051</v>
      </c>
      <c r="C50" s="217">
        <v>2004</v>
      </c>
      <c r="D50" s="180" t="s">
        <v>711</v>
      </c>
      <c r="E50" s="180" t="s">
        <v>41</v>
      </c>
      <c r="F50" s="180" t="s">
        <v>89</v>
      </c>
      <c r="G50" s="180" t="s">
        <v>82</v>
      </c>
      <c r="H50" s="180" t="s">
        <v>160</v>
      </c>
      <c r="I50" s="180" t="s">
        <v>81</v>
      </c>
      <c r="J50" s="180" t="s">
        <v>54</v>
      </c>
      <c r="K50" s="180" t="s">
        <v>78</v>
      </c>
      <c r="L50" s="180">
        <v>159</v>
      </c>
      <c r="M50" s="250">
        <v>229.09838081400002</v>
      </c>
      <c r="N50" s="180">
        <v>7.79</v>
      </c>
      <c r="O50" s="94">
        <v>0.3</v>
      </c>
      <c r="P50" s="239">
        <f t="shared" si="3"/>
        <v>5.0689042022202315</v>
      </c>
      <c r="Q50" s="179" t="str">
        <f t="shared" si="0"/>
        <v>CCME Fish</v>
      </c>
      <c r="R50" s="219">
        <f t="shared" si="9"/>
        <v>-1.6818896849396805</v>
      </c>
      <c r="S50" s="220">
        <f t="shared" si="10"/>
        <v>6.7507938871599116</v>
      </c>
      <c r="T50" s="236">
        <f t="shared" si="8"/>
        <v>5</v>
      </c>
      <c r="U50" s="221" t="str">
        <f t="shared" si="13"/>
        <v>5-GRO-NOEC-Juvenile</v>
      </c>
      <c r="V50" s="222" cm="1">
        <f t="array" ref="V50">GEOMEAN(IF(U50=$U$7:$U$360,$S$7:$S$360))</f>
        <v>7.9957832588069442</v>
      </c>
      <c r="W50" s="223">
        <f t="shared" si="11"/>
        <v>4.8283446013781468</v>
      </c>
      <c r="X50" s="225">
        <f t="shared" si="6"/>
        <v>125.00385806901828</v>
      </c>
      <c r="Y50" s="225"/>
      <c r="Z50" s="226" t="s">
        <v>1466</v>
      </c>
      <c r="AA50" s="226"/>
      <c r="AB50" s="254"/>
      <c r="AC50" s="243"/>
      <c r="AD50" s="243"/>
      <c r="AE50" s="243"/>
      <c r="AG50" s="249" t="s">
        <v>981</v>
      </c>
      <c r="AH50" s="253">
        <v>2205.4795080758822</v>
      </c>
      <c r="AI50" s="244" t="str">
        <f t="shared" si="15"/>
        <v>Insects</v>
      </c>
      <c r="AJ50" s="248" t="s">
        <v>49</v>
      </c>
      <c r="AK50" s="248"/>
      <c r="AP50" s="249" t="s">
        <v>981</v>
      </c>
      <c r="AQ50" s="253">
        <v>2205.4795080758822</v>
      </c>
    </row>
    <row r="51" spans="2:43" s="182" customFormat="1" ht="15.75" customHeight="1" x14ac:dyDescent="0.25">
      <c r="B51" s="180">
        <v>84051</v>
      </c>
      <c r="C51" s="217">
        <v>2004</v>
      </c>
      <c r="D51" s="180" t="s">
        <v>711</v>
      </c>
      <c r="E51" s="180" t="s">
        <v>41</v>
      </c>
      <c r="F51" s="180" t="s">
        <v>89</v>
      </c>
      <c r="G51" s="180" t="s">
        <v>82</v>
      </c>
      <c r="H51" s="180" t="s">
        <v>160</v>
      </c>
      <c r="I51" s="180" t="s">
        <v>237</v>
      </c>
      <c r="J51" s="180" t="s">
        <v>174</v>
      </c>
      <c r="K51" s="180" t="s">
        <v>78</v>
      </c>
      <c r="L51" s="180">
        <v>290</v>
      </c>
      <c r="M51" s="250">
        <v>190.24288393400002</v>
      </c>
      <c r="N51" s="181">
        <v>7.87</v>
      </c>
      <c r="O51" s="94">
        <v>0.3</v>
      </c>
      <c r="P51" s="239">
        <f t="shared" si="3"/>
        <v>5.6698809229805196</v>
      </c>
      <c r="Q51" s="179" t="str">
        <f t="shared" si="0"/>
        <v>CCME Fish</v>
      </c>
      <c r="R51" s="219">
        <f t="shared" si="9"/>
        <v>-1.9230895682337095</v>
      </c>
      <c r="S51" s="220">
        <f t="shared" si="10"/>
        <v>7.5929704912142295</v>
      </c>
      <c r="T51" s="236">
        <f t="shared" si="8"/>
        <v>5</v>
      </c>
      <c r="U51" s="221" t="str">
        <f t="shared" si="13"/>
        <v>5-MOR-LC10-Juvenile</v>
      </c>
      <c r="V51" s="222" cm="1">
        <f t="array" ref="V51">GEOMEAN(IF(U51=$U$7:$U$360,$S$7:$S$360))</f>
        <v>7.3117177830372153</v>
      </c>
      <c r="W51" s="223">
        <f t="shared" si="11"/>
        <v>4.1442791256084179</v>
      </c>
      <c r="X51" s="225">
        <f t="shared" si="6"/>
        <v>63.072138420366656</v>
      </c>
      <c r="Y51" s="225">
        <f t="shared" ref="Y51" si="24">X51</f>
        <v>63.072138420366656</v>
      </c>
      <c r="AA51" s="226"/>
      <c r="AB51" s="227" t="s">
        <v>1846</v>
      </c>
      <c r="AC51" s="228" t="s">
        <v>1798</v>
      </c>
      <c r="AD51" s="243"/>
      <c r="AE51" s="229" t="s">
        <v>1584</v>
      </c>
      <c r="AG51" s="249" t="s">
        <v>904</v>
      </c>
      <c r="AH51" s="253">
        <v>57.490709017714408</v>
      </c>
      <c r="AI51" s="244" t="str">
        <f t="shared" si="15"/>
        <v>Fish</v>
      </c>
      <c r="AJ51" s="248" t="s">
        <v>54</v>
      </c>
      <c r="AK51" s="248"/>
      <c r="AP51" s="249" t="s">
        <v>904</v>
      </c>
      <c r="AQ51" s="253">
        <v>57.490709017714408</v>
      </c>
    </row>
    <row r="52" spans="2:43" s="182" customFormat="1" ht="15.75" customHeight="1" x14ac:dyDescent="0.25">
      <c r="B52" s="180">
        <v>84051</v>
      </c>
      <c r="C52" s="217">
        <v>2004</v>
      </c>
      <c r="D52" s="180" t="s">
        <v>711</v>
      </c>
      <c r="E52" s="180" t="s">
        <v>41</v>
      </c>
      <c r="F52" s="180" t="s">
        <v>89</v>
      </c>
      <c r="G52" s="180" t="s">
        <v>82</v>
      </c>
      <c r="H52" s="180" t="s">
        <v>160</v>
      </c>
      <c r="I52" s="180" t="s">
        <v>237</v>
      </c>
      <c r="J52" s="180" t="s">
        <v>54</v>
      </c>
      <c r="K52" s="180" t="s">
        <v>78</v>
      </c>
      <c r="L52" s="180">
        <v>974</v>
      </c>
      <c r="M52" s="250">
        <v>190.24288393400002</v>
      </c>
      <c r="N52" s="180">
        <v>7.87</v>
      </c>
      <c r="O52" s="94">
        <v>0.3</v>
      </c>
      <c r="P52" s="239">
        <f t="shared" si="3"/>
        <v>6.8814113036425351</v>
      </c>
      <c r="Q52" s="179" t="str">
        <f t="shared" si="0"/>
        <v>CCME Fish</v>
      </c>
      <c r="R52" s="219">
        <f t="shared" si="9"/>
        <v>-1.9230895682337095</v>
      </c>
      <c r="S52" s="220">
        <f t="shared" si="10"/>
        <v>8.804500871876245</v>
      </c>
      <c r="T52" s="236">
        <f t="shared" si="8"/>
        <v>5</v>
      </c>
      <c r="U52" s="221" t="str">
        <f t="shared" si="13"/>
        <v>5-MOR-NOEC-Juvenile</v>
      </c>
      <c r="V52" s="222" cm="1">
        <f t="array" ref="V52">GEOMEAN(IF(U52=$U$7:$U$360,$S$7:$S$360))</f>
        <v>7.3366652494384184</v>
      </c>
      <c r="W52" s="223">
        <f t="shared" si="11"/>
        <v>4.169226592009621</v>
      </c>
      <c r="X52" s="225">
        <f t="shared" si="6"/>
        <v>64.665420009748175</v>
      </c>
      <c r="Y52" s="225"/>
      <c r="Z52" s="226" t="s">
        <v>1466</v>
      </c>
      <c r="AA52" s="226"/>
      <c r="AB52" s="227" t="s">
        <v>1846</v>
      </c>
      <c r="AC52" s="228" t="s">
        <v>1798</v>
      </c>
      <c r="AD52" s="243"/>
      <c r="AE52" s="229" t="s">
        <v>1584</v>
      </c>
      <c r="AG52" s="249" t="s">
        <v>140</v>
      </c>
      <c r="AH52" s="253">
        <v>15.047453309548844</v>
      </c>
      <c r="AI52" s="244" t="str">
        <f t="shared" si="15"/>
        <v>Molluscs</v>
      </c>
      <c r="AJ52" s="248" t="s">
        <v>52</v>
      </c>
      <c r="AK52" s="248"/>
      <c r="AP52" s="249" t="s">
        <v>140</v>
      </c>
      <c r="AQ52" s="253">
        <v>15.047453309548844</v>
      </c>
    </row>
    <row r="53" spans="2:43" s="182" customFormat="1" ht="15.75" customHeight="1" x14ac:dyDescent="0.25">
      <c r="B53" s="180">
        <v>84051</v>
      </c>
      <c r="C53" s="217">
        <v>2004</v>
      </c>
      <c r="D53" s="180" t="s">
        <v>711</v>
      </c>
      <c r="E53" s="180" t="s">
        <v>41</v>
      </c>
      <c r="F53" s="180" t="s">
        <v>89</v>
      </c>
      <c r="G53" s="180" t="s">
        <v>82</v>
      </c>
      <c r="H53" s="180" t="s">
        <v>160</v>
      </c>
      <c r="I53" s="180" t="s">
        <v>81</v>
      </c>
      <c r="J53" s="180" t="s">
        <v>54</v>
      </c>
      <c r="K53" s="180" t="s">
        <v>78</v>
      </c>
      <c r="L53" s="180">
        <v>974</v>
      </c>
      <c r="M53" s="250">
        <v>190.24288393400002</v>
      </c>
      <c r="N53" s="180">
        <v>7.87</v>
      </c>
      <c r="O53" s="94">
        <v>0.3</v>
      </c>
      <c r="P53" s="239">
        <f t="shared" si="3"/>
        <v>6.8814113036425351</v>
      </c>
      <c r="Q53" s="179" t="str">
        <f t="shared" si="0"/>
        <v>CCME Fish</v>
      </c>
      <c r="R53" s="219">
        <f t="shared" si="9"/>
        <v>-1.9230895682337095</v>
      </c>
      <c r="S53" s="220">
        <f t="shared" si="10"/>
        <v>8.804500871876245</v>
      </c>
      <c r="T53" s="236">
        <f t="shared" si="8"/>
        <v>5</v>
      </c>
      <c r="U53" s="221" t="str">
        <f t="shared" si="13"/>
        <v>5-GRO-NOEC-Juvenile</v>
      </c>
      <c r="V53" s="222" cm="1">
        <f t="array" ref="V53">GEOMEAN(IF(U53=$U$7:$U$360,$S$7:$S$360))</f>
        <v>7.9957832588069442</v>
      </c>
      <c r="W53" s="223">
        <f t="shared" si="11"/>
        <v>4.8283446013781468</v>
      </c>
      <c r="X53" s="225">
        <f t="shared" si="6"/>
        <v>125.00385806901828</v>
      </c>
      <c r="Y53" s="225"/>
      <c r="Z53" s="226" t="s">
        <v>1505</v>
      </c>
      <c r="AA53" s="226"/>
      <c r="AB53" s="227" t="s">
        <v>1846</v>
      </c>
      <c r="AC53" s="228" t="s">
        <v>1798</v>
      </c>
      <c r="AD53" s="243"/>
      <c r="AE53" s="229" t="s">
        <v>1584</v>
      </c>
      <c r="AG53" s="244"/>
      <c r="AH53" s="244"/>
      <c r="AI53" s="244"/>
      <c r="AJ53" s="248"/>
      <c r="AK53" s="248"/>
    </row>
    <row r="54" spans="2:43" s="182" customFormat="1" ht="15.75" customHeight="1" x14ac:dyDescent="0.2">
      <c r="B54" s="180">
        <v>84052</v>
      </c>
      <c r="C54" s="217">
        <v>2005</v>
      </c>
      <c r="D54" s="180" t="s">
        <v>785</v>
      </c>
      <c r="E54" s="180" t="s">
        <v>41</v>
      </c>
      <c r="F54" s="180" t="s">
        <v>89</v>
      </c>
      <c r="G54" s="180" t="s">
        <v>82</v>
      </c>
      <c r="H54" s="180" t="s">
        <v>160</v>
      </c>
      <c r="I54" s="180" t="s">
        <v>237</v>
      </c>
      <c r="J54" s="180" t="s">
        <v>174</v>
      </c>
      <c r="K54" s="180" t="s">
        <v>78</v>
      </c>
      <c r="L54" s="180">
        <v>259</v>
      </c>
      <c r="M54" s="250">
        <v>23.386569999999999</v>
      </c>
      <c r="N54" s="180">
        <v>6.15</v>
      </c>
      <c r="O54" s="94">
        <v>4.25</v>
      </c>
      <c r="P54" s="239">
        <f t="shared" si="3"/>
        <v>5.5568280616995374</v>
      </c>
      <c r="Q54" s="179" t="str">
        <f t="shared" si="0"/>
        <v>CCME Fish</v>
      </c>
      <c r="R54" s="219">
        <f t="shared" si="9"/>
        <v>-1.4512789008902471</v>
      </c>
      <c r="S54" s="220">
        <f t="shared" si="10"/>
        <v>7.0081069625897845</v>
      </c>
      <c r="T54" s="236">
        <f t="shared" si="8"/>
        <v>5</v>
      </c>
      <c r="U54" s="221"/>
      <c r="V54" s="222" t="e" cm="1">
        <f t="array" ref="V54">GEOMEAN(IF(U54=$U$7:$U$360,$S$7:$S$360))</f>
        <v>#NUM!</v>
      </c>
      <c r="W54" s="223" t="e">
        <f t="shared" si="11"/>
        <v>#NUM!</v>
      </c>
      <c r="X54" s="225" t="e">
        <f t="shared" si="6"/>
        <v>#NUM!</v>
      </c>
      <c r="Y54" s="225"/>
      <c r="Z54" s="226"/>
      <c r="AA54" s="226" t="s">
        <v>1862</v>
      </c>
      <c r="AB54" s="227" t="s">
        <v>1846</v>
      </c>
      <c r="AC54" s="228" t="s">
        <v>1861</v>
      </c>
      <c r="AD54" s="243"/>
      <c r="AE54" s="229" t="s">
        <v>1584</v>
      </c>
      <c r="AG54" s="244"/>
      <c r="AH54" s="244"/>
      <c r="AI54" s="244"/>
    </row>
    <row r="55" spans="2:43" s="182" customFormat="1" ht="15.75" customHeight="1" x14ac:dyDescent="0.2">
      <c r="B55" s="180">
        <v>84052</v>
      </c>
      <c r="C55" s="217">
        <v>2005</v>
      </c>
      <c r="D55" s="180" t="s">
        <v>785</v>
      </c>
      <c r="E55" s="180" t="s">
        <v>41</v>
      </c>
      <c r="F55" s="180" t="s">
        <v>89</v>
      </c>
      <c r="G55" s="180" t="s">
        <v>82</v>
      </c>
      <c r="H55" s="180" t="s">
        <v>160</v>
      </c>
      <c r="I55" s="180" t="s">
        <v>237</v>
      </c>
      <c r="J55" s="180" t="s">
        <v>174</v>
      </c>
      <c r="K55" s="180" t="s">
        <v>78</v>
      </c>
      <c r="L55" s="180">
        <v>902</v>
      </c>
      <c r="M55" s="250">
        <v>103.66486</v>
      </c>
      <c r="N55" s="180">
        <v>7.76</v>
      </c>
      <c r="O55" s="94">
        <v>22.9</v>
      </c>
      <c r="P55" s="239">
        <f t="shared" si="3"/>
        <v>6.804614520062624</v>
      </c>
      <c r="Q55" s="179" t="str">
        <f t="shared" si="0"/>
        <v>CCME Fish</v>
      </c>
      <c r="R55" s="219">
        <f t="shared" si="9"/>
        <v>-0.6830259632629605</v>
      </c>
      <c r="S55" s="220">
        <f t="shared" si="10"/>
        <v>7.4876404833255847</v>
      </c>
      <c r="T55" s="236">
        <f t="shared" si="8"/>
        <v>5</v>
      </c>
      <c r="U55" s="221" t="str">
        <f t="shared" ref="U55:U92" si="25">CONCATENATE(T55,"-",I55,"-",J55,"-",H55)</f>
        <v>5-MOR-LC10-Juvenile</v>
      </c>
      <c r="V55" s="222" cm="1">
        <f t="array" ref="V55">GEOMEAN(IF(U55=$U$7:$U$360,$S$7:$S$360))</f>
        <v>7.3117177830372153</v>
      </c>
      <c r="W55" s="223">
        <f t="shared" si="11"/>
        <v>4.1442791256084179</v>
      </c>
      <c r="X55" s="225">
        <f t="shared" si="6"/>
        <v>63.072138420366656</v>
      </c>
      <c r="Y55" s="225">
        <f t="shared" ref="Y55:Y59" si="26">X55</f>
        <v>63.072138420366656</v>
      </c>
      <c r="Z55" s="226"/>
      <c r="AA55" s="226"/>
      <c r="AB55" s="227" t="s">
        <v>1846</v>
      </c>
      <c r="AC55" s="228" t="s">
        <v>1861</v>
      </c>
      <c r="AD55" s="243"/>
      <c r="AE55" s="229" t="s">
        <v>1584</v>
      </c>
      <c r="AG55" s="244"/>
      <c r="AH55" s="244"/>
      <c r="AI55" s="244"/>
    </row>
    <row r="56" spans="2:43" s="182" customFormat="1" ht="15.75" customHeight="1" x14ac:dyDescent="0.2">
      <c r="B56" s="180">
        <v>84052</v>
      </c>
      <c r="C56" s="217">
        <v>2005</v>
      </c>
      <c r="D56" s="180" t="s">
        <v>785</v>
      </c>
      <c r="E56" s="180" t="s">
        <v>41</v>
      </c>
      <c r="F56" s="180" t="s">
        <v>89</v>
      </c>
      <c r="G56" s="180" t="s">
        <v>82</v>
      </c>
      <c r="H56" s="180" t="s">
        <v>160</v>
      </c>
      <c r="I56" s="180" t="s">
        <v>237</v>
      </c>
      <c r="J56" s="180" t="s">
        <v>174</v>
      </c>
      <c r="K56" s="180" t="s">
        <v>78</v>
      </c>
      <c r="L56" s="180">
        <v>578</v>
      </c>
      <c r="M56" s="250">
        <v>176.2988</v>
      </c>
      <c r="N56" s="180">
        <v>8.1300000000000008</v>
      </c>
      <c r="O56" s="94">
        <v>6.22</v>
      </c>
      <c r="P56" s="239">
        <f t="shared" si="3"/>
        <v>6.3595738686723777</v>
      </c>
      <c r="Q56" s="179" t="str">
        <f t="shared" si="0"/>
        <v>CCME Fish</v>
      </c>
      <c r="R56" s="219">
        <f t="shared" si="9"/>
        <v>-1.000442849300553</v>
      </c>
      <c r="S56" s="220">
        <f t="shared" si="10"/>
        <v>7.3600167179729308</v>
      </c>
      <c r="T56" s="236">
        <f t="shared" si="8"/>
        <v>5</v>
      </c>
      <c r="U56" s="221" t="str">
        <f t="shared" si="25"/>
        <v>5-MOR-LC10-Juvenile</v>
      </c>
      <c r="V56" s="222" cm="1">
        <f t="array" ref="V56">GEOMEAN(IF(U56=$U$7:$U$360,$S$7:$S$360))</f>
        <v>7.3117177830372153</v>
      </c>
      <c r="W56" s="223">
        <f t="shared" si="11"/>
        <v>4.1442791256084179</v>
      </c>
      <c r="X56" s="225">
        <f t="shared" si="6"/>
        <v>63.072138420366656</v>
      </c>
      <c r="Y56" s="225">
        <f t="shared" si="26"/>
        <v>63.072138420366656</v>
      </c>
      <c r="Z56" s="226"/>
      <c r="AA56" s="226"/>
      <c r="AB56" s="227" t="s">
        <v>1846</v>
      </c>
      <c r="AC56" s="228" t="s">
        <v>1861</v>
      </c>
      <c r="AD56" s="243"/>
      <c r="AE56" s="229" t="s">
        <v>1584</v>
      </c>
      <c r="AG56" s="244"/>
      <c r="AH56" s="244"/>
      <c r="AI56" s="244"/>
    </row>
    <row r="57" spans="2:43" s="182" customFormat="1" ht="15.75" customHeight="1" x14ac:dyDescent="0.2">
      <c r="B57" s="180">
        <v>84052</v>
      </c>
      <c r="C57" s="217">
        <v>2005</v>
      </c>
      <c r="D57" s="180" t="s">
        <v>785</v>
      </c>
      <c r="E57" s="180" t="s">
        <v>41</v>
      </c>
      <c r="F57" s="180" t="s">
        <v>89</v>
      </c>
      <c r="G57" s="180" t="s">
        <v>82</v>
      </c>
      <c r="H57" s="180" t="s">
        <v>160</v>
      </c>
      <c r="I57" s="180" t="s">
        <v>237</v>
      </c>
      <c r="J57" s="180" t="s">
        <v>174</v>
      </c>
      <c r="K57" s="180" t="s">
        <v>78</v>
      </c>
      <c r="L57" s="180">
        <v>185</v>
      </c>
      <c r="M57" s="250">
        <v>28.186459999999997</v>
      </c>
      <c r="N57" s="180">
        <v>6.8</v>
      </c>
      <c r="O57" s="94">
        <v>3.92</v>
      </c>
      <c r="P57" s="239">
        <f t="shared" si="3"/>
        <v>5.2203558250783244</v>
      </c>
      <c r="Q57" s="179" t="str">
        <f t="shared" si="0"/>
        <v>CCME Fish</v>
      </c>
      <c r="R57" s="219">
        <f t="shared" si="9"/>
        <v>-1.8364124121937051</v>
      </c>
      <c r="S57" s="220">
        <f t="shared" si="10"/>
        <v>7.0567682372720295</v>
      </c>
      <c r="T57" s="236">
        <f t="shared" si="8"/>
        <v>5</v>
      </c>
      <c r="U57" s="221" t="str">
        <f t="shared" si="25"/>
        <v>5-MOR-LC10-Juvenile</v>
      </c>
      <c r="V57" s="222" cm="1">
        <f t="array" ref="V57">GEOMEAN(IF(U57=$U$7:$U$360,$S$7:$S$360))</f>
        <v>7.3117177830372153</v>
      </c>
      <c r="W57" s="223">
        <f t="shared" si="11"/>
        <v>4.1442791256084179</v>
      </c>
      <c r="X57" s="225">
        <f t="shared" si="6"/>
        <v>63.072138420366656</v>
      </c>
      <c r="Y57" s="225">
        <f t="shared" si="26"/>
        <v>63.072138420366656</v>
      </c>
      <c r="Z57" s="226"/>
      <c r="AA57" s="226"/>
      <c r="AB57" s="227" t="s">
        <v>1846</v>
      </c>
      <c r="AC57" s="228" t="s">
        <v>1861</v>
      </c>
      <c r="AD57" s="243"/>
      <c r="AE57" s="229" t="s">
        <v>1584</v>
      </c>
      <c r="AG57" s="244"/>
      <c r="AH57" s="244"/>
      <c r="AI57" s="244"/>
    </row>
    <row r="58" spans="2:43" s="182" customFormat="1" ht="15.75" customHeight="1" x14ac:dyDescent="0.2">
      <c r="B58" s="180">
        <v>84052</v>
      </c>
      <c r="C58" s="217">
        <v>2005</v>
      </c>
      <c r="D58" s="180" t="s">
        <v>785</v>
      </c>
      <c r="E58" s="180" t="s">
        <v>41</v>
      </c>
      <c r="F58" s="180" t="s">
        <v>89</v>
      </c>
      <c r="G58" s="180" t="s">
        <v>82</v>
      </c>
      <c r="H58" s="180" t="s">
        <v>160</v>
      </c>
      <c r="I58" s="180" t="s">
        <v>237</v>
      </c>
      <c r="J58" s="180" t="s">
        <v>174</v>
      </c>
      <c r="K58" s="180" t="s">
        <v>78</v>
      </c>
      <c r="L58" s="180">
        <v>219</v>
      </c>
      <c r="M58" s="250">
        <v>31.507710000000003</v>
      </c>
      <c r="N58" s="180">
        <v>7.08</v>
      </c>
      <c r="O58" s="94">
        <v>2.84</v>
      </c>
      <c r="P58" s="239">
        <f t="shared" si="3"/>
        <v>5.389071729816501</v>
      </c>
      <c r="Q58" s="179" t="str">
        <f t="shared" si="0"/>
        <v>CCME Fish</v>
      </c>
      <c r="R58" s="219">
        <f t="shared" si="9"/>
        <v>-2.0873960201707726</v>
      </c>
      <c r="S58" s="220">
        <f t="shared" si="10"/>
        <v>7.4764677499872736</v>
      </c>
      <c r="T58" s="236">
        <f t="shared" si="8"/>
        <v>5</v>
      </c>
      <c r="U58" s="221" t="str">
        <f t="shared" si="25"/>
        <v>5-MOR-LC10-Juvenile</v>
      </c>
      <c r="V58" s="222" cm="1">
        <f t="array" ref="V58">GEOMEAN(IF(U58=$U$7:$U$360,$S$7:$S$360))</f>
        <v>7.3117177830372153</v>
      </c>
      <c r="W58" s="223">
        <f t="shared" si="11"/>
        <v>4.1442791256084179</v>
      </c>
      <c r="X58" s="225">
        <f t="shared" si="6"/>
        <v>63.072138420366656</v>
      </c>
      <c r="Y58" s="225">
        <f t="shared" si="26"/>
        <v>63.072138420366656</v>
      </c>
      <c r="Z58" s="226"/>
      <c r="AA58" s="226"/>
      <c r="AB58" s="227" t="s">
        <v>1846</v>
      </c>
      <c r="AC58" s="228" t="s">
        <v>1861</v>
      </c>
      <c r="AD58" s="243"/>
      <c r="AE58" s="229" t="s">
        <v>1584</v>
      </c>
      <c r="AG58" s="244"/>
      <c r="AH58" s="244"/>
      <c r="AI58" s="244"/>
    </row>
    <row r="59" spans="2:43" s="182" customFormat="1" ht="15.75" customHeight="1" x14ac:dyDescent="0.2">
      <c r="B59" s="180">
        <v>111766</v>
      </c>
      <c r="C59" s="217">
        <v>2008</v>
      </c>
      <c r="D59" s="180" t="s">
        <v>920</v>
      </c>
      <c r="E59" s="180" t="s">
        <v>41</v>
      </c>
      <c r="F59" s="180" t="s">
        <v>89</v>
      </c>
      <c r="G59" s="180" t="s">
        <v>82</v>
      </c>
      <c r="H59" s="180" t="s">
        <v>1046</v>
      </c>
      <c r="I59" s="180" t="s">
        <v>81</v>
      </c>
      <c r="J59" s="180" t="s">
        <v>49</v>
      </c>
      <c r="K59" s="180" t="s">
        <v>1020</v>
      </c>
      <c r="L59" s="180">
        <v>199</v>
      </c>
      <c r="M59" s="180">
        <v>19.7</v>
      </c>
      <c r="N59" s="181">
        <v>6.75</v>
      </c>
      <c r="O59" s="94">
        <v>0.5</v>
      </c>
      <c r="P59" s="239">
        <f t="shared" si="3"/>
        <v>5.2933048247244923</v>
      </c>
      <c r="Q59" s="179" t="str">
        <f t="shared" si="0"/>
        <v>CCME Fish</v>
      </c>
      <c r="R59" s="219">
        <f t="shared" si="9"/>
        <v>-2.9544767298133445</v>
      </c>
      <c r="S59" s="220">
        <f t="shared" si="10"/>
        <v>8.2477815545378377</v>
      </c>
      <c r="T59" s="236">
        <f t="shared" si="8"/>
        <v>5</v>
      </c>
      <c r="U59" s="221" t="str">
        <f t="shared" si="25"/>
        <v>5-GRO-EC10-EY</v>
      </c>
      <c r="V59" s="222" cm="1">
        <f t="array" ref="V59">GEOMEAN(IF(U59=$U$7:$U$360,$S$7:$S$360))</f>
        <v>8.4505284190416976</v>
      </c>
      <c r="W59" s="223">
        <f t="shared" si="11"/>
        <v>5.2830897616129002</v>
      </c>
      <c r="X59" s="225">
        <f t="shared" si="6"/>
        <v>196.97754975567682</v>
      </c>
      <c r="Y59" s="225">
        <f t="shared" si="26"/>
        <v>196.97754975567682</v>
      </c>
      <c r="Z59" s="246"/>
      <c r="AA59" s="246"/>
      <c r="AB59" s="227" t="s">
        <v>1846</v>
      </c>
      <c r="AC59" s="243" t="s">
        <v>1798</v>
      </c>
      <c r="AD59" s="243"/>
      <c r="AE59" s="229" t="s">
        <v>1584</v>
      </c>
      <c r="AG59" s="244"/>
      <c r="AH59" s="244"/>
      <c r="AI59" s="244"/>
    </row>
    <row r="60" spans="2:43" s="182" customFormat="1" ht="15.75" customHeight="1" x14ac:dyDescent="0.2">
      <c r="B60" s="180">
        <v>111766</v>
      </c>
      <c r="C60" s="217">
        <v>2008</v>
      </c>
      <c r="D60" s="180" t="s">
        <v>920</v>
      </c>
      <c r="E60" s="180" t="s">
        <v>41</v>
      </c>
      <c r="F60" s="180" t="s">
        <v>89</v>
      </c>
      <c r="G60" s="180" t="s">
        <v>82</v>
      </c>
      <c r="H60" s="180" t="s">
        <v>1046</v>
      </c>
      <c r="I60" s="180" t="s">
        <v>81</v>
      </c>
      <c r="J60" s="180" t="s">
        <v>927</v>
      </c>
      <c r="K60" s="180" t="s">
        <v>1020</v>
      </c>
      <c r="L60" s="180">
        <v>387</v>
      </c>
      <c r="M60" s="180">
        <v>19.7</v>
      </c>
      <c r="N60" s="180">
        <v>6.75</v>
      </c>
      <c r="O60" s="94">
        <v>0.5</v>
      </c>
      <c r="P60" s="239">
        <f t="shared" si="3"/>
        <v>5.9584246930297819</v>
      </c>
      <c r="Q60" s="179" t="str">
        <f t="shared" si="0"/>
        <v>CCME Fish</v>
      </c>
      <c r="R60" s="219">
        <f t="shared" si="9"/>
        <v>-2.9544767298133445</v>
      </c>
      <c r="S60" s="220">
        <f t="shared" si="10"/>
        <v>8.9129014228431274</v>
      </c>
      <c r="T60" s="236">
        <f t="shared" si="8"/>
        <v>5</v>
      </c>
      <c r="U60" s="221" t="str">
        <f t="shared" si="25"/>
        <v>5-GRO-EC20-EY</v>
      </c>
      <c r="V60" s="222" cm="1">
        <f t="array" ref="V60">GEOMEAN(IF(U60=$U$7:$U$360,$S$7:$S$360))</f>
        <v>8.9129014228431274</v>
      </c>
      <c r="W60" s="223">
        <f t="shared" si="11"/>
        <v>5.74546276541433</v>
      </c>
      <c r="X60" s="225">
        <f t="shared" si="6"/>
        <v>312.76833271234153</v>
      </c>
      <c r="Y60" s="225"/>
      <c r="Z60" s="226" t="s">
        <v>1467</v>
      </c>
      <c r="AA60" s="226"/>
      <c r="AB60" s="227" t="s">
        <v>1846</v>
      </c>
      <c r="AC60" s="243" t="s">
        <v>1798</v>
      </c>
      <c r="AD60" s="243"/>
      <c r="AE60" s="229" t="s">
        <v>1584</v>
      </c>
      <c r="AG60" s="244"/>
      <c r="AH60" s="244"/>
      <c r="AI60" s="244"/>
    </row>
    <row r="61" spans="2:43" s="182" customFormat="1" ht="15.75" customHeight="1" x14ac:dyDescent="0.2">
      <c r="B61" s="180">
        <v>111766</v>
      </c>
      <c r="C61" s="217">
        <v>2008</v>
      </c>
      <c r="D61" s="180" t="s">
        <v>920</v>
      </c>
      <c r="E61" s="180" t="s">
        <v>41</v>
      </c>
      <c r="F61" s="180" t="s">
        <v>89</v>
      </c>
      <c r="G61" s="180" t="s">
        <v>82</v>
      </c>
      <c r="H61" s="180" t="s">
        <v>1046</v>
      </c>
      <c r="I61" s="180" t="s">
        <v>81</v>
      </c>
      <c r="J61" s="180" t="s">
        <v>54</v>
      </c>
      <c r="K61" s="180" t="s">
        <v>1020</v>
      </c>
      <c r="L61" s="180">
        <v>214</v>
      </c>
      <c r="M61" s="180">
        <v>19.7</v>
      </c>
      <c r="N61" s="180">
        <v>6.75</v>
      </c>
      <c r="O61" s="94">
        <v>0.5</v>
      </c>
      <c r="P61" s="239">
        <f t="shared" si="3"/>
        <v>5.3659760150218512</v>
      </c>
      <c r="Q61" s="179" t="str">
        <f t="shared" si="0"/>
        <v>CCME Fish</v>
      </c>
      <c r="R61" s="219">
        <f t="shared" si="9"/>
        <v>-2.9544767298133445</v>
      </c>
      <c r="S61" s="220">
        <f t="shared" si="10"/>
        <v>8.3204527448351957</v>
      </c>
      <c r="T61" s="236">
        <f t="shared" si="8"/>
        <v>5</v>
      </c>
      <c r="U61" s="221" t="str">
        <f t="shared" si="25"/>
        <v>5-GRO-NOEC-EY</v>
      </c>
      <c r="V61" s="222" cm="1">
        <f t="array" ref="V61">GEOMEAN(IF(U61=$U$7:$U$360,$S$7:$S$360))</f>
        <v>8.3204527448351957</v>
      </c>
      <c r="W61" s="223">
        <f t="shared" si="11"/>
        <v>5.1530140874063983</v>
      </c>
      <c r="X61" s="225">
        <f t="shared" si="6"/>
        <v>172.95199793395608</v>
      </c>
      <c r="Y61" s="225"/>
      <c r="Z61" s="226" t="s">
        <v>1467</v>
      </c>
      <c r="AA61" s="226"/>
      <c r="AB61" s="227" t="s">
        <v>1846</v>
      </c>
      <c r="AC61" s="243" t="s">
        <v>1798</v>
      </c>
      <c r="AD61" s="243"/>
      <c r="AE61" s="229" t="s">
        <v>1584</v>
      </c>
      <c r="AG61" s="244"/>
      <c r="AH61" s="244"/>
      <c r="AI61" s="244"/>
    </row>
    <row r="62" spans="2:43" s="182" customFormat="1" ht="15.75" customHeight="1" x14ac:dyDescent="0.2">
      <c r="B62" s="180">
        <v>111766</v>
      </c>
      <c r="C62" s="217">
        <v>2008</v>
      </c>
      <c r="D62" s="180" t="s">
        <v>920</v>
      </c>
      <c r="E62" s="180" t="s">
        <v>41</v>
      </c>
      <c r="F62" s="180" t="s">
        <v>89</v>
      </c>
      <c r="G62" s="180" t="s">
        <v>82</v>
      </c>
      <c r="H62" s="180" t="s">
        <v>1046</v>
      </c>
      <c r="I62" s="180" t="s">
        <v>81</v>
      </c>
      <c r="J62" s="180" t="s">
        <v>54</v>
      </c>
      <c r="K62" s="180" t="s">
        <v>1020</v>
      </c>
      <c r="L62" s="180">
        <v>214</v>
      </c>
      <c r="M62" s="180">
        <v>19.7</v>
      </c>
      <c r="N62" s="180">
        <v>6.75</v>
      </c>
      <c r="O62" s="94">
        <v>0.5</v>
      </c>
      <c r="P62" s="239">
        <f t="shared" si="3"/>
        <v>5.3659760150218512</v>
      </c>
      <c r="Q62" s="179" t="str">
        <f t="shared" si="0"/>
        <v>CCME Fish</v>
      </c>
      <c r="R62" s="219">
        <f t="shared" si="9"/>
        <v>-2.9544767298133445</v>
      </c>
      <c r="S62" s="220">
        <f t="shared" si="10"/>
        <v>8.3204527448351957</v>
      </c>
      <c r="T62" s="236">
        <f t="shared" si="8"/>
        <v>5</v>
      </c>
      <c r="U62" s="221" t="str">
        <f t="shared" si="25"/>
        <v>5-GRO-NOEC-EY</v>
      </c>
      <c r="V62" s="222" cm="1">
        <f t="array" ref="V62">GEOMEAN(IF(U62=$U$7:$U$360,$S$7:$S$360))</f>
        <v>8.3204527448351957</v>
      </c>
      <c r="W62" s="223">
        <f t="shared" si="11"/>
        <v>5.1530140874063983</v>
      </c>
      <c r="X62" s="225">
        <f t="shared" si="6"/>
        <v>172.95199793395608</v>
      </c>
      <c r="Y62" s="225"/>
      <c r="Z62" s="226" t="s">
        <v>1467</v>
      </c>
      <c r="AA62" s="226"/>
      <c r="AB62" s="227" t="s">
        <v>1846</v>
      </c>
      <c r="AC62" s="243" t="s">
        <v>1798</v>
      </c>
      <c r="AD62" s="243"/>
      <c r="AE62" s="229" t="s">
        <v>1584</v>
      </c>
      <c r="AG62" s="244"/>
      <c r="AH62" s="244"/>
      <c r="AI62" s="244"/>
    </row>
    <row r="63" spans="2:43" s="182" customFormat="1" ht="15.75" customHeight="1" x14ac:dyDescent="0.2">
      <c r="B63" s="180">
        <v>111766</v>
      </c>
      <c r="C63" s="217">
        <v>2008</v>
      </c>
      <c r="D63" s="180" t="s">
        <v>920</v>
      </c>
      <c r="E63" s="180" t="s">
        <v>41</v>
      </c>
      <c r="F63" s="180" t="s">
        <v>89</v>
      </c>
      <c r="G63" s="180" t="s">
        <v>82</v>
      </c>
      <c r="H63" s="180" t="s">
        <v>1046</v>
      </c>
      <c r="I63" s="180" t="s">
        <v>81</v>
      </c>
      <c r="J63" s="180" t="s">
        <v>49</v>
      </c>
      <c r="K63" s="180" t="s">
        <v>1020</v>
      </c>
      <c r="L63" s="180">
        <v>300</v>
      </c>
      <c r="M63" s="180">
        <v>19.7</v>
      </c>
      <c r="N63" s="181">
        <v>6.75</v>
      </c>
      <c r="O63" s="94">
        <v>0.5</v>
      </c>
      <c r="P63" s="239">
        <f t="shared" si="3"/>
        <v>5.7037824746562009</v>
      </c>
      <c r="Q63" s="179" t="str">
        <f t="shared" si="0"/>
        <v>CCME Fish</v>
      </c>
      <c r="R63" s="219">
        <f t="shared" si="9"/>
        <v>-2.9544767298133445</v>
      </c>
      <c r="S63" s="220">
        <f t="shared" si="10"/>
        <v>8.6582592044695446</v>
      </c>
      <c r="T63" s="236">
        <f t="shared" si="8"/>
        <v>5</v>
      </c>
      <c r="U63" s="221" t="str">
        <f t="shared" si="25"/>
        <v>5-GRO-EC10-EY</v>
      </c>
      <c r="V63" s="222" cm="1">
        <f t="array" ref="V63">GEOMEAN(IF(U63=$U$7:$U$360,$S$7:$S$360))</f>
        <v>8.4505284190416976</v>
      </c>
      <c r="W63" s="223">
        <f t="shared" si="11"/>
        <v>5.2830897616129002</v>
      </c>
      <c r="X63" s="225">
        <f t="shared" si="6"/>
        <v>196.97754975567682</v>
      </c>
      <c r="Y63" s="225">
        <f t="shared" ref="Y63:Y64" si="27">X63</f>
        <v>196.97754975567682</v>
      </c>
      <c r="Z63" s="226"/>
      <c r="AA63" s="226"/>
      <c r="AB63" s="227" t="s">
        <v>1846</v>
      </c>
      <c r="AC63" s="243" t="s">
        <v>1798</v>
      </c>
      <c r="AD63" s="243"/>
      <c r="AE63" s="229" t="s">
        <v>1584</v>
      </c>
      <c r="AG63" s="244"/>
      <c r="AH63" s="244"/>
      <c r="AI63" s="244"/>
    </row>
    <row r="64" spans="2:43" s="182" customFormat="1" ht="15.75" customHeight="1" x14ac:dyDescent="0.2">
      <c r="B64" s="180">
        <v>111766</v>
      </c>
      <c r="C64" s="217">
        <v>2008</v>
      </c>
      <c r="D64" s="180" t="s">
        <v>920</v>
      </c>
      <c r="E64" s="180" t="s">
        <v>41</v>
      </c>
      <c r="F64" s="180" t="s">
        <v>89</v>
      </c>
      <c r="G64" s="180" t="s">
        <v>82</v>
      </c>
      <c r="H64" s="180" t="s">
        <v>1046</v>
      </c>
      <c r="I64" s="180" t="s">
        <v>237</v>
      </c>
      <c r="J64" s="180" t="s">
        <v>49</v>
      </c>
      <c r="K64" s="180" t="s">
        <v>1020</v>
      </c>
      <c r="L64" s="180">
        <v>88</v>
      </c>
      <c r="M64" s="180">
        <v>19.7</v>
      </c>
      <c r="N64" s="181">
        <v>6.75</v>
      </c>
      <c r="O64" s="94">
        <v>0.5</v>
      </c>
      <c r="P64" s="239">
        <f t="shared" si="3"/>
        <v>4.4773368144782069</v>
      </c>
      <c r="Q64" s="179" t="str">
        <f t="shared" si="0"/>
        <v>CCME Fish</v>
      </c>
      <c r="R64" s="219">
        <f t="shared" si="9"/>
        <v>-2.9544767298133445</v>
      </c>
      <c r="S64" s="220">
        <f t="shared" si="10"/>
        <v>7.4318135442915514</v>
      </c>
      <c r="T64" s="236">
        <f t="shared" si="8"/>
        <v>5</v>
      </c>
      <c r="U64" s="221" t="str">
        <f t="shared" si="25"/>
        <v>5-MOR-EC10-EY</v>
      </c>
      <c r="V64" s="222" cm="1">
        <f t="array" ref="V64">GEOMEAN(IF(U64=$U$7:$U$360,$S$7:$S$360))</f>
        <v>7.4318135442915514</v>
      </c>
      <c r="W64" s="223">
        <f t="shared" si="11"/>
        <v>4.264374886862754</v>
      </c>
      <c r="X64" s="225">
        <f t="shared" si="6"/>
        <v>71.12044774854273</v>
      </c>
      <c r="Y64" s="225">
        <f t="shared" si="27"/>
        <v>71.12044774854273</v>
      </c>
      <c r="Z64" s="226"/>
      <c r="AA64" s="226"/>
      <c r="AB64" s="227" t="s">
        <v>1846</v>
      </c>
      <c r="AC64" s="243" t="s">
        <v>1798</v>
      </c>
      <c r="AD64" s="243"/>
      <c r="AE64" s="229" t="s">
        <v>1584</v>
      </c>
      <c r="AG64" s="244"/>
      <c r="AH64" s="244"/>
      <c r="AI64" s="244"/>
    </row>
    <row r="65" spans="2:35" s="182" customFormat="1" ht="15.75" customHeight="1" x14ac:dyDescent="0.2">
      <c r="B65" s="180">
        <v>111766</v>
      </c>
      <c r="C65" s="217">
        <v>2008</v>
      </c>
      <c r="D65" s="180" t="s">
        <v>920</v>
      </c>
      <c r="E65" s="180" t="s">
        <v>41</v>
      </c>
      <c r="F65" s="180" t="s">
        <v>89</v>
      </c>
      <c r="G65" s="180" t="s">
        <v>82</v>
      </c>
      <c r="H65" s="180" t="s">
        <v>1046</v>
      </c>
      <c r="I65" s="180" t="s">
        <v>237</v>
      </c>
      <c r="J65" s="180" t="s">
        <v>927</v>
      </c>
      <c r="K65" s="180" t="s">
        <v>1020</v>
      </c>
      <c r="L65" s="180">
        <v>147</v>
      </c>
      <c r="M65" s="180">
        <v>19.7</v>
      </c>
      <c r="N65" s="180">
        <v>6.75</v>
      </c>
      <c r="O65" s="94">
        <v>0.5</v>
      </c>
      <c r="P65" s="239">
        <f t="shared" si="3"/>
        <v>4.990432586778736</v>
      </c>
      <c r="Q65" s="179" t="str">
        <f t="shared" si="0"/>
        <v>CCME Fish</v>
      </c>
      <c r="R65" s="219">
        <f t="shared" si="9"/>
        <v>-2.9544767298133445</v>
      </c>
      <c r="S65" s="220">
        <f t="shared" si="10"/>
        <v>7.9449093165920806</v>
      </c>
      <c r="T65" s="236">
        <f t="shared" si="8"/>
        <v>5</v>
      </c>
      <c r="U65" s="221" t="str">
        <f t="shared" si="25"/>
        <v>5-MOR-EC20-EY</v>
      </c>
      <c r="V65" s="222" cm="1">
        <f t="array" ref="V65">GEOMEAN(IF(U65=$U$7:$U$360,$S$7:$S$360))</f>
        <v>7.9449093165920806</v>
      </c>
      <c r="W65" s="223">
        <f t="shared" si="11"/>
        <v>4.7774706591632832</v>
      </c>
      <c r="X65" s="225">
        <f t="shared" si="6"/>
        <v>118.80347521631562</v>
      </c>
      <c r="Y65" s="225"/>
      <c r="Z65" s="226" t="s">
        <v>1467</v>
      </c>
      <c r="AA65" s="226"/>
      <c r="AB65" s="227" t="s">
        <v>1846</v>
      </c>
      <c r="AC65" s="243" t="s">
        <v>1798</v>
      </c>
      <c r="AD65" s="243"/>
      <c r="AE65" s="229" t="s">
        <v>1584</v>
      </c>
      <c r="AG65" s="244"/>
      <c r="AH65" s="244"/>
      <c r="AI65" s="244"/>
    </row>
    <row r="66" spans="2:35" s="182" customFormat="1" ht="15.75" customHeight="1" x14ac:dyDescent="0.2">
      <c r="B66" s="241"/>
      <c r="C66" s="217">
        <v>1980</v>
      </c>
      <c r="D66" s="180" t="s">
        <v>1227</v>
      </c>
      <c r="E66" s="180" t="s">
        <v>41</v>
      </c>
      <c r="F66" s="180" t="s">
        <v>89</v>
      </c>
      <c r="G66" s="180" t="s">
        <v>82</v>
      </c>
      <c r="H66" s="180" t="s">
        <v>1237</v>
      </c>
      <c r="I66" s="180" t="s">
        <v>156</v>
      </c>
      <c r="J66" s="180" t="s">
        <v>169</v>
      </c>
      <c r="K66" s="217">
        <v>28</v>
      </c>
      <c r="L66" s="180">
        <v>216</v>
      </c>
      <c r="M66" s="180">
        <v>101</v>
      </c>
      <c r="N66" s="180">
        <v>7.35</v>
      </c>
      <c r="O66" s="94">
        <v>0.5</v>
      </c>
      <c r="P66" s="239">
        <f t="shared" si="3"/>
        <v>5.3752784076841653</v>
      </c>
      <c r="Q66" s="179" t="str">
        <f t="shared" si="0"/>
        <v>CCME Fish</v>
      </c>
      <c r="R66" s="219">
        <f t="shared" si="9"/>
        <v>-1.8956034484141848</v>
      </c>
      <c r="S66" s="220">
        <f t="shared" si="10"/>
        <v>7.2708818560983506</v>
      </c>
      <c r="T66" s="236">
        <f t="shared" si="8"/>
        <v>5</v>
      </c>
      <c r="U66" s="221" t="str">
        <f t="shared" si="25"/>
        <v>5-Mortality-LC1-Embryo-larval</v>
      </c>
      <c r="V66" s="222" cm="1">
        <f t="array" ref="V66">GEOMEAN(IF(U66=$U$7:$U$360,$S$7:$S$360))</f>
        <v>7.2708818560983506</v>
      </c>
      <c r="W66" s="223">
        <f t="shared" si="11"/>
        <v>4.1034431986695532</v>
      </c>
      <c r="X66" s="225">
        <f t="shared" si="6"/>
        <v>60.548409291890962</v>
      </c>
      <c r="Y66" s="225"/>
      <c r="Z66" s="226" t="s">
        <v>1466</v>
      </c>
      <c r="AA66" s="226" t="s">
        <v>1465</v>
      </c>
      <c r="AB66" s="254"/>
      <c r="AC66" s="243"/>
      <c r="AD66" s="243"/>
      <c r="AE66" s="243"/>
      <c r="AG66" s="244"/>
      <c r="AH66" s="244"/>
      <c r="AI66" s="244"/>
    </row>
    <row r="67" spans="2:35" s="182" customFormat="1" ht="15.75" customHeight="1" x14ac:dyDescent="0.2">
      <c r="B67" s="180">
        <v>8695</v>
      </c>
      <c r="C67" s="217">
        <v>1990</v>
      </c>
      <c r="D67" s="180" t="s">
        <v>266</v>
      </c>
      <c r="E67" s="180" t="s">
        <v>41</v>
      </c>
      <c r="F67" s="180" t="s">
        <v>84</v>
      </c>
      <c r="G67" s="180" t="s">
        <v>82</v>
      </c>
      <c r="H67" s="180" t="s">
        <v>267</v>
      </c>
      <c r="I67" s="180" t="s">
        <v>237</v>
      </c>
      <c r="J67" s="180" t="s">
        <v>54</v>
      </c>
      <c r="K67" s="180" t="s">
        <v>605</v>
      </c>
      <c r="L67" s="180">
        <v>460</v>
      </c>
      <c r="M67" s="180">
        <v>159.5</v>
      </c>
      <c r="N67" s="181">
        <v>7.95</v>
      </c>
      <c r="O67" s="94">
        <v>0.5</v>
      </c>
      <c r="P67" s="239">
        <f t="shared" si="3"/>
        <v>6.131226489483141</v>
      </c>
      <c r="Q67" s="179" t="str">
        <f t="shared" si="0"/>
        <v>CCME Fish</v>
      </c>
      <c r="R67" s="219">
        <f t="shared" si="9"/>
        <v>-1.9518969835158786</v>
      </c>
      <c r="S67" s="220">
        <f t="shared" si="10"/>
        <v>8.08312347299902</v>
      </c>
      <c r="T67" s="236">
        <f t="shared" si="8"/>
        <v>6</v>
      </c>
      <c r="U67" s="221" t="str">
        <f t="shared" si="25"/>
        <v>6-MOR-NOEC-EM/L</v>
      </c>
      <c r="V67" s="222" cm="1">
        <f t="array" ref="V67">GEOMEAN(IF(U67=$U$7:$U$360,$S$7:$S$360))</f>
        <v>8.1573598137770809</v>
      </c>
      <c r="W67" s="223">
        <f t="shared" si="11"/>
        <v>4.9899211563482835</v>
      </c>
      <c r="X67" s="225">
        <f t="shared" si="6"/>
        <v>146.92483894818625</v>
      </c>
      <c r="Y67" s="225"/>
      <c r="Z67" s="226" t="s">
        <v>1467</v>
      </c>
      <c r="AA67" s="226"/>
      <c r="AB67" s="254"/>
      <c r="AC67" s="243"/>
      <c r="AD67" s="243"/>
      <c r="AE67" s="243"/>
      <c r="AG67" s="244"/>
      <c r="AH67" s="244"/>
      <c r="AI67" s="244"/>
    </row>
    <row r="68" spans="2:35" s="182" customFormat="1" ht="15.75" customHeight="1" x14ac:dyDescent="0.2">
      <c r="B68" s="180">
        <v>8695</v>
      </c>
      <c r="C68" s="217">
        <v>1990</v>
      </c>
      <c r="D68" s="180" t="s">
        <v>266</v>
      </c>
      <c r="E68" s="180" t="s">
        <v>41</v>
      </c>
      <c r="F68" s="180" t="s">
        <v>84</v>
      </c>
      <c r="G68" s="180" t="s">
        <v>82</v>
      </c>
      <c r="H68" s="180" t="s">
        <v>267</v>
      </c>
      <c r="I68" s="180" t="s">
        <v>237</v>
      </c>
      <c r="J68" s="180" t="s">
        <v>54</v>
      </c>
      <c r="K68" s="180" t="s">
        <v>605</v>
      </c>
      <c r="L68" s="180">
        <v>940</v>
      </c>
      <c r="M68" s="180">
        <v>159.5</v>
      </c>
      <c r="N68" s="181">
        <v>7.95</v>
      </c>
      <c r="O68" s="94">
        <v>0.5</v>
      </c>
      <c r="P68" s="239">
        <f t="shared" si="3"/>
        <v>6.8458798752640497</v>
      </c>
      <c r="Q68" s="179" t="str">
        <f t="shared" si="0"/>
        <v>CCME Fish</v>
      </c>
      <c r="R68" s="219">
        <f t="shared" si="9"/>
        <v>-1.9518969835158786</v>
      </c>
      <c r="S68" s="220">
        <f t="shared" si="10"/>
        <v>8.7977768587799279</v>
      </c>
      <c r="T68" s="236">
        <f t="shared" si="8"/>
        <v>6</v>
      </c>
      <c r="U68" s="221" t="str">
        <f t="shared" si="25"/>
        <v>6-MOR-NOEC-EM/L</v>
      </c>
      <c r="V68" s="222" cm="1">
        <f t="array" ref="V68">GEOMEAN(IF(U68=$U$7:$U$360,$S$7:$S$360))</f>
        <v>8.1573598137770809</v>
      </c>
      <c r="W68" s="223">
        <f t="shared" si="11"/>
        <v>4.9899211563482835</v>
      </c>
      <c r="X68" s="225">
        <f t="shared" si="6"/>
        <v>146.92483894818625</v>
      </c>
      <c r="Y68" s="225"/>
      <c r="Z68" s="226" t="s">
        <v>1467</v>
      </c>
      <c r="AA68" s="226"/>
      <c r="AB68" s="255"/>
      <c r="AC68" s="228"/>
      <c r="AD68" s="228"/>
      <c r="AE68" s="228"/>
      <c r="AG68" s="244"/>
      <c r="AH68" s="244"/>
      <c r="AI68" s="244"/>
    </row>
    <row r="69" spans="2:35" s="182" customFormat="1" ht="15.75" customHeight="1" x14ac:dyDescent="0.2">
      <c r="B69" s="180">
        <v>8695</v>
      </c>
      <c r="C69" s="217">
        <v>1990</v>
      </c>
      <c r="D69" s="180" t="s">
        <v>266</v>
      </c>
      <c r="E69" s="180" t="s">
        <v>41</v>
      </c>
      <c r="F69" s="180" t="s">
        <v>84</v>
      </c>
      <c r="G69" s="180" t="s">
        <v>82</v>
      </c>
      <c r="H69" s="180" t="s">
        <v>267</v>
      </c>
      <c r="I69" s="180" t="s">
        <v>237</v>
      </c>
      <c r="J69" s="180" t="s">
        <v>54</v>
      </c>
      <c r="K69" s="180" t="s">
        <v>605</v>
      </c>
      <c r="L69" s="180">
        <v>430</v>
      </c>
      <c r="M69" s="180">
        <v>93.9</v>
      </c>
      <c r="N69" s="180">
        <v>8.25</v>
      </c>
      <c r="O69" s="94">
        <v>0.5</v>
      </c>
      <c r="P69" s="239">
        <f t="shared" si="3"/>
        <v>6.0637852086876078</v>
      </c>
      <c r="Q69" s="179" t="str">
        <f t="shared" si="0"/>
        <v>CCME Fish</v>
      </c>
      <c r="R69" s="219">
        <f t="shared" si="9"/>
        <v>-2.6981304021179944</v>
      </c>
      <c r="S69" s="220">
        <f t="shared" si="10"/>
        <v>8.7619156108056018</v>
      </c>
      <c r="T69" s="236">
        <f t="shared" si="8"/>
        <v>6</v>
      </c>
      <c r="U69" s="221" t="str">
        <f t="shared" si="25"/>
        <v>6-MOR-NOEC-EM/L</v>
      </c>
      <c r="V69" s="222" cm="1">
        <f t="array" ref="V69">GEOMEAN(IF(U69=$U$7:$U$360,$S$7:$S$360))</f>
        <v>8.1573598137770809</v>
      </c>
      <c r="W69" s="223">
        <f t="shared" si="11"/>
        <v>4.9899211563482835</v>
      </c>
      <c r="X69" s="225">
        <f t="shared" si="6"/>
        <v>146.92483894818625</v>
      </c>
      <c r="Y69" s="225"/>
      <c r="Z69" s="226" t="s">
        <v>1467</v>
      </c>
      <c r="AA69" s="226"/>
      <c r="AB69" s="254"/>
      <c r="AC69" s="228"/>
      <c r="AD69" s="228"/>
      <c r="AE69" s="228"/>
      <c r="AG69" s="244"/>
      <c r="AH69" s="244"/>
      <c r="AI69" s="244"/>
    </row>
    <row r="70" spans="2:35" s="182" customFormat="1" ht="15.75" customHeight="1" x14ac:dyDescent="0.2">
      <c r="B70" s="180">
        <v>8695</v>
      </c>
      <c r="C70" s="217">
        <v>1990</v>
      </c>
      <c r="D70" s="180" t="s">
        <v>266</v>
      </c>
      <c r="E70" s="180" t="s">
        <v>41</v>
      </c>
      <c r="F70" s="180" t="s">
        <v>84</v>
      </c>
      <c r="G70" s="180" t="s">
        <v>82</v>
      </c>
      <c r="H70" s="180" t="s">
        <v>267</v>
      </c>
      <c r="I70" s="180" t="s">
        <v>237</v>
      </c>
      <c r="J70" s="180" t="s">
        <v>54</v>
      </c>
      <c r="K70" s="180" t="s">
        <v>605</v>
      </c>
      <c r="L70" s="180">
        <v>150</v>
      </c>
      <c r="M70" s="180">
        <v>63.5</v>
      </c>
      <c r="N70" s="180">
        <v>8.2100000000000009</v>
      </c>
      <c r="O70" s="94">
        <v>0.5</v>
      </c>
      <c r="P70" s="239">
        <f t="shared" si="3"/>
        <v>5.0106352940962555</v>
      </c>
      <c r="Q70" s="179" t="str">
        <f t="shared" si="0"/>
        <v>CCME Fish</v>
      </c>
      <c r="R70" s="219">
        <f t="shared" si="9"/>
        <v>-3.035987786976841</v>
      </c>
      <c r="S70" s="220">
        <f t="shared" si="10"/>
        <v>8.046623081073097</v>
      </c>
      <c r="T70" s="236">
        <f t="shared" si="8"/>
        <v>6</v>
      </c>
      <c r="U70" s="221" t="str">
        <f t="shared" si="25"/>
        <v>6-MOR-NOEC-EM/L</v>
      </c>
      <c r="V70" s="222" cm="1">
        <f t="array" ref="V70">GEOMEAN(IF(U70=$U$7:$U$360,$S$7:$S$360))</f>
        <v>8.1573598137770809</v>
      </c>
      <c r="W70" s="223">
        <f t="shared" si="11"/>
        <v>4.9899211563482835</v>
      </c>
      <c r="X70" s="225">
        <f t="shared" si="6"/>
        <v>146.92483894818625</v>
      </c>
      <c r="Y70" s="225"/>
      <c r="Z70" s="226" t="s">
        <v>1467</v>
      </c>
      <c r="AA70" s="226"/>
      <c r="AB70" s="254"/>
      <c r="AC70" s="228"/>
      <c r="AD70" s="228"/>
      <c r="AE70" s="228"/>
      <c r="AG70" s="244"/>
      <c r="AH70" s="244"/>
      <c r="AI70" s="244"/>
    </row>
    <row r="71" spans="2:35" s="182" customFormat="1" ht="15.75" customHeight="1" x14ac:dyDescent="0.2">
      <c r="B71" s="180">
        <v>8695</v>
      </c>
      <c r="C71" s="217">
        <v>1990</v>
      </c>
      <c r="D71" s="180" t="s">
        <v>266</v>
      </c>
      <c r="E71" s="180" t="s">
        <v>41</v>
      </c>
      <c r="F71" s="180" t="s">
        <v>84</v>
      </c>
      <c r="G71" s="180" t="s">
        <v>82</v>
      </c>
      <c r="H71" s="180" t="s">
        <v>267</v>
      </c>
      <c r="I71" s="180" t="s">
        <v>237</v>
      </c>
      <c r="J71" s="180" t="s">
        <v>54</v>
      </c>
      <c r="K71" s="180" t="s">
        <v>605</v>
      </c>
      <c r="L71" s="180">
        <v>100</v>
      </c>
      <c r="M71" s="180">
        <v>93.9</v>
      </c>
      <c r="N71" s="180">
        <v>8.25</v>
      </c>
      <c r="O71" s="94">
        <v>0.5</v>
      </c>
      <c r="P71" s="239">
        <f t="shared" si="3"/>
        <v>4.6051701859880918</v>
      </c>
      <c r="Q71" s="179" t="str">
        <f t="shared" ref="Q71:Q94" si="28">$AG$7</f>
        <v>CCME Fish</v>
      </c>
      <c r="R71" s="219">
        <f t="shared" si="9"/>
        <v>-2.6981304021179944</v>
      </c>
      <c r="S71" s="220">
        <f t="shared" si="10"/>
        <v>7.3033005881060866</v>
      </c>
      <c r="T71" s="236">
        <f t="shared" si="8"/>
        <v>6</v>
      </c>
      <c r="U71" s="221" t="str">
        <f t="shared" si="25"/>
        <v>6-MOR-NOEC-EM/L</v>
      </c>
      <c r="V71" s="222" cm="1">
        <f t="array" ref="V71">GEOMEAN(IF(U71=$U$7:$U$360,$S$7:$S$360))</f>
        <v>8.1573598137770809</v>
      </c>
      <c r="W71" s="223">
        <f t="shared" si="11"/>
        <v>4.9899211563482835</v>
      </c>
      <c r="X71" s="225">
        <f t="shared" si="6"/>
        <v>146.92483894818625</v>
      </c>
      <c r="Y71" s="225"/>
      <c r="Z71" s="226" t="s">
        <v>1467</v>
      </c>
      <c r="AA71" s="226"/>
      <c r="AB71" s="254"/>
      <c r="AC71" s="228"/>
      <c r="AD71" s="228"/>
      <c r="AE71" s="228"/>
      <c r="AG71" s="244"/>
      <c r="AH71" s="244"/>
      <c r="AI71" s="244"/>
    </row>
    <row r="72" spans="2:35" s="182" customFormat="1" ht="15.75" customHeight="1" x14ac:dyDescent="0.2">
      <c r="B72" s="180">
        <v>8695</v>
      </c>
      <c r="C72" s="217">
        <v>1990</v>
      </c>
      <c r="D72" s="180" t="s">
        <v>266</v>
      </c>
      <c r="E72" s="180" t="s">
        <v>41</v>
      </c>
      <c r="F72" s="180" t="s">
        <v>84</v>
      </c>
      <c r="G72" s="180" t="s">
        <v>82</v>
      </c>
      <c r="H72" s="180" t="s">
        <v>267</v>
      </c>
      <c r="I72" s="180" t="s">
        <v>237</v>
      </c>
      <c r="J72" s="180" t="s">
        <v>54</v>
      </c>
      <c r="K72" s="180" t="s">
        <v>605</v>
      </c>
      <c r="L72" s="180">
        <v>150</v>
      </c>
      <c r="M72" s="180">
        <v>63.5</v>
      </c>
      <c r="N72" s="180">
        <v>8.2100000000000009</v>
      </c>
      <c r="O72" s="94">
        <v>0.5</v>
      </c>
      <c r="P72" s="239">
        <f t="shared" ref="P72:P135" si="29">LN(L72)</f>
        <v>5.0106352940962555</v>
      </c>
      <c r="Q72" s="179" t="str">
        <f t="shared" si="28"/>
        <v>CCME Fish</v>
      </c>
      <c r="R72" s="219">
        <f t="shared" si="9"/>
        <v>-3.035987786976841</v>
      </c>
      <c r="S72" s="220">
        <f t="shared" si="10"/>
        <v>8.046623081073097</v>
      </c>
      <c r="T72" s="236">
        <f t="shared" si="8"/>
        <v>6</v>
      </c>
      <c r="U72" s="221" t="str">
        <f t="shared" si="25"/>
        <v>6-MOR-NOEC-EM/L</v>
      </c>
      <c r="V72" s="222" cm="1">
        <f t="array" ref="V72">GEOMEAN(IF(U72=$U$7:$U$360,$S$7:$S$360))</f>
        <v>8.1573598137770809</v>
      </c>
      <c r="W72" s="223">
        <f t="shared" si="11"/>
        <v>4.9899211563482835</v>
      </c>
      <c r="X72" s="225">
        <f t="shared" ref="X72:X135" si="30">EXP(W72)</f>
        <v>146.92483894818625</v>
      </c>
      <c r="Y72" s="225"/>
      <c r="Z72" s="226" t="s">
        <v>1467</v>
      </c>
      <c r="AA72" s="226"/>
      <c r="AB72" s="254"/>
      <c r="AC72" s="228"/>
      <c r="AD72" s="228"/>
      <c r="AE72" s="228"/>
      <c r="AG72" s="244"/>
      <c r="AH72" s="244"/>
      <c r="AI72" s="244"/>
    </row>
    <row r="73" spans="2:35" s="182" customFormat="1" ht="15.75" customHeight="1" x14ac:dyDescent="0.2">
      <c r="B73" s="241"/>
      <c r="C73" s="217">
        <v>1995</v>
      </c>
      <c r="D73" s="180" t="s">
        <v>1231</v>
      </c>
      <c r="E73" s="180" t="s">
        <v>1338</v>
      </c>
      <c r="F73" s="180" t="s">
        <v>84</v>
      </c>
      <c r="G73" s="180" t="s">
        <v>82</v>
      </c>
      <c r="H73" s="180" t="s">
        <v>1251</v>
      </c>
      <c r="I73" s="180" t="s">
        <v>81</v>
      </c>
      <c r="J73" s="180" t="s">
        <v>54</v>
      </c>
      <c r="K73" s="217">
        <v>7</v>
      </c>
      <c r="L73" s="217">
        <v>290</v>
      </c>
      <c r="M73" s="180">
        <v>190</v>
      </c>
      <c r="N73" s="181">
        <v>7.5</v>
      </c>
      <c r="O73" s="94">
        <v>0.5</v>
      </c>
      <c r="P73" s="239">
        <f t="shared" si="29"/>
        <v>5.6698809229805196</v>
      </c>
      <c r="Q73" s="179" t="str">
        <f t="shared" si="28"/>
        <v>CCME Fish</v>
      </c>
      <c r="R73" s="219">
        <f t="shared" si="9"/>
        <v>-1.4194407815268781</v>
      </c>
      <c r="S73" s="220">
        <f t="shared" si="10"/>
        <v>7.0893217045073982</v>
      </c>
      <c r="T73" s="236">
        <f t="shared" ref="T73:T136" si="31">IF(F73=F72,T72,T72+1)</f>
        <v>6</v>
      </c>
      <c r="U73" s="221" t="str">
        <f t="shared" si="25"/>
        <v>6-GRO-NOEC-Larvae</v>
      </c>
      <c r="V73" s="222" cm="1">
        <f t="array" ref="V73">GEOMEAN(IF(U73=$U$7:$U$360,$S$7:$S$360))</f>
        <v>7.0893217045073982</v>
      </c>
      <c r="W73" s="223">
        <f t="shared" si="11"/>
        <v>3.9218830470786012</v>
      </c>
      <c r="X73" s="225">
        <f t="shared" si="30"/>
        <v>50.495440601098345</v>
      </c>
      <c r="Y73" s="225"/>
      <c r="Z73" s="226" t="s">
        <v>1467</v>
      </c>
      <c r="AA73" s="226"/>
      <c r="AB73" s="227" t="s">
        <v>1846</v>
      </c>
      <c r="AC73" s="228" t="s">
        <v>1863</v>
      </c>
      <c r="AD73" s="228" t="s">
        <v>1864</v>
      </c>
      <c r="AE73" s="229" t="s">
        <v>1584</v>
      </c>
      <c r="AG73" s="244"/>
      <c r="AH73" s="244"/>
      <c r="AI73" s="244"/>
    </row>
    <row r="74" spans="2:35" s="182" customFormat="1" ht="15.75" customHeight="1" x14ac:dyDescent="0.2">
      <c r="B74" s="241"/>
      <c r="C74" s="217">
        <v>1985</v>
      </c>
      <c r="D74" s="180" t="s">
        <v>1233</v>
      </c>
      <c r="E74" s="180" t="s">
        <v>41</v>
      </c>
      <c r="F74" s="180" t="s">
        <v>84</v>
      </c>
      <c r="G74" s="180" t="s">
        <v>82</v>
      </c>
      <c r="H74" s="180" t="s">
        <v>1252</v>
      </c>
      <c r="I74" s="180" t="s">
        <v>81</v>
      </c>
      <c r="J74" s="180" t="s">
        <v>1062</v>
      </c>
      <c r="K74" s="217">
        <v>7</v>
      </c>
      <c r="L74" s="217">
        <v>83.9</v>
      </c>
      <c r="M74" s="180">
        <v>48</v>
      </c>
      <c r="N74" s="181">
        <v>7.6</v>
      </c>
      <c r="O74" s="94">
        <v>1.1000000000000001</v>
      </c>
      <c r="P74" s="239">
        <f t="shared" si="29"/>
        <v>4.4296256134731609</v>
      </c>
      <c r="Q74" s="179" t="str">
        <f t="shared" si="28"/>
        <v>CCME Fish</v>
      </c>
      <c r="R74" s="219">
        <f t="shared" si="9"/>
        <v>-2.4900391911081052</v>
      </c>
      <c r="S74" s="220">
        <f t="shared" si="10"/>
        <v>6.9196648045812665</v>
      </c>
      <c r="T74" s="236">
        <f t="shared" si="31"/>
        <v>6</v>
      </c>
      <c r="U74" s="221" t="str">
        <f t="shared" si="25"/>
        <v>6-GRO-IC10-Larval (&lt;24h old)</v>
      </c>
      <c r="V74" s="222" cm="1">
        <f t="array" ref="V74">GEOMEAN(IF(U74=$U$7:$U$360,$S$7:$S$360))</f>
        <v>6.9196648045812665</v>
      </c>
      <c r="W74" s="223">
        <f t="shared" si="11"/>
        <v>3.7522261471524696</v>
      </c>
      <c r="X74" s="225">
        <f t="shared" si="30"/>
        <v>42.61584562542928</v>
      </c>
      <c r="Y74" s="225">
        <f t="shared" ref="Y74" si="32">X74</f>
        <v>42.61584562542928</v>
      </c>
      <c r="Z74" s="226"/>
      <c r="AA74" s="180"/>
      <c r="AB74" s="227" t="s">
        <v>1846</v>
      </c>
      <c r="AC74" s="228" t="s">
        <v>1863</v>
      </c>
      <c r="AD74" s="228"/>
      <c r="AE74" s="229" t="s">
        <v>1584</v>
      </c>
      <c r="AG74" s="244"/>
      <c r="AH74" s="244"/>
      <c r="AI74" s="244"/>
    </row>
    <row r="75" spans="2:35" s="182" customFormat="1" ht="15.75" customHeight="1" x14ac:dyDescent="0.2">
      <c r="B75" s="241"/>
      <c r="C75" s="217">
        <v>1985</v>
      </c>
      <c r="D75" s="180" t="s">
        <v>1233</v>
      </c>
      <c r="E75" s="180" t="s">
        <v>41</v>
      </c>
      <c r="F75" s="180" t="s">
        <v>84</v>
      </c>
      <c r="G75" s="180" t="s">
        <v>82</v>
      </c>
      <c r="H75" s="180" t="s">
        <v>1252</v>
      </c>
      <c r="I75" s="180" t="s">
        <v>237</v>
      </c>
      <c r="J75" s="180" t="s">
        <v>54</v>
      </c>
      <c r="K75" s="217">
        <v>7</v>
      </c>
      <c r="L75" s="217">
        <v>84.6</v>
      </c>
      <c r="M75" s="180">
        <v>48</v>
      </c>
      <c r="N75" s="181">
        <v>7.5</v>
      </c>
      <c r="O75" s="94">
        <v>1.1000000000000001</v>
      </c>
      <c r="P75" s="239">
        <f t="shared" si="29"/>
        <v>4.4379342666121779</v>
      </c>
      <c r="Q75" s="179" t="str">
        <f t="shared" si="28"/>
        <v>CCME Fish</v>
      </c>
      <c r="R75" s="219">
        <f t="shared" ref="R75:R94" si="33">$AI$7*N75+$AH$7*LN(M75)+$AJ$7*LN(O75)</f>
        <v>-2.408539191108106</v>
      </c>
      <c r="S75" s="220">
        <f t="shared" si="10"/>
        <v>6.8464734577202844</v>
      </c>
      <c r="T75" s="236">
        <f t="shared" si="31"/>
        <v>6</v>
      </c>
      <c r="U75" s="221" t="str">
        <f t="shared" si="25"/>
        <v>6-MOR-NOEC-Larval (&lt;24h old)</v>
      </c>
      <c r="V75" s="222" cm="1">
        <f t="array" ref="V75">GEOMEAN(IF(U75=$U$7:$U$360,$S$7:$S$360))</f>
        <v>6.8464734577202844</v>
      </c>
      <c r="W75" s="223">
        <f t="shared" si="11"/>
        <v>3.6790348002914874</v>
      </c>
      <c r="X75" s="225">
        <f t="shared" si="30"/>
        <v>39.608145846128053</v>
      </c>
      <c r="Y75" s="225"/>
      <c r="Z75" s="226" t="s">
        <v>1467</v>
      </c>
      <c r="AA75" s="180"/>
      <c r="AB75" s="227" t="s">
        <v>1846</v>
      </c>
      <c r="AC75" s="228" t="s">
        <v>1863</v>
      </c>
      <c r="AD75" s="228"/>
      <c r="AE75" s="229" t="s">
        <v>1584</v>
      </c>
      <c r="AG75" s="244"/>
      <c r="AH75" s="244"/>
      <c r="AI75" s="244"/>
    </row>
    <row r="76" spans="2:35" s="182" customFormat="1" ht="15.75" customHeight="1" x14ac:dyDescent="0.2">
      <c r="B76" s="241"/>
      <c r="C76" s="217">
        <v>1989</v>
      </c>
      <c r="D76" s="180" t="s">
        <v>1232</v>
      </c>
      <c r="E76" s="180" t="s">
        <v>41</v>
      </c>
      <c r="F76" s="180" t="s">
        <v>84</v>
      </c>
      <c r="G76" s="180" t="s">
        <v>82</v>
      </c>
      <c r="H76" s="180" t="s">
        <v>1259</v>
      </c>
      <c r="I76" s="180" t="s">
        <v>237</v>
      </c>
      <c r="J76" s="180" t="s">
        <v>54</v>
      </c>
      <c r="K76" s="217">
        <v>7</v>
      </c>
      <c r="L76" s="256">
        <v>173.16960245815955</v>
      </c>
      <c r="M76" s="180">
        <v>46.5</v>
      </c>
      <c r="N76" s="181">
        <v>7.5</v>
      </c>
      <c r="O76" s="94">
        <v>1.1000000000000001</v>
      </c>
      <c r="P76" s="239">
        <f t="shared" si="29"/>
        <v>5.1542714752875751</v>
      </c>
      <c r="Q76" s="179" t="str">
        <f t="shared" si="28"/>
        <v>CCME Fish</v>
      </c>
      <c r="R76" s="219">
        <f t="shared" si="33"/>
        <v>-2.4386052084120138</v>
      </c>
      <c r="S76" s="220">
        <f t="shared" ref="S76:S139" si="34">P76-R76</f>
        <v>7.5928766836995889</v>
      </c>
      <c r="T76" s="236">
        <f t="shared" si="31"/>
        <v>6</v>
      </c>
      <c r="U76" s="221" t="str">
        <f t="shared" si="25"/>
        <v>6-MOR-NOEC-Larval</v>
      </c>
      <c r="V76" s="222" cm="1">
        <f t="array" ref="V76">GEOMEAN(IF(U76=$U$7:$U$360,$S$7:$S$360))</f>
        <v>7.5928766836995889</v>
      </c>
      <c r="W76" s="223">
        <f t="shared" ref="W76:W94" si="35">V76+$AI$7*$AI$5+$AH$7*LN($AH$5)+$AJ$7*LN($AJ$5)</f>
        <v>4.4254380262707915</v>
      </c>
      <c r="X76" s="225">
        <f t="shared" si="30"/>
        <v>83.549396038398385</v>
      </c>
      <c r="Y76" s="225"/>
      <c r="Z76" s="226" t="s">
        <v>1467</v>
      </c>
      <c r="AA76" s="226"/>
      <c r="AB76" s="227" t="s">
        <v>1846</v>
      </c>
      <c r="AC76" s="228" t="s">
        <v>1863</v>
      </c>
      <c r="AD76" s="228"/>
      <c r="AE76" s="229" t="s">
        <v>1584</v>
      </c>
      <c r="AG76" s="244"/>
      <c r="AH76" s="244"/>
      <c r="AI76" s="244"/>
    </row>
    <row r="77" spans="2:35" s="182" customFormat="1" ht="15.75" customHeight="1" x14ac:dyDescent="0.2">
      <c r="B77" s="241"/>
      <c r="C77" s="217">
        <v>1989</v>
      </c>
      <c r="D77" s="180" t="s">
        <v>1232</v>
      </c>
      <c r="E77" s="180" t="s">
        <v>41</v>
      </c>
      <c r="F77" s="180" t="s">
        <v>84</v>
      </c>
      <c r="G77" s="180" t="s">
        <v>82</v>
      </c>
      <c r="H77" s="180" t="s">
        <v>1237</v>
      </c>
      <c r="I77" s="180" t="s">
        <v>237</v>
      </c>
      <c r="J77" s="180" t="s">
        <v>54</v>
      </c>
      <c r="K77" s="217">
        <v>32</v>
      </c>
      <c r="L77" s="217">
        <v>129</v>
      </c>
      <c r="M77" s="180">
        <v>46.5</v>
      </c>
      <c r="N77" s="181">
        <v>7.5</v>
      </c>
      <c r="O77" s="94">
        <v>1.1000000000000001</v>
      </c>
      <c r="P77" s="239">
        <f t="shared" si="29"/>
        <v>4.8598124043616719</v>
      </c>
      <c r="Q77" s="179" t="str">
        <f t="shared" si="28"/>
        <v>CCME Fish</v>
      </c>
      <c r="R77" s="219">
        <f t="shared" si="33"/>
        <v>-2.4386052084120138</v>
      </c>
      <c r="S77" s="220">
        <f t="shared" si="34"/>
        <v>7.2984176127736857</v>
      </c>
      <c r="T77" s="236">
        <f t="shared" si="31"/>
        <v>6</v>
      </c>
      <c r="U77" s="221" t="str">
        <f t="shared" si="25"/>
        <v>6-MOR-NOEC-Embryo-larval</v>
      </c>
      <c r="V77" s="222" cm="1">
        <f t="array" ref="V77">GEOMEAN(IF(U77=$U$7:$U$360,$S$7:$S$360))</f>
        <v>7.2984176127736857</v>
      </c>
      <c r="W77" s="223">
        <f t="shared" si="35"/>
        <v>4.1309789553448883</v>
      </c>
      <c r="X77" s="225">
        <f t="shared" si="30"/>
        <v>62.23882214869375</v>
      </c>
      <c r="Y77" s="225"/>
      <c r="Z77" s="226" t="s">
        <v>1467</v>
      </c>
      <c r="AA77" s="226"/>
      <c r="AB77" s="227" t="s">
        <v>1846</v>
      </c>
      <c r="AC77" s="228" t="s">
        <v>1863</v>
      </c>
      <c r="AD77" s="243"/>
      <c r="AE77" s="229" t="s">
        <v>1584</v>
      </c>
      <c r="AG77" s="244"/>
      <c r="AH77" s="244"/>
      <c r="AI77" s="244"/>
    </row>
    <row r="78" spans="2:35" s="182" customFormat="1" ht="15.75" customHeight="1" x14ac:dyDescent="0.2">
      <c r="B78" s="180">
        <v>117718</v>
      </c>
      <c r="C78" s="217">
        <v>2008</v>
      </c>
      <c r="D78" s="180" t="s">
        <v>1093</v>
      </c>
      <c r="E78" s="180" t="s">
        <v>41</v>
      </c>
      <c r="F78" s="180" t="s">
        <v>1094</v>
      </c>
      <c r="G78" s="180" t="s">
        <v>82</v>
      </c>
      <c r="H78" s="257" t="s">
        <v>1590</v>
      </c>
      <c r="I78" s="180" t="s">
        <v>81</v>
      </c>
      <c r="J78" s="180" t="s">
        <v>1062</v>
      </c>
      <c r="K78" s="180" t="s">
        <v>557</v>
      </c>
      <c r="L78" s="180">
        <v>380</v>
      </c>
      <c r="M78" s="180">
        <v>47.8</v>
      </c>
      <c r="N78" s="181">
        <v>6.81</v>
      </c>
      <c r="O78" s="94">
        <v>1.9</v>
      </c>
      <c r="P78" s="239">
        <f t="shared" si="29"/>
        <v>5.9401712527204316</v>
      </c>
      <c r="Q78" s="179" t="str">
        <f t="shared" si="28"/>
        <v>CCME Fish</v>
      </c>
      <c r="R78" s="219">
        <f t="shared" si="33"/>
        <v>-1.6326188726993394</v>
      </c>
      <c r="S78" s="220">
        <f t="shared" si="34"/>
        <v>7.5727901254197709</v>
      </c>
      <c r="T78" s="236">
        <f t="shared" si="31"/>
        <v>7</v>
      </c>
      <c r="U78" s="221" t="str">
        <f t="shared" si="25"/>
        <v>7-GRO-IC10-Eyed egg to fry</v>
      </c>
      <c r="V78" s="222" cm="1">
        <f t="array" ref="V78">GEOMEAN(IF(U78=$U$7:$U$360,$S$7:$S$360))</f>
        <v>7.5727901254197709</v>
      </c>
      <c r="W78" s="223">
        <f t="shared" si="35"/>
        <v>4.4053514679909735</v>
      </c>
      <c r="X78" s="225">
        <f t="shared" si="30"/>
        <v>81.887918768257578</v>
      </c>
      <c r="Y78" s="225">
        <f t="shared" ref="Y78" si="36">X78</f>
        <v>81.887918768257578</v>
      </c>
      <c r="Z78" s="226"/>
      <c r="AA78" s="226"/>
      <c r="AB78" s="227" t="s">
        <v>1846</v>
      </c>
      <c r="AC78" s="243" t="s">
        <v>1798</v>
      </c>
      <c r="AD78" s="243"/>
      <c r="AE78" s="229" t="s">
        <v>1584</v>
      </c>
      <c r="AG78" s="244"/>
      <c r="AH78" s="244"/>
      <c r="AI78" s="244"/>
    </row>
    <row r="79" spans="2:35" s="182" customFormat="1" ht="15.75" customHeight="1" x14ac:dyDescent="0.2">
      <c r="B79" s="180">
        <v>117718</v>
      </c>
      <c r="C79" s="217">
        <v>2008</v>
      </c>
      <c r="D79" s="180" t="s">
        <v>1093</v>
      </c>
      <c r="E79" s="180" t="s">
        <v>41</v>
      </c>
      <c r="F79" s="180" t="s">
        <v>1094</v>
      </c>
      <c r="G79" s="180" t="s">
        <v>82</v>
      </c>
      <c r="H79" s="180" t="s">
        <v>1046</v>
      </c>
      <c r="I79" s="180" t="s">
        <v>81</v>
      </c>
      <c r="J79" s="180" t="s">
        <v>355</v>
      </c>
      <c r="K79" s="180" t="s">
        <v>557</v>
      </c>
      <c r="L79" s="180">
        <v>422</v>
      </c>
      <c r="M79" s="180">
        <v>47.8</v>
      </c>
      <c r="N79" s="181">
        <v>6.81</v>
      </c>
      <c r="O79" s="94">
        <v>1.9</v>
      </c>
      <c r="P79" s="239">
        <f t="shared" si="29"/>
        <v>6.045005314036012</v>
      </c>
      <c r="Q79" s="179" t="str">
        <f t="shared" si="28"/>
        <v>CCME Fish</v>
      </c>
      <c r="R79" s="219">
        <f t="shared" si="33"/>
        <v>-1.6326188726993394</v>
      </c>
      <c r="S79" s="220">
        <f t="shared" si="34"/>
        <v>7.6776241867353514</v>
      </c>
      <c r="T79" s="236">
        <f t="shared" si="31"/>
        <v>7</v>
      </c>
      <c r="U79" s="221" t="str">
        <f t="shared" si="25"/>
        <v>7-GRO-IC20-EY</v>
      </c>
      <c r="V79" s="222" cm="1">
        <f t="array" ref="V79">GEOMEAN(IF(U79=$U$7:$U$360,$S$7:$S$360))</f>
        <v>7.6776241867353514</v>
      </c>
      <c r="W79" s="223">
        <f t="shared" si="35"/>
        <v>4.510185529306554</v>
      </c>
      <c r="X79" s="225">
        <f t="shared" si="30"/>
        <v>90.938688737380801</v>
      </c>
      <c r="Y79" s="225"/>
      <c r="Z79" s="226" t="s">
        <v>1865</v>
      </c>
      <c r="AA79" s="226"/>
      <c r="AB79" s="227" t="s">
        <v>1846</v>
      </c>
      <c r="AC79" s="243" t="s">
        <v>1798</v>
      </c>
      <c r="AD79" s="251"/>
      <c r="AE79" s="229" t="s">
        <v>1584</v>
      </c>
      <c r="AG79" s="244"/>
      <c r="AH79" s="244"/>
      <c r="AI79" s="244"/>
    </row>
    <row r="80" spans="2:35" s="182" customFormat="1" ht="15.75" customHeight="1" x14ac:dyDescent="0.2">
      <c r="B80" s="180">
        <v>117718</v>
      </c>
      <c r="C80" s="217">
        <v>2008</v>
      </c>
      <c r="D80" s="180" t="s">
        <v>1093</v>
      </c>
      <c r="E80" s="180" t="s">
        <v>41</v>
      </c>
      <c r="F80" s="180" t="s">
        <v>1094</v>
      </c>
      <c r="G80" s="180" t="s">
        <v>82</v>
      </c>
      <c r="H80" s="180" t="s">
        <v>1046</v>
      </c>
      <c r="I80" s="180" t="s">
        <v>81</v>
      </c>
      <c r="J80" s="180" t="s">
        <v>54</v>
      </c>
      <c r="K80" s="180" t="s">
        <v>557</v>
      </c>
      <c r="L80" s="180">
        <v>380</v>
      </c>
      <c r="M80" s="180">
        <v>47.8</v>
      </c>
      <c r="N80" s="180">
        <v>6.81</v>
      </c>
      <c r="O80" s="94">
        <v>1.9</v>
      </c>
      <c r="P80" s="239">
        <f t="shared" si="29"/>
        <v>5.9401712527204316</v>
      </c>
      <c r="Q80" s="179" t="str">
        <f t="shared" si="28"/>
        <v>CCME Fish</v>
      </c>
      <c r="R80" s="219">
        <f t="shared" si="33"/>
        <v>-1.6326188726993394</v>
      </c>
      <c r="S80" s="220">
        <f t="shared" si="34"/>
        <v>7.5727901254197709</v>
      </c>
      <c r="T80" s="236">
        <f t="shared" si="31"/>
        <v>7</v>
      </c>
      <c r="U80" s="221" t="str">
        <f t="shared" si="25"/>
        <v>7-GRO-NOEC-EY</v>
      </c>
      <c r="V80" s="222" cm="1">
        <f t="array" ref="V80">GEOMEAN(IF(U80=$U$7:$U$360,$S$7:$S$360))</f>
        <v>7.5727901254197709</v>
      </c>
      <c r="W80" s="223">
        <f t="shared" si="35"/>
        <v>4.4053514679909735</v>
      </c>
      <c r="X80" s="225">
        <f t="shared" si="30"/>
        <v>81.887918768257578</v>
      </c>
      <c r="Y80" s="225"/>
      <c r="Z80" s="226" t="s">
        <v>1865</v>
      </c>
      <c r="AA80" s="226"/>
      <c r="AB80" s="254"/>
      <c r="AC80" s="243"/>
      <c r="AD80" s="251"/>
      <c r="AE80" s="243"/>
      <c r="AG80" s="244"/>
      <c r="AH80" s="244"/>
      <c r="AI80" s="244"/>
    </row>
    <row r="81" spans="1:38" s="182" customFormat="1" ht="15.75" customHeight="1" x14ac:dyDescent="0.2">
      <c r="B81" s="180">
        <v>117718</v>
      </c>
      <c r="C81" s="217">
        <v>2008</v>
      </c>
      <c r="D81" s="180" t="s">
        <v>1093</v>
      </c>
      <c r="E81" s="180" t="s">
        <v>41</v>
      </c>
      <c r="F81" s="180" t="s">
        <v>1094</v>
      </c>
      <c r="G81" s="180" t="s">
        <v>82</v>
      </c>
      <c r="H81" s="180" t="s">
        <v>909</v>
      </c>
      <c r="I81" s="180" t="s">
        <v>81</v>
      </c>
      <c r="J81" s="180" t="s">
        <v>54</v>
      </c>
      <c r="K81" s="180" t="s">
        <v>1221</v>
      </c>
      <c r="L81" s="180">
        <v>422</v>
      </c>
      <c r="M81" s="180">
        <v>47.8</v>
      </c>
      <c r="N81" s="180">
        <v>6.81</v>
      </c>
      <c r="O81" s="94">
        <v>1.9</v>
      </c>
      <c r="P81" s="239">
        <f t="shared" si="29"/>
        <v>6.045005314036012</v>
      </c>
      <c r="Q81" s="179" t="str">
        <f t="shared" si="28"/>
        <v>CCME Fish</v>
      </c>
      <c r="R81" s="219">
        <f t="shared" si="33"/>
        <v>-1.6326188726993394</v>
      </c>
      <c r="S81" s="220">
        <f t="shared" si="34"/>
        <v>7.6776241867353514</v>
      </c>
      <c r="T81" s="236">
        <f t="shared" si="31"/>
        <v>7</v>
      </c>
      <c r="U81" s="221" t="str">
        <f t="shared" si="25"/>
        <v>7-GRO-NOEC-FY</v>
      </c>
      <c r="V81" s="222" cm="1">
        <f t="array" ref="V81">GEOMEAN(IF(U81=$U$7:$U$360,$S$7:$S$360))</f>
        <v>7.6776241867353514</v>
      </c>
      <c r="W81" s="223">
        <f t="shared" si="35"/>
        <v>4.510185529306554</v>
      </c>
      <c r="X81" s="225">
        <f t="shared" si="30"/>
        <v>90.938688737380801</v>
      </c>
      <c r="Y81" s="225"/>
      <c r="Z81" s="226" t="s">
        <v>1865</v>
      </c>
      <c r="AA81" s="226"/>
      <c r="AB81" s="243"/>
      <c r="AD81" s="243"/>
      <c r="AE81" s="243"/>
      <c r="AG81" s="244"/>
      <c r="AH81" s="244"/>
      <c r="AI81" s="244"/>
    </row>
    <row r="82" spans="1:38" s="182" customFormat="1" ht="15.75" customHeight="1" x14ac:dyDescent="0.2">
      <c r="B82" s="180">
        <v>117718</v>
      </c>
      <c r="C82" s="217">
        <v>2008</v>
      </c>
      <c r="D82" s="180" t="s">
        <v>1093</v>
      </c>
      <c r="E82" s="180" t="s">
        <v>41</v>
      </c>
      <c r="F82" s="180" t="s">
        <v>1094</v>
      </c>
      <c r="G82" s="180" t="s">
        <v>82</v>
      </c>
      <c r="H82" s="180" t="s">
        <v>909</v>
      </c>
      <c r="I82" s="180" t="s">
        <v>237</v>
      </c>
      <c r="J82" s="180" t="s">
        <v>54</v>
      </c>
      <c r="K82" s="180" t="s">
        <v>78</v>
      </c>
      <c r="L82" s="180">
        <v>208</v>
      </c>
      <c r="M82" s="180">
        <v>47.8</v>
      </c>
      <c r="N82" s="180">
        <v>6.81</v>
      </c>
      <c r="O82" s="94">
        <v>1.9</v>
      </c>
      <c r="P82" s="239">
        <f t="shared" si="29"/>
        <v>5.3375380797013179</v>
      </c>
      <c r="Q82" s="179" t="str">
        <f t="shared" si="28"/>
        <v>CCME Fish</v>
      </c>
      <c r="R82" s="219">
        <f t="shared" si="33"/>
        <v>-1.6326188726993394</v>
      </c>
      <c r="S82" s="220">
        <f t="shared" si="34"/>
        <v>6.9701569524006572</v>
      </c>
      <c r="T82" s="236">
        <f t="shared" si="31"/>
        <v>7</v>
      </c>
      <c r="U82" s="221" t="str">
        <f t="shared" si="25"/>
        <v>7-MOR-NOEC-FY</v>
      </c>
      <c r="V82" s="222" cm="1">
        <f t="array" ref="V82">GEOMEAN(IF(U82=$U$7:$U$360,$S$7:$S$360))</f>
        <v>6.9701569524006572</v>
      </c>
      <c r="W82" s="223">
        <f t="shared" si="35"/>
        <v>3.8027182949718603</v>
      </c>
      <c r="X82" s="225">
        <f t="shared" si="30"/>
        <v>44.822860799467314</v>
      </c>
      <c r="Y82" s="225"/>
      <c r="Z82" s="226" t="s">
        <v>1865</v>
      </c>
      <c r="AA82" s="226"/>
      <c r="AB82" s="243"/>
      <c r="AD82" s="251"/>
      <c r="AE82" s="243"/>
      <c r="AG82" s="244"/>
      <c r="AH82" s="244"/>
      <c r="AI82" s="244"/>
    </row>
    <row r="83" spans="1:38" s="182" customFormat="1" ht="15.75" customHeight="1" x14ac:dyDescent="0.2">
      <c r="B83" s="180">
        <v>117718</v>
      </c>
      <c r="C83" s="217">
        <v>2008</v>
      </c>
      <c r="D83" s="180" t="s">
        <v>1093</v>
      </c>
      <c r="E83" s="180" t="s">
        <v>41</v>
      </c>
      <c r="F83" s="180" t="s">
        <v>1094</v>
      </c>
      <c r="G83" s="180" t="s">
        <v>82</v>
      </c>
      <c r="H83" s="180" t="s">
        <v>1046</v>
      </c>
      <c r="I83" s="180" t="s">
        <v>237</v>
      </c>
      <c r="J83" s="180" t="s">
        <v>54</v>
      </c>
      <c r="K83" s="180" t="s">
        <v>557</v>
      </c>
      <c r="L83" s="180">
        <v>380</v>
      </c>
      <c r="M83" s="180">
        <v>47.8</v>
      </c>
      <c r="N83" s="180">
        <v>6.81</v>
      </c>
      <c r="O83" s="94">
        <v>1.9</v>
      </c>
      <c r="P83" s="239">
        <f t="shared" si="29"/>
        <v>5.9401712527204316</v>
      </c>
      <c r="Q83" s="179" t="str">
        <f t="shared" si="28"/>
        <v>CCME Fish</v>
      </c>
      <c r="R83" s="219">
        <f t="shared" si="33"/>
        <v>-1.6326188726993394</v>
      </c>
      <c r="S83" s="220">
        <f t="shared" si="34"/>
        <v>7.5727901254197709</v>
      </c>
      <c r="T83" s="236">
        <f t="shared" si="31"/>
        <v>7</v>
      </c>
      <c r="U83" s="221" t="str">
        <f t="shared" si="25"/>
        <v>7-MOR-NOEC-EY</v>
      </c>
      <c r="V83" s="222" cm="1">
        <f t="array" ref="V83">GEOMEAN(IF(U83=$U$7:$U$360,$S$7:$S$360))</f>
        <v>7.9015871276096092</v>
      </c>
      <c r="W83" s="223">
        <f t="shared" si="35"/>
        <v>4.7341484701808119</v>
      </c>
      <c r="X83" s="225">
        <f t="shared" si="30"/>
        <v>113.76654185745033</v>
      </c>
      <c r="Y83" s="225"/>
      <c r="Z83" s="226" t="s">
        <v>1865</v>
      </c>
      <c r="AA83" s="226"/>
      <c r="AB83" s="243"/>
      <c r="AD83" s="243"/>
      <c r="AE83" s="243"/>
      <c r="AG83" s="244"/>
      <c r="AH83" s="244"/>
      <c r="AI83" s="244"/>
      <c r="AJ83" s="258"/>
      <c r="AK83" s="258"/>
    </row>
    <row r="84" spans="1:38" s="182" customFormat="1" ht="15.75" customHeight="1" x14ac:dyDescent="0.2">
      <c r="B84" s="180">
        <v>117718</v>
      </c>
      <c r="C84" s="217">
        <v>2008</v>
      </c>
      <c r="D84" s="180" t="s">
        <v>1093</v>
      </c>
      <c r="E84" s="180" t="s">
        <v>41</v>
      </c>
      <c r="F84" s="180" t="s">
        <v>1094</v>
      </c>
      <c r="G84" s="180" t="s">
        <v>82</v>
      </c>
      <c r="H84" s="180" t="s">
        <v>1046</v>
      </c>
      <c r="I84" s="180" t="s">
        <v>237</v>
      </c>
      <c r="J84" s="180" t="s">
        <v>54</v>
      </c>
      <c r="K84" s="180" t="s">
        <v>230</v>
      </c>
      <c r="L84" s="180">
        <v>744</v>
      </c>
      <c r="M84" s="180">
        <v>47.8</v>
      </c>
      <c r="N84" s="180">
        <v>6.81</v>
      </c>
      <c r="O84" s="94">
        <v>1.9</v>
      </c>
      <c r="P84" s="239">
        <f t="shared" si="29"/>
        <v>6.6120410348330916</v>
      </c>
      <c r="Q84" s="179" t="str">
        <f t="shared" si="28"/>
        <v>CCME Fish</v>
      </c>
      <c r="R84" s="219">
        <f t="shared" si="33"/>
        <v>-1.6326188726993394</v>
      </c>
      <c r="S84" s="220">
        <f t="shared" si="34"/>
        <v>8.2446599075324301</v>
      </c>
      <c r="T84" s="236">
        <f t="shared" si="31"/>
        <v>7</v>
      </c>
      <c r="U84" s="221" t="str">
        <f t="shared" si="25"/>
        <v>7-MOR-NOEC-EY</v>
      </c>
      <c r="V84" s="222" cm="1">
        <f t="array" ref="V84">GEOMEAN(IF(U84=$U$7:$U$360,$S$7:$S$360))</f>
        <v>7.9015871276096092</v>
      </c>
      <c r="W84" s="223">
        <f t="shared" si="35"/>
        <v>4.7341484701808119</v>
      </c>
      <c r="X84" s="225">
        <f t="shared" si="30"/>
        <v>113.76654185745033</v>
      </c>
      <c r="Y84" s="225"/>
      <c r="Z84" s="226" t="s">
        <v>1865</v>
      </c>
      <c r="AA84" s="226"/>
      <c r="AB84" s="243"/>
      <c r="AD84" s="243"/>
      <c r="AE84" s="243"/>
      <c r="AG84" s="244"/>
      <c r="AH84" s="244"/>
      <c r="AI84" s="244"/>
      <c r="AJ84" s="258"/>
      <c r="AK84" s="258"/>
    </row>
    <row r="85" spans="1:38" s="182" customFormat="1" ht="15.75" customHeight="1" x14ac:dyDescent="0.2">
      <c r="B85" s="180">
        <v>117718</v>
      </c>
      <c r="C85" s="217">
        <v>2008</v>
      </c>
      <c r="D85" s="180" t="s">
        <v>1093</v>
      </c>
      <c r="E85" s="180" t="s">
        <v>41</v>
      </c>
      <c r="F85" s="180" t="s">
        <v>1094</v>
      </c>
      <c r="G85" s="180" t="s">
        <v>82</v>
      </c>
      <c r="H85" s="180" t="s">
        <v>1046</v>
      </c>
      <c r="I85" s="180" t="s">
        <v>256</v>
      </c>
      <c r="J85" s="180" t="s">
        <v>54</v>
      </c>
      <c r="K85" s="180" t="s">
        <v>557</v>
      </c>
      <c r="L85" s="180">
        <v>380</v>
      </c>
      <c r="M85" s="180">
        <v>47.8</v>
      </c>
      <c r="N85" s="180">
        <v>6.81</v>
      </c>
      <c r="O85" s="94">
        <v>1.9</v>
      </c>
      <c r="P85" s="239">
        <f t="shared" si="29"/>
        <v>5.9401712527204316</v>
      </c>
      <c r="Q85" s="179" t="str">
        <f t="shared" si="28"/>
        <v>CCME Fish</v>
      </c>
      <c r="R85" s="219">
        <f t="shared" si="33"/>
        <v>-1.6326188726993394</v>
      </c>
      <c r="S85" s="220">
        <f t="shared" si="34"/>
        <v>7.5727901254197709</v>
      </c>
      <c r="T85" s="236">
        <f t="shared" si="31"/>
        <v>7</v>
      </c>
      <c r="U85" s="221" t="str">
        <f t="shared" si="25"/>
        <v>7-POP-NOEC-EY</v>
      </c>
      <c r="V85" s="222" cm="1">
        <f t="array" ref="V85">GEOMEAN(IF(U85=$U$7:$U$360,$S$7:$S$360))</f>
        <v>7.5727901254197709</v>
      </c>
      <c r="W85" s="223">
        <f t="shared" si="35"/>
        <v>4.4053514679909735</v>
      </c>
      <c r="X85" s="225">
        <f t="shared" si="30"/>
        <v>81.887918768257578</v>
      </c>
      <c r="Y85" s="225"/>
      <c r="Z85" s="226" t="s">
        <v>1865</v>
      </c>
      <c r="AA85" s="226"/>
      <c r="AB85" s="243"/>
      <c r="AD85" s="243"/>
      <c r="AE85" s="243"/>
      <c r="AG85" s="244"/>
      <c r="AH85" s="244"/>
      <c r="AI85" s="244"/>
      <c r="AJ85" s="258"/>
      <c r="AK85" s="258"/>
    </row>
    <row r="86" spans="1:38" s="182" customFormat="1" ht="15.75" customHeight="1" x14ac:dyDescent="0.2">
      <c r="B86" s="180">
        <v>117718</v>
      </c>
      <c r="C86" s="217">
        <v>2008</v>
      </c>
      <c r="D86" s="180" t="s">
        <v>1093</v>
      </c>
      <c r="E86" s="180" t="s">
        <v>41</v>
      </c>
      <c r="F86" s="180" t="s">
        <v>1094</v>
      </c>
      <c r="G86" s="180" t="s">
        <v>82</v>
      </c>
      <c r="H86" s="180" t="s">
        <v>909</v>
      </c>
      <c r="I86" s="180" t="s">
        <v>256</v>
      </c>
      <c r="J86" s="180" t="s">
        <v>54</v>
      </c>
      <c r="K86" s="180" t="s">
        <v>1221</v>
      </c>
      <c r="L86" s="180">
        <v>208</v>
      </c>
      <c r="M86" s="180">
        <v>47.8</v>
      </c>
      <c r="N86" s="180">
        <v>6.81</v>
      </c>
      <c r="O86" s="94">
        <v>1.9</v>
      </c>
      <c r="P86" s="239">
        <f t="shared" si="29"/>
        <v>5.3375380797013179</v>
      </c>
      <c r="Q86" s="179" t="str">
        <f t="shared" si="28"/>
        <v>CCME Fish</v>
      </c>
      <c r="R86" s="219">
        <f t="shared" si="33"/>
        <v>-1.6326188726993394</v>
      </c>
      <c r="S86" s="220">
        <f t="shared" si="34"/>
        <v>6.9701569524006572</v>
      </c>
      <c r="T86" s="236">
        <f t="shared" si="31"/>
        <v>7</v>
      </c>
      <c r="U86" s="221" t="str">
        <f t="shared" si="25"/>
        <v>7-POP-NOEC-FY</v>
      </c>
      <c r="V86" s="222" cm="1">
        <f t="array" ref="V86">GEOMEAN(IF(U86=$U$7:$U$360,$S$7:$S$360))</f>
        <v>6.9701569524006572</v>
      </c>
      <c r="W86" s="223">
        <f t="shared" si="35"/>
        <v>3.8027182949718603</v>
      </c>
      <c r="X86" s="225">
        <f t="shared" si="30"/>
        <v>44.822860799467314</v>
      </c>
      <c r="Y86" s="225"/>
      <c r="Z86" s="226" t="s">
        <v>1865</v>
      </c>
      <c r="AA86" s="226"/>
      <c r="AB86" s="254"/>
      <c r="AC86" s="243"/>
      <c r="AD86" s="243"/>
      <c r="AE86" s="243"/>
      <c r="AG86" s="244"/>
      <c r="AH86" s="244"/>
      <c r="AI86" s="244"/>
      <c r="AJ86" s="258"/>
      <c r="AK86" s="258"/>
    </row>
    <row r="87" spans="1:38" s="182" customFormat="1" ht="15.75" customHeight="1" x14ac:dyDescent="0.2">
      <c r="B87" s="180">
        <v>169219</v>
      </c>
      <c r="C87" s="217">
        <v>2014</v>
      </c>
      <c r="D87" s="180" t="s">
        <v>1182</v>
      </c>
      <c r="E87" s="180" t="s">
        <v>41</v>
      </c>
      <c r="F87" s="180" t="s">
        <v>904</v>
      </c>
      <c r="G87" s="180" t="s">
        <v>82</v>
      </c>
      <c r="H87" s="180" t="s">
        <v>1046</v>
      </c>
      <c r="I87" s="180" t="s">
        <v>81</v>
      </c>
      <c r="J87" s="180" t="s">
        <v>54</v>
      </c>
      <c r="K87" s="180" t="s">
        <v>506</v>
      </c>
      <c r="L87" s="180">
        <v>416</v>
      </c>
      <c r="M87" s="180">
        <v>54.1</v>
      </c>
      <c r="N87" s="181">
        <v>7.4</v>
      </c>
      <c r="O87" s="94">
        <v>1.4</v>
      </c>
      <c r="P87" s="239">
        <f t="shared" si="29"/>
        <v>6.0306852602612633</v>
      </c>
      <c r="Q87" s="179" t="str">
        <f t="shared" si="28"/>
        <v>CCME Fish</v>
      </c>
      <c r="R87" s="219">
        <f t="shared" si="33"/>
        <v>-2.1177640758225005</v>
      </c>
      <c r="S87" s="220">
        <f t="shared" si="34"/>
        <v>8.1484493360837646</v>
      </c>
      <c r="T87" s="236">
        <f t="shared" si="31"/>
        <v>8</v>
      </c>
      <c r="U87" s="221" t="str">
        <f t="shared" si="25"/>
        <v>8-GRO-NOEC-EY</v>
      </c>
      <c r="V87" s="222" cm="1">
        <f t="array" ref="V87">GEOMEAN(IF(U87=$U$7:$U$360,$S$7:$S$360))</f>
        <v>8.1484493360837646</v>
      </c>
      <c r="W87" s="223">
        <f t="shared" si="35"/>
        <v>4.9810106786549673</v>
      </c>
      <c r="X87" s="225">
        <f t="shared" si="30"/>
        <v>145.62148382998501</v>
      </c>
      <c r="Y87" s="225">
        <f t="shared" ref="Y87:Y92" si="37">X87</f>
        <v>145.62148382998501</v>
      </c>
      <c r="Z87" s="226" t="s">
        <v>1507</v>
      </c>
      <c r="AA87" s="226"/>
      <c r="AB87" s="254"/>
      <c r="AC87" s="243"/>
      <c r="AD87" s="243"/>
      <c r="AE87" s="243"/>
      <c r="AG87" s="244"/>
      <c r="AH87" s="244"/>
      <c r="AI87" s="244"/>
      <c r="AJ87" s="258"/>
      <c r="AK87" s="258"/>
    </row>
    <row r="88" spans="1:38" s="182" customFormat="1" ht="15.75" customHeight="1" x14ac:dyDescent="0.2">
      <c r="B88" s="180">
        <v>169219</v>
      </c>
      <c r="C88" s="217">
        <v>2014</v>
      </c>
      <c r="D88" s="180" t="s">
        <v>1182</v>
      </c>
      <c r="E88" s="180" t="s">
        <v>41</v>
      </c>
      <c r="F88" s="180" t="s">
        <v>904</v>
      </c>
      <c r="G88" s="180" t="s">
        <v>82</v>
      </c>
      <c r="H88" s="180" t="s">
        <v>1046</v>
      </c>
      <c r="I88" s="180" t="s">
        <v>237</v>
      </c>
      <c r="J88" s="180" t="s">
        <v>54</v>
      </c>
      <c r="K88" s="180" t="s">
        <v>230</v>
      </c>
      <c r="L88" s="180">
        <v>416</v>
      </c>
      <c r="M88" s="180">
        <v>54.1</v>
      </c>
      <c r="N88" s="181">
        <v>7.4</v>
      </c>
      <c r="O88" s="94">
        <v>1.4</v>
      </c>
      <c r="P88" s="239">
        <f t="shared" si="29"/>
        <v>6.0306852602612633</v>
      </c>
      <c r="Q88" s="179" t="str">
        <f t="shared" si="28"/>
        <v>CCME Fish</v>
      </c>
      <c r="R88" s="219">
        <f t="shared" si="33"/>
        <v>-2.1177640758225005</v>
      </c>
      <c r="S88" s="220">
        <f t="shared" si="34"/>
        <v>8.1484493360837646</v>
      </c>
      <c r="T88" s="236">
        <f t="shared" si="31"/>
        <v>8</v>
      </c>
      <c r="U88" s="221" t="str">
        <f t="shared" si="25"/>
        <v>8-MOR-NOEC-EY</v>
      </c>
      <c r="V88" s="222" cm="1">
        <f t="array" ref="V88">GEOMEAN(IF(U88=$U$7:$U$360,$S$7:$S$360))</f>
        <v>8.1484493360837646</v>
      </c>
      <c r="W88" s="223">
        <f t="shared" si="35"/>
        <v>4.9810106786549673</v>
      </c>
      <c r="X88" s="225">
        <f t="shared" si="30"/>
        <v>145.62148382998501</v>
      </c>
      <c r="Y88" s="225">
        <f t="shared" si="37"/>
        <v>145.62148382998501</v>
      </c>
      <c r="Z88" s="226" t="s">
        <v>1507</v>
      </c>
      <c r="AA88" s="226"/>
      <c r="AB88" s="254"/>
      <c r="AC88" s="243"/>
      <c r="AD88" s="243"/>
      <c r="AE88" s="243"/>
      <c r="AG88" s="244"/>
      <c r="AH88" s="244"/>
      <c r="AI88" s="244"/>
      <c r="AJ88" s="258"/>
      <c r="AK88" s="258"/>
    </row>
    <row r="89" spans="1:38" s="182" customFormat="1" ht="15.75" customHeight="1" x14ac:dyDescent="0.2">
      <c r="B89" s="180">
        <v>169219</v>
      </c>
      <c r="C89" s="217">
        <v>2014</v>
      </c>
      <c r="D89" s="180" t="s">
        <v>1182</v>
      </c>
      <c r="E89" s="180" t="s">
        <v>41</v>
      </c>
      <c r="F89" s="180" t="s">
        <v>904</v>
      </c>
      <c r="G89" s="180" t="s">
        <v>82</v>
      </c>
      <c r="H89" s="180" t="s">
        <v>1046</v>
      </c>
      <c r="I89" s="180" t="s">
        <v>237</v>
      </c>
      <c r="J89" s="180" t="s">
        <v>54</v>
      </c>
      <c r="K89" s="180" t="s">
        <v>230</v>
      </c>
      <c r="L89" s="180">
        <v>416</v>
      </c>
      <c r="M89" s="180">
        <v>54.1</v>
      </c>
      <c r="N89" s="181">
        <v>7.4</v>
      </c>
      <c r="O89" s="94">
        <v>1.4</v>
      </c>
      <c r="P89" s="239">
        <f t="shared" si="29"/>
        <v>6.0306852602612633</v>
      </c>
      <c r="Q89" s="179" t="str">
        <f t="shared" si="28"/>
        <v>CCME Fish</v>
      </c>
      <c r="R89" s="219">
        <f t="shared" si="33"/>
        <v>-2.1177640758225005</v>
      </c>
      <c r="S89" s="220">
        <f t="shared" si="34"/>
        <v>8.1484493360837646</v>
      </c>
      <c r="T89" s="236">
        <f t="shared" si="31"/>
        <v>8</v>
      </c>
      <c r="U89" s="221" t="str">
        <f t="shared" si="25"/>
        <v>8-MOR-NOEC-EY</v>
      </c>
      <c r="V89" s="222" cm="1">
        <f t="array" ref="V89">GEOMEAN(IF(U89=$U$7:$U$360,$S$7:$S$360))</f>
        <v>8.1484493360837646</v>
      </c>
      <c r="W89" s="223">
        <f t="shared" si="35"/>
        <v>4.9810106786549673</v>
      </c>
      <c r="X89" s="225">
        <f t="shared" si="30"/>
        <v>145.62148382998501</v>
      </c>
      <c r="Y89" s="225">
        <f t="shared" si="37"/>
        <v>145.62148382998501</v>
      </c>
      <c r="Z89" s="226" t="s">
        <v>1507</v>
      </c>
      <c r="AA89" s="226"/>
      <c r="AB89" s="254"/>
      <c r="AC89" s="243"/>
      <c r="AD89" s="243"/>
      <c r="AE89" s="243"/>
      <c r="AG89" s="244"/>
      <c r="AH89" s="244"/>
      <c r="AI89" s="244"/>
      <c r="AJ89" s="258"/>
      <c r="AK89" s="258"/>
    </row>
    <row r="90" spans="1:38" s="182" customFormat="1" ht="15.75" customHeight="1" x14ac:dyDescent="0.2">
      <c r="B90" s="180">
        <v>169219</v>
      </c>
      <c r="C90" s="217">
        <v>2014</v>
      </c>
      <c r="D90" s="180" t="s">
        <v>1182</v>
      </c>
      <c r="E90" s="180" t="s">
        <v>41</v>
      </c>
      <c r="F90" s="180" t="s">
        <v>904</v>
      </c>
      <c r="G90" s="180" t="s">
        <v>82</v>
      </c>
      <c r="H90" s="180" t="s">
        <v>1046</v>
      </c>
      <c r="I90" s="180" t="s">
        <v>237</v>
      </c>
      <c r="J90" s="180" t="s">
        <v>54</v>
      </c>
      <c r="K90" s="180" t="s">
        <v>230</v>
      </c>
      <c r="L90" s="180">
        <v>416</v>
      </c>
      <c r="M90" s="180">
        <v>54.1</v>
      </c>
      <c r="N90" s="181">
        <v>7.4</v>
      </c>
      <c r="O90" s="94">
        <v>1.4</v>
      </c>
      <c r="P90" s="239">
        <f t="shared" si="29"/>
        <v>6.0306852602612633</v>
      </c>
      <c r="Q90" s="179" t="str">
        <f t="shared" si="28"/>
        <v>CCME Fish</v>
      </c>
      <c r="R90" s="219">
        <f t="shared" si="33"/>
        <v>-2.1177640758225005</v>
      </c>
      <c r="S90" s="220">
        <f t="shared" si="34"/>
        <v>8.1484493360837646</v>
      </c>
      <c r="T90" s="236">
        <f t="shared" si="31"/>
        <v>8</v>
      </c>
      <c r="U90" s="221" t="str">
        <f t="shared" si="25"/>
        <v>8-MOR-NOEC-EY</v>
      </c>
      <c r="V90" s="222" cm="1">
        <f t="array" ref="V90">GEOMEAN(IF(U90=$U$7:$U$360,$S$7:$S$360))</f>
        <v>8.1484493360837646</v>
      </c>
      <c r="W90" s="223">
        <f t="shared" si="35"/>
        <v>4.9810106786549673</v>
      </c>
      <c r="X90" s="225">
        <f t="shared" si="30"/>
        <v>145.62148382998501</v>
      </c>
      <c r="Y90" s="225">
        <f t="shared" si="37"/>
        <v>145.62148382998501</v>
      </c>
      <c r="Z90" s="226" t="s">
        <v>1507</v>
      </c>
      <c r="AA90" s="226"/>
      <c r="AB90" s="254"/>
      <c r="AC90" s="243"/>
      <c r="AD90" s="243"/>
      <c r="AE90" s="243"/>
      <c r="AG90" s="244"/>
      <c r="AH90" s="244"/>
      <c r="AI90" s="244"/>
      <c r="AJ90" s="258"/>
      <c r="AK90" s="258"/>
      <c r="AL90" s="259"/>
    </row>
    <row r="91" spans="1:38" s="182" customFormat="1" ht="15.75" customHeight="1" x14ac:dyDescent="0.2">
      <c r="B91" s="180"/>
      <c r="C91" s="217">
        <v>2002</v>
      </c>
      <c r="D91" s="180" t="s">
        <v>1343</v>
      </c>
      <c r="E91" s="180" t="s">
        <v>41</v>
      </c>
      <c r="F91" s="180" t="s">
        <v>904</v>
      </c>
      <c r="G91" s="180" t="s">
        <v>82</v>
      </c>
      <c r="H91" s="180" t="s">
        <v>1116</v>
      </c>
      <c r="I91" s="180" t="s">
        <v>81</v>
      </c>
      <c r="J91" s="180" t="s">
        <v>54</v>
      </c>
      <c r="K91" s="180">
        <v>58</v>
      </c>
      <c r="L91" s="180">
        <v>141</v>
      </c>
      <c r="M91" s="180">
        <v>47.7</v>
      </c>
      <c r="N91" s="181">
        <v>7.59</v>
      </c>
      <c r="O91" s="260">
        <v>1.9</v>
      </c>
      <c r="P91" s="239">
        <f t="shared" si="29"/>
        <v>4.9487598903781684</v>
      </c>
      <c r="Q91" s="179" t="str">
        <f t="shared" si="28"/>
        <v>CCME Fish</v>
      </c>
      <c r="R91" s="219">
        <f t="shared" si="33"/>
        <v>-2.2703021194974884</v>
      </c>
      <c r="S91" s="220">
        <f t="shared" si="34"/>
        <v>7.2190620098756568</v>
      </c>
      <c r="T91" s="236">
        <f t="shared" si="31"/>
        <v>8</v>
      </c>
      <c r="U91" s="221" t="str">
        <f t="shared" si="25"/>
        <v>8-GRO-NOEC-EM</v>
      </c>
      <c r="V91" s="222" cm="1">
        <f t="array" ref="V91">GEOMEAN(IF(U91=$U$7:$U$360,$S$7:$S$360))</f>
        <v>7.2190620098756568</v>
      </c>
      <c r="W91" s="223">
        <f t="shared" si="35"/>
        <v>4.0516233524468594</v>
      </c>
      <c r="X91" s="225">
        <f t="shared" si="30"/>
        <v>57.490709017714408</v>
      </c>
      <c r="Y91" s="224">
        <f t="shared" si="37"/>
        <v>57.490709017714408</v>
      </c>
      <c r="Z91" s="226" t="s">
        <v>1507</v>
      </c>
      <c r="AA91" s="180" t="s">
        <v>1348</v>
      </c>
      <c r="AB91" s="227" t="s">
        <v>1846</v>
      </c>
      <c r="AC91" s="243" t="s">
        <v>1798</v>
      </c>
      <c r="AD91" s="243"/>
      <c r="AE91" s="229" t="s">
        <v>1584</v>
      </c>
      <c r="AG91" s="244"/>
      <c r="AH91" s="244"/>
      <c r="AI91" s="244"/>
      <c r="AJ91" s="258"/>
      <c r="AK91" s="258"/>
    </row>
    <row r="92" spans="1:38" s="182" customFormat="1" ht="15.75" customHeight="1" x14ac:dyDescent="0.2">
      <c r="B92" s="180"/>
      <c r="C92" s="217">
        <v>2002</v>
      </c>
      <c r="D92" s="180" t="s">
        <v>1343</v>
      </c>
      <c r="E92" s="180" t="s">
        <v>41</v>
      </c>
      <c r="F92" s="180" t="s">
        <v>904</v>
      </c>
      <c r="G92" s="180" t="s">
        <v>82</v>
      </c>
      <c r="H92" s="180" t="s">
        <v>1116</v>
      </c>
      <c r="I92" s="180" t="s">
        <v>237</v>
      </c>
      <c r="J92" s="180" t="s">
        <v>54</v>
      </c>
      <c r="K92" s="180">
        <v>58</v>
      </c>
      <c r="L92" s="180">
        <v>1090</v>
      </c>
      <c r="M92" s="180">
        <v>47.7</v>
      </c>
      <c r="N92" s="181">
        <v>7.59</v>
      </c>
      <c r="O92" s="260">
        <v>1.9</v>
      </c>
      <c r="P92" s="239">
        <f t="shared" si="29"/>
        <v>6.9939329752231894</v>
      </c>
      <c r="Q92" s="179" t="str">
        <f t="shared" si="28"/>
        <v>CCME Fish</v>
      </c>
      <c r="R92" s="219">
        <f t="shared" si="33"/>
        <v>-2.2703021194974884</v>
      </c>
      <c r="S92" s="220">
        <f t="shared" si="34"/>
        <v>9.2642350947206786</v>
      </c>
      <c r="T92" s="236">
        <f t="shared" si="31"/>
        <v>8</v>
      </c>
      <c r="U92" s="221" t="str">
        <f t="shared" si="25"/>
        <v>8-MOR-NOEC-EM</v>
      </c>
      <c r="V92" s="222" cm="1">
        <f t="array" ref="V92">GEOMEAN(IF(U92=$U$7:$U$360,$S$7:$S$360))</f>
        <v>9.2642350947206786</v>
      </c>
      <c r="W92" s="223">
        <f t="shared" si="35"/>
        <v>6.0967964372918813</v>
      </c>
      <c r="X92" s="225">
        <f t="shared" si="30"/>
        <v>444.43172219367909</v>
      </c>
      <c r="Y92" s="225">
        <f t="shared" si="37"/>
        <v>444.43172219367909</v>
      </c>
      <c r="Z92" s="226" t="s">
        <v>1507</v>
      </c>
      <c r="AA92" s="180" t="s">
        <v>1348</v>
      </c>
      <c r="AB92" s="227" t="s">
        <v>1846</v>
      </c>
      <c r="AC92" s="243" t="s">
        <v>1798</v>
      </c>
      <c r="AD92" s="243"/>
      <c r="AE92" s="229" t="s">
        <v>1584</v>
      </c>
      <c r="AG92" s="244"/>
      <c r="AH92" s="244"/>
      <c r="AI92" s="244"/>
      <c r="AJ92" s="258"/>
      <c r="AK92" s="258"/>
    </row>
    <row r="93" spans="1:38" s="182" customFormat="1" ht="15.75" customHeight="1" x14ac:dyDescent="0.25">
      <c r="A93" s="182" t="s">
        <v>1866</v>
      </c>
      <c r="B93" s="183"/>
      <c r="C93" s="217">
        <v>2003</v>
      </c>
      <c r="D93" s="261" t="s">
        <v>1385</v>
      </c>
      <c r="E93" s="180" t="s">
        <v>1386</v>
      </c>
      <c r="F93" s="180" t="s">
        <v>904</v>
      </c>
      <c r="G93" s="180" t="s">
        <v>82</v>
      </c>
      <c r="H93" s="180" t="s">
        <v>1387</v>
      </c>
      <c r="I93" s="180" t="s">
        <v>158</v>
      </c>
      <c r="J93" s="180" t="s">
        <v>54</v>
      </c>
      <c r="K93" s="180">
        <v>120</v>
      </c>
      <c r="L93" s="180">
        <v>56</v>
      </c>
      <c r="M93" s="180">
        <v>6.7</v>
      </c>
      <c r="N93" s="181">
        <v>6.5</v>
      </c>
      <c r="O93" s="94">
        <v>0.5</v>
      </c>
      <c r="P93" s="239">
        <f t="shared" si="29"/>
        <v>4.0253516907351496</v>
      </c>
      <c r="Q93" s="179" t="str">
        <f t="shared" si="28"/>
        <v>CCME Fish</v>
      </c>
      <c r="R93" s="219">
        <f t="shared" si="33"/>
        <v>-3.7720767503649739</v>
      </c>
      <c r="S93" s="220">
        <f t="shared" si="34"/>
        <v>7.7974284411001236</v>
      </c>
      <c r="T93" s="236">
        <f t="shared" si="31"/>
        <v>8</v>
      </c>
      <c r="U93" s="221"/>
      <c r="V93" s="222" t="e" cm="1">
        <f t="array" ref="V93">GEOMEAN(IF(U93=$U$7:$U$360,$S$7:$S$360))</f>
        <v>#NUM!</v>
      </c>
      <c r="W93" s="223" t="e">
        <f t="shared" si="35"/>
        <v>#NUM!</v>
      </c>
      <c r="X93" s="225" t="e">
        <f t="shared" si="30"/>
        <v>#NUM!</v>
      </c>
      <c r="Y93" s="225"/>
      <c r="Z93" s="226" t="s">
        <v>1507</v>
      </c>
      <c r="AA93" s="194" t="s">
        <v>1867</v>
      </c>
      <c r="AB93" s="254"/>
      <c r="AC93" s="243" t="s">
        <v>1772</v>
      </c>
      <c r="AD93" s="251">
        <v>0.83</v>
      </c>
      <c r="AE93" s="243" t="s">
        <v>1859</v>
      </c>
      <c r="AG93" s="244"/>
      <c r="AH93" s="244"/>
      <c r="AI93" s="244"/>
      <c r="AJ93" s="258"/>
      <c r="AK93" s="258"/>
    </row>
    <row r="94" spans="1:38" s="259" customFormat="1" ht="15.75" customHeight="1" x14ac:dyDescent="0.25">
      <c r="A94" s="259" t="s">
        <v>1868</v>
      </c>
      <c r="B94" s="183"/>
      <c r="C94" s="217">
        <v>2003</v>
      </c>
      <c r="D94" s="261" t="s">
        <v>1385</v>
      </c>
      <c r="E94" s="180" t="s">
        <v>1389</v>
      </c>
      <c r="F94" s="180" t="s">
        <v>904</v>
      </c>
      <c r="G94" s="180" t="s">
        <v>82</v>
      </c>
      <c r="H94" s="180" t="s">
        <v>1387</v>
      </c>
      <c r="I94" s="180" t="s">
        <v>158</v>
      </c>
      <c r="J94" s="180" t="s">
        <v>54</v>
      </c>
      <c r="K94" s="180">
        <v>120</v>
      </c>
      <c r="L94" s="180">
        <v>61</v>
      </c>
      <c r="M94" s="180">
        <v>8.6</v>
      </c>
      <c r="N94" s="181">
        <v>6.7</v>
      </c>
      <c r="O94" s="94">
        <v>0.5</v>
      </c>
      <c r="P94" s="239">
        <f t="shared" si="29"/>
        <v>4.1108738641733114</v>
      </c>
      <c r="Q94" s="179" t="str">
        <f t="shared" si="28"/>
        <v>CCME Fish</v>
      </c>
      <c r="R94" s="219">
        <f t="shared" si="33"/>
        <v>-3.6986537713761476</v>
      </c>
      <c r="S94" s="220">
        <f t="shared" si="34"/>
        <v>7.8095276355494594</v>
      </c>
      <c r="T94" s="236">
        <f t="shared" si="31"/>
        <v>8</v>
      </c>
      <c r="U94" s="221"/>
      <c r="V94" s="222" t="e" cm="1">
        <f t="array" ref="V94">GEOMEAN(IF(U94=$U$7:$U$360,$S$7:$S$360))</f>
        <v>#NUM!</v>
      </c>
      <c r="W94" s="223" t="e">
        <f t="shared" si="35"/>
        <v>#NUM!</v>
      </c>
      <c r="X94" s="225" t="e">
        <f t="shared" si="30"/>
        <v>#NUM!</v>
      </c>
      <c r="Y94" s="225"/>
      <c r="Z94" s="226" t="s">
        <v>1507</v>
      </c>
      <c r="AA94" s="194" t="s">
        <v>1867</v>
      </c>
      <c r="AB94" s="254"/>
      <c r="AC94" s="243" t="s">
        <v>1772</v>
      </c>
      <c r="AD94" s="251">
        <v>0.83</v>
      </c>
      <c r="AE94" s="243" t="s">
        <v>1859</v>
      </c>
      <c r="AG94" s="244"/>
      <c r="AH94" s="244"/>
      <c r="AI94" s="244"/>
      <c r="AJ94" s="258"/>
      <c r="AK94" s="258"/>
      <c r="AL94" s="182"/>
    </row>
    <row r="95" spans="1:38" s="182" customFormat="1" ht="15.75" customHeight="1" x14ac:dyDescent="0.2">
      <c r="B95" s="241">
        <v>2124</v>
      </c>
      <c r="C95" s="217">
        <v>1986</v>
      </c>
      <c r="D95" s="180" t="s">
        <v>1473</v>
      </c>
      <c r="E95" s="180" t="s">
        <v>41</v>
      </c>
      <c r="F95" s="180" t="s">
        <v>63</v>
      </c>
      <c r="G95" s="180" t="s">
        <v>260</v>
      </c>
      <c r="H95" s="180" t="s">
        <v>67</v>
      </c>
      <c r="I95" s="180" t="s">
        <v>237</v>
      </c>
      <c r="J95" s="180" t="s">
        <v>54</v>
      </c>
      <c r="K95" s="217">
        <v>7</v>
      </c>
      <c r="L95" s="217">
        <v>94</v>
      </c>
      <c r="M95" s="180">
        <v>32</v>
      </c>
      <c r="N95" s="181">
        <v>7.7</v>
      </c>
      <c r="O95" s="94">
        <v>0.5</v>
      </c>
      <c r="P95" s="239">
        <f t="shared" si="29"/>
        <v>4.5432947822700038</v>
      </c>
      <c r="Q95" s="262" t="str">
        <f t="shared" ref="Q95:Q158" si="38">$AG$8</f>
        <v>Gadd Daph</v>
      </c>
      <c r="R95" s="263">
        <f>$AI$8*N95+$AH$8*LN(M95)+$AJ$8*LN(O95)+$AK$8*LN(O95)*N95</f>
        <v>-3.2401518070229409</v>
      </c>
      <c r="S95" s="220">
        <f t="shared" si="34"/>
        <v>7.7834465892929448</v>
      </c>
      <c r="T95" s="236">
        <f t="shared" si="31"/>
        <v>9</v>
      </c>
      <c r="U95" s="221" t="str">
        <f t="shared" ref="U95" si="39">CONCATENATE(T95,"-",I95,"-",J95,"-",H95)</f>
        <v>9-MOR-NOEC-Neonates, &lt;24-h old</v>
      </c>
      <c r="V95" s="222" cm="1">
        <f t="array" ref="V95">GEOMEAN(IF(U95=$U$7:$U$360,$S$7:$S$360))</f>
        <v>7.7834465892929448</v>
      </c>
      <c r="W95" s="264">
        <f>V95+$AI$8*$AI$5+$AH$8*LN($AH$5)+$AJ$8*LN($AJ$5)+$AK$8*LN($AJ$5)*$AI$5</f>
        <v>4.6605589053842351</v>
      </c>
      <c r="X95" s="225">
        <f t="shared" si="30"/>
        <v>105.69513923386825</v>
      </c>
      <c r="Y95" s="225"/>
      <c r="Z95" s="226" t="s">
        <v>1467</v>
      </c>
      <c r="AA95" s="226"/>
      <c r="AB95" s="227"/>
      <c r="AC95" s="265" t="s">
        <v>1858</v>
      </c>
      <c r="AD95" s="251">
        <v>0.77</v>
      </c>
      <c r="AE95" s="243" t="s">
        <v>1773</v>
      </c>
      <c r="AG95" s="244"/>
      <c r="AH95" s="244"/>
      <c r="AI95" s="244"/>
      <c r="AJ95" s="258"/>
      <c r="AK95" s="258"/>
    </row>
    <row r="96" spans="1:38" s="182" customFormat="1" ht="15.75" customHeight="1" x14ac:dyDescent="0.2">
      <c r="B96" s="180"/>
      <c r="C96" s="217">
        <v>1990</v>
      </c>
      <c r="D96" s="180" t="s">
        <v>1575</v>
      </c>
      <c r="E96" s="180" t="s">
        <v>1869</v>
      </c>
      <c r="F96" s="180" t="s">
        <v>63</v>
      </c>
      <c r="G96" s="180" t="s">
        <v>260</v>
      </c>
      <c r="H96" s="180" t="s">
        <v>67</v>
      </c>
      <c r="I96" s="180" t="s">
        <v>76</v>
      </c>
      <c r="J96" s="180" t="s">
        <v>54</v>
      </c>
      <c r="K96" s="180" t="s">
        <v>85</v>
      </c>
      <c r="L96" s="180">
        <v>25</v>
      </c>
      <c r="M96" s="180">
        <v>97.6</v>
      </c>
      <c r="N96" s="266">
        <v>9</v>
      </c>
      <c r="O96" s="94">
        <v>2</v>
      </c>
      <c r="P96" s="239">
        <f t="shared" si="29"/>
        <v>3.2188758248682006</v>
      </c>
      <c r="Q96" s="262" t="str">
        <f t="shared" si="38"/>
        <v>Gadd Daph</v>
      </c>
      <c r="R96" s="263">
        <f t="shared" ref="R96:R159" si="40">$AI$8*N96+$AH$8*LN(M96)+$AJ$8*LN(O96)+$AK$8*LN(O96)*N96</f>
        <v>-2.733136119814537</v>
      </c>
      <c r="S96" s="220">
        <f t="shared" si="34"/>
        <v>5.952011944682738</v>
      </c>
      <c r="T96" s="236">
        <f t="shared" si="31"/>
        <v>9</v>
      </c>
      <c r="U96" s="221"/>
      <c r="V96" s="222" t="e" cm="1">
        <f t="array" ref="V96">GEOMEAN(IF(U96=$U$7:$U$360,$S$7:$S$360))</f>
        <v>#NUM!</v>
      </c>
      <c r="W96" s="264" t="e">
        <f t="shared" ref="W96:W159" si="41">V96+$AI$8*$AI$5+$AH$8*LN($AH$5)+$AJ$8*LN($AJ$5)+$AK$8*LN($AJ$5)*$AI$5</f>
        <v>#NUM!</v>
      </c>
      <c r="X96" s="225" t="e">
        <f t="shared" si="30"/>
        <v>#NUM!</v>
      </c>
      <c r="Y96" s="225"/>
      <c r="Z96" s="226" t="s">
        <v>1483</v>
      </c>
      <c r="AA96" s="194" t="s">
        <v>1870</v>
      </c>
      <c r="AB96" s="227" t="s">
        <v>1846</v>
      </c>
      <c r="AC96" s="243" t="s">
        <v>1798</v>
      </c>
      <c r="AD96" s="243"/>
      <c r="AE96" s="229" t="s">
        <v>1584</v>
      </c>
      <c r="AG96" s="244"/>
      <c r="AH96" s="244"/>
      <c r="AI96" s="244"/>
      <c r="AJ96" s="258"/>
      <c r="AK96" s="258"/>
    </row>
    <row r="97" spans="2:37" s="182" customFormat="1" ht="15.75" customHeight="1" x14ac:dyDescent="0.2">
      <c r="B97" s="180"/>
      <c r="C97" s="217">
        <v>1990</v>
      </c>
      <c r="D97" s="180" t="s">
        <v>1575</v>
      </c>
      <c r="E97" s="180" t="s">
        <v>1871</v>
      </c>
      <c r="F97" s="180" t="s">
        <v>63</v>
      </c>
      <c r="G97" s="180" t="s">
        <v>260</v>
      </c>
      <c r="H97" s="180" t="s">
        <v>67</v>
      </c>
      <c r="I97" s="180" t="s">
        <v>76</v>
      </c>
      <c r="J97" s="180" t="s">
        <v>54</v>
      </c>
      <c r="K97" s="180" t="s">
        <v>85</v>
      </c>
      <c r="L97" s="180">
        <v>50</v>
      </c>
      <c r="M97" s="180">
        <v>182</v>
      </c>
      <c r="N97" s="180">
        <v>8</v>
      </c>
      <c r="O97" s="94">
        <v>2.2999999999999998</v>
      </c>
      <c r="P97" s="239">
        <f t="shared" si="29"/>
        <v>3.912023005428146</v>
      </c>
      <c r="Q97" s="262" t="str">
        <f t="shared" si="38"/>
        <v>Gadd Daph</v>
      </c>
      <c r="R97" s="263">
        <f t="shared" si="40"/>
        <v>-2.1136451830799396</v>
      </c>
      <c r="S97" s="220">
        <f t="shared" si="34"/>
        <v>6.0256681885080852</v>
      </c>
      <c r="T97" s="236">
        <f t="shared" si="31"/>
        <v>9</v>
      </c>
      <c r="U97" s="221" t="str">
        <f t="shared" ref="U97:U99" si="42">CONCATENATE(T97,"-",I97,"-",J97,"-",H97)</f>
        <v>9-REP-NOEC-Neonates, &lt;24-h old</v>
      </c>
      <c r="V97" s="222" cm="1">
        <f t="array" ref="V97">GEOMEAN(IF(U97=$U$7:$U$360,$S$7:$S$360))</f>
        <v>5.7607295397231137</v>
      </c>
      <c r="W97" s="264">
        <f t="shared" si="41"/>
        <v>2.6378418558144037</v>
      </c>
      <c r="X97" s="225">
        <f t="shared" si="30"/>
        <v>13.982993704235232</v>
      </c>
      <c r="Y97" s="225"/>
      <c r="Z97" s="226" t="s">
        <v>1467</v>
      </c>
      <c r="AA97" s="226"/>
      <c r="AB97" s="227" t="s">
        <v>1846</v>
      </c>
      <c r="AC97" s="243" t="s">
        <v>1798</v>
      </c>
      <c r="AD97" s="244"/>
      <c r="AE97" s="229" t="s">
        <v>1584</v>
      </c>
      <c r="AG97" s="244"/>
      <c r="AH97" s="244"/>
      <c r="AI97" s="244"/>
      <c r="AJ97" s="258"/>
      <c r="AK97" s="258"/>
    </row>
    <row r="98" spans="2:37" s="182" customFormat="1" ht="15.75" customHeight="1" x14ac:dyDescent="0.2">
      <c r="B98" s="180"/>
      <c r="C98" s="217">
        <v>1990</v>
      </c>
      <c r="D98" s="180" t="s">
        <v>1575</v>
      </c>
      <c r="E98" s="180" t="s">
        <v>1872</v>
      </c>
      <c r="F98" s="180" t="s">
        <v>63</v>
      </c>
      <c r="G98" s="180" t="s">
        <v>260</v>
      </c>
      <c r="H98" s="180" t="s">
        <v>67</v>
      </c>
      <c r="I98" s="180" t="s">
        <v>76</v>
      </c>
      <c r="J98" s="180" t="s">
        <v>54</v>
      </c>
      <c r="K98" s="180" t="s">
        <v>85</v>
      </c>
      <c r="L98" s="180">
        <v>50</v>
      </c>
      <c r="M98" s="180">
        <v>113.6</v>
      </c>
      <c r="N98" s="180">
        <v>6</v>
      </c>
      <c r="O98" s="94">
        <v>5</v>
      </c>
      <c r="P98" s="239">
        <f t="shared" si="29"/>
        <v>3.912023005428146</v>
      </c>
      <c r="Q98" s="262" t="str">
        <f t="shared" si="38"/>
        <v>Gadd Daph</v>
      </c>
      <c r="R98" s="263">
        <f t="shared" si="40"/>
        <v>-1.5884905965536507</v>
      </c>
      <c r="S98" s="220">
        <f t="shared" si="34"/>
        <v>5.5005136019817966</v>
      </c>
      <c r="T98" s="236">
        <f t="shared" si="31"/>
        <v>9</v>
      </c>
      <c r="U98" s="221" t="str">
        <f t="shared" si="42"/>
        <v>9-REP-NOEC-Neonates, &lt;24-h old</v>
      </c>
      <c r="V98" s="222" cm="1">
        <f t="array" ref="V98">GEOMEAN(IF(U98=$U$7:$U$360,$S$7:$S$360))</f>
        <v>5.7607295397231137</v>
      </c>
      <c r="W98" s="264">
        <f t="shared" si="41"/>
        <v>2.6378418558144037</v>
      </c>
      <c r="X98" s="225">
        <f t="shared" si="30"/>
        <v>13.982993704235232</v>
      </c>
      <c r="Y98" s="225"/>
      <c r="Z98" s="226" t="s">
        <v>1467</v>
      </c>
      <c r="AA98" s="226"/>
      <c r="AB98" s="227" t="s">
        <v>1846</v>
      </c>
      <c r="AC98" s="243" t="s">
        <v>1798</v>
      </c>
      <c r="AD98" s="243"/>
      <c r="AE98" s="229" t="s">
        <v>1584</v>
      </c>
      <c r="AG98" s="244"/>
      <c r="AH98" s="244"/>
      <c r="AI98" s="244"/>
      <c r="AJ98" s="258"/>
      <c r="AK98" s="258"/>
    </row>
    <row r="99" spans="2:37" s="182" customFormat="1" ht="15.75" customHeight="1" x14ac:dyDescent="0.2">
      <c r="B99" s="180"/>
      <c r="C99" s="217">
        <v>1990</v>
      </c>
      <c r="D99" s="180" t="s">
        <v>1575</v>
      </c>
      <c r="E99" s="180" t="s">
        <v>1872</v>
      </c>
      <c r="F99" s="180" t="s">
        <v>63</v>
      </c>
      <c r="G99" s="180" t="s">
        <v>260</v>
      </c>
      <c r="H99" s="180" t="s">
        <v>67</v>
      </c>
      <c r="I99" s="180" t="s">
        <v>76</v>
      </c>
      <c r="J99" s="180" t="s">
        <v>54</v>
      </c>
      <c r="K99" s="180" t="s">
        <v>85</v>
      </c>
      <c r="L99" s="180">
        <v>50</v>
      </c>
      <c r="M99" s="180">
        <v>113.6</v>
      </c>
      <c r="N99" s="180">
        <v>8</v>
      </c>
      <c r="O99" s="94">
        <v>5</v>
      </c>
      <c r="P99" s="239">
        <f t="shared" si="29"/>
        <v>3.912023005428146</v>
      </c>
      <c r="Q99" s="262" t="str">
        <f t="shared" si="38"/>
        <v>Gadd Daph</v>
      </c>
      <c r="R99" s="263">
        <f t="shared" si="40"/>
        <v>-1.8559603985852826</v>
      </c>
      <c r="S99" s="220">
        <f t="shared" si="34"/>
        <v>5.7679834040134281</v>
      </c>
      <c r="T99" s="236">
        <f t="shared" si="31"/>
        <v>9</v>
      </c>
      <c r="U99" s="221" t="str">
        <f t="shared" si="42"/>
        <v>9-REP-NOEC-Neonates, &lt;24-h old</v>
      </c>
      <c r="V99" s="222" cm="1">
        <f t="array" ref="V99">GEOMEAN(IF(U99=$U$7:$U$360,$S$7:$S$360))</f>
        <v>5.7607295397231137</v>
      </c>
      <c r="W99" s="264">
        <f t="shared" si="41"/>
        <v>2.6378418558144037</v>
      </c>
      <c r="X99" s="225">
        <f t="shared" si="30"/>
        <v>13.982993704235232</v>
      </c>
      <c r="Y99" s="225"/>
      <c r="Z99" s="226" t="s">
        <v>1467</v>
      </c>
      <c r="AA99" s="226"/>
      <c r="AB99" s="227" t="s">
        <v>1846</v>
      </c>
      <c r="AC99" s="243" t="s">
        <v>1798</v>
      </c>
      <c r="AD99" s="243"/>
      <c r="AE99" s="229" t="s">
        <v>1584</v>
      </c>
      <c r="AG99" s="244"/>
      <c r="AH99" s="244"/>
      <c r="AI99" s="244"/>
      <c r="AJ99" s="258"/>
      <c r="AK99" s="258"/>
    </row>
    <row r="100" spans="2:37" s="182" customFormat="1" ht="15.75" customHeight="1" x14ac:dyDescent="0.2">
      <c r="B100" s="180"/>
      <c r="C100" s="217">
        <v>1990</v>
      </c>
      <c r="D100" s="180" t="s">
        <v>1575</v>
      </c>
      <c r="E100" s="180" t="s">
        <v>1872</v>
      </c>
      <c r="F100" s="180" t="s">
        <v>63</v>
      </c>
      <c r="G100" s="180" t="s">
        <v>260</v>
      </c>
      <c r="H100" s="180" t="s">
        <v>67</v>
      </c>
      <c r="I100" s="180" t="s">
        <v>76</v>
      </c>
      <c r="J100" s="180" t="s">
        <v>54</v>
      </c>
      <c r="K100" s="180" t="s">
        <v>85</v>
      </c>
      <c r="L100" s="180">
        <v>50</v>
      </c>
      <c r="M100" s="180">
        <v>113.6</v>
      </c>
      <c r="N100" s="266">
        <v>9</v>
      </c>
      <c r="O100" s="94">
        <v>5</v>
      </c>
      <c r="P100" s="239">
        <f t="shared" si="29"/>
        <v>3.912023005428146</v>
      </c>
      <c r="Q100" s="262" t="str">
        <f t="shared" si="38"/>
        <v>Gadd Daph</v>
      </c>
      <c r="R100" s="263">
        <f t="shared" si="40"/>
        <v>-1.9896952996010979</v>
      </c>
      <c r="S100" s="220">
        <f t="shared" si="34"/>
        <v>5.9017183050292434</v>
      </c>
      <c r="T100" s="236">
        <f t="shared" si="31"/>
        <v>9</v>
      </c>
      <c r="U100" s="221"/>
      <c r="V100" s="222" t="e" cm="1">
        <f t="array" ref="V100">GEOMEAN(IF(U100=$U$7:$U$360,$S$7:$S$360))</f>
        <v>#NUM!</v>
      </c>
      <c r="W100" s="264" t="e">
        <f t="shared" si="41"/>
        <v>#NUM!</v>
      </c>
      <c r="X100" s="225" t="e">
        <f t="shared" si="30"/>
        <v>#NUM!</v>
      </c>
      <c r="Y100" s="225"/>
      <c r="Z100" s="226" t="s">
        <v>1467</v>
      </c>
      <c r="AA100" s="194" t="s">
        <v>1870</v>
      </c>
      <c r="AB100" s="227" t="s">
        <v>1846</v>
      </c>
      <c r="AC100" s="243" t="s">
        <v>1798</v>
      </c>
      <c r="AD100" s="243"/>
      <c r="AE100" s="229" t="s">
        <v>1584</v>
      </c>
      <c r="AG100" s="244"/>
      <c r="AH100" s="244"/>
      <c r="AI100" s="244"/>
      <c r="AJ100" s="258"/>
      <c r="AK100" s="258"/>
    </row>
    <row r="101" spans="2:37" s="182" customFormat="1" ht="15.75" customHeight="1" x14ac:dyDescent="0.2">
      <c r="B101" s="180"/>
      <c r="C101" s="217">
        <v>1990</v>
      </c>
      <c r="D101" s="180" t="s">
        <v>1575</v>
      </c>
      <c r="E101" s="180" t="s">
        <v>41</v>
      </c>
      <c r="F101" s="180" t="s">
        <v>63</v>
      </c>
      <c r="G101" s="180" t="s">
        <v>260</v>
      </c>
      <c r="H101" s="180" t="s">
        <v>67</v>
      </c>
      <c r="I101" s="180" t="s">
        <v>76</v>
      </c>
      <c r="J101" s="180" t="s">
        <v>54</v>
      </c>
      <c r="K101" s="180" t="s">
        <v>85</v>
      </c>
      <c r="L101" s="180">
        <v>100</v>
      </c>
      <c r="M101" s="180">
        <v>182</v>
      </c>
      <c r="N101" s="266">
        <v>9</v>
      </c>
      <c r="O101" s="94">
        <v>2.2999999999999998</v>
      </c>
      <c r="P101" s="239">
        <f t="shared" si="29"/>
        <v>4.6051701859880918</v>
      </c>
      <c r="Q101" s="262" t="str">
        <f t="shared" si="38"/>
        <v>Gadd Daph</v>
      </c>
      <c r="R101" s="263">
        <f t="shared" si="40"/>
        <v>-2.4337469935755145</v>
      </c>
      <c r="S101" s="220">
        <f t="shared" si="34"/>
        <v>7.0389171795636063</v>
      </c>
      <c r="T101" s="236">
        <f t="shared" si="31"/>
        <v>9</v>
      </c>
      <c r="U101" s="221"/>
      <c r="V101" s="222" t="e" cm="1">
        <f t="array" ref="V101">GEOMEAN(IF(U101=$U$7:$U$360,$S$7:$S$360))</f>
        <v>#NUM!</v>
      </c>
      <c r="W101" s="264" t="e">
        <f t="shared" si="41"/>
        <v>#NUM!</v>
      </c>
      <c r="X101" s="225" t="e">
        <f t="shared" si="30"/>
        <v>#NUM!</v>
      </c>
      <c r="Y101" s="225"/>
      <c r="Z101" s="226" t="s">
        <v>1467</v>
      </c>
      <c r="AA101" s="194" t="s">
        <v>1870</v>
      </c>
      <c r="AB101" s="227" t="s">
        <v>1846</v>
      </c>
      <c r="AC101" s="243" t="s">
        <v>1798</v>
      </c>
      <c r="AD101" s="243"/>
      <c r="AE101" s="229" t="s">
        <v>1584</v>
      </c>
      <c r="AG101" s="244"/>
      <c r="AH101" s="244"/>
      <c r="AI101" s="244"/>
      <c r="AJ101" s="258"/>
      <c r="AK101" s="258"/>
    </row>
    <row r="102" spans="2:37" s="182" customFormat="1" ht="15.75" customHeight="1" x14ac:dyDescent="0.2">
      <c r="B102" s="180">
        <v>115778</v>
      </c>
      <c r="C102" s="217">
        <v>2009</v>
      </c>
      <c r="D102" s="180" t="s">
        <v>1066</v>
      </c>
      <c r="E102" s="180" t="s">
        <v>41</v>
      </c>
      <c r="F102" s="180" t="s">
        <v>63</v>
      </c>
      <c r="G102" s="180" t="s">
        <v>260</v>
      </c>
      <c r="H102" s="180" t="s">
        <v>338</v>
      </c>
      <c r="I102" s="180" t="s">
        <v>237</v>
      </c>
      <c r="J102" s="180" t="s">
        <v>54</v>
      </c>
      <c r="K102" s="180" t="s">
        <v>85</v>
      </c>
      <c r="L102" s="180">
        <v>101.1</v>
      </c>
      <c r="M102" s="180">
        <v>82.4</v>
      </c>
      <c r="N102" s="181">
        <v>7.5</v>
      </c>
      <c r="O102" s="94">
        <v>0.5</v>
      </c>
      <c r="P102" s="239">
        <f t="shared" si="29"/>
        <v>4.6161101260264257</v>
      </c>
      <c r="Q102" s="262" t="str">
        <f t="shared" si="38"/>
        <v>Gadd Daph</v>
      </c>
      <c r="R102" s="263">
        <f t="shared" si="40"/>
        <v>-2.8096673867801965</v>
      </c>
      <c r="S102" s="220">
        <f t="shared" si="34"/>
        <v>7.4257775128066221</v>
      </c>
      <c r="T102" s="236">
        <f t="shared" si="31"/>
        <v>9</v>
      </c>
      <c r="U102" s="221" t="str">
        <f t="shared" ref="U102:U104" si="43">CONCATENATE(T102,"-",I102,"-",J102,"-",H102)</f>
        <v>9-MOR-NOEC-NE</v>
      </c>
      <c r="V102" s="222" cm="1">
        <f t="array" ref="V102">GEOMEAN(IF(U102=$U$7:$U$360,$S$7:$S$360))</f>
        <v>7.4257775128066221</v>
      </c>
      <c r="W102" s="264">
        <f t="shared" si="41"/>
        <v>4.3028898288979125</v>
      </c>
      <c r="X102" s="225">
        <f t="shared" si="30"/>
        <v>73.913081527430791</v>
      </c>
      <c r="Y102" s="225"/>
      <c r="Z102" s="226" t="s">
        <v>1467</v>
      </c>
      <c r="AA102" s="226"/>
      <c r="AB102" s="246"/>
      <c r="AC102" s="243" t="s">
        <v>1772</v>
      </c>
      <c r="AD102" s="251">
        <v>0.87</v>
      </c>
      <c r="AE102" s="243" t="s">
        <v>1873</v>
      </c>
      <c r="AG102" s="244"/>
      <c r="AH102" s="244"/>
      <c r="AI102" s="244"/>
      <c r="AJ102" s="258"/>
      <c r="AK102" s="258"/>
    </row>
    <row r="103" spans="2:37" s="182" customFormat="1" ht="15.75" customHeight="1" x14ac:dyDescent="0.2">
      <c r="B103" s="180">
        <v>115778</v>
      </c>
      <c r="C103" s="217">
        <v>2009</v>
      </c>
      <c r="D103" s="180" t="s">
        <v>1066</v>
      </c>
      <c r="E103" s="180" t="s">
        <v>41</v>
      </c>
      <c r="F103" s="180" t="s">
        <v>63</v>
      </c>
      <c r="G103" s="180" t="s">
        <v>260</v>
      </c>
      <c r="H103" s="180" t="s">
        <v>338</v>
      </c>
      <c r="I103" s="180" t="s">
        <v>76</v>
      </c>
      <c r="J103" s="180" t="s">
        <v>54</v>
      </c>
      <c r="K103" s="180" t="s">
        <v>85</v>
      </c>
      <c r="L103" s="180">
        <v>13</v>
      </c>
      <c r="M103" s="180">
        <v>82.4</v>
      </c>
      <c r="N103" s="181">
        <v>7.5</v>
      </c>
      <c r="O103" s="94">
        <v>0.5</v>
      </c>
      <c r="P103" s="239">
        <f t="shared" si="29"/>
        <v>2.5649493574615367</v>
      </c>
      <c r="Q103" s="262" t="str">
        <f t="shared" si="38"/>
        <v>Gadd Daph</v>
      </c>
      <c r="R103" s="263">
        <f t="shared" si="40"/>
        <v>-2.8096673867801965</v>
      </c>
      <c r="S103" s="220">
        <f t="shared" si="34"/>
        <v>5.3746167442417327</v>
      </c>
      <c r="T103" s="236">
        <f t="shared" si="31"/>
        <v>9</v>
      </c>
      <c r="U103" s="221" t="str">
        <f t="shared" si="43"/>
        <v>9-REP-NOEC-NE</v>
      </c>
      <c r="V103" s="222" cm="1">
        <f t="array" ref="V103">GEOMEAN(IF(U103=$U$7:$U$360,$S$7:$S$360))</f>
        <v>5.3746167442417327</v>
      </c>
      <c r="W103" s="264">
        <f t="shared" si="41"/>
        <v>2.2517290603330227</v>
      </c>
      <c r="X103" s="225">
        <f t="shared" si="30"/>
        <v>9.5041548947240315</v>
      </c>
      <c r="Y103" s="225"/>
      <c r="Z103" s="226" t="s">
        <v>1467</v>
      </c>
      <c r="AA103" s="226"/>
      <c r="AB103" s="246"/>
      <c r="AC103" s="243" t="s">
        <v>1772</v>
      </c>
      <c r="AD103" s="251">
        <v>0.87</v>
      </c>
      <c r="AE103" s="243" t="s">
        <v>1873</v>
      </c>
      <c r="AG103" s="244"/>
      <c r="AH103" s="244"/>
      <c r="AI103" s="244"/>
      <c r="AJ103" s="258"/>
      <c r="AK103" s="258"/>
    </row>
    <row r="104" spans="2:37" s="182" customFormat="1" ht="15.75" customHeight="1" x14ac:dyDescent="0.2">
      <c r="B104" s="267"/>
      <c r="C104" s="217">
        <v>2015</v>
      </c>
      <c r="D104" s="180" t="s">
        <v>1491</v>
      </c>
      <c r="E104" s="180" t="s">
        <v>41</v>
      </c>
      <c r="F104" s="180" t="s">
        <v>63</v>
      </c>
      <c r="G104" s="180" t="s">
        <v>260</v>
      </c>
      <c r="H104" s="180" t="s">
        <v>67</v>
      </c>
      <c r="I104" s="180" t="s">
        <v>68</v>
      </c>
      <c r="J104" s="180" t="s">
        <v>49</v>
      </c>
      <c r="K104" s="180" t="s">
        <v>70</v>
      </c>
      <c r="L104" s="180">
        <v>46.6</v>
      </c>
      <c r="M104" s="180">
        <v>40</v>
      </c>
      <c r="N104" s="180">
        <v>7.5</v>
      </c>
      <c r="O104" s="94">
        <v>0.5</v>
      </c>
      <c r="P104" s="239">
        <f t="shared" si="29"/>
        <v>3.8416005411316001</v>
      </c>
      <c r="Q104" s="262" t="str">
        <f t="shared" si="38"/>
        <v>Gadd Daph</v>
      </c>
      <c r="R104" s="263">
        <f t="shared" si="40"/>
        <v>-3.033706241448658</v>
      </c>
      <c r="S104" s="220">
        <f t="shared" si="34"/>
        <v>6.8753067825802585</v>
      </c>
      <c r="T104" s="236">
        <f t="shared" si="31"/>
        <v>9</v>
      </c>
      <c r="U104" s="221" t="str">
        <f t="shared" si="43"/>
        <v>9-Survival &amp; reproduction-EC10-Neonates, &lt;24-h old</v>
      </c>
      <c r="V104" s="222" cm="1">
        <f t="array" ref="V104">GEOMEAN(IF(U104=$U$7:$U$360,$S$7:$S$360))</f>
        <v>6.8753067825802585</v>
      </c>
      <c r="W104" s="264">
        <f t="shared" si="41"/>
        <v>3.7524190986715484</v>
      </c>
      <c r="X104" s="225">
        <f t="shared" si="30"/>
        <v>42.624069210930678</v>
      </c>
      <c r="Y104" s="225">
        <f t="shared" ref="Y104" si="44">X104</f>
        <v>42.624069210930678</v>
      </c>
      <c r="Z104" s="268"/>
      <c r="AA104" s="268"/>
      <c r="AB104" s="246"/>
      <c r="AC104" s="269" t="s">
        <v>1772</v>
      </c>
      <c r="AD104" s="270">
        <v>0.84</v>
      </c>
      <c r="AE104" s="269" t="s">
        <v>1859</v>
      </c>
      <c r="AG104" s="244"/>
      <c r="AH104" s="244"/>
      <c r="AI104" s="244"/>
    </row>
    <row r="105" spans="2:37" s="182" customFormat="1" ht="15.75" customHeight="1" x14ac:dyDescent="0.2">
      <c r="B105" s="180"/>
      <c r="C105" s="217">
        <v>2022</v>
      </c>
      <c r="D105" s="180" t="s">
        <v>1654</v>
      </c>
      <c r="E105" s="180" t="s">
        <v>1673</v>
      </c>
      <c r="F105" s="180" t="s">
        <v>63</v>
      </c>
      <c r="G105" s="180" t="s">
        <v>260</v>
      </c>
      <c r="H105" s="180" t="s">
        <v>67</v>
      </c>
      <c r="I105" s="180" t="s">
        <v>76</v>
      </c>
      <c r="J105" s="180" t="s">
        <v>49</v>
      </c>
      <c r="K105" s="180">
        <v>7</v>
      </c>
      <c r="L105" s="180">
        <v>52</v>
      </c>
      <c r="M105" s="180">
        <v>18</v>
      </c>
      <c r="N105" s="180">
        <v>7.2</v>
      </c>
      <c r="O105" s="94">
        <v>5</v>
      </c>
      <c r="P105" s="239">
        <f t="shared" si="29"/>
        <v>3.9512437185814275</v>
      </c>
      <c r="Q105" s="262" t="str">
        <f t="shared" si="38"/>
        <v>Gadd Daph</v>
      </c>
      <c r="R105" s="263">
        <f t="shared" si="40"/>
        <v>-2.3200891197738041</v>
      </c>
      <c r="S105" s="220">
        <f t="shared" si="34"/>
        <v>6.2713328383552316</v>
      </c>
      <c r="T105" s="236">
        <f t="shared" si="31"/>
        <v>9</v>
      </c>
      <c r="U105" s="221"/>
      <c r="V105" s="222" t="e" cm="1">
        <f t="array" ref="V105">GEOMEAN(IF(U105=$U$7:$U$360,$S$7:$S$360))</f>
        <v>#NUM!</v>
      </c>
      <c r="W105" s="264" t="e">
        <f t="shared" si="41"/>
        <v>#NUM!</v>
      </c>
      <c r="X105" s="225" t="e">
        <f t="shared" si="30"/>
        <v>#NUM!</v>
      </c>
      <c r="Y105" s="225"/>
      <c r="Z105" s="226"/>
      <c r="AA105" s="194" t="s">
        <v>1874</v>
      </c>
      <c r="AB105" s="246"/>
      <c r="AC105" s="243" t="s">
        <v>1772</v>
      </c>
      <c r="AD105" s="251">
        <v>0.87</v>
      </c>
      <c r="AE105" s="243" t="s">
        <v>1859</v>
      </c>
      <c r="AG105" s="244"/>
      <c r="AH105" s="244"/>
      <c r="AI105" s="244"/>
    </row>
    <row r="106" spans="2:37" s="182" customFormat="1" ht="15.75" customHeight="1" x14ac:dyDescent="0.2">
      <c r="B106" s="180"/>
      <c r="C106" s="217">
        <v>2022</v>
      </c>
      <c r="D106" s="180" t="s">
        <v>1654</v>
      </c>
      <c r="E106" s="180" t="s">
        <v>1674</v>
      </c>
      <c r="F106" s="180" t="s">
        <v>63</v>
      </c>
      <c r="G106" s="180" t="s">
        <v>260</v>
      </c>
      <c r="H106" s="180" t="s">
        <v>67</v>
      </c>
      <c r="I106" s="180" t="s">
        <v>76</v>
      </c>
      <c r="J106" s="180" t="s">
        <v>49</v>
      </c>
      <c r="K106" s="180">
        <v>7</v>
      </c>
      <c r="L106" s="180">
        <v>83</v>
      </c>
      <c r="M106" s="180">
        <v>23</v>
      </c>
      <c r="N106" s="180">
        <v>7.68</v>
      </c>
      <c r="O106" s="94">
        <v>2</v>
      </c>
      <c r="P106" s="239">
        <f t="shared" si="29"/>
        <v>4.4188406077965983</v>
      </c>
      <c r="Q106" s="262" t="str">
        <f t="shared" si="38"/>
        <v>Gadd Daph</v>
      </c>
      <c r="R106" s="263">
        <f t="shared" si="40"/>
        <v>-2.714393962637796</v>
      </c>
      <c r="S106" s="220">
        <f t="shared" si="34"/>
        <v>7.1332345704343947</v>
      </c>
      <c r="T106" s="236">
        <f t="shared" si="31"/>
        <v>9</v>
      </c>
      <c r="U106" s="221" t="str">
        <f t="shared" ref="U106" si="45">CONCATENATE(T106,"-",I106,"-",J106,"-",H106)</f>
        <v>9-REP-EC10-Neonates, &lt;24-h old</v>
      </c>
      <c r="V106" s="222" cm="1">
        <f t="array" ref="V106">GEOMEAN(IF(U106=$U$7:$U$360,$S$7:$S$360))</f>
        <v>5.9159169754321432</v>
      </c>
      <c r="W106" s="264">
        <f t="shared" si="41"/>
        <v>2.7930292915234332</v>
      </c>
      <c r="X106" s="225">
        <f t="shared" si="30"/>
        <v>16.330414534816867</v>
      </c>
      <c r="Y106" s="225">
        <f t="shared" ref="Y106" si="46">X106</f>
        <v>16.330414534816867</v>
      </c>
      <c r="Z106" s="226"/>
      <c r="AA106" s="226"/>
      <c r="AB106" s="246"/>
      <c r="AC106" s="243" t="s">
        <v>1772</v>
      </c>
      <c r="AD106" s="251">
        <v>0.87</v>
      </c>
      <c r="AE106" s="243" t="s">
        <v>1859</v>
      </c>
      <c r="AG106" s="244"/>
      <c r="AH106" s="244"/>
      <c r="AI106" s="244"/>
    </row>
    <row r="107" spans="2:37" s="182" customFormat="1" ht="15.75" customHeight="1" x14ac:dyDescent="0.2">
      <c r="B107" s="180"/>
      <c r="C107" s="217">
        <v>2022</v>
      </c>
      <c r="D107" s="180" t="s">
        <v>1654</v>
      </c>
      <c r="E107" s="180" t="s">
        <v>1673</v>
      </c>
      <c r="F107" s="180" t="s">
        <v>63</v>
      </c>
      <c r="G107" s="180" t="s">
        <v>260</v>
      </c>
      <c r="H107" s="180" t="s">
        <v>67</v>
      </c>
      <c r="I107" s="180" t="s">
        <v>76</v>
      </c>
      <c r="J107" s="180" t="s">
        <v>927</v>
      </c>
      <c r="K107" s="180">
        <v>7</v>
      </c>
      <c r="L107" s="180">
        <v>73</v>
      </c>
      <c r="M107" s="180">
        <v>18</v>
      </c>
      <c r="N107" s="180">
        <v>7.2</v>
      </c>
      <c r="O107" s="94">
        <v>5</v>
      </c>
      <c r="P107" s="239">
        <f t="shared" si="29"/>
        <v>4.290459441148391</v>
      </c>
      <c r="Q107" s="262" t="str">
        <f t="shared" si="38"/>
        <v>Gadd Daph</v>
      </c>
      <c r="R107" s="263">
        <f t="shared" si="40"/>
        <v>-2.3200891197738041</v>
      </c>
      <c r="S107" s="220">
        <f t="shared" si="34"/>
        <v>6.6105485609221954</v>
      </c>
      <c r="T107" s="236">
        <f t="shared" si="31"/>
        <v>9</v>
      </c>
      <c r="U107" s="221"/>
      <c r="V107" s="222" t="e" cm="1">
        <f t="array" ref="V107">GEOMEAN(IF(U107=$U$7:$U$360,$S$7:$S$360))</f>
        <v>#NUM!</v>
      </c>
      <c r="W107" s="264" t="e">
        <f t="shared" si="41"/>
        <v>#NUM!</v>
      </c>
      <c r="X107" s="225" t="e">
        <f t="shared" si="30"/>
        <v>#NUM!</v>
      </c>
      <c r="Y107" s="225"/>
      <c r="Z107" s="226" t="s">
        <v>1467</v>
      </c>
      <c r="AA107" s="194" t="s">
        <v>1874</v>
      </c>
      <c r="AB107" s="271"/>
      <c r="AC107" s="243"/>
      <c r="AD107" s="243"/>
      <c r="AE107" s="243"/>
      <c r="AG107" s="244"/>
      <c r="AH107" s="244"/>
      <c r="AI107" s="244"/>
    </row>
    <row r="108" spans="2:37" s="182" customFormat="1" ht="15.75" customHeight="1" x14ac:dyDescent="0.2">
      <c r="B108" s="180"/>
      <c r="C108" s="217">
        <v>2022</v>
      </c>
      <c r="D108" s="180" t="s">
        <v>1654</v>
      </c>
      <c r="E108" s="180" t="s">
        <v>1674</v>
      </c>
      <c r="F108" s="180" t="s">
        <v>63</v>
      </c>
      <c r="G108" s="180" t="s">
        <v>260</v>
      </c>
      <c r="H108" s="180" t="s">
        <v>67</v>
      </c>
      <c r="I108" s="180" t="s">
        <v>76</v>
      </c>
      <c r="J108" s="180" t="s">
        <v>927</v>
      </c>
      <c r="K108" s="180">
        <v>7</v>
      </c>
      <c r="L108" s="180">
        <v>101</v>
      </c>
      <c r="M108" s="180">
        <v>23</v>
      </c>
      <c r="N108" s="180">
        <v>7.68</v>
      </c>
      <c r="O108" s="94">
        <v>2</v>
      </c>
      <c r="P108" s="239">
        <f t="shared" si="29"/>
        <v>4.6151205168412597</v>
      </c>
      <c r="Q108" s="262" t="str">
        <f t="shared" si="38"/>
        <v>Gadd Daph</v>
      </c>
      <c r="R108" s="263">
        <f t="shared" si="40"/>
        <v>-2.714393962637796</v>
      </c>
      <c r="S108" s="220">
        <f t="shared" si="34"/>
        <v>7.3295144794790552</v>
      </c>
      <c r="T108" s="236">
        <f t="shared" si="31"/>
        <v>9</v>
      </c>
      <c r="U108" s="221" t="str">
        <f t="shared" ref="U108:U122" si="47">CONCATENATE(T108,"-",I108,"-",J108,"-",H108)</f>
        <v>9-REP-EC20-Neonates, &lt;24-h old</v>
      </c>
      <c r="V108" s="222" cm="1">
        <f t="array" ref="V108">GEOMEAN(IF(U108=$U$7:$U$360,$S$7:$S$360))</f>
        <v>6.1590331950720723</v>
      </c>
      <c r="W108" s="264">
        <f t="shared" si="41"/>
        <v>3.0361455111633622</v>
      </c>
      <c r="X108" s="225">
        <f t="shared" si="30"/>
        <v>20.824819304559181</v>
      </c>
      <c r="Y108" s="225"/>
      <c r="Z108" s="226" t="s">
        <v>1467</v>
      </c>
      <c r="AA108" s="226"/>
      <c r="AB108" s="254"/>
      <c r="AC108" s="243"/>
      <c r="AD108" s="243"/>
      <c r="AE108" s="243"/>
      <c r="AG108" s="244"/>
      <c r="AH108" s="244"/>
      <c r="AI108" s="244"/>
    </row>
    <row r="109" spans="2:37" s="182" customFormat="1" ht="15.75" customHeight="1" x14ac:dyDescent="0.2">
      <c r="B109" s="180"/>
      <c r="C109" s="217">
        <v>2017</v>
      </c>
      <c r="D109" s="180" t="s">
        <v>1685</v>
      </c>
      <c r="E109" s="180" t="s">
        <v>1687</v>
      </c>
      <c r="F109" s="180" t="s">
        <v>63</v>
      </c>
      <c r="G109" s="180" t="s">
        <v>260</v>
      </c>
      <c r="H109" s="180" t="s">
        <v>67</v>
      </c>
      <c r="I109" s="180" t="s">
        <v>76</v>
      </c>
      <c r="J109" s="180" t="s">
        <v>927</v>
      </c>
      <c r="K109" s="180">
        <v>7</v>
      </c>
      <c r="L109" s="180">
        <v>88</v>
      </c>
      <c r="M109" s="250">
        <v>213.11359999999996</v>
      </c>
      <c r="N109" s="180">
        <v>8.3000000000000007</v>
      </c>
      <c r="O109" s="94">
        <v>16.399999999999999</v>
      </c>
      <c r="P109" s="239">
        <f t="shared" si="29"/>
        <v>4.4773368144782069</v>
      </c>
      <c r="Q109" s="262" t="str">
        <f t="shared" si="38"/>
        <v>Gadd Daph</v>
      </c>
      <c r="R109" s="263">
        <f t="shared" si="40"/>
        <v>-0.99784358915051374</v>
      </c>
      <c r="S109" s="220">
        <f t="shared" si="34"/>
        <v>5.4751804036287206</v>
      </c>
      <c r="T109" s="236">
        <f t="shared" si="31"/>
        <v>9</v>
      </c>
      <c r="U109" s="221" t="str">
        <f t="shared" si="47"/>
        <v>9-REP-EC20-Neonates, &lt;24-h old</v>
      </c>
      <c r="V109" s="222" cm="1">
        <f t="array" ref="V109">GEOMEAN(IF(U109=$U$7:$U$360,$S$7:$S$360))</f>
        <v>6.1590331950720723</v>
      </c>
      <c r="W109" s="264">
        <f t="shared" si="41"/>
        <v>3.0361455111633622</v>
      </c>
      <c r="X109" s="225">
        <f t="shared" si="30"/>
        <v>20.824819304559181</v>
      </c>
      <c r="Y109" s="225"/>
      <c r="Z109" s="226" t="s">
        <v>1467</v>
      </c>
      <c r="AA109" s="226"/>
      <c r="AB109" s="254"/>
      <c r="AC109" s="243" t="s">
        <v>1772</v>
      </c>
      <c r="AD109" s="251">
        <v>0.84</v>
      </c>
      <c r="AE109" s="243" t="s">
        <v>1859</v>
      </c>
      <c r="AG109" s="244"/>
      <c r="AH109" s="244"/>
      <c r="AI109" s="244"/>
    </row>
    <row r="110" spans="2:37" s="182" customFormat="1" ht="15.75" customHeight="1" x14ac:dyDescent="0.2">
      <c r="B110" s="180"/>
      <c r="C110" s="217">
        <v>2017</v>
      </c>
      <c r="D110" s="180" t="s">
        <v>1685</v>
      </c>
      <c r="E110" s="180" t="s">
        <v>1688</v>
      </c>
      <c r="F110" s="180" t="s">
        <v>63</v>
      </c>
      <c r="G110" s="180" t="s">
        <v>260</v>
      </c>
      <c r="H110" s="180" t="s">
        <v>67</v>
      </c>
      <c r="I110" s="180" t="s">
        <v>76</v>
      </c>
      <c r="J110" s="180" t="s">
        <v>927</v>
      </c>
      <c r="K110" s="180">
        <v>7</v>
      </c>
      <c r="L110" s="180">
        <v>124</v>
      </c>
      <c r="M110" s="250">
        <v>225.565</v>
      </c>
      <c r="N110" s="180">
        <v>8.1</v>
      </c>
      <c r="O110" s="94">
        <v>9.5</v>
      </c>
      <c r="P110" s="239">
        <f t="shared" si="29"/>
        <v>4.8202815656050371</v>
      </c>
      <c r="Q110" s="262" t="str">
        <f t="shared" si="38"/>
        <v>Gadd Daph</v>
      </c>
      <c r="R110" s="263">
        <f t="shared" si="40"/>
        <v>-1.3075286681773672</v>
      </c>
      <c r="S110" s="220">
        <f t="shared" si="34"/>
        <v>6.1278102337824043</v>
      </c>
      <c r="T110" s="236">
        <f t="shared" si="31"/>
        <v>9</v>
      </c>
      <c r="U110" s="221" t="str">
        <f t="shared" si="47"/>
        <v>9-REP-EC20-Neonates, &lt;24-h old</v>
      </c>
      <c r="V110" s="222" cm="1">
        <f t="array" ref="V110">GEOMEAN(IF(U110=$U$7:$U$360,$S$7:$S$360))</f>
        <v>6.1590331950720723</v>
      </c>
      <c r="W110" s="264">
        <f t="shared" si="41"/>
        <v>3.0361455111633622</v>
      </c>
      <c r="X110" s="225">
        <f t="shared" si="30"/>
        <v>20.824819304559181</v>
      </c>
      <c r="Y110" s="225"/>
      <c r="Z110" s="226" t="s">
        <v>1467</v>
      </c>
      <c r="AA110" s="226"/>
      <c r="AB110" s="254"/>
      <c r="AC110" s="243" t="s">
        <v>1772</v>
      </c>
      <c r="AD110" s="251">
        <v>0.84</v>
      </c>
      <c r="AE110" s="243" t="s">
        <v>1859</v>
      </c>
      <c r="AG110" s="244"/>
      <c r="AH110" s="244"/>
      <c r="AI110" s="244"/>
    </row>
    <row r="111" spans="2:37" s="182" customFormat="1" ht="15.75" customHeight="1" x14ac:dyDescent="0.2">
      <c r="B111" s="180"/>
      <c r="C111" s="217">
        <v>2017</v>
      </c>
      <c r="D111" s="180" t="s">
        <v>1685</v>
      </c>
      <c r="E111" s="180" t="s">
        <v>1689</v>
      </c>
      <c r="F111" s="180" t="s">
        <v>63</v>
      </c>
      <c r="G111" s="180" t="s">
        <v>260</v>
      </c>
      <c r="H111" s="180" t="s">
        <v>67</v>
      </c>
      <c r="I111" s="180" t="s">
        <v>76</v>
      </c>
      <c r="J111" s="180" t="s">
        <v>927</v>
      </c>
      <c r="K111" s="180">
        <v>7</v>
      </c>
      <c r="L111" s="180">
        <v>77</v>
      </c>
      <c r="M111" s="250">
        <v>80.413200000000003</v>
      </c>
      <c r="N111" s="180">
        <v>8</v>
      </c>
      <c r="O111" s="94">
        <v>13.1</v>
      </c>
      <c r="P111" s="239">
        <f t="shared" si="29"/>
        <v>4.3438054218536841</v>
      </c>
      <c r="Q111" s="262" t="str">
        <f t="shared" si="38"/>
        <v>Gadd Daph</v>
      </c>
      <c r="R111" s="263">
        <f t="shared" si="40"/>
        <v>-1.462216354330125</v>
      </c>
      <c r="S111" s="220">
        <f t="shared" si="34"/>
        <v>5.8060217761838091</v>
      </c>
      <c r="T111" s="236">
        <f t="shared" si="31"/>
        <v>9</v>
      </c>
      <c r="U111" s="221" t="str">
        <f t="shared" si="47"/>
        <v>9-REP-EC20-Neonates, &lt;24-h old</v>
      </c>
      <c r="V111" s="222" cm="1">
        <f t="array" ref="V111">GEOMEAN(IF(U111=$U$7:$U$360,$S$7:$S$360))</f>
        <v>6.1590331950720723</v>
      </c>
      <c r="W111" s="264">
        <f t="shared" si="41"/>
        <v>3.0361455111633622</v>
      </c>
      <c r="X111" s="225">
        <f t="shared" si="30"/>
        <v>20.824819304559181</v>
      </c>
      <c r="Y111" s="225"/>
      <c r="Z111" s="226" t="s">
        <v>1467</v>
      </c>
      <c r="AA111" s="226"/>
      <c r="AB111" s="254"/>
      <c r="AC111" s="243" t="s">
        <v>1772</v>
      </c>
      <c r="AD111" s="251">
        <v>0.84</v>
      </c>
      <c r="AE111" s="243" t="s">
        <v>1859</v>
      </c>
      <c r="AG111" s="244"/>
      <c r="AH111" s="244"/>
      <c r="AI111" s="244"/>
    </row>
    <row r="112" spans="2:37" s="182" customFormat="1" ht="15.75" customHeight="1" x14ac:dyDescent="0.2">
      <c r="B112" s="180"/>
      <c r="C112" s="217">
        <v>2017</v>
      </c>
      <c r="D112" s="180" t="s">
        <v>1685</v>
      </c>
      <c r="E112" s="180" t="s">
        <v>1690</v>
      </c>
      <c r="F112" s="180" t="s">
        <v>63</v>
      </c>
      <c r="G112" s="180" t="s">
        <v>260</v>
      </c>
      <c r="H112" s="180" t="s">
        <v>67</v>
      </c>
      <c r="I112" s="180" t="s">
        <v>76</v>
      </c>
      <c r="J112" s="180" t="s">
        <v>927</v>
      </c>
      <c r="K112" s="180">
        <v>7</v>
      </c>
      <c r="L112" s="180">
        <v>104</v>
      </c>
      <c r="M112" s="250">
        <v>45.998000000000005</v>
      </c>
      <c r="N112" s="180">
        <v>7.2</v>
      </c>
      <c r="O112" s="94">
        <v>4.9000000000000004</v>
      </c>
      <c r="P112" s="239">
        <f t="shared" si="29"/>
        <v>4.6443908991413725</v>
      </c>
      <c r="Q112" s="262" t="str">
        <f t="shared" si="38"/>
        <v>Gadd Daph</v>
      </c>
      <c r="R112" s="263">
        <f t="shared" si="40"/>
        <v>-2.0358654983640263</v>
      </c>
      <c r="S112" s="220">
        <f t="shared" si="34"/>
        <v>6.6802563975053992</v>
      </c>
      <c r="T112" s="236">
        <f t="shared" si="31"/>
        <v>9</v>
      </c>
      <c r="U112" s="221" t="str">
        <f t="shared" si="47"/>
        <v>9-REP-EC20-Neonates, &lt;24-h old</v>
      </c>
      <c r="V112" s="222" cm="1">
        <f t="array" ref="V112">GEOMEAN(IF(U112=$U$7:$U$360,$S$7:$S$360))</f>
        <v>6.1590331950720723</v>
      </c>
      <c r="W112" s="264">
        <f t="shared" si="41"/>
        <v>3.0361455111633622</v>
      </c>
      <c r="X112" s="225">
        <f t="shared" si="30"/>
        <v>20.824819304559181</v>
      </c>
      <c r="Y112" s="225"/>
      <c r="Z112" s="226" t="s">
        <v>1467</v>
      </c>
      <c r="AA112" s="226"/>
      <c r="AB112" s="254"/>
      <c r="AC112" s="243" t="s">
        <v>1772</v>
      </c>
      <c r="AD112" s="251">
        <v>0.84</v>
      </c>
      <c r="AE112" s="243" t="s">
        <v>1859</v>
      </c>
      <c r="AG112" s="244"/>
      <c r="AH112" s="244"/>
      <c r="AI112" s="244"/>
    </row>
    <row r="113" spans="1:38" s="182" customFormat="1" ht="15.75" customHeight="1" x14ac:dyDescent="0.2">
      <c r="B113" s="180"/>
      <c r="C113" s="217">
        <v>2017</v>
      </c>
      <c r="D113" s="180" t="s">
        <v>1685</v>
      </c>
      <c r="E113" s="180" t="s">
        <v>1692</v>
      </c>
      <c r="F113" s="180" t="s">
        <v>63</v>
      </c>
      <c r="G113" s="180" t="s">
        <v>260</v>
      </c>
      <c r="H113" s="180" t="s">
        <v>67</v>
      </c>
      <c r="I113" s="180" t="s">
        <v>76</v>
      </c>
      <c r="J113" s="180" t="s">
        <v>927</v>
      </c>
      <c r="K113" s="180">
        <v>7</v>
      </c>
      <c r="L113" s="180">
        <v>124</v>
      </c>
      <c r="M113" s="250">
        <v>103.429</v>
      </c>
      <c r="N113" s="180">
        <v>7.2</v>
      </c>
      <c r="O113" s="94">
        <v>4.8</v>
      </c>
      <c r="P113" s="239">
        <f t="shared" si="29"/>
        <v>4.8202815656050371</v>
      </c>
      <c r="Q113" s="262" t="str">
        <f t="shared" si="38"/>
        <v>Gadd Daph</v>
      </c>
      <c r="R113" s="263">
        <f t="shared" si="40"/>
        <v>-1.7914395089641086</v>
      </c>
      <c r="S113" s="220">
        <f t="shared" si="34"/>
        <v>6.6117210745691457</v>
      </c>
      <c r="T113" s="236">
        <f t="shared" si="31"/>
        <v>9</v>
      </c>
      <c r="U113" s="221" t="str">
        <f t="shared" si="47"/>
        <v>9-REP-EC20-Neonates, &lt;24-h old</v>
      </c>
      <c r="V113" s="222" cm="1">
        <f t="array" ref="V113">GEOMEAN(IF(U113=$U$7:$U$360,$S$7:$S$360))</f>
        <v>6.1590331950720723</v>
      </c>
      <c r="W113" s="264">
        <f t="shared" si="41"/>
        <v>3.0361455111633622</v>
      </c>
      <c r="X113" s="225">
        <f t="shared" si="30"/>
        <v>20.824819304559181</v>
      </c>
      <c r="Y113" s="225"/>
      <c r="Z113" s="226" t="s">
        <v>1467</v>
      </c>
      <c r="AA113" s="226"/>
      <c r="AB113" s="272"/>
      <c r="AC113" s="243" t="s">
        <v>1772</v>
      </c>
      <c r="AD113" s="251">
        <v>0.84</v>
      </c>
      <c r="AE113" s="243" t="s">
        <v>1859</v>
      </c>
      <c r="AG113" s="244"/>
      <c r="AH113" s="244"/>
      <c r="AI113" s="244"/>
    </row>
    <row r="114" spans="1:38" s="182" customFormat="1" ht="15.75" customHeight="1" x14ac:dyDescent="0.2">
      <c r="B114" s="180"/>
      <c r="C114" s="217">
        <v>2017</v>
      </c>
      <c r="D114" s="180" t="s">
        <v>1685</v>
      </c>
      <c r="E114" s="180" t="s">
        <v>1693</v>
      </c>
      <c r="F114" s="180" t="s">
        <v>63</v>
      </c>
      <c r="G114" s="180" t="s">
        <v>260</v>
      </c>
      <c r="H114" s="180" t="s">
        <v>67</v>
      </c>
      <c r="I114" s="180" t="s">
        <v>76</v>
      </c>
      <c r="J114" s="180" t="s">
        <v>927</v>
      </c>
      <c r="K114" s="180">
        <v>7</v>
      </c>
      <c r="L114" s="180">
        <v>21</v>
      </c>
      <c r="M114" s="250">
        <v>45.998000000000005</v>
      </c>
      <c r="N114" s="180">
        <v>7.8</v>
      </c>
      <c r="O114" s="94">
        <v>4.7</v>
      </c>
      <c r="P114" s="239">
        <f t="shared" si="29"/>
        <v>3.044522437723423</v>
      </c>
      <c r="Q114" s="262" t="str">
        <f t="shared" si="38"/>
        <v>Gadd Daph</v>
      </c>
      <c r="R114" s="263">
        <f t="shared" si="40"/>
        <v>-2.1386851415283061</v>
      </c>
      <c r="S114" s="220">
        <f t="shared" si="34"/>
        <v>5.1832075792517287</v>
      </c>
      <c r="T114" s="236">
        <f t="shared" si="31"/>
        <v>9</v>
      </c>
      <c r="U114" s="221" t="str">
        <f t="shared" si="47"/>
        <v>9-REP-EC20-Neonates, &lt;24-h old</v>
      </c>
      <c r="V114" s="222" cm="1">
        <f t="array" ref="V114">GEOMEAN(IF(U114=$U$7:$U$360,$S$7:$S$360))</f>
        <v>6.1590331950720723</v>
      </c>
      <c r="W114" s="264">
        <f t="shared" si="41"/>
        <v>3.0361455111633622</v>
      </c>
      <c r="X114" s="225">
        <f t="shared" si="30"/>
        <v>20.824819304559181</v>
      </c>
      <c r="Y114" s="225"/>
      <c r="Z114" s="226" t="s">
        <v>1467</v>
      </c>
      <c r="AA114" s="226"/>
      <c r="AB114" s="254"/>
      <c r="AC114" s="243" t="s">
        <v>1772</v>
      </c>
      <c r="AD114" s="251">
        <v>0.84</v>
      </c>
      <c r="AE114" s="243" t="s">
        <v>1859</v>
      </c>
      <c r="AG114" s="244"/>
      <c r="AH114" s="244"/>
      <c r="AI114" s="244"/>
    </row>
    <row r="115" spans="1:38" s="182" customFormat="1" ht="15.75" customHeight="1" x14ac:dyDescent="0.2">
      <c r="A115" s="182" t="s">
        <v>1879</v>
      </c>
      <c r="B115" s="180"/>
      <c r="C115" s="217">
        <v>2017</v>
      </c>
      <c r="D115" s="180" t="s">
        <v>1685</v>
      </c>
      <c r="E115" s="180" t="s">
        <v>1687</v>
      </c>
      <c r="F115" s="180" t="s">
        <v>63</v>
      </c>
      <c r="G115" s="180" t="s">
        <v>260</v>
      </c>
      <c r="H115" s="180" t="s">
        <v>67</v>
      </c>
      <c r="I115" s="180" t="s">
        <v>76</v>
      </c>
      <c r="J115" s="180" t="s">
        <v>49</v>
      </c>
      <c r="K115" s="180">
        <v>7</v>
      </c>
      <c r="L115" s="180">
        <v>73</v>
      </c>
      <c r="M115" s="250">
        <v>213.11359999999996</v>
      </c>
      <c r="N115" s="180">
        <v>8.3000000000000007</v>
      </c>
      <c r="O115" s="94">
        <v>16.399999999999999</v>
      </c>
      <c r="P115" s="239">
        <f t="shared" si="29"/>
        <v>4.290459441148391</v>
      </c>
      <c r="Q115" s="262" t="str">
        <f t="shared" si="38"/>
        <v>Gadd Daph</v>
      </c>
      <c r="R115" s="263">
        <f t="shared" si="40"/>
        <v>-0.99784358915051374</v>
      </c>
      <c r="S115" s="220">
        <f t="shared" si="34"/>
        <v>5.2883030302989047</v>
      </c>
      <c r="T115" s="236">
        <f t="shared" si="31"/>
        <v>9</v>
      </c>
      <c r="U115" s="221" t="str">
        <f t="shared" si="47"/>
        <v>9-REP-EC10-Neonates, &lt;24-h old</v>
      </c>
      <c r="V115" s="222" cm="1">
        <f t="array" ref="V115">GEOMEAN(IF(U115=$U$7:$U$360,$S$7:$S$360))</f>
        <v>5.9159169754321432</v>
      </c>
      <c r="W115" s="264">
        <f t="shared" si="41"/>
        <v>2.7930292915234332</v>
      </c>
      <c r="X115" s="225">
        <f t="shared" si="30"/>
        <v>16.330414534816867</v>
      </c>
      <c r="Y115" s="225">
        <f>X115</f>
        <v>16.330414534816867</v>
      </c>
      <c r="Z115" s="226"/>
      <c r="AA115" s="226"/>
      <c r="AB115" s="254"/>
      <c r="AC115" s="243" t="s">
        <v>1772</v>
      </c>
      <c r="AD115" s="251">
        <v>0.84</v>
      </c>
      <c r="AE115" s="243" t="s">
        <v>1859</v>
      </c>
      <c r="AG115" s="244"/>
      <c r="AH115" s="244"/>
      <c r="AI115" s="244"/>
      <c r="AJ115" s="183"/>
      <c r="AK115" s="183"/>
    </row>
    <row r="116" spans="1:38" s="182" customFormat="1" ht="15.75" customHeight="1" x14ac:dyDescent="0.2">
      <c r="A116" s="182" t="s">
        <v>1880</v>
      </c>
      <c r="B116" s="180"/>
      <c r="C116" s="217">
        <v>2017</v>
      </c>
      <c r="D116" s="180" t="s">
        <v>1685</v>
      </c>
      <c r="E116" s="180" t="s">
        <v>1688</v>
      </c>
      <c r="F116" s="180" t="s">
        <v>63</v>
      </c>
      <c r="G116" s="180" t="s">
        <v>260</v>
      </c>
      <c r="H116" s="180" t="s">
        <v>67</v>
      </c>
      <c r="I116" s="180" t="s">
        <v>76</v>
      </c>
      <c r="J116" s="180" t="s">
        <v>49</v>
      </c>
      <c r="K116" s="180">
        <v>7</v>
      </c>
      <c r="L116" s="180">
        <v>111</v>
      </c>
      <c r="M116" s="250">
        <v>225.565</v>
      </c>
      <c r="N116" s="180">
        <v>8.1</v>
      </c>
      <c r="O116" s="94">
        <v>9.5</v>
      </c>
      <c r="P116" s="239">
        <f t="shared" si="29"/>
        <v>4.7095302013123339</v>
      </c>
      <c r="Q116" s="262" t="str">
        <f t="shared" si="38"/>
        <v>Gadd Daph</v>
      </c>
      <c r="R116" s="263">
        <f t="shared" si="40"/>
        <v>-1.3075286681773672</v>
      </c>
      <c r="S116" s="220">
        <f t="shared" si="34"/>
        <v>6.0170588694897011</v>
      </c>
      <c r="T116" s="236">
        <f t="shared" si="31"/>
        <v>9</v>
      </c>
      <c r="U116" s="221" t="str">
        <f t="shared" si="47"/>
        <v>9-REP-EC10-Neonates, &lt;24-h old</v>
      </c>
      <c r="V116" s="222" cm="1">
        <f t="array" ref="V116">GEOMEAN(IF(U116=$U$7:$U$360,$S$7:$S$360))</f>
        <v>5.9159169754321432</v>
      </c>
      <c r="W116" s="264">
        <f t="shared" si="41"/>
        <v>2.7930292915234332</v>
      </c>
      <c r="X116" s="225">
        <f t="shared" si="30"/>
        <v>16.330414534816867</v>
      </c>
      <c r="Y116" s="225">
        <f t="shared" ref="Y116:Y120" si="48">X116</f>
        <v>16.330414534816867</v>
      </c>
      <c r="Z116" s="226"/>
      <c r="AA116" s="226"/>
      <c r="AB116" s="272"/>
      <c r="AC116" s="243" t="s">
        <v>1772</v>
      </c>
      <c r="AD116" s="251">
        <v>0.84</v>
      </c>
      <c r="AE116" s="243" t="s">
        <v>1859</v>
      </c>
      <c r="AG116" s="244"/>
      <c r="AH116" s="244"/>
      <c r="AI116" s="244"/>
      <c r="AJ116" s="183"/>
      <c r="AK116" s="183"/>
      <c r="AL116" s="183"/>
    </row>
    <row r="117" spans="1:38" s="182" customFormat="1" ht="15.75" customHeight="1" x14ac:dyDescent="0.2">
      <c r="A117" s="182" t="s">
        <v>1881</v>
      </c>
      <c r="B117" s="180"/>
      <c r="C117" s="217">
        <v>2017</v>
      </c>
      <c r="D117" s="180" t="s">
        <v>1685</v>
      </c>
      <c r="E117" s="180" t="s">
        <v>1689</v>
      </c>
      <c r="F117" s="180" t="s">
        <v>63</v>
      </c>
      <c r="G117" s="180" t="s">
        <v>260</v>
      </c>
      <c r="H117" s="180" t="s">
        <v>67</v>
      </c>
      <c r="I117" s="180" t="s">
        <v>76</v>
      </c>
      <c r="J117" s="180" t="s">
        <v>49</v>
      </c>
      <c r="K117" s="180">
        <v>7</v>
      </c>
      <c r="L117" s="180">
        <v>64</v>
      </c>
      <c r="M117" s="250">
        <v>80.413200000000003</v>
      </c>
      <c r="N117" s="180">
        <v>8</v>
      </c>
      <c r="O117" s="94">
        <v>13.1</v>
      </c>
      <c r="P117" s="239">
        <f t="shared" si="29"/>
        <v>4.1588830833596715</v>
      </c>
      <c r="Q117" s="262" t="str">
        <f t="shared" si="38"/>
        <v>Gadd Daph</v>
      </c>
      <c r="R117" s="263">
        <f t="shared" si="40"/>
        <v>-1.462216354330125</v>
      </c>
      <c r="S117" s="220">
        <f t="shared" si="34"/>
        <v>5.6210994376897965</v>
      </c>
      <c r="T117" s="236">
        <f t="shared" si="31"/>
        <v>9</v>
      </c>
      <c r="U117" s="221" t="str">
        <f t="shared" si="47"/>
        <v>9-REP-EC10-Neonates, &lt;24-h old</v>
      </c>
      <c r="V117" s="222" cm="1">
        <f t="array" ref="V117">GEOMEAN(IF(U117=$U$7:$U$360,$S$7:$S$360))</f>
        <v>5.9159169754321432</v>
      </c>
      <c r="W117" s="264">
        <f t="shared" si="41"/>
        <v>2.7930292915234332</v>
      </c>
      <c r="X117" s="225">
        <f t="shared" si="30"/>
        <v>16.330414534816867</v>
      </c>
      <c r="Y117" s="225">
        <f t="shared" si="48"/>
        <v>16.330414534816867</v>
      </c>
      <c r="Z117" s="226"/>
      <c r="AA117" s="226"/>
      <c r="AB117" s="254"/>
      <c r="AC117" s="243" t="s">
        <v>1772</v>
      </c>
      <c r="AD117" s="251">
        <v>0.84</v>
      </c>
      <c r="AE117" s="243" t="s">
        <v>1859</v>
      </c>
      <c r="AG117" s="244"/>
      <c r="AH117" s="244"/>
      <c r="AI117" s="244"/>
      <c r="AJ117" s="183"/>
      <c r="AK117" s="183"/>
      <c r="AL117" s="183"/>
    </row>
    <row r="118" spans="1:38" s="182" customFormat="1" ht="15.75" customHeight="1" x14ac:dyDescent="0.2">
      <c r="A118" s="182" t="s">
        <v>1882</v>
      </c>
      <c r="B118" s="180"/>
      <c r="C118" s="217">
        <v>2017</v>
      </c>
      <c r="D118" s="180" t="s">
        <v>1685</v>
      </c>
      <c r="E118" s="180" t="s">
        <v>1690</v>
      </c>
      <c r="F118" s="180" t="s">
        <v>63</v>
      </c>
      <c r="G118" s="180" t="s">
        <v>260</v>
      </c>
      <c r="H118" s="180" t="s">
        <v>67</v>
      </c>
      <c r="I118" s="180" t="s">
        <v>76</v>
      </c>
      <c r="J118" s="180" t="s">
        <v>49</v>
      </c>
      <c r="K118" s="180">
        <v>7</v>
      </c>
      <c r="L118" s="180">
        <v>89</v>
      </c>
      <c r="M118" s="250">
        <v>45.998000000000005</v>
      </c>
      <c r="N118" s="180">
        <v>7.2</v>
      </c>
      <c r="O118" s="94">
        <v>4.9000000000000004</v>
      </c>
      <c r="P118" s="239">
        <f t="shared" si="29"/>
        <v>4.4886363697321396</v>
      </c>
      <c r="Q118" s="262" t="str">
        <f t="shared" si="38"/>
        <v>Gadd Daph</v>
      </c>
      <c r="R118" s="263">
        <f t="shared" si="40"/>
        <v>-2.0358654983640263</v>
      </c>
      <c r="S118" s="220">
        <f t="shared" si="34"/>
        <v>6.5245018680961664</v>
      </c>
      <c r="T118" s="236">
        <f t="shared" si="31"/>
        <v>9</v>
      </c>
      <c r="U118" s="221" t="str">
        <f t="shared" si="47"/>
        <v>9-REP-EC10-Neonates, &lt;24-h old</v>
      </c>
      <c r="V118" s="222" cm="1">
        <f t="array" ref="V118">GEOMEAN(IF(U118=$U$7:$U$360,$S$7:$S$360))</f>
        <v>5.9159169754321432</v>
      </c>
      <c r="W118" s="264">
        <f t="shared" si="41"/>
        <v>2.7930292915234332</v>
      </c>
      <c r="X118" s="225">
        <f t="shared" si="30"/>
        <v>16.330414534816867</v>
      </c>
      <c r="Y118" s="225">
        <f t="shared" si="48"/>
        <v>16.330414534816867</v>
      </c>
      <c r="Z118" s="226"/>
      <c r="AA118" s="226"/>
      <c r="AB118" s="272"/>
      <c r="AC118" s="243" t="s">
        <v>1772</v>
      </c>
      <c r="AD118" s="251">
        <v>0.84</v>
      </c>
      <c r="AE118" s="243" t="s">
        <v>1859</v>
      </c>
      <c r="AG118" s="244"/>
      <c r="AH118" s="244"/>
      <c r="AI118" s="244"/>
      <c r="AJ118" s="183"/>
      <c r="AK118" s="183"/>
      <c r="AL118" s="183"/>
    </row>
    <row r="119" spans="1:38" s="182" customFormat="1" ht="15.75" customHeight="1" x14ac:dyDescent="0.2">
      <c r="A119" s="182" t="s">
        <v>1883</v>
      </c>
      <c r="B119" s="180"/>
      <c r="C119" s="217">
        <v>2017</v>
      </c>
      <c r="D119" s="180" t="s">
        <v>1685</v>
      </c>
      <c r="E119" s="180" t="s">
        <v>1692</v>
      </c>
      <c r="F119" s="180" t="s">
        <v>63</v>
      </c>
      <c r="G119" s="180" t="s">
        <v>260</v>
      </c>
      <c r="H119" s="180" t="s">
        <v>67</v>
      </c>
      <c r="I119" s="180" t="s">
        <v>76</v>
      </c>
      <c r="J119" s="180" t="s">
        <v>49</v>
      </c>
      <c r="K119" s="180">
        <v>7</v>
      </c>
      <c r="L119" s="180">
        <v>98</v>
      </c>
      <c r="M119" s="250">
        <v>103.429</v>
      </c>
      <c r="N119" s="180">
        <v>7.2</v>
      </c>
      <c r="O119" s="94">
        <v>4.8</v>
      </c>
      <c r="P119" s="239">
        <f t="shared" si="29"/>
        <v>4.5849674786705723</v>
      </c>
      <c r="Q119" s="262" t="str">
        <f t="shared" si="38"/>
        <v>Gadd Daph</v>
      </c>
      <c r="R119" s="263">
        <f t="shared" si="40"/>
        <v>-1.7914395089641086</v>
      </c>
      <c r="S119" s="220">
        <f t="shared" si="34"/>
        <v>6.3764069876346809</v>
      </c>
      <c r="T119" s="236">
        <f t="shared" si="31"/>
        <v>9</v>
      </c>
      <c r="U119" s="221" t="str">
        <f t="shared" si="47"/>
        <v>9-REP-EC10-Neonates, &lt;24-h old</v>
      </c>
      <c r="V119" s="222" cm="1">
        <f t="array" ref="V119">GEOMEAN(IF(U119=$U$7:$U$360,$S$7:$S$360))</f>
        <v>5.9159169754321432</v>
      </c>
      <c r="W119" s="264">
        <f t="shared" si="41"/>
        <v>2.7930292915234332</v>
      </c>
      <c r="X119" s="225">
        <f t="shared" si="30"/>
        <v>16.330414534816867</v>
      </c>
      <c r="Y119" s="225">
        <f t="shared" si="48"/>
        <v>16.330414534816867</v>
      </c>
      <c r="Z119" s="226"/>
      <c r="AA119" s="226"/>
      <c r="AB119" s="254"/>
      <c r="AC119" s="243" t="s">
        <v>1772</v>
      </c>
      <c r="AD119" s="251">
        <v>0.84</v>
      </c>
      <c r="AE119" s="243" t="s">
        <v>1859</v>
      </c>
      <c r="AG119" s="244"/>
      <c r="AH119" s="244"/>
      <c r="AI119" s="244"/>
      <c r="AJ119" s="183"/>
      <c r="AK119" s="183"/>
      <c r="AL119" s="183"/>
    </row>
    <row r="120" spans="1:38" s="183" customFormat="1" ht="15.75" customHeight="1" x14ac:dyDescent="0.2">
      <c r="A120" s="182" t="s">
        <v>1884</v>
      </c>
      <c r="B120" s="180"/>
      <c r="C120" s="217">
        <v>2017</v>
      </c>
      <c r="D120" s="180" t="s">
        <v>1685</v>
      </c>
      <c r="E120" s="180" t="s">
        <v>1693</v>
      </c>
      <c r="F120" s="180" t="s">
        <v>63</v>
      </c>
      <c r="G120" s="180" t="s">
        <v>260</v>
      </c>
      <c r="H120" s="180" t="s">
        <v>67</v>
      </c>
      <c r="I120" s="180" t="s">
        <v>76</v>
      </c>
      <c r="J120" s="180" t="s">
        <v>49</v>
      </c>
      <c r="K120" s="180">
        <v>7</v>
      </c>
      <c r="L120" s="180">
        <v>14</v>
      </c>
      <c r="M120" s="250">
        <v>45.998000000000005</v>
      </c>
      <c r="N120" s="180">
        <v>7.8</v>
      </c>
      <c r="O120" s="94">
        <v>4.7</v>
      </c>
      <c r="P120" s="239">
        <f t="shared" si="29"/>
        <v>2.6390573296152584</v>
      </c>
      <c r="Q120" s="262" t="str">
        <f t="shared" si="38"/>
        <v>Gadd Daph</v>
      </c>
      <c r="R120" s="263">
        <f t="shared" si="40"/>
        <v>-2.1386851415283061</v>
      </c>
      <c r="S120" s="220">
        <f t="shared" si="34"/>
        <v>4.777742471143565</v>
      </c>
      <c r="T120" s="236">
        <f t="shared" si="31"/>
        <v>9</v>
      </c>
      <c r="U120" s="221" t="str">
        <f t="shared" si="47"/>
        <v>9-REP-EC10-Neonates, &lt;24-h old</v>
      </c>
      <c r="V120" s="222" cm="1">
        <f t="array" ref="V120">GEOMEAN(IF(U120=$U$7:$U$360,$S$7:$S$360))</f>
        <v>5.9159169754321432</v>
      </c>
      <c r="W120" s="264">
        <f t="shared" si="41"/>
        <v>2.7930292915234332</v>
      </c>
      <c r="X120" s="225">
        <f t="shared" si="30"/>
        <v>16.330414534816867</v>
      </c>
      <c r="Y120" s="225">
        <f t="shared" si="48"/>
        <v>16.330414534816867</v>
      </c>
      <c r="Z120" s="226"/>
      <c r="AA120" s="226"/>
      <c r="AB120" s="272"/>
      <c r="AC120" s="243" t="s">
        <v>1772</v>
      </c>
      <c r="AD120" s="251">
        <v>0.84</v>
      </c>
      <c r="AE120" s="243" t="s">
        <v>1859</v>
      </c>
      <c r="AG120" s="244"/>
      <c r="AH120" s="244"/>
      <c r="AI120" s="244"/>
    </row>
    <row r="121" spans="1:38" s="183" customFormat="1" ht="15.75" customHeight="1" x14ac:dyDescent="0.2">
      <c r="B121" s="180"/>
      <c r="C121" s="252">
        <v>2021</v>
      </c>
      <c r="D121" s="246" t="s">
        <v>1705</v>
      </c>
      <c r="E121" s="246" t="s">
        <v>1706</v>
      </c>
      <c r="F121" s="246" t="s">
        <v>63</v>
      </c>
      <c r="G121" s="246" t="s">
        <v>260</v>
      </c>
      <c r="H121" s="246" t="s">
        <v>67</v>
      </c>
      <c r="I121" s="246" t="s">
        <v>76</v>
      </c>
      <c r="J121" s="246" t="s">
        <v>927</v>
      </c>
      <c r="K121" s="229">
        <v>7</v>
      </c>
      <c r="L121" s="252">
        <v>67</v>
      </c>
      <c r="M121" s="246">
        <v>292</v>
      </c>
      <c r="N121" s="274">
        <v>8.11</v>
      </c>
      <c r="O121" s="94">
        <v>0.62</v>
      </c>
      <c r="P121" s="239">
        <f t="shared" si="29"/>
        <v>4.2046926193909657</v>
      </c>
      <c r="Q121" s="262" t="str">
        <f t="shared" si="38"/>
        <v>Gadd Daph</v>
      </c>
      <c r="R121" s="263">
        <f t="shared" si="40"/>
        <v>-2.7186050829320876</v>
      </c>
      <c r="S121" s="220">
        <f t="shared" si="34"/>
        <v>6.9232977023230529</v>
      </c>
      <c r="T121" s="236">
        <f t="shared" si="31"/>
        <v>9</v>
      </c>
      <c r="U121" s="221" t="str">
        <f t="shared" si="47"/>
        <v>9-REP-EC20-Neonates, &lt;24-h old</v>
      </c>
      <c r="V121" s="222" cm="1">
        <f t="array" ref="V121">GEOMEAN(IF(U121=$U$7:$U$360,$S$7:$S$360))</f>
        <v>6.1590331950720723</v>
      </c>
      <c r="W121" s="264">
        <f t="shared" si="41"/>
        <v>3.0361455111633622</v>
      </c>
      <c r="X121" s="225">
        <f t="shared" si="30"/>
        <v>20.824819304559181</v>
      </c>
      <c r="Y121" s="225"/>
      <c r="Z121" s="226" t="s">
        <v>1467</v>
      </c>
      <c r="AA121" s="226"/>
      <c r="AB121" s="272"/>
      <c r="AC121" s="243"/>
      <c r="AD121" s="243"/>
      <c r="AE121" s="243"/>
      <c r="AG121" s="244"/>
      <c r="AH121" s="244"/>
      <c r="AI121" s="244"/>
    </row>
    <row r="122" spans="1:38" s="183" customFormat="1" ht="15.75" customHeight="1" x14ac:dyDescent="0.2">
      <c r="B122" s="180"/>
      <c r="C122" s="252">
        <v>2021</v>
      </c>
      <c r="D122" s="246" t="s">
        <v>1705</v>
      </c>
      <c r="E122" s="246" t="s">
        <v>1707</v>
      </c>
      <c r="F122" s="246" t="s">
        <v>63</v>
      </c>
      <c r="G122" s="246" t="s">
        <v>260</v>
      </c>
      <c r="H122" s="246" t="s">
        <v>67</v>
      </c>
      <c r="I122" s="246" t="s">
        <v>76</v>
      </c>
      <c r="J122" s="246" t="s">
        <v>927</v>
      </c>
      <c r="K122" s="229">
        <v>7</v>
      </c>
      <c r="L122" s="252">
        <v>75</v>
      </c>
      <c r="M122" s="246">
        <v>24</v>
      </c>
      <c r="N122" s="274">
        <v>7.39</v>
      </c>
      <c r="O122" s="94">
        <v>0.41</v>
      </c>
      <c r="P122" s="239">
        <f t="shared" si="29"/>
        <v>4.3174881135363101</v>
      </c>
      <c r="Q122" s="262" t="str">
        <f t="shared" si="38"/>
        <v>Gadd Daph</v>
      </c>
      <c r="R122" s="263">
        <f t="shared" si="40"/>
        <v>-3.190704369956558</v>
      </c>
      <c r="S122" s="220">
        <f t="shared" si="34"/>
        <v>7.5081924834928682</v>
      </c>
      <c r="T122" s="236">
        <f t="shared" si="31"/>
        <v>9</v>
      </c>
      <c r="U122" s="221" t="str">
        <f t="shared" si="47"/>
        <v>9-REP-EC20-Neonates, &lt;24-h old</v>
      </c>
      <c r="V122" s="222" cm="1">
        <f t="array" ref="V122">GEOMEAN(IF(U122=$U$7:$U$360,$S$7:$S$360))</f>
        <v>6.1590331950720723</v>
      </c>
      <c r="W122" s="264">
        <f t="shared" si="41"/>
        <v>3.0361455111633622</v>
      </c>
      <c r="X122" s="225">
        <f t="shared" si="30"/>
        <v>20.824819304559181</v>
      </c>
      <c r="Y122" s="225"/>
      <c r="Z122" s="226" t="s">
        <v>1467</v>
      </c>
      <c r="AA122" s="226"/>
      <c r="AB122" s="254"/>
      <c r="AC122" s="243"/>
      <c r="AD122" s="243"/>
      <c r="AE122" s="243"/>
      <c r="AG122" s="244"/>
      <c r="AH122" s="244"/>
      <c r="AI122" s="244"/>
    </row>
    <row r="123" spans="1:38" s="183" customFormat="1" ht="15.75" customHeight="1" x14ac:dyDescent="0.2">
      <c r="B123" s="180"/>
      <c r="C123" s="252">
        <v>2021</v>
      </c>
      <c r="D123" s="246" t="s">
        <v>1705</v>
      </c>
      <c r="E123" s="246" t="s">
        <v>1708</v>
      </c>
      <c r="F123" s="246" t="s">
        <v>63</v>
      </c>
      <c r="G123" s="246" t="s">
        <v>260</v>
      </c>
      <c r="H123" s="246" t="s">
        <v>67</v>
      </c>
      <c r="I123" s="246" t="s">
        <v>76</v>
      </c>
      <c r="J123" s="246" t="s">
        <v>927</v>
      </c>
      <c r="K123" s="229">
        <v>7</v>
      </c>
      <c r="L123" s="252">
        <v>90</v>
      </c>
      <c r="M123" s="246">
        <v>18</v>
      </c>
      <c r="N123" s="274">
        <v>6.58</v>
      </c>
      <c r="O123" s="94">
        <v>29</v>
      </c>
      <c r="P123" s="239">
        <f t="shared" si="29"/>
        <v>4.499809670330265</v>
      </c>
      <c r="Q123" s="262" t="str">
        <f t="shared" si="38"/>
        <v>Gadd Daph</v>
      </c>
      <c r="R123" s="263">
        <f t="shared" si="40"/>
        <v>-1.9221653423186122</v>
      </c>
      <c r="S123" s="220">
        <f t="shared" si="34"/>
        <v>6.4219750126488773</v>
      </c>
      <c r="T123" s="236">
        <f t="shared" si="31"/>
        <v>9</v>
      </c>
      <c r="U123" s="221"/>
      <c r="V123" s="222" t="e" cm="1">
        <f t="array" ref="V123">GEOMEAN(IF(U123=$U$7:$U$360,$S$7:$S$360))</f>
        <v>#NUM!</v>
      </c>
      <c r="W123" s="264" t="e">
        <f t="shared" si="41"/>
        <v>#NUM!</v>
      </c>
      <c r="X123" s="225" t="e">
        <f t="shared" si="30"/>
        <v>#NUM!</v>
      </c>
      <c r="Y123" s="225"/>
      <c r="Z123" s="226" t="s">
        <v>1467</v>
      </c>
      <c r="AA123" s="194" t="s">
        <v>1874</v>
      </c>
      <c r="AB123" s="272"/>
      <c r="AC123" s="243"/>
      <c r="AD123" s="243"/>
      <c r="AE123" s="243"/>
      <c r="AG123" s="244"/>
      <c r="AH123" s="244"/>
      <c r="AI123" s="244"/>
    </row>
    <row r="124" spans="1:38" s="183" customFormat="1" ht="15.75" customHeight="1" x14ac:dyDescent="0.2">
      <c r="B124" s="180"/>
      <c r="C124" s="252">
        <v>2021</v>
      </c>
      <c r="D124" s="246" t="s">
        <v>1705</v>
      </c>
      <c r="E124" s="246" t="s">
        <v>1709</v>
      </c>
      <c r="F124" s="246" t="s">
        <v>63</v>
      </c>
      <c r="G124" s="246" t="s">
        <v>260</v>
      </c>
      <c r="H124" s="246" t="s">
        <v>67</v>
      </c>
      <c r="I124" s="246" t="s">
        <v>76</v>
      </c>
      <c r="J124" s="246" t="s">
        <v>927</v>
      </c>
      <c r="K124" s="229">
        <v>7</v>
      </c>
      <c r="L124" s="252">
        <v>43</v>
      </c>
      <c r="M124" s="246">
        <v>377</v>
      </c>
      <c r="N124" s="274">
        <v>8.41</v>
      </c>
      <c r="O124" s="94">
        <v>3</v>
      </c>
      <c r="P124" s="239">
        <f t="shared" si="29"/>
        <v>3.7612001156935624</v>
      </c>
      <c r="Q124" s="262" t="str">
        <f t="shared" si="38"/>
        <v>Gadd Daph</v>
      </c>
      <c r="R124" s="263">
        <f t="shared" si="40"/>
        <v>-1.854822152578758</v>
      </c>
      <c r="S124" s="220">
        <f t="shared" si="34"/>
        <v>5.6160222682723209</v>
      </c>
      <c r="T124" s="236">
        <f t="shared" si="31"/>
        <v>9</v>
      </c>
      <c r="U124" s="221" t="str">
        <f t="shared" ref="U124:U134" si="49">CONCATENATE(T124,"-",I124,"-",J124,"-",H124)</f>
        <v>9-REP-EC20-Neonates, &lt;24-h old</v>
      </c>
      <c r="V124" s="222" cm="1">
        <f t="array" ref="V124">GEOMEAN(IF(U124=$U$7:$U$360,$S$7:$S$360))</f>
        <v>6.1590331950720723</v>
      </c>
      <c r="W124" s="264">
        <f t="shared" si="41"/>
        <v>3.0361455111633622</v>
      </c>
      <c r="X124" s="225">
        <f t="shared" si="30"/>
        <v>20.824819304559181</v>
      </c>
      <c r="Y124" s="225"/>
      <c r="Z124" s="226" t="s">
        <v>1467</v>
      </c>
      <c r="AA124" s="226"/>
      <c r="AB124" s="254"/>
      <c r="AC124" s="243"/>
      <c r="AD124" s="243"/>
      <c r="AE124" s="243"/>
      <c r="AG124" s="244"/>
      <c r="AH124" s="244"/>
      <c r="AI124" s="244"/>
    </row>
    <row r="125" spans="1:38" s="183" customFormat="1" ht="15.75" customHeight="1" x14ac:dyDescent="0.2">
      <c r="B125" s="180"/>
      <c r="C125" s="252">
        <v>2021</v>
      </c>
      <c r="D125" s="246" t="s">
        <v>1705</v>
      </c>
      <c r="E125" s="246" t="s">
        <v>1710</v>
      </c>
      <c r="F125" s="246" t="s">
        <v>63</v>
      </c>
      <c r="G125" s="246" t="s">
        <v>260</v>
      </c>
      <c r="H125" s="246" t="s">
        <v>67</v>
      </c>
      <c r="I125" s="246" t="s">
        <v>76</v>
      </c>
      <c r="J125" s="246" t="s">
        <v>927</v>
      </c>
      <c r="K125" s="229">
        <v>7</v>
      </c>
      <c r="L125" s="252">
        <v>39</v>
      </c>
      <c r="M125" s="246">
        <v>323</v>
      </c>
      <c r="N125" s="274">
        <v>7.06</v>
      </c>
      <c r="O125" s="94">
        <v>5</v>
      </c>
      <c r="P125" s="239">
        <f t="shared" si="29"/>
        <v>3.6635616461296463</v>
      </c>
      <c r="Q125" s="262" t="str">
        <f t="shared" si="38"/>
        <v>Gadd Daph</v>
      </c>
      <c r="R125" s="263">
        <f t="shared" si="40"/>
        <v>-1.4063092583803778</v>
      </c>
      <c r="S125" s="220">
        <f t="shared" si="34"/>
        <v>5.0698709045100241</v>
      </c>
      <c r="T125" s="236">
        <f t="shared" si="31"/>
        <v>9</v>
      </c>
      <c r="U125" s="221" t="str">
        <f t="shared" si="49"/>
        <v>9-REP-EC20-Neonates, &lt;24-h old</v>
      </c>
      <c r="V125" s="222" cm="1">
        <f t="array" ref="V125">GEOMEAN(IF(U125=$U$7:$U$360,$S$7:$S$360))</f>
        <v>6.1590331950720723</v>
      </c>
      <c r="W125" s="264">
        <f t="shared" si="41"/>
        <v>3.0361455111633622</v>
      </c>
      <c r="X125" s="225">
        <f t="shared" si="30"/>
        <v>20.824819304559181</v>
      </c>
      <c r="Y125" s="225"/>
      <c r="Z125" s="226" t="s">
        <v>1467</v>
      </c>
      <c r="AA125" s="226"/>
      <c r="AB125" s="272"/>
      <c r="AC125" s="243"/>
      <c r="AD125" s="243"/>
      <c r="AE125" s="243"/>
      <c r="AG125" s="244"/>
      <c r="AH125" s="244"/>
      <c r="AI125" s="244"/>
    </row>
    <row r="126" spans="1:38" s="183" customFormat="1" ht="15.75" customHeight="1" x14ac:dyDescent="0.2">
      <c r="B126" s="241">
        <v>3318</v>
      </c>
      <c r="C126" s="217">
        <v>1985</v>
      </c>
      <c r="D126" s="180" t="s">
        <v>1473</v>
      </c>
      <c r="E126" s="180" t="s">
        <v>41</v>
      </c>
      <c r="F126" s="180" t="s">
        <v>111</v>
      </c>
      <c r="G126" s="180" t="s">
        <v>260</v>
      </c>
      <c r="H126" s="180" t="s">
        <v>67</v>
      </c>
      <c r="I126" s="180" t="s">
        <v>68</v>
      </c>
      <c r="J126" s="180" t="s">
        <v>54</v>
      </c>
      <c r="K126" s="217">
        <v>7</v>
      </c>
      <c r="L126" s="217">
        <v>58</v>
      </c>
      <c r="M126" s="180">
        <v>376</v>
      </c>
      <c r="N126" s="181">
        <v>7.9</v>
      </c>
      <c r="O126" s="94">
        <v>0.5</v>
      </c>
      <c r="P126" s="239">
        <f t="shared" si="29"/>
        <v>4.0604430105464191</v>
      </c>
      <c r="Q126" s="262" t="str">
        <f t="shared" si="38"/>
        <v>Gadd Daph</v>
      </c>
      <c r="R126" s="263">
        <f t="shared" si="40"/>
        <v>-2.6136283671068661</v>
      </c>
      <c r="S126" s="220">
        <f t="shared" si="34"/>
        <v>6.6740713776532852</v>
      </c>
      <c r="T126" s="236">
        <f t="shared" si="31"/>
        <v>10</v>
      </c>
      <c r="U126" s="221" t="str">
        <f t="shared" si="49"/>
        <v>10-Survival &amp; reproduction-NOEC-Neonates, &lt;24-h old</v>
      </c>
      <c r="V126" s="222" cm="1">
        <f t="array" ref="V126">GEOMEAN(IF(U126=$U$7:$U$360,$S$7:$S$360))</f>
        <v>7.0417871503413076</v>
      </c>
      <c r="W126" s="264">
        <f t="shared" si="41"/>
        <v>3.9188994664325976</v>
      </c>
      <c r="X126" s="225">
        <f t="shared" si="30"/>
        <v>50.345007907439019</v>
      </c>
      <c r="Y126" s="225">
        <f t="shared" ref="Y126:Y127" si="50">X126</f>
        <v>50.345007907439019</v>
      </c>
      <c r="Z126" s="226"/>
      <c r="AA126" s="268"/>
      <c r="AB126" s="272"/>
      <c r="AC126" s="243" t="s">
        <v>1886</v>
      </c>
      <c r="AD126" s="243"/>
      <c r="AE126" s="243"/>
      <c r="AG126" s="244"/>
      <c r="AH126" s="244"/>
      <c r="AI126" s="244"/>
    </row>
    <row r="127" spans="1:38" s="183" customFormat="1" ht="15.75" customHeight="1" x14ac:dyDescent="0.2">
      <c r="B127" s="241">
        <v>3318</v>
      </c>
      <c r="C127" s="217">
        <v>1985</v>
      </c>
      <c r="D127" s="180" t="s">
        <v>1473</v>
      </c>
      <c r="E127" s="180" t="s">
        <v>41</v>
      </c>
      <c r="F127" s="180" t="s">
        <v>111</v>
      </c>
      <c r="G127" s="180" t="s">
        <v>260</v>
      </c>
      <c r="H127" s="180" t="s">
        <v>67</v>
      </c>
      <c r="I127" s="180" t="s">
        <v>68</v>
      </c>
      <c r="J127" s="180" t="s">
        <v>54</v>
      </c>
      <c r="K127" s="217">
        <v>7</v>
      </c>
      <c r="L127" s="217">
        <v>140</v>
      </c>
      <c r="M127" s="180">
        <v>362</v>
      </c>
      <c r="N127" s="181">
        <v>7.7</v>
      </c>
      <c r="O127" s="94">
        <v>0.5</v>
      </c>
      <c r="P127" s="239">
        <f t="shared" si="29"/>
        <v>4.9416424226093039</v>
      </c>
      <c r="Q127" s="262" t="str">
        <f t="shared" si="38"/>
        <v>Gadd Daph</v>
      </c>
      <c r="R127" s="263">
        <f t="shared" si="40"/>
        <v>-2.4881202312248667</v>
      </c>
      <c r="S127" s="220">
        <f t="shared" si="34"/>
        <v>7.429762653834171</v>
      </c>
      <c r="T127" s="236">
        <f t="shared" si="31"/>
        <v>10</v>
      </c>
      <c r="U127" s="221" t="str">
        <f t="shared" si="49"/>
        <v>10-Survival &amp; reproduction-NOEC-Neonates, &lt;24-h old</v>
      </c>
      <c r="V127" s="222" cm="1">
        <f t="array" ref="V127">GEOMEAN(IF(U127=$U$7:$U$360,$S$7:$S$360))</f>
        <v>7.0417871503413076</v>
      </c>
      <c r="W127" s="264">
        <f t="shared" si="41"/>
        <v>3.9188994664325976</v>
      </c>
      <c r="X127" s="225">
        <f t="shared" si="30"/>
        <v>50.345007907439019</v>
      </c>
      <c r="Y127" s="225">
        <f t="shared" si="50"/>
        <v>50.345007907439019</v>
      </c>
      <c r="Z127" s="226"/>
      <c r="AA127" s="268"/>
      <c r="AB127" s="272"/>
      <c r="AC127" s="243" t="s">
        <v>1886</v>
      </c>
      <c r="AD127" s="243"/>
      <c r="AE127" s="243"/>
      <c r="AG127" s="244"/>
      <c r="AH127" s="244"/>
      <c r="AI127" s="244"/>
    </row>
    <row r="128" spans="1:38" s="183" customFormat="1" ht="15.75" customHeight="1" x14ac:dyDescent="0.2">
      <c r="A128" s="183" t="s">
        <v>1887</v>
      </c>
      <c r="B128" s="241"/>
      <c r="C128" s="217">
        <v>1986</v>
      </c>
      <c r="D128" s="180" t="s">
        <v>1477</v>
      </c>
      <c r="E128" s="180" t="s">
        <v>1475</v>
      </c>
      <c r="F128" s="180" t="s">
        <v>87</v>
      </c>
      <c r="G128" s="180" t="s">
        <v>260</v>
      </c>
      <c r="H128" s="180" t="s">
        <v>187</v>
      </c>
      <c r="I128" s="180" t="s">
        <v>76</v>
      </c>
      <c r="J128" s="180" t="s">
        <v>54</v>
      </c>
      <c r="K128" s="217">
        <v>21</v>
      </c>
      <c r="L128" s="217">
        <v>74</v>
      </c>
      <c r="M128" s="180">
        <v>45</v>
      </c>
      <c r="N128" s="180">
        <v>7.8</v>
      </c>
      <c r="O128" s="94">
        <v>0.5</v>
      </c>
      <c r="P128" s="239">
        <f t="shared" si="29"/>
        <v>4.3040650932041702</v>
      </c>
      <c r="Q128" s="262" t="str">
        <f t="shared" si="38"/>
        <v>Gadd Daph</v>
      </c>
      <c r="R128" s="263">
        <f t="shared" si="40"/>
        <v>-3.2031000973954953</v>
      </c>
      <c r="S128" s="220">
        <f t="shared" si="34"/>
        <v>7.5071651905996655</v>
      </c>
      <c r="T128" s="236">
        <f t="shared" si="31"/>
        <v>11</v>
      </c>
      <c r="U128" s="221" t="str">
        <f t="shared" si="49"/>
        <v>11-REP-NOEC-Adult</v>
      </c>
      <c r="V128" s="222" cm="1">
        <f t="array" ref="V128">GEOMEAN(IF(U128=$U$7:$U$360,$S$7:$S$360))</f>
        <v>7.5071651905996655</v>
      </c>
      <c r="W128" s="264">
        <f t="shared" si="41"/>
        <v>4.384277506690955</v>
      </c>
      <c r="X128" s="225">
        <f t="shared" si="30"/>
        <v>80.180272570496612</v>
      </c>
      <c r="Y128" s="225"/>
      <c r="Z128" s="226" t="s">
        <v>1518</v>
      </c>
      <c r="AA128" s="226"/>
      <c r="AB128" s="252" t="s">
        <v>1888</v>
      </c>
      <c r="AC128" s="243" t="s">
        <v>1858</v>
      </c>
      <c r="AD128" s="251">
        <v>0.64</v>
      </c>
      <c r="AE128" s="243" t="s">
        <v>1859</v>
      </c>
      <c r="AG128" s="244"/>
      <c r="AH128" s="244"/>
      <c r="AI128" s="244"/>
    </row>
    <row r="129" spans="1:38" s="183" customFormat="1" ht="15.75" customHeight="1" x14ac:dyDescent="0.2">
      <c r="B129" s="241"/>
      <c r="C129" s="217">
        <v>1991</v>
      </c>
      <c r="D129" s="180" t="s">
        <v>1605</v>
      </c>
      <c r="E129" s="180" t="s">
        <v>41</v>
      </c>
      <c r="F129" s="180" t="s">
        <v>87</v>
      </c>
      <c r="G129" s="180" t="s">
        <v>260</v>
      </c>
      <c r="H129" s="180" t="s">
        <v>1606</v>
      </c>
      <c r="I129" s="180" t="s">
        <v>76</v>
      </c>
      <c r="J129" s="180" t="s">
        <v>54</v>
      </c>
      <c r="K129" s="217">
        <v>21</v>
      </c>
      <c r="L129" s="217">
        <v>100</v>
      </c>
      <c r="M129" s="180">
        <v>64.900000000000006</v>
      </c>
      <c r="N129" s="180">
        <v>7.7</v>
      </c>
      <c r="O129" s="94">
        <v>0.5</v>
      </c>
      <c r="P129" s="239">
        <f t="shared" si="29"/>
        <v>4.6051701859880918</v>
      </c>
      <c r="Q129" s="262" t="str">
        <f t="shared" si="38"/>
        <v>Gadd Daph</v>
      </c>
      <c r="R129" s="263">
        <f t="shared" si="40"/>
        <v>-3.0209471735407423</v>
      </c>
      <c r="S129" s="220">
        <f t="shared" si="34"/>
        <v>7.6261173595288341</v>
      </c>
      <c r="T129" s="236">
        <f t="shared" si="31"/>
        <v>11</v>
      </c>
      <c r="U129" s="221" t="str">
        <f t="shared" si="49"/>
        <v>11-REP-NOEC-&lt; 48 hrs old</v>
      </c>
      <c r="V129" s="222" cm="1">
        <f t="array" ref="V129">GEOMEAN(IF(U129=$U$7:$U$360,$S$7:$S$360))</f>
        <v>7.6261173595288341</v>
      </c>
      <c r="W129" s="264">
        <f t="shared" si="41"/>
        <v>4.5032296756201244</v>
      </c>
      <c r="X129" s="225">
        <f t="shared" si="30"/>
        <v>90.308327416257043</v>
      </c>
      <c r="Y129" s="225"/>
      <c r="Z129" s="226" t="s">
        <v>1518</v>
      </c>
      <c r="AA129" s="180"/>
      <c r="AB129" s="227" t="s">
        <v>1846</v>
      </c>
      <c r="AC129" s="243" t="s">
        <v>1861</v>
      </c>
      <c r="AD129" s="243"/>
      <c r="AE129" s="229" t="s">
        <v>1584</v>
      </c>
      <c r="AG129" s="244"/>
      <c r="AH129" s="244"/>
      <c r="AI129" s="244"/>
    </row>
    <row r="130" spans="1:38" s="183" customFormat="1" ht="15.75" customHeight="1" x14ac:dyDescent="0.2">
      <c r="B130" s="241"/>
      <c r="C130" s="217">
        <v>1991</v>
      </c>
      <c r="D130" s="180" t="s">
        <v>1605</v>
      </c>
      <c r="E130" s="180" t="s">
        <v>41</v>
      </c>
      <c r="F130" s="180" t="s">
        <v>87</v>
      </c>
      <c r="G130" s="180" t="s">
        <v>260</v>
      </c>
      <c r="H130" s="180" t="s">
        <v>1606</v>
      </c>
      <c r="I130" s="180" t="s">
        <v>76</v>
      </c>
      <c r="J130" s="180" t="s">
        <v>1062</v>
      </c>
      <c r="K130" s="217">
        <v>21</v>
      </c>
      <c r="L130" s="217">
        <v>67.599999999999994</v>
      </c>
      <c r="M130" s="180">
        <v>64.900000000000006</v>
      </c>
      <c r="N130" s="180">
        <v>7.7</v>
      </c>
      <c r="O130" s="94">
        <v>0.5</v>
      </c>
      <c r="P130" s="239">
        <f t="shared" si="29"/>
        <v>4.2136079830489184</v>
      </c>
      <c r="Q130" s="262" t="str">
        <f t="shared" si="38"/>
        <v>Gadd Daph</v>
      </c>
      <c r="R130" s="263">
        <f t="shared" si="40"/>
        <v>-3.0209471735407423</v>
      </c>
      <c r="S130" s="220">
        <f t="shared" si="34"/>
        <v>7.2345551565896606</v>
      </c>
      <c r="T130" s="236">
        <f t="shared" si="31"/>
        <v>11</v>
      </c>
      <c r="U130" s="221" t="str">
        <f t="shared" si="49"/>
        <v>11-REP-IC10-&lt; 48 hrs old</v>
      </c>
      <c r="V130" s="222" cm="1">
        <f t="array" ref="V130">GEOMEAN(IF(U130=$U$7:$U$360,$S$7:$S$360))</f>
        <v>7.2345551565896606</v>
      </c>
      <c r="W130" s="264">
        <f t="shared" si="41"/>
        <v>4.111667472680951</v>
      </c>
      <c r="X130" s="225">
        <f t="shared" si="30"/>
        <v>61.048429333389734</v>
      </c>
      <c r="Y130" s="225">
        <f t="shared" ref="Y130" si="51">X130</f>
        <v>61.048429333389734</v>
      </c>
      <c r="Z130" s="226"/>
      <c r="AA130" s="180" t="s">
        <v>1607</v>
      </c>
      <c r="AB130" s="227" t="s">
        <v>1846</v>
      </c>
      <c r="AC130" s="243" t="s">
        <v>1861</v>
      </c>
      <c r="AD130" s="243"/>
      <c r="AE130" s="229" t="s">
        <v>1584</v>
      </c>
      <c r="AG130" s="244"/>
      <c r="AH130" s="244"/>
      <c r="AI130" s="244"/>
    </row>
    <row r="131" spans="1:38" s="183" customFormat="1" ht="15.75" customHeight="1" x14ac:dyDescent="0.2">
      <c r="B131" s="180">
        <v>62445</v>
      </c>
      <c r="C131" s="217">
        <v>2001</v>
      </c>
      <c r="D131" s="180" t="s">
        <v>512</v>
      </c>
      <c r="E131" s="180" t="s">
        <v>41</v>
      </c>
      <c r="F131" s="180" t="s">
        <v>87</v>
      </c>
      <c r="G131" s="180" t="s">
        <v>260</v>
      </c>
      <c r="H131" s="180" t="s">
        <v>292</v>
      </c>
      <c r="I131" s="180" t="s">
        <v>256</v>
      </c>
      <c r="J131" s="180" t="s">
        <v>465</v>
      </c>
      <c r="K131" s="180" t="s">
        <v>94</v>
      </c>
      <c r="L131" s="180">
        <v>800</v>
      </c>
      <c r="M131" s="180">
        <v>280</v>
      </c>
      <c r="N131" s="180">
        <v>7.8</v>
      </c>
      <c r="O131" s="94">
        <v>0.5</v>
      </c>
      <c r="P131" s="239">
        <f t="shared" si="29"/>
        <v>6.6846117276679271</v>
      </c>
      <c r="Q131" s="262" t="str">
        <f t="shared" si="38"/>
        <v>Gadd Daph</v>
      </c>
      <c r="R131" s="263">
        <f t="shared" si="40"/>
        <v>-2.6363806922418265</v>
      </c>
      <c r="S131" s="220">
        <f t="shared" si="34"/>
        <v>9.3209924199097536</v>
      </c>
      <c r="T131" s="236">
        <f t="shared" si="31"/>
        <v>11</v>
      </c>
      <c r="U131" s="221" t="str">
        <f t="shared" si="49"/>
        <v>11-POP-NOEL-JV</v>
      </c>
      <c r="V131" s="222" cm="1">
        <f t="array" ref="V131">GEOMEAN(IF(U131=$U$7:$U$360,$S$7:$S$360))</f>
        <v>9.3209924199097536</v>
      </c>
      <c r="W131" s="264">
        <f t="shared" si="41"/>
        <v>6.1981047360010439</v>
      </c>
      <c r="X131" s="225">
        <f t="shared" si="30"/>
        <v>491.8160359999157</v>
      </c>
      <c r="Y131" s="225"/>
      <c r="Z131" s="226" t="s">
        <v>1513</v>
      </c>
      <c r="AA131" s="226"/>
      <c r="AB131" s="255"/>
      <c r="AC131" s="243" t="s">
        <v>1858</v>
      </c>
      <c r="AD131" s="251">
        <v>0.69</v>
      </c>
      <c r="AE131" s="243" t="s">
        <v>1859</v>
      </c>
      <c r="AG131" s="244"/>
      <c r="AH131" s="244"/>
      <c r="AI131" s="244"/>
    </row>
    <row r="132" spans="1:38" s="183" customFormat="1" ht="15.75" customHeight="1" x14ac:dyDescent="0.2">
      <c r="B132" s="180">
        <v>62445</v>
      </c>
      <c r="C132" s="217">
        <v>2001</v>
      </c>
      <c r="D132" s="180" t="s">
        <v>512</v>
      </c>
      <c r="E132" s="180" t="s">
        <v>41</v>
      </c>
      <c r="F132" s="180" t="s">
        <v>87</v>
      </c>
      <c r="G132" s="180" t="s">
        <v>260</v>
      </c>
      <c r="H132" s="180" t="s">
        <v>292</v>
      </c>
      <c r="I132" s="180" t="s">
        <v>76</v>
      </c>
      <c r="J132" s="180" t="s">
        <v>465</v>
      </c>
      <c r="K132" s="180" t="s">
        <v>94</v>
      </c>
      <c r="L132" s="180">
        <v>300</v>
      </c>
      <c r="M132" s="180">
        <v>280</v>
      </c>
      <c r="N132" s="180">
        <v>7.8</v>
      </c>
      <c r="O132" s="94">
        <v>0.5</v>
      </c>
      <c r="P132" s="239">
        <f t="shared" si="29"/>
        <v>5.7037824746562009</v>
      </c>
      <c r="Q132" s="262" t="str">
        <f t="shared" si="38"/>
        <v>Gadd Daph</v>
      </c>
      <c r="R132" s="263">
        <f t="shared" si="40"/>
        <v>-2.6363806922418265</v>
      </c>
      <c r="S132" s="220">
        <f t="shared" si="34"/>
        <v>8.3401631668980265</v>
      </c>
      <c r="T132" s="236">
        <f t="shared" si="31"/>
        <v>11</v>
      </c>
      <c r="U132" s="221" t="str">
        <f t="shared" si="49"/>
        <v>11-REP-NOEL-JV</v>
      </c>
      <c r="V132" s="222" cm="1">
        <f t="array" ref="V132">GEOMEAN(IF(U132=$U$7:$U$360,$S$7:$S$360))</f>
        <v>8.3401631668980265</v>
      </c>
      <c r="W132" s="264">
        <f t="shared" si="41"/>
        <v>5.2172754829893169</v>
      </c>
      <c r="X132" s="225">
        <f t="shared" si="30"/>
        <v>184.43101349996823</v>
      </c>
      <c r="Y132" s="225"/>
      <c r="Z132" s="226" t="s">
        <v>1518</v>
      </c>
      <c r="AA132" s="226"/>
      <c r="AB132" s="255"/>
      <c r="AC132" s="243" t="s">
        <v>1889</v>
      </c>
      <c r="AD132" s="251">
        <v>0.69</v>
      </c>
      <c r="AE132" s="243" t="s">
        <v>1859</v>
      </c>
      <c r="AG132" s="244"/>
      <c r="AH132" s="244"/>
      <c r="AI132" s="244"/>
    </row>
    <row r="133" spans="1:38" s="183" customFormat="1" ht="15.75" customHeight="1" x14ac:dyDescent="0.2">
      <c r="B133" s="180">
        <v>71981</v>
      </c>
      <c r="C133" s="217">
        <v>2003</v>
      </c>
      <c r="D133" s="180" t="s">
        <v>602</v>
      </c>
      <c r="E133" s="180" t="s">
        <v>41</v>
      </c>
      <c r="F133" s="180" t="s">
        <v>87</v>
      </c>
      <c r="G133" s="180" t="s">
        <v>260</v>
      </c>
      <c r="H133" s="180" t="s">
        <v>1738</v>
      </c>
      <c r="I133" s="180" t="s">
        <v>76</v>
      </c>
      <c r="J133" s="180" t="s">
        <v>49</v>
      </c>
      <c r="K133" s="180" t="s">
        <v>94</v>
      </c>
      <c r="L133" s="180">
        <v>90</v>
      </c>
      <c r="M133" s="180">
        <v>370</v>
      </c>
      <c r="N133" s="180">
        <v>8</v>
      </c>
      <c r="O133" s="94">
        <v>9.6999999999999993</v>
      </c>
      <c r="P133" s="239">
        <f t="shared" si="29"/>
        <v>4.499809670330265</v>
      </c>
      <c r="Q133" s="262" t="str">
        <f t="shared" si="38"/>
        <v>Gadd Daph</v>
      </c>
      <c r="R133" s="263">
        <f t="shared" si="40"/>
        <v>-1.1453086077872809</v>
      </c>
      <c r="S133" s="220">
        <f t="shared" si="34"/>
        <v>5.645118278117546</v>
      </c>
      <c r="T133" s="236">
        <f t="shared" si="31"/>
        <v>11</v>
      </c>
      <c r="U133" s="221" t="str">
        <f t="shared" si="49"/>
        <v>11-REP-EC10-Neonates</v>
      </c>
      <c r="V133" s="222" cm="1">
        <f t="array" ref="V133">GEOMEAN(IF(U133=$U$7:$U$360,$S$7:$S$360))</f>
        <v>6.8680184697754383</v>
      </c>
      <c r="W133" s="264">
        <f t="shared" si="41"/>
        <v>3.7451307858667282</v>
      </c>
      <c r="X133" s="225">
        <f t="shared" si="30"/>
        <v>42.314541000879686</v>
      </c>
      <c r="Y133" s="225">
        <f t="shared" ref="Y133:Y134" si="52">X133</f>
        <v>42.314541000879686</v>
      </c>
      <c r="Z133" s="226"/>
      <c r="AA133" s="226"/>
      <c r="AB133" s="227" t="s">
        <v>1846</v>
      </c>
      <c r="AC133" s="243" t="s">
        <v>1798</v>
      </c>
      <c r="AD133" s="243"/>
      <c r="AE133" s="229" t="s">
        <v>1584</v>
      </c>
      <c r="AG133" s="244"/>
      <c r="AH133" s="244"/>
      <c r="AI133" s="244"/>
    </row>
    <row r="134" spans="1:38" s="183" customFormat="1" ht="15.75" customHeight="1" x14ac:dyDescent="0.2">
      <c r="B134" s="180">
        <v>71981</v>
      </c>
      <c r="C134" s="217">
        <v>2003</v>
      </c>
      <c r="D134" s="180" t="s">
        <v>602</v>
      </c>
      <c r="E134" s="180" t="s">
        <v>41</v>
      </c>
      <c r="F134" s="180" t="s">
        <v>87</v>
      </c>
      <c r="G134" s="180" t="s">
        <v>260</v>
      </c>
      <c r="H134" s="180" t="s">
        <v>1738</v>
      </c>
      <c r="I134" s="180" t="s">
        <v>76</v>
      </c>
      <c r="J134" s="180" t="s">
        <v>49</v>
      </c>
      <c r="K134" s="180" t="s">
        <v>94</v>
      </c>
      <c r="L134" s="180">
        <v>634</v>
      </c>
      <c r="M134" s="180">
        <v>240</v>
      </c>
      <c r="N134" s="180">
        <v>8.5</v>
      </c>
      <c r="O134" s="94">
        <v>21</v>
      </c>
      <c r="P134" s="239">
        <f t="shared" si="29"/>
        <v>6.4520489544372257</v>
      </c>
      <c r="Q134" s="262" t="str">
        <f t="shared" si="38"/>
        <v>Gadd Daph</v>
      </c>
      <c r="R134" s="263">
        <f t="shared" si="40"/>
        <v>-0.77250757362099165</v>
      </c>
      <c r="S134" s="220">
        <f t="shared" si="34"/>
        <v>7.2245565280582174</v>
      </c>
      <c r="T134" s="236">
        <f t="shared" si="31"/>
        <v>11</v>
      </c>
      <c r="U134" s="221" t="str">
        <f t="shared" si="49"/>
        <v>11-REP-EC10-Neonates</v>
      </c>
      <c r="V134" s="222" cm="1">
        <f t="array" ref="V134">GEOMEAN(IF(U134=$U$7:$U$360,$S$7:$S$360))</f>
        <v>6.8680184697754383</v>
      </c>
      <c r="W134" s="264">
        <f t="shared" si="41"/>
        <v>3.7451307858667282</v>
      </c>
      <c r="X134" s="225">
        <f t="shared" si="30"/>
        <v>42.314541000879686</v>
      </c>
      <c r="Y134" s="225">
        <f t="shared" si="52"/>
        <v>42.314541000879686</v>
      </c>
      <c r="Z134" s="226"/>
      <c r="AA134" s="226"/>
      <c r="AB134" s="227" t="s">
        <v>1846</v>
      </c>
      <c r="AC134" s="243" t="s">
        <v>1798</v>
      </c>
      <c r="AD134" s="243"/>
      <c r="AE134" s="229" t="s">
        <v>1584</v>
      </c>
      <c r="AG134" s="244"/>
      <c r="AH134" s="244"/>
      <c r="AI134" s="244"/>
    </row>
    <row r="135" spans="1:38" s="183" customFormat="1" ht="15.75" customHeight="1" x14ac:dyDescent="0.2">
      <c r="B135" s="180">
        <v>71981</v>
      </c>
      <c r="C135" s="217">
        <v>2003</v>
      </c>
      <c r="D135" s="180" t="s">
        <v>602</v>
      </c>
      <c r="E135" s="180" t="s">
        <v>41</v>
      </c>
      <c r="F135" s="180" t="s">
        <v>87</v>
      </c>
      <c r="G135" s="180" t="s">
        <v>260</v>
      </c>
      <c r="H135" s="180" t="s">
        <v>1738</v>
      </c>
      <c r="I135" s="180" t="s">
        <v>76</v>
      </c>
      <c r="J135" s="180" t="s">
        <v>49</v>
      </c>
      <c r="K135" s="180" t="s">
        <v>94</v>
      </c>
      <c r="L135" s="180">
        <v>308</v>
      </c>
      <c r="M135" s="180">
        <v>445</v>
      </c>
      <c r="N135" s="180">
        <v>7.25</v>
      </c>
      <c r="O135" s="94">
        <v>21</v>
      </c>
      <c r="P135" s="239">
        <f t="shared" si="29"/>
        <v>5.730099782973574</v>
      </c>
      <c r="Q135" s="262" t="str">
        <f t="shared" si="38"/>
        <v>Gadd Daph</v>
      </c>
      <c r="R135" s="263">
        <f t="shared" si="40"/>
        <v>-0.84445934370250164</v>
      </c>
      <c r="S135" s="220">
        <f t="shared" si="34"/>
        <v>6.5745591266760757</v>
      </c>
      <c r="T135" s="236">
        <f t="shared" si="31"/>
        <v>11</v>
      </c>
      <c r="U135" s="221"/>
      <c r="V135" s="222" t="e" cm="1">
        <f t="array" ref="V135">GEOMEAN(IF(U135=$U$7:$U$360,$S$7:$S$360))</f>
        <v>#NUM!</v>
      </c>
      <c r="W135" s="264" t="e">
        <f t="shared" si="41"/>
        <v>#NUM!</v>
      </c>
      <c r="X135" s="225" t="e">
        <f t="shared" si="30"/>
        <v>#NUM!</v>
      </c>
      <c r="Y135" s="225"/>
      <c r="Z135" s="226"/>
      <c r="AA135" s="226" t="s">
        <v>1890</v>
      </c>
      <c r="AB135" s="227" t="s">
        <v>1846</v>
      </c>
      <c r="AC135" s="243" t="s">
        <v>1798</v>
      </c>
      <c r="AD135" s="243"/>
      <c r="AE135" s="229" t="s">
        <v>1584</v>
      </c>
      <c r="AG135" s="244"/>
      <c r="AH135" s="244"/>
      <c r="AI135" s="244"/>
      <c r="AJ135" s="182"/>
      <c r="AK135" s="182"/>
    </row>
    <row r="136" spans="1:38" s="183" customFormat="1" ht="15.75" customHeight="1" x14ac:dyDescent="0.2">
      <c r="B136" s="180">
        <v>71981</v>
      </c>
      <c r="C136" s="217">
        <v>2003</v>
      </c>
      <c r="D136" s="180" t="s">
        <v>602</v>
      </c>
      <c r="E136" s="180" t="s">
        <v>41</v>
      </c>
      <c r="F136" s="180" t="s">
        <v>87</v>
      </c>
      <c r="G136" s="180" t="s">
        <v>260</v>
      </c>
      <c r="H136" s="180" t="s">
        <v>1738</v>
      </c>
      <c r="I136" s="180" t="s">
        <v>76</v>
      </c>
      <c r="J136" s="180" t="s">
        <v>49</v>
      </c>
      <c r="K136" s="180" t="s">
        <v>94</v>
      </c>
      <c r="L136" s="180">
        <v>341</v>
      </c>
      <c r="M136" s="180">
        <v>370</v>
      </c>
      <c r="N136" s="180">
        <v>6.5</v>
      </c>
      <c r="O136" s="94">
        <v>32.299999999999997</v>
      </c>
      <c r="P136" s="239">
        <f t="shared" ref="P136:P199" si="53">LN(L136)</f>
        <v>5.8318824772835169</v>
      </c>
      <c r="Q136" s="262" t="str">
        <f t="shared" si="38"/>
        <v>Gadd Daph</v>
      </c>
      <c r="R136" s="263">
        <f t="shared" si="40"/>
        <v>-0.99080331141555789</v>
      </c>
      <c r="S136" s="220">
        <f t="shared" si="34"/>
        <v>6.8226857886990748</v>
      </c>
      <c r="T136" s="236">
        <f t="shared" si="31"/>
        <v>11</v>
      </c>
      <c r="U136" s="221" t="str">
        <f t="shared" ref="U136:U161" si="54">CONCATENATE(T136,"-",I136,"-",J136,"-",H136)</f>
        <v>11-REP-EC10-Neonates</v>
      </c>
      <c r="V136" s="222" cm="1">
        <f t="array" ref="V136">GEOMEAN(IF(U136=$U$7:$U$360,$S$7:$S$360))</f>
        <v>6.8680184697754383</v>
      </c>
      <c r="W136" s="264">
        <f t="shared" si="41"/>
        <v>3.7451307858667282</v>
      </c>
      <c r="X136" s="225">
        <f t="shared" ref="X136:X199" si="55">EXP(W136)</f>
        <v>42.314541000879686</v>
      </c>
      <c r="Y136" s="225">
        <f t="shared" ref="Y136:Y149" si="56">X136</f>
        <v>42.314541000879686</v>
      </c>
      <c r="Z136" s="226"/>
      <c r="AA136" s="194"/>
      <c r="AB136" s="227" t="s">
        <v>1846</v>
      </c>
      <c r="AC136" s="243" t="s">
        <v>1798</v>
      </c>
      <c r="AD136" s="243"/>
      <c r="AE136" s="229" t="s">
        <v>1584</v>
      </c>
      <c r="AG136" s="244"/>
      <c r="AH136" s="244"/>
      <c r="AI136" s="244"/>
      <c r="AJ136" s="182"/>
      <c r="AK136" s="182"/>
    </row>
    <row r="137" spans="1:38" s="183" customFormat="1" ht="15.75" customHeight="1" x14ac:dyDescent="0.2">
      <c r="B137" s="180">
        <v>71981</v>
      </c>
      <c r="C137" s="217">
        <v>2003</v>
      </c>
      <c r="D137" s="180" t="s">
        <v>602</v>
      </c>
      <c r="E137" s="180" t="s">
        <v>41</v>
      </c>
      <c r="F137" s="180" t="s">
        <v>87</v>
      </c>
      <c r="G137" s="180" t="s">
        <v>260</v>
      </c>
      <c r="H137" s="180" t="s">
        <v>1738</v>
      </c>
      <c r="I137" s="180" t="s">
        <v>76</v>
      </c>
      <c r="J137" s="180" t="s">
        <v>49</v>
      </c>
      <c r="K137" s="180" t="s">
        <v>94</v>
      </c>
      <c r="L137" s="180">
        <v>331</v>
      </c>
      <c r="M137" s="180">
        <v>240</v>
      </c>
      <c r="N137" s="180">
        <v>7.25</v>
      </c>
      <c r="O137" s="94">
        <v>21</v>
      </c>
      <c r="P137" s="239">
        <f t="shared" si="53"/>
        <v>5.8021183753770629</v>
      </c>
      <c r="Q137" s="262" t="str">
        <f t="shared" si="38"/>
        <v>Gadd Daph</v>
      </c>
      <c r="R137" s="263">
        <f t="shared" si="40"/>
        <v>-1.0358643049380181</v>
      </c>
      <c r="S137" s="220">
        <f t="shared" si="34"/>
        <v>6.8379826803150809</v>
      </c>
      <c r="T137" s="236">
        <f t="shared" ref="T137:T200" si="57">IF(F137=F136,T136,T136+1)</f>
        <v>11</v>
      </c>
      <c r="U137" s="221" t="str">
        <f t="shared" si="54"/>
        <v>11-REP-EC10-Neonates</v>
      </c>
      <c r="V137" s="222" cm="1">
        <f t="array" ref="V137">GEOMEAN(IF(U137=$U$7:$U$360,$S$7:$S$360))</f>
        <v>6.8680184697754383</v>
      </c>
      <c r="W137" s="264">
        <f t="shared" si="41"/>
        <v>3.7451307858667282</v>
      </c>
      <c r="X137" s="225">
        <f t="shared" si="55"/>
        <v>42.314541000879686</v>
      </c>
      <c r="Y137" s="225">
        <f t="shared" si="56"/>
        <v>42.314541000879686</v>
      </c>
      <c r="Z137" s="226"/>
      <c r="AA137" s="226"/>
      <c r="AB137" s="227" t="s">
        <v>1846</v>
      </c>
      <c r="AC137" s="243" t="s">
        <v>1798</v>
      </c>
      <c r="AD137" s="243"/>
      <c r="AE137" s="229" t="s">
        <v>1584</v>
      </c>
      <c r="AG137" s="244"/>
      <c r="AH137" s="244"/>
      <c r="AI137" s="244"/>
      <c r="AJ137" s="182"/>
      <c r="AK137" s="182"/>
      <c r="AL137" s="182"/>
    </row>
    <row r="138" spans="1:38" s="183" customFormat="1" ht="15.75" customHeight="1" x14ac:dyDescent="0.2">
      <c r="B138" s="180">
        <v>71981</v>
      </c>
      <c r="C138" s="217">
        <v>2003</v>
      </c>
      <c r="D138" s="180" t="s">
        <v>602</v>
      </c>
      <c r="E138" s="180" t="s">
        <v>41</v>
      </c>
      <c r="F138" s="180" t="s">
        <v>87</v>
      </c>
      <c r="G138" s="180" t="s">
        <v>260</v>
      </c>
      <c r="H138" s="180" t="s">
        <v>1738</v>
      </c>
      <c r="I138" s="180" t="s">
        <v>76</v>
      </c>
      <c r="J138" s="180" t="s">
        <v>49</v>
      </c>
      <c r="K138" s="180" t="s">
        <v>94</v>
      </c>
      <c r="L138" s="180">
        <v>328</v>
      </c>
      <c r="M138" s="180">
        <v>35</v>
      </c>
      <c r="N138" s="180">
        <v>7.25</v>
      </c>
      <c r="O138" s="94">
        <v>21</v>
      </c>
      <c r="P138" s="239">
        <f t="shared" si="53"/>
        <v>5.7930136083841441</v>
      </c>
      <c r="Q138" s="262" t="str">
        <f t="shared" si="38"/>
        <v>Gadd Daph</v>
      </c>
      <c r="R138" s="263">
        <f t="shared" si="40"/>
        <v>-1.6327044721123176</v>
      </c>
      <c r="S138" s="220">
        <f t="shared" si="34"/>
        <v>7.4257180804964618</v>
      </c>
      <c r="T138" s="236">
        <f t="shared" si="57"/>
        <v>11</v>
      </c>
      <c r="U138" s="221" t="str">
        <f t="shared" si="54"/>
        <v>11-REP-EC10-Neonates</v>
      </c>
      <c r="V138" s="222" cm="1">
        <f t="array" ref="V138">GEOMEAN(IF(U138=$U$7:$U$360,$S$7:$S$360))</f>
        <v>6.8680184697754383</v>
      </c>
      <c r="W138" s="264">
        <f t="shared" si="41"/>
        <v>3.7451307858667282</v>
      </c>
      <c r="X138" s="225">
        <f t="shared" si="55"/>
        <v>42.314541000879686</v>
      </c>
      <c r="Y138" s="225">
        <f t="shared" si="56"/>
        <v>42.314541000879686</v>
      </c>
      <c r="Z138" s="226"/>
      <c r="AA138" s="226"/>
      <c r="AB138" s="227" t="s">
        <v>1846</v>
      </c>
      <c r="AC138" s="243" t="s">
        <v>1798</v>
      </c>
      <c r="AD138" s="243"/>
      <c r="AE138" s="229" t="s">
        <v>1584</v>
      </c>
      <c r="AG138" s="244"/>
      <c r="AH138" s="244"/>
      <c r="AI138" s="244"/>
      <c r="AJ138" s="182"/>
      <c r="AK138" s="182"/>
      <c r="AL138" s="182"/>
    </row>
    <row r="139" spans="1:38" s="183" customFormat="1" ht="15.75" customHeight="1" x14ac:dyDescent="0.2">
      <c r="B139" s="180">
        <v>71981</v>
      </c>
      <c r="C139" s="217">
        <v>2003</v>
      </c>
      <c r="D139" s="180" t="s">
        <v>602</v>
      </c>
      <c r="E139" s="180" t="s">
        <v>41</v>
      </c>
      <c r="F139" s="180" t="s">
        <v>87</v>
      </c>
      <c r="G139" s="180" t="s">
        <v>260</v>
      </c>
      <c r="H139" s="180" t="s">
        <v>1738</v>
      </c>
      <c r="I139" s="180" t="s">
        <v>76</v>
      </c>
      <c r="J139" s="180" t="s">
        <v>49</v>
      </c>
      <c r="K139" s="180" t="s">
        <v>94</v>
      </c>
      <c r="L139" s="180">
        <v>502</v>
      </c>
      <c r="M139" s="180">
        <v>240</v>
      </c>
      <c r="N139" s="180">
        <v>7.25</v>
      </c>
      <c r="O139" s="94">
        <v>21</v>
      </c>
      <c r="P139" s="239">
        <f t="shared" si="53"/>
        <v>6.2186001196917289</v>
      </c>
      <c r="Q139" s="262" t="str">
        <f t="shared" si="38"/>
        <v>Gadd Daph</v>
      </c>
      <c r="R139" s="263">
        <f t="shared" si="40"/>
        <v>-1.0358643049380181</v>
      </c>
      <c r="S139" s="220">
        <f t="shared" si="34"/>
        <v>7.2544644246297469</v>
      </c>
      <c r="T139" s="236">
        <f t="shared" si="57"/>
        <v>11</v>
      </c>
      <c r="U139" s="221" t="str">
        <f t="shared" si="54"/>
        <v>11-REP-EC10-Neonates</v>
      </c>
      <c r="V139" s="222" cm="1">
        <f t="array" ref="V139">GEOMEAN(IF(U139=$U$7:$U$360,$S$7:$S$360))</f>
        <v>6.8680184697754383</v>
      </c>
      <c r="W139" s="264">
        <f t="shared" si="41"/>
        <v>3.7451307858667282</v>
      </c>
      <c r="X139" s="225">
        <f t="shared" si="55"/>
        <v>42.314541000879686</v>
      </c>
      <c r="Y139" s="225">
        <f t="shared" si="56"/>
        <v>42.314541000879686</v>
      </c>
      <c r="Z139" s="226"/>
      <c r="AA139" s="226"/>
      <c r="AB139" s="227" t="s">
        <v>1846</v>
      </c>
      <c r="AC139" s="243" t="s">
        <v>1798</v>
      </c>
      <c r="AD139" s="243"/>
      <c r="AE139" s="229" t="s">
        <v>1584</v>
      </c>
      <c r="AG139" s="244"/>
      <c r="AH139" s="244"/>
      <c r="AI139" s="244"/>
      <c r="AJ139" s="182"/>
      <c r="AK139" s="182"/>
      <c r="AL139" s="182"/>
    </row>
    <row r="140" spans="1:38" s="183" customFormat="1" ht="15.75" customHeight="1" x14ac:dyDescent="0.2">
      <c r="A140" s="180" t="s">
        <v>1891</v>
      </c>
      <c r="B140" s="180">
        <v>71981</v>
      </c>
      <c r="C140" s="217">
        <v>2003</v>
      </c>
      <c r="D140" s="180" t="s">
        <v>602</v>
      </c>
      <c r="E140" s="180" t="s">
        <v>41</v>
      </c>
      <c r="F140" s="180" t="s">
        <v>87</v>
      </c>
      <c r="G140" s="180" t="s">
        <v>260</v>
      </c>
      <c r="H140" s="180" t="s">
        <v>1738</v>
      </c>
      <c r="I140" s="180" t="s">
        <v>76</v>
      </c>
      <c r="J140" s="180" t="s">
        <v>49</v>
      </c>
      <c r="K140" s="180" t="s">
        <v>94</v>
      </c>
      <c r="L140" s="180">
        <v>423</v>
      </c>
      <c r="M140" s="180">
        <v>240</v>
      </c>
      <c r="N140" s="180">
        <v>6</v>
      </c>
      <c r="O140" s="94">
        <v>21</v>
      </c>
      <c r="P140" s="239">
        <f t="shared" si="53"/>
        <v>6.0473721790462776</v>
      </c>
      <c r="Q140" s="262" t="str">
        <f t="shared" si="38"/>
        <v>Gadd Daph</v>
      </c>
      <c r="R140" s="263">
        <f t="shared" si="40"/>
        <v>-1.2992210362550454</v>
      </c>
      <c r="S140" s="220">
        <f t="shared" ref="S140:S203" si="58">P140-R140</f>
        <v>7.3465932153013229</v>
      </c>
      <c r="T140" s="236">
        <f t="shared" si="57"/>
        <v>11</v>
      </c>
      <c r="U140" s="221" t="str">
        <f t="shared" si="54"/>
        <v>11-REP-EC10-Neonates</v>
      </c>
      <c r="V140" s="222" cm="1">
        <f t="array" ref="V140">GEOMEAN(IF(U140=$U$7:$U$360,$S$7:$S$360))</f>
        <v>6.8680184697754383</v>
      </c>
      <c r="W140" s="264">
        <f t="shared" si="41"/>
        <v>3.7451307858667282</v>
      </c>
      <c r="X140" s="225">
        <f t="shared" si="55"/>
        <v>42.314541000879686</v>
      </c>
      <c r="Y140" s="225">
        <f t="shared" si="56"/>
        <v>42.314541000879686</v>
      </c>
      <c r="Z140" s="226"/>
      <c r="AA140" s="226"/>
      <c r="AB140" s="252" t="s">
        <v>1892</v>
      </c>
      <c r="AC140" s="243" t="s">
        <v>1858</v>
      </c>
      <c r="AD140" s="251">
        <v>0.76</v>
      </c>
      <c r="AE140" s="243" t="s">
        <v>1859</v>
      </c>
      <c r="AG140" s="244"/>
      <c r="AH140" s="244"/>
      <c r="AI140" s="244"/>
      <c r="AJ140" s="182"/>
      <c r="AK140" s="182"/>
      <c r="AL140" s="182"/>
    </row>
    <row r="141" spans="1:38" s="182" customFormat="1" ht="15.75" customHeight="1" x14ac:dyDescent="0.25">
      <c r="B141" s="180">
        <v>71981</v>
      </c>
      <c r="C141" s="217">
        <v>2003</v>
      </c>
      <c r="D141" s="180" t="s">
        <v>602</v>
      </c>
      <c r="E141" s="180" t="s">
        <v>41</v>
      </c>
      <c r="F141" s="180" t="s">
        <v>87</v>
      </c>
      <c r="G141" s="180" t="s">
        <v>260</v>
      </c>
      <c r="H141" s="180" t="s">
        <v>1738</v>
      </c>
      <c r="I141" s="180" t="s">
        <v>76</v>
      </c>
      <c r="J141" s="180" t="s">
        <v>49</v>
      </c>
      <c r="K141" s="180" t="s">
        <v>94</v>
      </c>
      <c r="L141" s="180">
        <v>394</v>
      </c>
      <c r="M141" s="180">
        <v>240</v>
      </c>
      <c r="N141" s="180">
        <v>7.25</v>
      </c>
      <c r="O141" s="94">
        <v>21</v>
      </c>
      <c r="P141" s="239">
        <f t="shared" si="53"/>
        <v>5.9763509092979339</v>
      </c>
      <c r="Q141" s="262" t="str">
        <f t="shared" si="38"/>
        <v>Gadd Daph</v>
      </c>
      <c r="R141" s="263">
        <f t="shared" si="40"/>
        <v>-1.0358643049380181</v>
      </c>
      <c r="S141" s="220">
        <f t="shared" si="58"/>
        <v>7.012215214235952</v>
      </c>
      <c r="T141" s="236">
        <f t="shared" si="57"/>
        <v>11</v>
      </c>
      <c r="U141" s="221" t="str">
        <f t="shared" si="54"/>
        <v>11-REP-EC10-Neonates</v>
      </c>
      <c r="V141" s="222" cm="1">
        <f t="array" ref="V141">GEOMEAN(IF(U141=$U$7:$U$360,$S$7:$S$360))</f>
        <v>6.8680184697754383</v>
      </c>
      <c r="W141" s="264">
        <f t="shared" si="41"/>
        <v>3.7451307858667282</v>
      </c>
      <c r="X141" s="225">
        <f t="shared" si="55"/>
        <v>42.314541000879686</v>
      </c>
      <c r="Y141" s="225">
        <f t="shared" si="56"/>
        <v>42.314541000879686</v>
      </c>
      <c r="Z141" s="226"/>
      <c r="AA141" s="226"/>
      <c r="AB141" s="227" t="s">
        <v>1846</v>
      </c>
      <c r="AC141" s="243" t="s">
        <v>1798</v>
      </c>
      <c r="AD141" s="243"/>
      <c r="AE141" s="229" t="s">
        <v>1584</v>
      </c>
      <c r="AG141" s="248"/>
      <c r="AI141" s="244"/>
    </row>
    <row r="142" spans="1:38" s="182" customFormat="1" ht="15.75" customHeight="1" x14ac:dyDescent="0.25">
      <c r="B142" s="180">
        <v>71981</v>
      </c>
      <c r="C142" s="217">
        <v>2003</v>
      </c>
      <c r="D142" s="180" t="s">
        <v>602</v>
      </c>
      <c r="E142" s="180" t="s">
        <v>41</v>
      </c>
      <c r="F142" s="180" t="s">
        <v>87</v>
      </c>
      <c r="G142" s="180" t="s">
        <v>260</v>
      </c>
      <c r="H142" s="180" t="s">
        <v>1738</v>
      </c>
      <c r="I142" s="180" t="s">
        <v>76</v>
      </c>
      <c r="J142" s="180" t="s">
        <v>49</v>
      </c>
      <c r="K142" s="180" t="s">
        <v>94</v>
      </c>
      <c r="L142" s="180">
        <v>179</v>
      </c>
      <c r="M142" s="180">
        <v>240</v>
      </c>
      <c r="N142" s="181">
        <v>7.25</v>
      </c>
      <c r="O142" s="94">
        <v>2</v>
      </c>
      <c r="P142" s="239">
        <f t="shared" si="53"/>
        <v>5.1873858058407549</v>
      </c>
      <c r="Q142" s="262" t="str">
        <f t="shared" si="38"/>
        <v>Gadd Daph</v>
      </c>
      <c r="R142" s="263">
        <f t="shared" si="40"/>
        <v>-1.8353318923736013</v>
      </c>
      <c r="S142" s="220">
        <f t="shared" si="58"/>
        <v>7.0227176982143558</v>
      </c>
      <c r="T142" s="236">
        <f t="shared" si="57"/>
        <v>11</v>
      </c>
      <c r="U142" s="221" t="str">
        <f t="shared" si="54"/>
        <v>11-REP-EC10-Neonates</v>
      </c>
      <c r="V142" s="222" cm="1">
        <f t="array" ref="V142">GEOMEAN(IF(U142=$U$7:$U$360,$S$7:$S$360))</f>
        <v>6.8680184697754383</v>
      </c>
      <c r="W142" s="264">
        <f t="shared" si="41"/>
        <v>3.7451307858667282</v>
      </c>
      <c r="X142" s="225">
        <f t="shared" si="55"/>
        <v>42.314541000879686</v>
      </c>
      <c r="Y142" s="225">
        <f t="shared" si="56"/>
        <v>42.314541000879686</v>
      </c>
      <c r="Z142" s="226"/>
      <c r="AA142" s="226"/>
      <c r="AB142" s="227" t="s">
        <v>1846</v>
      </c>
      <c r="AC142" s="243" t="s">
        <v>1798</v>
      </c>
      <c r="AD142" s="243"/>
      <c r="AE142" s="229" t="s">
        <v>1584</v>
      </c>
      <c r="AG142" s="248"/>
      <c r="AI142" s="244"/>
    </row>
    <row r="143" spans="1:38" s="182" customFormat="1" ht="15.75" customHeight="1" x14ac:dyDescent="0.25">
      <c r="B143" s="180">
        <v>71981</v>
      </c>
      <c r="C143" s="217">
        <v>2003</v>
      </c>
      <c r="D143" s="180" t="s">
        <v>602</v>
      </c>
      <c r="E143" s="180" t="s">
        <v>41</v>
      </c>
      <c r="F143" s="180" t="s">
        <v>87</v>
      </c>
      <c r="G143" s="180" t="s">
        <v>260</v>
      </c>
      <c r="H143" s="180" t="s">
        <v>1738</v>
      </c>
      <c r="I143" s="180" t="s">
        <v>76</v>
      </c>
      <c r="J143" s="180" t="s">
        <v>49</v>
      </c>
      <c r="K143" s="180" t="s">
        <v>94</v>
      </c>
      <c r="L143" s="180">
        <v>600</v>
      </c>
      <c r="M143" s="180">
        <v>370</v>
      </c>
      <c r="N143" s="180">
        <v>8</v>
      </c>
      <c r="O143" s="94">
        <v>32.299999999999997</v>
      </c>
      <c r="P143" s="239">
        <f t="shared" si="53"/>
        <v>6.3969296552161463</v>
      </c>
      <c r="Q143" s="262" t="str">
        <f t="shared" si="38"/>
        <v>Gadd Daph</v>
      </c>
      <c r="R143" s="263">
        <f t="shared" si="40"/>
        <v>-0.51977910853325948</v>
      </c>
      <c r="S143" s="220">
        <f t="shared" si="58"/>
        <v>6.9167087637494058</v>
      </c>
      <c r="T143" s="236">
        <f t="shared" si="57"/>
        <v>11</v>
      </c>
      <c r="U143" s="221" t="str">
        <f t="shared" si="54"/>
        <v>11-REP-EC10-Neonates</v>
      </c>
      <c r="V143" s="222" cm="1">
        <f t="array" ref="V143">GEOMEAN(IF(U143=$U$7:$U$360,$S$7:$S$360))</f>
        <v>6.8680184697754383</v>
      </c>
      <c r="W143" s="264">
        <f t="shared" si="41"/>
        <v>3.7451307858667282</v>
      </c>
      <c r="X143" s="225">
        <f t="shared" si="55"/>
        <v>42.314541000879686</v>
      </c>
      <c r="Y143" s="225">
        <f t="shared" si="56"/>
        <v>42.314541000879686</v>
      </c>
      <c r="Z143" s="226"/>
      <c r="AA143" s="226"/>
      <c r="AB143" s="227" t="s">
        <v>1846</v>
      </c>
      <c r="AC143" s="243" t="s">
        <v>1798</v>
      </c>
      <c r="AD143" s="251"/>
      <c r="AE143" s="229" t="s">
        <v>1584</v>
      </c>
      <c r="AG143" s="248"/>
      <c r="AI143" s="244"/>
    </row>
    <row r="144" spans="1:38" s="182" customFormat="1" ht="15.75" customHeight="1" x14ac:dyDescent="0.25">
      <c r="B144" s="180">
        <v>71981</v>
      </c>
      <c r="C144" s="217">
        <v>2003</v>
      </c>
      <c r="D144" s="180" t="s">
        <v>602</v>
      </c>
      <c r="E144" s="180" t="s">
        <v>41</v>
      </c>
      <c r="F144" s="180" t="s">
        <v>87</v>
      </c>
      <c r="G144" s="180" t="s">
        <v>260</v>
      </c>
      <c r="H144" s="180" t="s">
        <v>1738</v>
      </c>
      <c r="I144" s="180" t="s">
        <v>76</v>
      </c>
      <c r="J144" s="180" t="s">
        <v>49</v>
      </c>
      <c r="K144" s="180" t="s">
        <v>94</v>
      </c>
      <c r="L144" s="180">
        <v>233</v>
      </c>
      <c r="M144" s="180">
        <v>110</v>
      </c>
      <c r="N144" s="180">
        <v>8</v>
      </c>
      <c r="O144" s="94">
        <v>9.6999999999999993</v>
      </c>
      <c r="P144" s="239">
        <f t="shared" si="53"/>
        <v>5.4510384535657002</v>
      </c>
      <c r="Q144" s="262" t="str">
        <f t="shared" si="38"/>
        <v>Gadd Daph</v>
      </c>
      <c r="R144" s="263">
        <f t="shared" si="40"/>
        <v>-1.521345626139496</v>
      </c>
      <c r="S144" s="220">
        <f t="shared" si="58"/>
        <v>6.9723840797051961</v>
      </c>
      <c r="T144" s="236">
        <f t="shared" si="57"/>
        <v>11</v>
      </c>
      <c r="U144" s="221" t="str">
        <f t="shared" si="54"/>
        <v>11-REP-EC10-Neonates</v>
      </c>
      <c r="V144" s="222" cm="1">
        <f t="array" ref="V144">GEOMEAN(IF(U144=$U$7:$U$360,$S$7:$S$360))</f>
        <v>6.8680184697754383</v>
      </c>
      <c r="W144" s="264">
        <f t="shared" si="41"/>
        <v>3.7451307858667282</v>
      </c>
      <c r="X144" s="225">
        <f t="shared" si="55"/>
        <v>42.314541000879686</v>
      </c>
      <c r="Y144" s="225">
        <f t="shared" si="56"/>
        <v>42.314541000879686</v>
      </c>
      <c r="Z144" s="226"/>
      <c r="AA144" s="226"/>
      <c r="AB144" s="227" t="s">
        <v>1846</v>
      </c>
      <c r="AC144" s="243" t="s">
        <v>1798</v>
      </c>
      <c r="AD144" s="228"/>
      <c r="AE144" s="229" t="s">
        <v>1584</v>
      </c>
      <c r="AG144" s="248"/>
      <c r="AI144" s="244"/>
    </row>
    <row r="145" spans="2:35" s="182" customFormat="1" ht="15.75" customHeight="1" x14ac:dyDescent="0.25">
      <c r="B145" s="180">
        <v>71981</v>
      </c>
      <c r="C145" s="217">
        <v>2003</v>
      </c>
      <c r="D145" s="180" t="s">
        <v>602</v>
      </c>
      <c r="E145" s="180" t="s">
        <v>41</v>
      </c>
      <c r="F145" s="180" t="s">
        <v>87</v>
      </c>
      <c r="G145" s="180" t="s">
        <v>260</v>
      </c>
      <c r="H145" s="180" t="s">
        <v>1738</v>
      </c>
      <c r="I145" s="180" t="s">
        <v>76</v>
      </c>
      <c r="J145" s="180" t="s">
        <v>49</v>
      </c>
      <c r="K145" s="180" t="s">
        <v>94</v>
      </c>
      <c r="L145" s="180">
        <v>313</v>
      </c>
      <c r="M145" s="180">
        <v>110</v>
      </c>
      <c r="N145" s="180">
        <v>6.5</v>
      </c>
      <c r="O145" s="94">
        <v>32.299999999999997</v>
      </c>
      <c r="P145" s="239">
        <f t="shared" si="53"/>
        <v>5.7462031905401529</v>
      </c>
      <c r="Q145" s="262" t="str">
        <f t="shared" si="38"/>
        <v>Gadd Daph</v>
      </c>
      <c r="R145" s="263">
        <f t="shared" si="40"/>
        <v>-1.3668403297677729</v>
      </c>
      <c r="S145" s="220">
        <f t="shared" si="58"/>
        <v>7.1130435203079259</v>
      </c>
      <c r="T145" s="236">
        <f t="shared" si="57"/>
        <v>11</v>
      </c>
      <c r="U145" s="221" t="str">
        <f t="shared" si="54"/>
        <v>11-REP-EC10-Neonates</v>
      </c>
      <c r="V145" s="222" cm="1">
        <f t="array" ref="V145">GEOMEAN(IF(U145=$U$7:$U$360,$S$7:$S$360))</f>
        <v>6.8680184697754383</v>
      </c>
      <c r="W145" s="264">
        <f t="shared" si="41"/>
        <v>3.7451307858667282</v>
      </c>
      <c r="X145" s="225">
        <f t="shared" si="55"/>
        <v>42.314541000879686</v>
      </c>
      <c r="Y145" s="225">
        <f t="shared" si="56"/>
        <v>42.314541000879686</v>
      </c>
      <c r="Z145" s="226"/>
      <c r="AA145" s="226"/>
      <c r="AB145" s="227" t="s">
        <v>1846</v>
      </c>
      <c r="AC145" s="243" t="s">
        <v>1798</v>
      </c>
      <c r="AD145" s="228"/>
      <c r="AE145" s="229" t="s">
        <v>1584</v>
      </c>
      <c r="AG145" s="248"/>
      <c r="AI145" s="244"/>
    </row>
    <row r="146" spans="2:35" s="182" customFormat="1" ht="15.75" customHeight="1" x14ac:dyDescent="0.25">
      <c r="B146" s="180">
        <v>71981</v>
      </c>
      <c r="C146" s="217">
        <v>2003</v>
      </c>
      <c r="D146" s="180" t="s">
        <v>602</v>
      </c>
      <c r="E146" s="180" t="s">
        <v>41</v>
      </c>
      <c r="F146" s="180" t="s">
        <v>87</v>
      </c>
      <c r="G146" s="180" t="s">
        <v>260</v>
      </c>
      <c r="H146" s="180" t="s">
        <v>1738</v>
      </c>
      <c r="I146" s="180" t="s">
        <v>76</v>
      </c>
      <c r="J146" s="180" t="s">
        <v>49</v>
      </c>
      <c r="K146" s="180" t="s">
        <v>94</v>
      </c>
      <c r="L146" s="180">
        <v>911</v>
      </c>
      <c r="M146" s="180">
        <v>240</v>
      </c>
      <c r="N146" s="180">
        <v>7.25</v>
      </c>
      <c r="O146" s="94">
        <v>40</v>
      </c>
      <c r="P146" s="239">
        <f t="shared" si="53"/>
        <v>6.8145428972599582</v>
      </c>
      <c r="Q146" s="262" t="str">
        <f t="shared" si="38"/>
        <v>Gadd Daph</v>
      </c>
      <c r="R146" s="263">
        <f t="shared" si="40"/>
        <v>-0.81678291936524339</v>
      </c>
      <c r="S146" s="220">
        <f t="shared" si="58"/>
        <v>7.6313258166252016</v>
      </c>
      <c r="T146" s="236">
        <f t="shared" si="57"/>
        <v>11</v>
      </c>
      <c r="U146" s="221" t="str">
        <f t="shared" si="54"/>
        <v>11-REP-EC10-Neonates</v>
      </c>
      <c r="V146" s="222" cm="1">
        <f t="array" ref="V146">GEOMEAN(IF(U146=$U$7:$U$360,$S$7:$S$360))</f>
        <v>6.8680184697754383</v>
      </c>
      <c r="W146" s="264">
        <f t="shared" si="41"/>
        <v>3.7451307858667282</v>
      </c>
      <c r="X146" s="225">
        <f t="shared" si="55"/>
        <v>42.314541000879686</v>
      </c>
      <c r="Y146" s="225">
        <f t="shared" si="56"/>
        <v>42.314541000879686</v>
      </c>
      <c r="Z146" s="226"/>
      <c r="AA146" s="226"/>
      <c r="AB146" s="227" t="s">
        <v>1846</v>
      </c>
      <c r="AC146" s="243" t="s">
        <v>1798</v>
      </c>
      <c r="AD146" s="228"/>
      <c r="AE146" s="229" t="s">
        <v>1584</v>
      </c>
      <c r="AG146" s="248"/>
      <c r="AI146" s="244"/>
    </row>
    <row r="147" spans="2:35" s="182" customFormat="1" ht="15.75" customHeight="1" x14ac:dyDescent="0.25">
      <c r="B147" s="180">
        <v>71981</v>
      </c>
      <c r="C147" s="217">
        <v>2003</v>
      </c>
      <c r="D147" s="180" t="s">
        <v>602</v>
      </c>
      <c r="E147" s="180" t="s">
        <v>41</v>
      </c>
      <c r="F147" s="180" t="s">
        <v>87</v>
      </c>
      <c r="G147" s="180" t="s">
        <v>260</v>
      </c>
      <c r="H147" s="180" t="s">
        <v>1738</v>
      </c>
      <c r="I147" s="180" t="s">
        <v>76</v>
      </c>
      <c r="J147" s="180" t="s">
        <v>49</v>
      </c>
      <c r="K147" s="180" t="s">
        <v>94</v>
      </c>
      <c r="L147" s="180">
        <v>114</v>
      </c>
      <c r="M147" s="180">
        <v>370</v>
      </c>
      <c r="N147" s="180">
        <v>6.5</v>
      </c>
      <c r="O147" s="94">
        <v>9.6999999999999993</v>
      </c>
      <c r="P147" s="239">
        <f t="shared" si="53"/>
        <v>4.7361984483944957</v>
      </c>
      <c r="Q147" s="262" t="str">
        <f t="shared" si="38"/>
        <v>Gadd Daph</v>
      </c>
      <c r="R147" s="263">
        <f t="shared" si="40"/>
        <v>-1.1832739265706422</v>
      </c>
      <c r="S147" s="220">
        <f t="shared" si="58"/>
        <v>5.9194723749651379</v>
      </c>
      <c r="T147" s="236">
        <f t="shared" si="57"/>
        <v>11</v>
      </c>
      <c r="U147" s="221" t="str">
        <f t="shared" si="54"/>
        <v>11-REP-EC10-Neonates</v>
      </c>
      <c r="V147" s="222" cm="1">
        <f t="array" ref="V147">GEOMEAN(IF(U147=$U$7:$U$360,$S$7:$S$360))</f>
        <v>6.8680184697754383</v>
      </c>
      <c r="W147" s="264">
        <f t="shared" si="41"/>
        <v>3.7451307858667282</v>
      </c>
      <c r="X147" s="225">
        <f t="shared" si="55"/>
        <v>42.314541000879686</v>
      </c>
      <c r="Y147" s="225">
        <f t="shared" si="56"/>
        <v>42.314541000879686</v>
      </c>
      <c r="Z147" s="226"/>
      <c r="AA147" s="226"/>
      <c r="AB147" s="227" t="s">
        <v>1846</v>
      </c>
      <c r="AC147" s="243" t="s">
        <v>1798</v>
      </c>
      <c r="AD147" s="251"/>
      <c r="AE147" s="229" t="s">
        <v>1584</v>
      </c>
      <c r="AG147" s="248"/>
      <c r="AI147" s="244"/>
    </row>
    <row r="148" spans="2:35" s="182" customFormat="1" ht="15.75" customHeight="1" x14ac:dyDescent="0.25">
      <c r="B148" s="180">
        <v>71981</v>
      </c>
      <c r="C148" s="217">
        <v>2003</v>
      </c>
      <c r="D148" s="180" t="s">
        <v>602</v>
      </c>
      <c r="E148" s="180" t="s">
        <v>41</v>
      </c>
      <c r="F148" s="180" t="s">
        <v>87</v>
      </c>
      <c r="G148" s="180" t="s">
        <v>260</v>
      </c>
      <c r="H148" s="180" t="s">
        <v>1738</v>
      </c>
      <c r="I148" s="180" t="s">
        <v>76</v>
      </c>
      <c r="J148" s="180" t="s">
        <v>49</v>
      </c>
      <c r="K148" s="180" t="s">
        <v>94</v>
      </c>
      <c r="L148" s="180">
        <v>277</v>
      </c>
      <c r="M148" s="180">
        <v>110</v>
      </c>
      <c r="N148" s="180">
        <v>6.5</v>
      </c>
      <c r="O148" s="94">
        <v>9.6999999999999993</v>
      </c>
      <c r="P148" s="239">
        <f t="shared" si="53"/>
        <v>5.6240175061873385</v>
      </c>
      <c r="Q148" s="262" t="str">
        <f t="shared" si="38"/>
        <v>Gadd Daph</v>
      </c>
      <c r="R148" s="263">
        <f t="shared" si="40"/>
        <v>-1.5593109449228564</v>
      </c>
      <c r="S148" s="220">
        <f t="shared" si="58"/>
        <v>7.1833284511101949</v>
      </c>
      <c r="T148" s="236">
        <f t="shared" si="57"/>
        <v>11</v>
      </c>
      <c r="U148" s="221" t="str">
        <f t="shared" si="54"/>
        <v>11-REP-EC10-Neonates</v>
      </c>
      <c r="V148" s="222" cm="1">
        <f t="array" ref="V148">GEOMEAN(IF(U148=$U$7:$U$360,$S$7:$S$360))</f>
        <v>6.8680184697754383</v>
      </c>
      <c r="W148" s="264">
        <f t="shared" si="41"/>
        <v>3.7451307858667282</v>
      </c>
      <c r="X148" s="225">
        <f t="shared" si="55"/>
        <v>42.314541000879686</v>
      </c>
      <c r="Y148" s="225">
        <f t="shared" si="56"/>
        <v>42.314541000879686</v>
      </c>
      <c r="Z148" s="226"/>
      <c r="AA148" s="226"/>
      <c r="AB148" s="227" t="s">
        <v>1846</v>
      </c>
      <c r="AC148" s="243" t="s">
        <v>1798</v>
      </c>
      <c r="AD148" s="243"/>
      <c r="AE148" s="229" t="s">
        <v>1584</v>
      </c>
      <c r="AG148" s="248"/>
      <c r="AI148" s="244"/>
    </row>
    <row r="149" spans="2:35" s="182" customFormat="1" ht="15.75" customHeight="1" x14ac:dyDescent="0.25">
      <c r="B149" s="180">
        <v>71981</v>
      </c>
      <c r="C149" s="217">
        <v>2003</v>
      </c>
      <c r="D149" s="180" t="s">
        <v>602</v>
      </c>
      <c r="E149" s="180" t="s">
        <v>41</v>
      </c>
      <c r="F149" s="180" t="s">
        <v>87</v>
      </c>
      <c r="G149" s="180" t="s">
        <v>260</v>
      </c>
      <c r="H149" s="180" t="s">
        <v>1738</v>
      </c>
      <c r="I149" s="180" t="s">
        <v>76</v>
      </c>
      <c r="J149" s="180" t="s">
        <v>49</v>
      </c>
      <c r="K149" s="180" t="s">
        <v>94</v>
      </c>
      <c r="L149" s="180">
        <v>557</v>
      </c>
      <c r="M149" s="180">
        <v>110</v>
      </c>
      <c r="N149" s="180">
        <v>8</v>
      </c>
      <c r="O149" s="94">
        <v>32.299999999999997</v>
      </c>
      <c r="P149" s="239">
        <f t="shared" si="53"/>
        <v>6.3225652399272843</v>
      </c>
      <c r="Q149" s="262" t="str">
        <f t="shared" si="38"/>
        <v>Gadd Daph</v>
      </c>
      <c r="R149" s="263">
        <f t="shared" si="40"/>
        <v>-0.89581612688547363</v>
      </c>
      <c r="S149" s="220">
        <f t="shared" si="58"/>
        <v>7.2183813668127579</v>
      </c>
      <c r="T149" s="236">
        <f t="shared" si="57"/>
        <v>11</v>
      </c>
      <c r="U149" s="221" t="str">
        <f t="shared" si="54"/>
        <v>11-REP-EC10-Neonates</v>
      </c>
      <c r="V149" s="222" cm="1">
        <f t="array" ref="V149">GEOMEAN(IF(U149=$U$7:$U$360,$S$7:$S$360))</f>
        <v>6.8680184697754383</v>
      </c>
      <c r="W149" s="264">
        <f t="shared" si="41"/>
        <v>3.7451307858667282</v>
      </c>
      <c r="X149" s="225">
        <f t="shared" si="55"/>
        <v>42.314541000879686</v>
      </c>
      <c r="Y149" s="225">
        <f t="shared" si="56"/>
        <v>42.314541000879686</v>
      </c>
      <c r="Z149" s="226"/>
      <c r="AA149" s="226"/>
      <c r="AB149" s="227" t="s">
        <v>1846</v>
      </c>
      <c r="AC149" s="243" t="s">
        <v>1798</v>
      </c>
      <c r="AD149" s="251"/>
      <c r="AE149" s="229" t="s">
        <v>1584</v>
      </c>
      <c r="AG149" s="248"/>
      <c r="AI149" s="244"/>
    </row>
    <row r="150" spans="2:35" s="182" customFormat="1" ht="15.75" customHeight="1" x14ac:dyDescent="0.25">
      <c r="B150" s="180">
        <v>71981</v>
      </c>
      <c r="C150" s="217">
        <v>2003</v>
      </c>
      <c r="D150" s="180" t="s">
        <v>602</v>
      </c>
      <c r="E150" s="180" t="s">
        <v>41</v>
      </c>
      <c r="F150" s="180" t="s">
        <v>87</v>
      </c>
      <c r="G150" s="180" t="s">
        <v>260</v>
      </c>
      <c r="H150" s="180" t="s">
        <v>1738</v>
      </c>
      <c r="I150" s="180" t="s">
        <v>76</v>
      </c>
      <c r="J150" s="180" t="s">
        <v>54</v>
      </c>
      <c r="K150" s="180" t="s">
        <v>94</v>
      </c>
      <c r="L150" s="180">
        <v>209</v>
      </c>
      <c r="M150" s="180">
        <v>110</v>
      </c>
      <c r="N150" s="180">
        <v>8</v>
      </c>
      <c r="O150" s="94">
        <v>9.6999999999999993</v>
      </c>
      <c r="P150" s="239">
        <f t="shared" si="53"/>
        <v>5.3423342519648109</v>
      </c>
      <c r="Q150" s="262" t="str">
        <f t="shared" si="38"/>
        <v>Gadd Daph</v>
      </c>
      <c r="R150" s="263">
        <f t="shared" si="40"/>
        <v>-1.521345626139496</v>
      </c>
      <c r="S150" s="220">
        <f t="shared" si="58"/>
        <v>6.8636798781043069</v>
      </c>
      <c r="T150" s="236">
        <f t="shared" si="57"/>
        <v>11</v>
      </c>
      <c r="U150" s="221" t="str">
        <f t="shared" si="54"/>
        <v>11-REP-NOEC-Neonates</v>
      </c>
      <c r="V150" s="222" cm="1">
        <f t="array" ref="V150">GEOMEAN(IF(U150=$U$7:$U$360,$S$7:$S$360))</f>
        <v>6.7202609896064711</v>
      </c>
      <c r="W150" s="264">
        <f t="shared" si="41"/>
        <v>3.597373305697761</v>
      </c>
      <c r="X150" s="225">
        <f t="shared" si="55"/>
        <v>36.502228214500114</v>
      </c>
      <c r="Y150" s="225"/>
      <c r="Z150" s="226" t="s">
        <v>1474</v>
      </c>
      <c r="AA150" s="226"/>
      <c r="AB150" s="227" t="s">
        <v>1846</v>
      </c>
      <c r="AC150" s="243" t="s">
        <v>1798</v>
      </c>
      <c r="AD150" s="251"/>
      <c r="AE150" s="229" t="s">
        <v>1584</v>
      </c>
      <c r="AG150" s="248"/>
      <c r="AI150" s="244"/>
    </row>
    <row r="151" spans="2:35" s="182" customFormat="1" ht="15.75" customHeight="1" x14ac:dyDescent="0.25">
      <c r="B151" s="180">
        <v>71981</v>
      </c>
      <c r="C151" s="217">
        <v>2003</v>
      </c>
      <c r="D151" s="180" t="s">
        <v>602</v>
      </c>
      <c r="E151" s="180" t="s">
        <v>41</v>
      </c>
      <c r="F151" s="180" t="s">
        <v>87</v>
      </c>
      <c r="G151" s="180" t="s">
        <v>260</v>
      </c>
      <c r="H151" s="180" t="s">
        <v>1738</v>
      </c>
      <c r="I151" s="180" t="s">
        <v>76</v>
      </c>
      <c r="J151" s="180" t="s">
        <v>54</v>
      </c>
      <c r="K151" s="180" t="s">
        <v>94</v>
      </c>
      <c r="L151" s="180">
        <v>425</v>
      </c>
      <c r="M151" s="180">
        <v>240</v>
      </c>
      <c r="N151" s="180">
        <v>6</v>
      </c>
      <c r="O151" s="94">
        <v>21</v>
      </c>
      <c r="P151" s="239">
        <f t="shared" si="53"/>
        <v>6.0520891689244172</v>
      </c>
      <c r="Q151" s="262" t="str">
        <f t="shared" si="38"/>
        <v>Gadd Daph</v>
      </c>
      <c r="R151" s="263">
        <f t="shared" si="40"/>
        <v>-1.2992210362550454</v>
      </c>
      <c r="S151" s="220">
        <f t="shared" si="58"/>
        <v>7.3513102051794625</v>
      </c>
      <c r="T151" s="236">
        <f t="shared" si="57"/>
        <v>11</v>
      </c>
      <c r="U151" s="221" t="str">
        <f t="shared" si="54"/>
        <v>11-REP-NOEC-Neonates</v>
      </c>
      <c r="V151" s="222" cm="1">
        <f t="array" ref="V151">GEOMEAN(IF(U151=$U$7:$U$360,$S$7:$S$360))</f>
        <v>6.7202609896064711</v>
      </c>
      <c r="W151" s="264">
        <f t="shared" si="41"/>
        <v>3.597373305697761</v>
      </c>
      <c r="X151" s="225">
        <f t="shared" si="55"/>
        <v>36.502228214500114</v>
      </c>
      <c r="Y151" s="225"/>
      <c r="Z151" s="226" t="s">
        <v>1474</v>
      </c>
      <c r="AA151" s="226"/>
      <c r="AB151" s="227" t="s">
        <v>1846</v>
      </c>
      <c r="AC151" s="243" t="s">
        <v>1798</v>
      </c>
      <c r="AD151" s="251"/>
      <c r="AE151" s="229" t="s">
        <v>1584</v>
      </c>
      <c r="AG151" s="248"/>
      <c r="AI151" s="244"/>
    </row>
    <row r="152" spans="2:35" s="182" customFormat="1" ht="15.75" customHeight="1" x14ac:dyDescent="0.25">
      <c r="B152" s="180">
        <v>71981</v>
      </c>
      <c r="C152" s="217">
        <v>2003</v>
      </c>
      <c r="D152" s="180" t="s">
        <v>602</v>
      </c>
      <c r="E152" s="180" t="s">
        <v>41</v>
      </c>
      <c r="F152" s="180" t="s">
        <v>87</v>
      </c>
      <c r="G152" s="180" t="s">
        <v>260</v>
      </c>
      <c r="H152" s="180" t="s">
        <v>1738</v>
      </c>
      <c r="I152" s="180" t="s">
        <v>76</v>
      </c>
      <c r="J152" s="180" t="s">
        <v>54</v>
      </c>
      <c r="K152" s="180" t="s">
        <v>94</v>
      </c>
      <c r="L152" s="180">
        <v>445</v>
      </c>
      <c r="M152" s="180">
        <v>35</v>
      </c>
      <c r="N152" s="180">
        <v>7.25</v>
      </c>
      <c r="O152" s="94">
        <v>21</v>
      </c>
      <c r="P152" s="239">
        <f t="shared" si="53"/>
        <v>6.0980742821662401</v>
      </c>
      <c r="Q152" s="262" t="str">
        <f t="shared" si="38"/>
        <v>Gadd Daph</v>
      </c>
      <c r="R152" s="263">
        <f t="shared" si="40"/>
        <v>-1.6327044721123176</v>
      </c>
      <c r="S152" s="220">
        <f t="shared" si="58"/>
        <v>7.7307787542785578</v>
      </c>
      <c r="T152" s="236">
        <f t="shared" si="57"/>
        <v>11</v>
      </c>
      <c r="U152" s="221" t="str">
        <f t="shared" si="54"/>
        <v>11-REP-NOEC-Neonates</v>
      </c>
      <c r="V152" s="222" cm="1">
        <f t="array" ref="V152">GEOMEAN(IF(U152=$U$7:$U$360,$S$7:$S$360))</f>
        <v>6.7202609896064711</v>
      </c>
      <c r="W152" s="264">
        <f t="shared" si="41"/>
        <v>3.597373305697761</v>
      </c>
      <c r="X152" s="225">
        <f t="shared" si="55"/>
        <v>36.502228214500114</v>
      </c>
      <c r="Y152" s="225"/>
      <c r="Z152" s="226" t="s">
        <v>1474</v>
      </c>
      <c r="AA152" s="226"/>
      <c r="AB152" s="227" t="s">
        <v>1846</v>
      </c>
      <c r="AC152" s="243" t="s">
        <v>1798</v>
      </c>
      <c r="AD152" s="251"/>
      <c r="AE152" s="229" t="s">
        <v>1584</v>
      </c>
      <c r="AG152" s="248"/>
      <c r="AI152" s="244"/>
    </row>
    <row r="153" spans="2:35" s="182" customFormat="1" ht="15.75" customHeight="1" x14ac:dyDescent="0.25">
      <c r="B153" s="180">
        <v>71981</v>
      </c>
      <c r="C153" s="217">
        <v>2003</v>
      </c>
      <c r="D153" s="180" t="s">
        <v>602</v>
      </c>
      <c r="E153" s="180" t="s">
        <v>41</v>
      </c>
      <c r="F153" s="180" t="s">
        <v>87</v>
      </c>
      <c r="G153" s="180" t="s">
        <v>260</v>
      </c>
      <c r="H153" s="180" t="s">
        <v>1738</v>
      </c>
      <c r="I153" s="180" t="s">
        <v>76</v>
      </c>
      <c r="J153" s="180" t="s">
        <v>54</v>
      </c>
      <c r="K153" s="180" t="s">
        <v>94</v>
      </c>
      <c r="L153" s="180">
        <v>630</v>
      </c>
      <c r="M153" s="180">
        <v>370</v>
      </c>
      <c r="N153" s="180">
        <v>8</v>
      </c>
      <c r="O153" s="94">
        <v>32.299999999999997</v>
      </c>
      <c r="P153" s="239">
        <f t="shared" si="53"/>
        <v>6.4457198193855785</v>
      </c>
      <c r="Q153" s="262" t="str">
        <f t="shared" si="38"/>
        <v>Gadd Daph</v>
      </c>
      <c r="R153" s="263">
        <f t="shared" si="40"/>
        <v>-0.51977910853325948</v>
      </c>
      <c r="S153" s="220">
        <f t="shared" si="58"/>
        <v>6.965498927918838</v>
      </c>
      <c r="T153" s="236">
        <f t="shared" si="57"/>
        <v>11</v>
      </c>
      <c r="U153" s="221" t="str">
        <f t="shared" si="54"/>
        <v>11-REP-NOEC-Neonates</v>
      </c>
      <c r="V153" s="222" cm="1">
        <f t="array" ref="V153">GEOMEAN(IF(U153=$U$7:$U$360,$S$7:$S$360))</f>
        <v>6.7202609896064711</v>
      </c>
      <c r="W153" s="264">
        <f t="shared" si="41"/>
        <v>3.597373305697761</v>
      </c>
      <c r="X153" s="225">
        <f t="shared" si="55"/>
        <v>36.502228214500114</v>
      </c>
      <c r="Y153" s="225"/>
      <c r="Z153" s="226" t="s">
        <v>1474</v>
      </c>
      <c r="AA153" s="226"/>
      <c r="AB153" s="227" t="s">
        <v>1846</v>
      </c>
      <c r="AC153" s="243" t="s">
        <v>1798</v>
      </c>
      <c r="AD153" s="270"/>
      <c r="AE153" s="229" t="s">
        <v>1584</v>
      </c>
      <c r="AG153" s="248"/>
      <c r="AI153" s="244"/>
    </row>
    <row r="154" spans="2:35" s="182" customFormat="1" ht="15.75" customHeight="1" x14ac:dyDescent="0.25">
      <c r="B154" s="180">
        <v>71981</v>
      </c>
      <c r="C154" s="217">
        <v>2003</v>
      </c>
      <c r="D154" s="180" t="s">
        <v>602</v>
      </c>
      <c r="E154" s="180" t="s">
        <v>41</v>
      </c>
      <c r="F154" s="180" t="s">
        <v>87</v>
      </c>
      <c r="G154" s="180" t="s">
        <v>260</v>
      </c>
      <c r="H154" s="180" t="s">
        <v>1738</v>
      </c>
      <c r="I154" s="180" t="s">
        <v>76</v>
      </c>
      <c r="J154" s="180" t="s">
        <v>54</v>
      </c>
      <c r="K154" s="180" t="s">
        <v>94</v>
      </c>
      <c r="L154" s="180">
        <v>320</v>
      </c>
      <c r="M154" s="180">
        <v>240</v>
      </c>
      <c r="N154" s="180">
        <v>7.25</v>
      </c>
      <c r="O154" s="94">
        <v>21</v>
      </c>
      <c r="P154" s="239">
        <f t="shared" si="53"/>
        <v>5.768320995793772</v>
      </c>
      <c r="Q154" s="262" t="str">
        <f t="shared" si="38"/>
        <v>Gadd Daph</v>
      </c>
      <c r="R154" s="263">
        <f t="shared" si="40"/>
        <v>-1.0358643049380181</v>
      </c>
      <c r="S154" s="220">
        <f t="shared" si="58"/>
        <v>6.8041853007317901</v>
      </c>
      <c r="T154" s="236">
        <f t="shared" si="57"/>
        <v>11</v>
      </c>
      <c r="U154" s="221" t="str">
        <f t="shared" si="54"/>
        <v>11-REP-NOEC-Neonates</v>
      </c>
      <c r="V154" s="222" cm="1">
        <f t="array" ref="V154">GEOMEAN(IF(U154=$U$7:$U$360,$S$7:$S$360))</f>
        <v>6.7202609896064711</v>
      </c>
      <c r="W154" s="264">
        <f t="shared" si="41"/>
        <v>3.597373305697761</v>
      </c>
      <c r="X154" s="225">
        <f t="shared" si="55"/>
        <v>36.502228214500114</v>
      </c>
      <c r="Y154" s="225"/>
      <c r="Z154" s="226" t="s">
        <v>1474</v>
      </c>
      <c r="AA154" s="226"/>
      <c r="AB154" s="227" t="s">
        <v>1846</v>
      </c>
      <c r="AC154" s="243" t="s">
        <v>1798</v>
      </c>
      <c r="AD154" s="243"/>
      <c r="AE154" s="229" t="s">
        <v>1584</v>
      </c>
      <c r="AG154" s="248"/>
      <c r="AI154" s="244"/>
    </row>
    <row r="155" spans="2:35" s="182" customFormat="1" ht="15.75" customHeight="1" x14ac:dyDescent="0.25">
      <c r="B155" s="180">
        <v>71981</v>
      </c>
      <c r="C155" s="217">
        <v>2003</v>
      </c>
      <c r="D155" s="180" t="s">
        <v>602</v>
      </c>
      <c r="E155" s="180" t="s">
        <v>41</v>
      </c>
      <c r="F155" s="180" t="s">
        <v>87</v>
      </c>
      <c r="G155" s="180" t="s">
        <v>260</v>
      </c>
      <c r="H155" s="180" t="s">
        <v>1738</v>
      </c>
      <c r="I155" s="180" t="s">
        <v>76</v>
      </c>
      <c r="J155" s="180" t="s">
        <v>54</v>
      </c>
      <c r="K155" s="180" t="s">
        <v>94</v>
      </c>
      <c r="L155" s="180">
        <v>445</v>
      </c>
      <c r="M155" s="180">
        <v>110</v>
      </c>
      <c r="N155" s="180">
        <v>6.5</v>
      </c>
      <c r="O155" s="94">
        <v>32.299999999999997</v>
      </c>
      <c r="P155" s="239">
        <f t="shared" si="53"/>
        <v>6.0980742821662401</v>
      </c>
      <c r="Q155" s="262" t="str">
        <f t="shared" si="38"/>
        <v>Gadd Daph</v>
      </c>
      <c r="R155" s="263">
        <f t="shared" si="40"/>
        <v>-1.3668403297677729</v>
      </c>
      <c r="S155" s="220">
        <f t="shared" si="58"/>
        <v>7.4649146119340131</v>
      </c>
      <c r="T155" s="236">
        <f t="shared" si="57"/>
        <v>11</v>
      </c>
      <c r="U155" s="221" t="str">
        <f t="shared" si="54"/>
        <v>11-REP-NOEC-Neonates</v>
      </c>
      <c r="V155" s="222" cm="1">
        <f t="array" ref="V155">GEOMEAN(IF(U155=$U$7:$U$360,$S$7:$S$360))</f>
        <v>6.7202609896064711</v>
      </c>
      <c r="W155" s="264">
        <f t="shared" si="41"/>
        <v>3.597373305697761</v>
      </c>
      <c r="X155" s="225">
        <f t="shared" si="55"/>
        <v>36.502228214500114</v>
      </c>
      <c r="Y155" s="225"/>
      <c r="Z155" s="226" t="s">
        <v>1474</v>
      </c>
      <c r="AA155" s="226"/>
      <c r="AB155" s="227" t="s">
        <v>1846</v>
      </c>
      <c r="AC155" s="243" t="s">
        <v>1798</v>
      </c>
      <c r="AD155" s="243"/>
      <c r="AE155" s="229" t="s">
        <v>1584</v>
      </c>
      <c r="AG155" s="248"/>
      <c r="AI155" s="244"/>
    </row>
    <row r="156" spans="2:35" s="182" customFormat="1" ht="15.75" customHeight="1" x14ac:dyDescent="0.25">
      <c r="B156" s="180">
        <v>71981</v>
      </c>
      <c r="C156" s="217">
        <v>2003</v>
      </c>
      <c r="D156" s="180" t="s">
        <v>602</v>
      </c>
      <c r="E156" s="180" t="s">
        <v>41</v>
      </c>
      <c r="F156" s="180" t="s">
        <v>87</v>
      </c>
      <c r="G156" s="180" t="s">
        <v>260</v>
      </c>
      <c r="H156" s="180" t="s">
        <v>1738</v>
      </c>
      <c r="I156" s="180" t="s">
        <v>76</v>
      </c>
      <c r="J156" s="180" t="s">
        <v>54</v>
      </c>
      <c r="K156" s="180" t="s">
        <v>94</v>
      </c>
      <c r="L156" s="180">
        <v>1000</v>
      </c>
      <c r="M156" s="180">
        <v>240</v>
      </c>
      <c r="N156" s="180">
        <v>7.25</v>
      </c>
      <c r="O156" s="94">
        <v>40</v>
      </c>
      <c r="P156" s="239">
        <f t="shared" si="53"/>
        <v>6.9077552789821368</v>
      </c>
      <c r="Q156" s="262" t="str">
        <f t="shared" si="38"/>
        <v>Gadd Daph</v>
      </c>
      <c r="R156" s="263">
        <f t="shared" si="40"/>
        <v>-0.81678291936524339</v>
      </c>
      <c r="S156" s="220">
        <f t="shared" si="58"/>
        <v>7.7245381983473802</v>
      </c>
      <c r="T156" s="236">
        <f t="shared" si="57"/>
        <v>11</v>
      </c>
      <c r="U156" s="221" t="str">
        <f t="shared" si="54"/>
        <v>11-REP-NOEC-Neonates</v>
      </c>
      <c r="V156" s="222" cm="1">
        <f t="array" ref="V156">GEOMEAN(IF(U156=$U$7:$U$360,$S$7:$S$360))</f>
        <v>6.7202609896064711</v>
      </c>
      <c r="W156" s="264">
        <f t="shared" si="41"/>
        <v>3.597373305697761</v>
      </c>
      <c r="X156" s="225">
        <f t="shared" si="55"/>
        <v>36.502228214500114</v>
      </c>
      <c r="Y156" s="225"/>
      <c r="Z156" s="226" t="s">
        <v>1474</v>
      </c>
      <c r="AA156" s="226"/>
      <c r="AB156" s="227" t="s">
        <v>1846</v>
      </c>
      <c r="AC156" s="243" t="s">
        <v>1798</v>
      </c>
      <c r="AD156" s="275"/>
      <c r="AE156" s="229" t="s">
        <v>1584</v>
      </c>
      <c r="AG156" s="248"/>
      <c r="AI156" s="244"/>
    </row>
    <row r="157" spans="2:35" s="182" customFormat="1" ht="15.75" customHeight="1" x14ac:dyDescent="0.25">
      <c r="B157" s="180">
        <v>71981</v>
      </c>
      <c r="C157" s="217">
        <v>2003</v>
      </c>
      <c r="D157" s="180" t="s">
        <v>602</v>
      </c>
      <c r="E157" s="180" t="s">
        <v>41</v>
      </c>
      <c r="F157" s="180" t="s">
        <v>87</v>
      </c>
      <c r="G157" s="180" t="s">
        <v>260</v>
      </c>
      <c r="H157" s="180" t="s">
        <v>1738</v>
      </c>
      <c r="I157" s="180" t="s">
        <v>76</v>
      </c>
      <c r="J157" s="180" t="s">
        <v>54</v>
      </c>
      <c r="K157" s="180" t="s">
        <v>94</v>
      </c>
      <c r="L157" s="180">
        <v>320</v>
      </c>
      <c r="M157" s="180">
        <v>370</v>
      </c>
      <c r="N157" s="180">
        <v>6.5</v>
      </c>
      <c r="O157" s="94">
        <v>9.6999999999999993</v>
      </c>
      <c r="P157" s="239">
        <f t="shared" si="53"/>
        <v>5.768320995793772</v>
      </c>
      <c r="Q157" s="262" t="str">
        <f t="shared" si="38"/>
        <v>Gadd Daph</v>
      </c>
      <c r="R157" s="263">
        <f t="shared" si="40"/>
        <v>-1.1832739265706422</v>
      </c>
      <c r="S157" s="220">
        <f t="shared" si="58"/>
        <v>6.9515949223644142</v>
      </c>
      <c r="T157" s="236">
        <f t="shared" si="57"/>
        <v>11</v>
      </c>
      <c r="U157" s="221" t="str">
        <f t="shared" si="54"/>
        <v>11-REP-NOEC-Neonates</v>
      </c>
      <c r="V157" s="222" cm="1">
        <f t="array" ref="V157">GEOMEAN(IF(U157=$U$7:$U$360,$S$7:$S$360))</f>
        <v>6.7202609896064711</v>
      </c>
      <c r="W157" s="264">
        <f t="shared" si="41"/>
        <v>3.597373305697761</v>
      </c>
      <c r="X157" s="225">
        <f t="shared" si="55"/>
        <v>36.502228214500114</v>
      </c>
      <c r="Y157" s="225"/>
      <c r="Z157" s="226" t="s">
        <v>1474</v>
      </c>
      <c r="AA157" s="226"/>
      <c r="AB157" s="227" t="s">
        <v>1846</v>
      </c>
      <c r="AC157" s="243" t="s">
        <v>1798</v>
      </c>
      <c r="AD157" s="275"/>
      <c r="AE157" s="229" t="s">
        <v>1584</v>
      </c>
      <c r="AG157" s="248"/>
      <c r="AI157" s="244"/>
    </row>
    <row r="158" spans="2:35" s="182" customFormat="1" ht="15.75" customHeight="1" x14ac:dyDescent="0.25">
      <c r="B158" s="180">
        <v>71981</v>
      </c>
      <c r="C158" s="217">
        <v>2003</v>
      </c>
      <c r="D158" s="180" t="s">
        <v>602</v>
      </c>
      <c r="E158" s="180" t="s">
        <v>41</v>
      </c>
      <c r="F158" s="180" t="s">
        <v>87</v>
      </c>
      <c r="G158" s="180" t="s">
        <v>260</v>
      </c>
      <c r="H158" s="180" t="s">
        <v>1738</v>
      </c>
      <c r="I158" s="180" t="s">
        <v>76</v>
      </c>
      <c r="J158" s="180" t="s">
        <v>54</v>
      </c>
      <c r="K158" s="180" t="s">
        <v>94</v>
      </c>
      <c r="L158" s="180">
        <v>209</v>
      </c>
      <c r="M158" s="180">
        <v>240</v>
      </c>
      <c r="N158" s="180">
        <v>7.25</v>
      </c>
      <c r="O158" s="94">
        <v>2</v>
      </c>
      <c r="P158" s="239">
        <f t="shared" si="53"/>
        <v>5.3423342519648109</v>
      </c>
      <c r="Q158" s="262" t="str">
        <f t="shared" si="38"/>
        <v>Gadd Daph</v>
      </c>
      <c r="R158" s="263">
        <f t="shared" si="40"/>
        <v>-1.8353318923736013</v>
      </c>
      <c r="S158" s="220">
        <f t="shared" si="58"/>
        <v>7.1776661443384118</v>
      </c>
      <c r="T158" s="236">
        <f t="shared" si="57"/>
        <v>11</v>
      </c>
      <c r="U158" s="221" t="str">
        <f t="shared" si="54"/>
        <v>11-REP-NOEC-Neonates</v>
      </c>
      <c r="V158" s="222" cm="1">
        <f t="array" ref="V158">GEOMEAN(IF(U158=$U$7:$U$360,$S$7:$S$360))</f>
        <v>6.7202609896064711</v>
      </c>
      <c r="W158" s="264">
        <f t="shared" si="41"/>
        <v>3.597373305697761</v>
      </c>
      <c r="X158" s="225">
        <f t="shared" si="55"/>
        <v>36.502228214500114</v>
      </c>
      <c r="Y158" s="225"/>
      <c r="Z158" s="226" t="s">
        <v>1474</v>
      </c>
      <c r="AA158" s="226"/>
      <c r="AB158" s="227" t="s">
        <v>1846</v>
      </c>
      <c r="AC158" s="243" t="s">
        <v>1798</v>
      </c>
      <c r="AD158" s="275"/>
      <c r="AE158" s="229" t="s">
        <v>1584</v>
      </c>
      <c r="AG158" s="248"/>
      <c r="AI158" s="244"/>
    </row>
    <row r="159" spans="2:35" s="182" customFormat="1" ht="15.75" customHeight="1" x14ac:dyDescent="0.25">
      <c r="B159" s="180">
        <v>71981</v>
      </c>
      <c r="C159" s="217">
        <v>2003</v>
      </c>
      <c r="D159" s="180" t="s">
        <v>602</v>
      </c>
      <c r="E159" s="180" t="s">
        <v>41</v>
      </c>
      <c r="F159" s="180" t="s">
        <v>87</v>
      </c>
      <c r="G159" s="180" t="s">
        <v>260</v>
      </c>
      <c r="H159" s="180" t="s">
        <v>1738</v>
      </c>
      <c r="I159" s="180" t="s">
        <v>76</v>
      </c>
      <c r="J159" s="180" t="s">
        <v>54</v>
      </c>
      <c r="K159" s="180" t="s">
        <v>94</v>
      </c>
      <c r="L159" s="180">
        <v>320</v>
      </c>
      <c r="M159" s="180">
        <v>240</v>
      </c>
      <c r="N159" s="180">
        <v>7.25</v>
      </c>
      <c r="O159" s="94">
        <v>21</v>
      </c>
      <c r="P159" s="239">
        <f t="shared" si="53"/>
        <v>5.768320995793772</v>
      </c>
      <c r="Q159" s="262" t="str">
        <f t="shared" ref="Q159:Q222" si="59">$AG$8</f>
        <v>Gadd Daph</v>
      </c>
      <c r="R159" s="263">
        <f t="shared" si="40"/>
        <v>-1.0358643049380181</v>
      </c>
      <c r="S159" s="220">
        <f t="shared" si="58"/>
        <v>6.8041853007317901</v>
      </c>
      <c r="T159" s="236">
        <f t="shared" si="57"/>
        <v>11</v>
      </c>
      <c r="U159" s="221" t="str">
        <f t="shared" si="54"/>
        <v>11-REP-NOEC-Neonates</v>
      </c>
      <c r="V159" s="222" cm="1">
        <f t="array" ref="V159">GEOMEAN(IF(U159=$U$7:$U$360,$S$7:$S$360))</f>
        <v>6.7202609896064711</v>
      </c>
      <c r="W159" s="264">
        <f t="shared" si="41"/>
        <v>3.597373305697761</v>
      </c>
      <c r="X159" s="225">
        <f t="shared" si="55"/>
        <v>36.502228214500114</v>
      </c>
      <c r="Y159" s="225"/>
      <c r="Z159" s="226" t="s">
        <v>1474</v>
      </c>
      <c r="AA159" s="226"/>
      <c r="AB159" s="227" t="s">
        <v>1846</v>
      </c>
      <c r="AC159" s="243" t="s">
        <v>1798</v>
      </c>
      <c r="AD159" s="275"/>
      <c r="AE159" s="229" t="s">
        <v>1584</v>
      </c>
      <c r="AG159" s="248"/>
      <c r="AI159" s="244"/>
    </row>
    <row r="160" spans="2:35" s="182" customFormat="1" ht="15.75" customHeight="1" x14ac:dyDescent="0.25">
      <c r="B160" s="180">
        <v>71981</v>
      </c>
      <c r="C160" s="217">
        <v>2003</v>
      </c>
      <c r="D160" s="180" t="s">
        <v>602</v>
      </c>
      <c r="E160" s="180" t="s">
        <v>41</v>
      </c>
      <c r="F160" s="180" t="s">
        <v>87</v>
      </c>
      <c r="G160" s="180" t="s">
        <v>260</v>
      </c>
      <c r="H160" s="180" t="s">
        <v>1738</v>
      </c>
      <c r="I160" s="180" t="s">
        <v>76</v>
      </c>
      <c r="J160" s="180" t="s">
        <v>54</v>
      </c>
      <c r="K160" s="180" t="s">
        <v>94</v>
      </c>
      <c r="L160" s="180">
        <v>320</v>
      </c>
      <c r="M160" s="180">
        <v>110</v>
      </c>
      <c r="N160" s="180">
        <v>6.5</v>
      </c>
      <c r="O160" s="94">
        <v>9.6999999999999993</v>
      </c>
      <c r="P160" s="239">
        <f t="shared" si="53"/>
        <v>5.768320995793772</v>
      </c>
      <c r="Q160" s="262" t="str">
        <f t="shared" si="59"/>
        <v>Gadd Daph</v>
      </c>
      <c r="R160" s="263">
        <f t="shared" ref="R160:R223" si="60">$AI$8*N160+$AH$8*LN(M160)+$AJ$8*LN(O160)+$AK$8*LN(O160)*N160</f>
        <v>-1.5593109449228564</v>
      </c>
      <c r="S160" s="220">
        <f t="shared" si="58"/>
        <v>7.3276319407166284</v>
      </c>
      <c r="T160" s="236">
        <f t="shared" si="57"/>
        <v>11</v>
      </c>
      <c r="U160" s="221" t="str">
        <f t="shared" si="54"/>
        <v>11-REP-NOEC-Neonates</v>
      </c>
      <c r="V160" s="222" cm="1">
        <f t="array" ref="V160">GEOMEAN(IF(U160=$U$7:$U$360,$S$7:$S$360))</f>
        <v>6.7202609896064711</v>
      </c>
      <c r="W160" s="264">
        <f t="shared" ref="W160:W189" si="61">V160+$AI$8*$AI$5+$AH$8*LN($AH$5)+$AJ$8*LN($AJ$5)+$AK$8*LN($AJ$5)*$AI$5</f>
        <v>3.597373305697761</v>
      </c>
      <c r="X160" s="225">
        <f t="shared" si="55"/>
        <v>36.502228214500114</v>
      </c>
      <c r="Y160" s="225"/>
      <c r="Z160" s="226" t="s">
        <v>1474</v>
      </c>
      <c r="AA160" s="226"/>
      <c r="AB160" s="227" t="s">
        <v>1846</v>
      </c>
      <c r="AC160" s="243" t="s">
        <v>1798</v>
      </c>
      <c r="AD160" s="275"/>
      <c r="AE160" s="229" t="s">
        <v>1584</v>
      </c>
      <c r="AG160" s="248"/>
      <c r="AI160" s="244"/>
    </row>
    <row r="161" spans="1:35" s="182" customFormat="1" ht="15.75" customHeight="1" x14ac:dyDescent="0.25">
      <c r="B161" s="180">
        <v>71981</v>
      </c>
      <c r="C161" s="217">
        <v>2003</v>
      </c>
      <c r="D161" s="180" t="s">
        <v>602</v>
      </c>
      <c r="E161" s="180" t="s">
        <v>41</v>
      </c>
      <c r="F161" s="180" t="s">
        <v>87</v>
      </c>
      <c r="G161" s="180" t="s">
        <v>260</v>
      </c>
      <c r="H161" s="180" t="s">
        <v>1738</v>
      </c>
      <c r="I161" s="180" t="s">
        <v>76</v>
      </c>
      <c r="J161" s="180" t="s">
        <v>54</v>
      </c>
      <c r="K161" s="180" t="s">
        <v>94</v>
      </c>
      <c r="L161" s="180">
        <v>575</v>
      </c>
      <c r="M161" s="180">
        <v>240</v>
      </c>
      <c r="N161" s="180">
        <v>7.25</v>
      </c>
      <c r="O161" s="94">
        <v>21</v>
      </c>
      <c r="P161" s="239">
        <f t="shared" si="53"/>
        <v>6.3543700407973507</v>
      </c>
      <c r="Q161" s="262" t="str">
        <f t="shared" si="59"/>
        <v>Gadd Daph</v>
      </c>
      <c r="R161" s="263">
        <f t="shared" si="60"/>
        <v>-1.0358643049380181</v>
      </c>
      <c r="S161" s="220">
        <f t="shared" si="58"/>
        <v>7.3902343457353687</v>
      </c>
      <c r="T161" s="236">
        <f t="shared" si="57"/>
        <v>11</v>
      </c>
      <c r="U161" s="221" t="str">
        <f t="shared" si="54"/>
        <v>11-REP-NOEC-Neonates</v>
      </c>
      <c r="V161" s="222" cm="1">
        <f t="array" ref="V161">GEOMEAN(IF(U161=$U$7:$U$360,$S$7:$S$360))</f>
        <v>6.7202609896064711</v>
      </c>
      <c r="W161" s="264">
        <f t="shared" si="61"/>
        <v>3.597373305697761</v>
      </c>
      <c r="X161" s="225">
        <f t="shared" si="55"/>
        <v>36.502228214500114</v>
      </c>
      <c r="Y161" s="225"/>
      <c r="Z161" s="226" t="s">
        <v>1474</v>
      </c>
      <c r="AA161" s="226"/>
      <c r="AB161" s="227" t="s">
        <v>1846</v>
      </c>
      <c r="AC161" s="243" t="s">
        <v>1798</v>
      </c>
      <c r="AD161" s="251"/>
      <c r="AE161" s="229" t="s">
        <v>1584</v>
      </c>
      <c r="AG161" s="248"/>
      <c r="AI161" s="244"/>
    </row>
    <row r="162" spans="1:35" s="182" customFormat="1" ht="15.75" customHeight="1" x14ac:dyDescent="0.25">
      <c r="B162" s="180">
        <v>71981</v>
      </c>
      <c r="C162" s="217">
        <v>2003</v>
      </c>
      <c r="D162" s="180" t="s">
        <v>602</v>
      </c>
      <c r="E162" s="180" t="s">
        <v>41</v>
      </c>
      <c r="F162" s="180" t="s">
        <v>87</v>
      </c>
      <c r="G162" s="180" t="s">
        <v>260</v>
      </c>
      <c r="H162" s="180" t="s">
        <v>1738</v>
      </c>
      <c r="I162" s="180" t="s">
        <v>76</v>
      </c>
      <c r="J162" s="180" t="s">
        <v>54</v>
      </c>
      <c r="K162" s="180" t="s">
        <v>94</v>
      </c>
      <c r="L162" s="180">
        <v>575</v>
      </c>
      <c r="M162" s="180">
        <v>445</v>
      </c>
      <c r="N162" s="180">
        <v>7.25</v>
      </c>
      <c r="O162" s="94">
        <v>21</v>
      </c>
      <c r="P162" s="239">
        <f t="shared" si="53"/>
        <v>6.3543700407973507</v>
      </c>
      <c r="Q162" s="262" t="str">
        <f t="shared" si="59"/>
        <v>Gadd Daph</v>
      </c>
      <c r="R162" s="263">
        <f t="shared" si="60"/>
        <v>-0.84445934370250164</v>
      </c>
      <c r="S162" s="220">
        <f t="shared" si="58"/>
        <v>7.1988293844998523</v>
      </c>
      <c r="T162" s="236">
        <f t="shared" si="57"/>
        <v>11</v>
      </c>
      <c r="U162" s="221"/>
      <c r="V162" s="222" t="e" cm="1">
        <f t="array" ref="V162">GEOMEAN(IF(U162=$U$7:$U$360,$S$7:$S$360))</f>
        <v>#NUM!</v>
      </c>
      <c r="W162" s="264" t="e">
        <f t="shared" si="61"/>
        <v>#NUM!</v>
      </c>
      <c r="X162" s="225" t="e">
        <f t="shared" si="55"/>
        <v>#NUM!</v>
      </c>
      <c r="Y162" s="225"/>
      <c r="Z162" s="226" t="s">
        <v>1474</v>
      </c>
      <c r="AA162" s="226" t="s">
        <v>1890</v>
      </c>
      <c r="AB162" s="227" t="s">
        <v>1846</v>
      </c>
      <c r="AC162" s="243" t="s">
        <v>1798</v>
      </c>
      <c r="AD162" s="243"/>
      <c r="AE162" s="229" t="s">
        <v>1584</v>
      </c>
      <c r="AG162" s="248"/>
      <c r="AI162" s="244"/>
    </row>
    <row r="163" spans="1:35" s="182" customFormat="1" ht="15.75" customHeight="1" x14ac:dyDescent="0.25">
      <c r="B163" s="180">
        <v>71981</v>
      </c>
      <c r="C163" s="217">
        <v>2003</v>
      </c>
      <c r="D163" s="180" t="s">
        <v>602</v>
      </c>
      <c r="E163" s="180" t="s">
        <v>41</v>
      </c>
      <c r="F163" s="180" t="s">
        <v>87</v>
      </c>
      <c r="G163" s="180" t="s">
        <v>260</v>
      </c>
      <c r="H163" s="180" t="s">
        <v>1738</v>
      </c>
      <c r="I163" s="180" t="s">
        <v>76</v>
      </c>
      <c r="J163" s="180" t="s">
        <v>54</v>
      </c>
      <c r="K163" s="180" t="s">
        <v>94</v>
      </c>
      <c r="L163" s="180">
        <v>320</v>
      </c>
      <c r="M163" s="180">
        <v>370</v>
      </c>
      <c r="N163" s="180">
        <v>8</v>
      </c>
      <c r="O163" s="94">
        <v>9.6999999999999993</v>
      </c>
      <c r="P163" s="239">
        <f t="shared" si="53"/>
        <v>5.768320995793772</v>
      </c>
      <c r="Q163" s="262" t="str">
        <f t="shared" si="59"/>
        <v>Gadd Daph</v>
      </c>
      <c r="R163" s="263">
        <f t="shared" si="60"/>
        <v>-1.1453086077872809</v>
      </c>
      <c r="S163" s="220">
        <f t="shared" si="58"/>
        <v>6.9136296035810529</v>
      </c>
      <c r="T163" s="236">
        <f t="shared" si="57"/>
        <v>11</v>
      </c>
      <c r="U163" s="221" t="str">
        <f t="shared" ref="U163:U199" si="62">CONCATENATE(T163,"-",I163,"-",J163,"-",H163)</f>
        <v>11-REP-NOEC-Neonates</v>
      </c>
      <c r="V163" s="222" cm="1">
        <f t="array" ref="V163">GEOMEAN(IF(U163=$U$7:$U$360,$S$7:$S$360))</f>
        <v>6.7202609896064711</v>
      </c>
      <c r="W163" s="264">
        <f t="shared" si="61"/>
        <v>3.597373305697761</v>
      </c>
      <c r="X163" s="225">
        <f t="shared" si="55"/>
        <v>36.502228214500114</v>
      </c>
      <c r="Y163" s="225"/>
      <c r="Z163" s="226" t="s">
        <v>1474</v>
      </c>
      <c r="AA163" s="226"/>
      <c r="AB163" s="227" t="s">
        <v>1846</v>
      </c>
      <c r="AC163" s="243" t="s">
        <v>1798</v>
      </c>
      <c r="AD163" s="243"/>
      <c r="AE163" s="229" t="s">
        <v>1584</v>
      </c>
      <c r="AG163" s="248"/>
      <c r="AI163" s="244"/>
    </row>
    <row r="164" spans="1:35" s="182" customFormat="1" ht="15.75" customHeight="1" x14ac:dyDescent="0.25">
      <c r="B164" s="180">
        <v>71981</v>
      </c>
      <c r="C164" s="217">
        <v>2003</v>
      </c>
      <c r="D164" s="180" t="s">
        <v>602</v>
      </c>
      <c r="E164" s="180" t="s">
        <v>41</v>
      </c>
      <c r="F164" s="180" t="s">
        <v>87</v>
      </c>
      <c r="G164" s="180" t="s">
        <v>260</v>
      </c>
      <c r="H164" s="180" t="s">
        <v>1738</v>
      </c>
      <c r="I164" s="180" t="s">
        <v>76</v>
      </c>
      <c r="J164" s="180" t="s">
        <v>54</v>
      </c>
      <c r="K164" s="180" t="s">
        <v>94</v>
      </c>
      <c r="L164" s="180">
        <v>630</v>
      </c>
      <c r="M164" s="180">
        <v>370</v>
      </c>
      <c r="N164" s="180">
        <v>6.5</v>
      </c>
      <c r="O164" s="94">
        <v>32.299999999999997</v>
      </c>
      <c r="P164" s="239">
        <f t="shared" si="53"/>
        <v>6.4457198193855785</v>
      </c>
      <c r="Q164" s="262" t="str">
        <f t="shared" si="59"/>
        <v>Gadd Daph</v>
      </c>
      <c r="R164" s="263">
        <f t="shared" si="60"/>
        <v>-0.99080331141555789</v>
      </c>
      <c r="S164" s="220">
        <f t="shared" si="58"/>
        <v>7.4365231308011364</v>
      </c>
      <c r="T164" s="236">
        <f t="shared" si="57"/>
        <v>11</v>
      </c>
      <c r="U164" s="221" t="str">
        <f t="shared" si="62"/>
        <v>11-REP-NOEC-Neonates</v>
      </c>
      <c r="V164" s="222" cm="1">
        <f t="array" ref="V164">GEOMEAN(IF(U164=$U$7:$U$360,$S$7:$S$360))</f>
        <v>6.7202609896064711</v>
      </c>
      <c r="W164" s="264">
        <f t="shared" si="61"/>
        <v>3.597373305697761</v>
      </c>
      <c r="X164" s="225">
        <f t="shared" si="55"/>
        <v>36.502228214500114</v>
      </c>
      <c r="Y164" s="225"/>
      <c r="Z164" s="226" t="s">
        <v>1474</v>
      </c>
      <c r="AA164" s="226"/>
      <c r="AB164" s="227" t="s">
        <v>1846</v>
      </c>
      <c r="AC164" s="243" t="s">
        <v>1798</v>
      </c>
      <c r="AD164" s="243"/>
      <c r="AE164" s="229" t="s">
        <v>1584</v>
      </c>
      <c r="AG164" s="248"/>
      <c r="AI164" s="244"/>
    </row>
    <row r="165" spans="1:35" s="182" customFormat="1" ht="15.75" customHeight="1" x14ac:dyDescent="0.25">
      <c r="B165" s="180">
        <v>71981</v>
      </c>
      <c r="C165" s="217">
        <v>2003</v>
      </c>
      <c r="D165" s="180" t="s">
        <v>602</v>
      </c>
      <c r="E165" s="180" t="s">
        <v>41</v>
      </c>
      <c r="F165" s="180" t="s">
        <v>87</v>
      </c>
      <c r="G165" s="180" t="s">
        <v>260</v>
      </c>
      <c r="H165" s="180" t="s">
        <v>1738</v>
      </c>
      <c r="I165" s="180" t="s">
        <v>76</v>
      </c>
      <c r="J165" s="180" t="s">
        <v>54</v>
      </c>
      <c r="K165" s="180" t="s">
        <v>94</v>
      </c>
      <c r="L165" s="180">
        <v>630</v>
      </c>
      <c r="M165" s="180">
        <v>110</v>
      </c>
      <c r="N165" s="180">
        <v>8</v>
      </c>
      <c r="O165" s="94">
        <v>32.299999999999997</v>
      </c>
      <c r="P165" s="239">
        <f t="shared" si="53"/>
        <v>6.4457198193855785</v>
      </c>
      <c r="Q165" s="262" t="str">
        <f t="shared" si="59"/>
        <v>Gadd Daph</v>
      </c>
      <c r="R165" s="263">
        <f t="shared" si="60"/>
        <v>-0.89581612688547363</v>
      </c>
      <c r="S165" s="220">
        <f t="shared" si="58"/>
        <v>7.3415359462710521</v>
      </c>
      <c r="T165" s="236">
        <f t="shared" si="57"/>
        <v>11</v>
      </c>
      <c r="U165" s="221" t="str">
        <f t="shared" si="62"/>
        <v>11-REP-NOEC-Neonates</v>
      </c>
      <c r="V165" s="222" cm="1">
        <f t="array" ref="V165">GEOMEAN(IF(U165=$U$7:$U$360,$S$7:$S$360))</f>
        <v>6.7202609896064711</v>
      </c>
      <c r="W165" s="264">
        <f t="shared" si="61"/>
        <v>3.597373305697761</v>
      </c>
      <c r="X165" s="225">
        <f t="shared" si="55"/>
        <v>36.502228214500114</v>
      </c>
      <c r="Y165" s="225"/>
      <c r="Z165" s="226" t="s">
        <v>1474</v>
      </c>
      <c r="AA165" s="226"/>
      <c r="AB165" s="227" t="s">
        <v>1846</v>
      </c>
      <c r="AC165" s="243" t="s">
        <v>1798</v>
      </c>
      <c r="AD165" s="243"/>
      <c r="AE165" s="229" t="s">
        <v>1584</v>
      </c>
      <c r="AG165" s="248"/>
      <c r="AI165" s="244"/>
    </row>
    <row r="166" spans="1:35" s="182" customFormat="1" ht="15.75" customHeight="1" x14ac:dyDescent="0.25">
      <c r="B166" s="180">
        <v>71981</v>
      </c>
      <c r="C166" s="217">
        <v>2003</v>
      </c>
      <c r="D166" s="180" t="s">
        <v>602</v>
      </c>
      <c r="E166" s="180" t="s">
        <v>41</v>
      </c>
      <c r="F166" s="180" t="s">
        <v>87</v>
      </c>
      <c r="G166" s="180" t="s">
        <v>260</v>
      </c>
      <c r="H166" s="180" t="s">
        <v>1738</v>
      </c>
      <c r="I166" s="180" t="s">
        <v>76</v>
      </c>
      <c r="J166" s="180" t="s">
        <v>54</v>
      </c>
      <c r="K166" s="180" t="s">
        <v>94</v>
      </c>
      <c r="L166" s="180">
        <v>630</v>
      </c>
      <c r="M166" s="180">
        <v>240</v>
      </c>
      <c r="N166" s="180">
        <v>8.5</v>
      </c>
      <c r="O166" s="94">
        <v>21</v>
      </c>
      <c r="P166" s="239">
        <f t="shared" si="53"/>
        <v>6.4457198193855785</v>
      </c>
      <c r="Q166" s="262" t="str">
        <f t="shared" si="59"/>
        <v>Gadd Daph</v>
      </c>
      <c r="R166" s="263">
        <f t="shared" si="60"/>
        <v>-0.77250757362099165</v>
      </c>
      <c r="S166" s="220">
        <f t="shared" si="58"/>
        <v>7.2182273930065701</v>
      </c>
      <c r="T166" s="236">
        <f t="shared" si="57"/>
        <v>11</v>
      </c>
      <c r="U166" s="221" t="str">
        <f t="shared" si="62"/>
        <v>11-REP-NOEC-Neonates</v>
      </c>
      <c r="V166" s="222" cm="1">
        <f t="array" ref="V166">GEOMEAN(IF(U166=$U$7:$U$360,$S$7:$S$360))</f>
        <v>6.7202609896064711</v>
      </c>
      <c r="W166" s="264">
        <f t="shared" si="61"/>
        <v>3.597373305697761</v>
      </c>
      <c r="X166" s="225">
        <f t="shared" si="55"/>
        <v>36.502228214500114</v>
      </c>
      <c r="Y166" s="225"/>
      <c r="Z166" s="226" t="s">
        <v>1474</v>
      </c>
      <c r="AA166" s="226"/>
      <c r="AB166" s="227" t="s">
        <v>1846</v>
      </c>
      <c r="AC166" s="243" t="s">
        <v>1798</v>
      </c>
      <c r="AD166" s="228"/>
      <c r="AE166" s="229" t="s">
        <v>1584</v>
      </c>
      <c r="AG166" s="248"/>
      <c r="AI166" s="244"/>
    </row>
    <row r="167" spans="1:35" s="182" customFormat="1" ht="15.75" customHeight="1" x14ac:dyDescent="0.25">
      <c r="B167" s="180">
        <v>84052</v>
      </c>
      <c r="C167" s="217">
        <v>2005</v>
      </c>
      <c r="D167" s="180" t="s">
        <v>785</v>
      </c>
      <c r="E167" s="180" t="s">
        <v>41</v>
      </c>
      <c r="F167" s="180" t="s">
        <v>87</v>
      </c>
      <c r="G167" s="180" t="s">
        <v>260</v>
      </c>
      <c r="H167" s="180" t="s">
        <v>1738</v>
      </c>
      <c r="I167" s="180" t="s">
        <v>76</v>
      </c>
      <c r="J167" s="180" t="s">
        <v>49</v>
      </c>
      <c r="K167" s="180" t="s">
        <v>94</v>
      </c>
      <c r="L167" s="180">
        <v>59.2</v>
      </c>
      <c r="M167" s="224">
        <v>121.87649999999999</v>
      </c>
      <c r="N167" s="180">
        <v>8.4</v>
      </c>
      <c r="O167" s="94">
        <v>4.17</v>
      </c>
      <c r="P167" s="239">
        <f t="shared" si="53"/>
        <v>4.0809215418899605</v>
      </c>
      <c r="Q167" s="262" t="str">
        <f t="shared" si="59"/>
        <v>Gadd Daph</v>
      </c>
      <c r="R167" s="263">
        <f t="shared" si="60"/>
        <v>-1.9994711684908824</v>
      </c>
      <c r="S167" s="220">
        <f t="shared" si="58"/>
        <v>6.0803927103808428</v>
      </c>
      <c r="T167" s="236">
        <f t="shared" si="57"/>
        <v>11</v>
      </c>
      <c r="U167" s="221" t="str">
        <f t="shared" si="62"/>
        <v>11-REP-EC10-Neonates</v>
      </c>
      <c r="V167" s="222" cm="1">
        <f t="array" ref="V167">GEOMEAN(IF(U167=$U$7:$U$360,$S$7:$S$360))</f>
        <v>6.8680184697754383</v>
      </c>
      <c r="W167" s="264">
        <f t="shared" si="61"/>
        <v>3.7451307858667282</v>
      </c>
      <c r="X167" s="225">
        <f t="shared" si="55"/>
        <v>42.314541000879686</v>
      </c>
      <c r="Y167" s="225">
        <f t="shared" ref="Y167:Y173" si="63">X167</f>
        <v>42.314541000879686</v>
      </c>
      <c r="Z167" s="226"/>
      <c r="AA167" s="226"/>
      <c r="AB167" s="227" t="s">
        <v>1846</v>
      </c>
      <c r="AC167" s="228" t="s">
        <v>1861</v>
      </c>
      <c r="AD167" s="228"/>
      <c r="AE167" s="229" t="s">
        <v>1584</v>
      </c>
      <c r="AG167" s="248"/>
      <c r="AI167" s="244"/>
    </row>
    <row r="168" spans="1:35" s="182" customFormat="1" ht="15.75" customHeight="1" x14ac:dyDescent="0.25">
      <c r="B168" s="180">
        <v>84052</v>
      </c>
      <c r="C168" s="217">
        <v>2005</v>
      </c>
      <c r="D168" s="180" t="s">
        <v>785</v>
      </c>
      <c r="E168" s="180" t="s">
        <v>41</v>
      </c>
      <c r="F168" s="180" t="s">
        <v>87</v>
      </c>
      <c r="G168" s="180" t="s">
        <v>260</v>
      </c>
      <c r="H168" s="180" t="s">
        <v>1738</v>
      </c>
      <c r="I168" s="180" t="s">
        <v>76</v>
      </c>
      <c r="J168" s="180" t="s">
        <v>49</v>
      </c>
      <c r="K168" s="180" t="s">
        <v>94</v>
      </c>
      <c r="L168" s="180">
        <v>387</v>
      </c>
      <c r="M168" s="224">
        <v>122.40209999999999</v>
      </c>
      <c r="N168" s="180">
        <v>6.8</v>
      </c>
      <c r="O168" s="94">
        <v>17.3</v>
      </c>
      <c r="P168" s="239">
        <f t="shared" si="53"/>
        <v>5.9584246930297819</v>
      </c>
      <c r="Q168" s="262" t="str">
        <f t="shared" si="59"/>
        <v>Gadd Daph</v>
      </c>
      <c r="R168" s="263">
        <f t="shared" si="60"/>
        <v>-1.3843695183450579</v>
      </c>
      <c r="S168" s="220">
        <f t="shared" si="58"/>
        <v>7.3427942113748399</v>
      </c>
      <c r="T168" s="236">
        <f t="shared" si="57"/>
        <v>11</v>
      </c>
      <c r="U168" s="221" t="str">
        <f t="shared" si="62"/>
        <v>11-REP-EC10-Neonates</v>
      </c>
      <c r="V168" s="222" cm="1">
        <f t="array" ref="V168">GEOMEAN(IF(U168=$U$7:$U$360,$S$7:$S$360))</f>
        <v>6.8680184697754383</v>
      </c>
      <c r="W168" s="264">
        <f t="shared" si="61"/>
        <v>3.7451307858667282</v>
      </c>
      <c r="X168" s="225">
        <f t="shared" si="55"/>
        <v>42.314541000879686</v>
      </c>
      <c r="Y168" s="225">
        <f t="shared" si="63"/>
        <v>42.314541000879686</v>
      </c>
      <c r="Z168" s="226"/>
      <c r="AA168" s="226"/>
      <c r="AB168" s="227" t="s">
        <v>1846</v>
      </c>
      <c r="AC168" s="228" t="s">
        <v>1861</v>
      </c>
      <c r="AD168" s="228"/>
      <c r="AE168" s="229" t="s">
        <v>1584</v>
      </c>
      <c r="AG168" s="248"/>
      <c r="AI168" s="244"/>
    </row>
    <row r="169" spans="1:35" s="182" customFormat="1" ht="15.75" customHeight="1" x14ac:dyDescent="0.25">
      <c r="B169" s="180">
        <v>84052</v>
      </c>
      <c r="C169" s="217">
        <v>2005</v>
      </c>
      <c r="D169" s="180" t="s">
        <v>785</v>
      </c>
      <c r="E169" s="180" t="s">
        <v>41</v>
      </c>
      <c r="F169" s="180" t="s">
        <v>87</v>
      </c>
      <c r="G169" s="180" t="s">
        <v>260</v>
      </c>
      <c r="H169" s="180" t="s">
        <v>1738</v>
      </c>
      <c r="I169" s="180" t="s">
        <v>76</v>
      </c>
      <c r="J169" s="180" t="s">
        <v>49</v>
      </c>
      <c r="K169" s="180" t="s">
        <v>94</v>
      </c>
      <c r="L169" s="180">
        <v>126</v>
      </c>
      <c r="M169" s="224">
        <v>196.37960000000001</v>
      </c>
      <c r="N169" s="180">
        <v>8.1999999999999993</v>
      </c>
      <c r="O169" s="94">
        <v>2.2999999999999998</v>
      </c>
      <c r="P169" s="239">
        <f t="shared" si="53"/>
        <v>4.836281906951478</v>
      </c>
      <c r="Q169" s="262" t="str">
        <f t="shared" si="59"/>
        <v>Gadd Daph</v>
      </c>
      <c r="R169" s="263">
        <f t="shared" si="60"/>
        <v>-2.1540922667026114</v>
      </c>
      <c r="S169" s="220">
        <f t="shared" si="58"/>
        <v>6.9903741736540894</v>
      </c>
      <c r="T169" s="236">
        <f t="shared" si="57"/>
        <v>11</v>
      </c>
      <c r="U169" s="221" t="str">
        <f t="shared" si="62"/>
        <v>11-REP-EC10-Neonates</v>
      </c>
      <c r="V169" s="222" cm="1">
        <f t="array" ref="V169">GEOMEAN(IF(U169=$U$7:$U$360,$S$7:$S$360))</f>
        <v>6.8680184697754383</v>
      </c>
      <c r="W169" s="264">
        <f t="shared" si="61"/>
        <v>3.7451307858667282</v>
      </c>
      <c r="X169" s="225">
        <f t="shared" si="55"/>
        <v>42.314541000879686</v>
      </c>
      <c r="Y169" s="225">
        <f t="shared" si="63"/>
        <v>42.314541000879686</v>
      </c>
      <c r="Z169" s="226"/>
      <c r="AA169" s="226"/>
      <c r="AB169" s="227" t="s">
        <v>1846</v>
      </c>
      <c r="AC169" s="228" t="s">
        <v>1861</v>
      </c>
      <c r="AD169" s="228"/>
      <c r="AE169" s="229" t="s">
        <v>1584</v>
      </c>
      <c r="AG169" s="248"/>
      <c r="AI169" s="244"/>
    </row>
    <row r="170" spans="1:35" s="182" customFormat="1" ht="15.75" customHeight="1" x14ac:dyDescent="0.25">
      <c r="B170" s="180">
        <v>84052</v>
      </c>
      <c r="C170" s="217">
        <v>2005</v>
      </c>
      <c r="D170" s="180" t="s">
        <v>785</v>
      </c>
      <c r="E170" s="180" t="s">
        <v>41</v>
      </c>
      <c r="F170" s="180" t="s">
        <v>87</v>
      </c>
      <c r="G170" s="180" t="s">
        <v>260</v>
      </c>
      <c r="H170" s="180" t="s">
        <v>1738</v>
      </c>
      <c r="I170" s="180" t="s">
        <v>76</v>
      </c>
      <c r="J170" s="180" t="s">
        <v>49</v>
      </c>
      <c r="K170" s="180" t="s">
        <v>94</v>
      </c>
      <c r="L170" s="180">
        <v>171</v>
      </c>
      <c r="M170" s="224">
        <v>189.2439</v>
      </c>
      <c r="N170" s="180">
        <v>8</v>
      </c>
      <c r="O170" s="94">
        <v>7.49</v>
      </c>
      <c r="P170" s="239">
        <f t="shared" si="53"/>
        <v>5.1416635565026603</v>
      </c>
      <c r="Q170" s="262" t="str">
        <f t="shared" si="59"/>
        <v>Gadd Daph</v>
      </c>
      <c r="R170" s="263">
        <f t="shared" si="60"/>
        <v>-1.4876028609014247</v>
      </c>
      <c r="S170" s="220">
        <f t="shared" si="58"/>
        <v>6.629266417404085</v>
      </c>
      <c r="T170" s="236">
        <f t="shared" si="57"/>
        <v>11</v>
      </c>
      <c r="U170" s="221" t="str">
        <f t="shared" si="62"/>
        <v>11-REP-EC10-Neonates</v>
      </c>
      <c r="V170" s="222" cm="1">
        <f t="array" ref="V170">GEOMEAN(IF(U170=$U$7:$U$360,$S$7:$S$360))</f>
        <v>6.8680184697754383</v>
      </c>
      <c r="W170" s="264">
        <f t="shared" si="61"/>
        <v>3.7451307858667282</v>
      </c>
      <c r="X170" s="225">
        <f t="shared" si="55"/>
        <v>42.314541000879686</v>
      </c>
      <c r="Y170" s="225">
        <f t="shared" si="63"/>
        <v>42.314541000879686</v>
      </c>
      <c r="Z170" s="226"/>
      <c r="AA170" s="226"/>
      <c r="AB170" s="227" t="s">
        <v>1846</v>
      </c>
      <c r="AC170" s="228" t="s">
        <v>1861</v>
      </c>
      <c r="AD170" s="228"/>
      <c r="AE170" s="229" t="s">
        <v>1584</v>
      </c>
      <c r="AG170" s="248"/>
      <c r="AI170" s="244"/>
    </row>
    <row r="171" spans="1:35" s="182" customFormat="1" ht="15.75" customHeight="1" x14ac:dyDescent="0.25">
      <c r="B171" s="180">
        <v>84052</v>
      </c>
      <c r="C171" s="217">
        <v>2005</v>
      </c>
      <c r="D171" s="180" t="s">
        <v>785</v>
      </c>
      <c r="E171" s="180" t="s">
        <v>41</v>
      </c>
      <c r="F171" s="180" t="s">
        <v>87</v>
      </c>
      <c r="G171" s="180" t="s">
        <v>260</v>
      </c>
      <c r="H171" s="180" t="s">
        <v>1738</v>
      </c>
      <c r="I171" s="180" t="s">
        <v>76</v>
      </c>
      <c r="J171" s="180" t="s">
        <v>49</v>
      </c>
      <c r="K171" s="180" t="s">
        <v>94</v>
      </c>
      <c r="L171" s="180">
        <v>92.7</v>
      </c>
      <c r="M171" s="224">
        <v>26.4862</v>
      </c>
      <c r="N171" s="180">
        <v>7.3</v>
      </c>
      <c r="O171" s="94">
        <v>2.5299999999999998</v>
      </c>
      <c r="P171" s="239">
        <f t="shared" si="53"/>
        <v>4.5293684725718091</v>
      </c>
      <c r="Q171" s="262" t="str">
        <f t="shared" si="59"/>
        <v>Gadd Daph</v>
      </c>
      <c r="R171" s="263">
        <f t="shared" si="60"/>
        <v>-2.453513414218758</v>
      </c>
      <c r="S171" s="220">
        <f t="shared" si="58"/>
        <v>6.9828818867905671</v>
      </c>
      <c r="T171" s="236">
        <f t="shared" si="57"/>
        <v>11</v>
      </c>
      <c r="U171" s="221" t="str">
        <f t="shared" si="62"/>
        <v>11-REP-EC10-Neonates</v>
      </c>
      <c r="V171" s="222" cm="1">
        <f t="array" ref="V171">GEOMEAN(IF(U171=$U$7:$U$360,$S$7:$S$360))</f>
        <v>6.8680184697754383</v>
      </c>
      <c r="W171" s="264">
        <f t="shared" si="61"/>
        <v>3.7451307858667282</v>
      </c>
      <c r="X171" s="225">
        <f t="shared" si="55"/>
        <v>42.314541000879686</v>
      </c>
      <c r="Y171" s="225">
        <f t="shared" si="63"/>
        <v>42.314541000879686</v>
      </c>
      <c r="Z171" s="226"/>
      <c r="AA171" s="226"/>
      <c r="AB171" s="227" t="s">
        <v>1846</v>
      </c>
      <c r="AC171" s="228" t="s">
        <v>1861</v>
      </c>
      <c r="AD171" s="228"/>
      <c r="AE171" s="229" t="s">
        <v>1584</v>
      </c>
      <c r="AG171" s="248"/>
      <c r="AI171" s="244"/>
    </row>
    <row r="172" spans="1:35" s="182" customFormat="1" ht="15.75" customHeight="1" x14ac:dyDescent="0.25">
      <c r="B172" s="180">
        <v>84052</v>
      </c>
      <c r="C172" s="217">
        <v>2005</v>
      </c>
      <c r="D172" s="180" t="s">
        <v>785</v>
      </c>
      <c r="E172" s="180" t="s">
        <v>41</v>
      </c>
      <c r="F172" s="180" t="s">
        <v>87</v>
      </c>
      <c r="G172" s="180" t="s">
        <v>260</v>
      </c>
      <c r="H172" s="180" t="s">
        <v>1738</v>
      </c>
      <c r="I172" s="180" t="s">
        <v>76</v>
      </c>
      <c r="J172" s="180" t="s">
        <v>49</v>
      </c>
      <c r="K172" s="180" t="s">
        <v>94</v>
      </c>
      <c r="L172" s="180">
        <v>265</v>
      </c>
      <c r="M172" s="224">
        <v>183.01369999999997</v>
      </c>
      <c r="N172" s="180">
        <v>8</v>
      </c>
      <c r="O172" s="94">
        <v>9.8699999999999992</v>
      </c>
      <c r="P172" s="239">
        <f t="shared" si="53"/>
        <v>5.579729825986222</v>
      </c>
      <c r="Q172" s="262" t="str">
        <f t="shared" si="59"/>
        <v>Gadd Daph</v>
      </c>
      <c r="R172" s="263">
        <f t="shared" si="60"/>
        <v>-1.3544961620459413</v>
      </c>
      <c r="S172" s="220">
        <f t="shared" si="58"/>
        <v>6.9342259880321633</v>
      </c>
      <c r="T172" s="236">
        <f t="shared" si="57"/>
        <v>11</v>
      </c>
      <c r="U172" s="221" t="str">
        <f t="shared" si="62"/>
        <v>11-REP-EC10-Neonates</v>
      </c>
      <c r="V172" s="222" cm="1">
        <f t="array" ref="V172">GEOMEAN(IF(U172=$U$7:$U$360,$S$7:$S$360))</f>
        <v>6.8680184697754383</v>
      </c>
      <c r="W172" s="264">
        <f t="shared" si="61"/>
        <v>3.7451307858667282</v>
      </c>
      <c r="X172" s="225">
        <f t="shared" si="55"/>
        <v>42.314541000879686</v>
      </c>
      <c r="Y172" s="225">
        <f t="shared" si="63"/>
        <v>42.314541000879686</v>
      </c>
      <c r="Z172" s="226"/>
      <c r="AA172" s="226"/>
      <c r="AB172" s="227" t="s">
        <v>1846</v>
      </c>
      <c r="AC172" s="228" t="s">
        <v>1861</v>
      </c>
      <c r="AD172" s="228"/>
      <c r="AE172" s="229" t="s">
        <v>1584</v>
      </c>
      <c r="AG172" s="248"/>
      <c r="AI172" s="244"/>
    </row>
    <row r="173" spans="1:35" s="182" customFormat="1" ht="15.75" customHeight="1" x14ac:dyDescent="0.25">
      <c r="B173" s="180">
        <v>84052</v>
      </c>
      <c r="C173" s="217">
        <v>2005</v>
      </c>
      <c r="D173" s="180" t="s">
        <v>785</v>
      </c>
      <c r="E173" s="180" t="s">
        <v>41</v>
      </c>
      <c r="F173" s="180" t="s">
        <v>87</v>
      </c>
      <c r="G173" s="180" t="s">
        <v>260</v>
      </c>
      <c r="H173" s="180" t="s">
        <v>1738</v>
      </c>
      <c r="I173" s="180" t="s">
        <v>76</v>
      </c>
      <c r="J173" s="180" t="s">
        <v>49</v>
      </c>
      <c r="K173" s="180" t="s">
        <v>94</v>
      </c>
      <c r="L173" s="180">
        <v>196</v>
      </c>
      <c r="M173" s="224">
        <v>250.499</v>
      </c>
      <c r="N173" s="181">
        <v>7.2</v>
      </c>
      <c r="O173" s="94">
        <v>0.3</v>
      </c>
      <c r="P173" s="239">
        <f t="shared" si="53"/>
        <v>5.2781146592305168</v>
      </c>
      <c r="Q173" s="262" t="str">
        <f t="shared" si="59"/>
        <v>Gadd Daph</v>
      </c>
      <c r="R173" s="263">
        <f t="shared" si="60"/>
        <v>-2.4266320519836029</v>
      </c>
      <c r="S173" s="220">
        <f t="shared" si="58"/>
        <v>7.7047467112141197</v>
      </c>
      <c r="T173" s="236">
        <f t="shared" si="57"/>
        <v>11</v>
      </c>
      <c r="U173" s="221" t="str">
        <f t="shared" si="62"/>
        <v>11-REP-EC10-Neonates</v>
      </c>
      <c r="V173" s="222" cm="1">
        <f t="array" ref="V173">GEOMEAN(IF(U173=$U$7:$U$360,$S$7:$S$360))</f>
        <v>6.8680184697754383</v>
      </c>
      <c r="W173" s="264">
        <f t="shared" si="61"/>
        <v>3.7451307858667282</v>
      </c>
      <c r="X173" s="225">
        <f t="shared" si="55"/>
        <v>42.314541000879686</v>
      </c>
      <c r="Y173" s="225">
        <f t="shared" si="63"/>
        <v>42.314541000879686</v>
      </c>
      <c r="Z173" s="226"/>
      <c r="AA173" s="226"/>
      <c r="AB173" s="227" t="s">
        <v>1846</v>
      </c>
      <c r="AC173" s="228" t="s">
        <v>1861</v>
      </c>
      <c r="AD173" s="228"/>
      <c r="AE173" s="229" t="s">
        <v>1584</v>
      </c>
      <c r="AG173" s="248"/>
      <c r="AI173" s="244"/>
    </row>
    <row r="174" spans="1:35" s="182" customFormat="1" ht="15.75" customHeight="1" x14ac:dyDescent="0.25">
      <c r="B174" s="180">
        <v>84052</v>
      </c>
      <c r="C174" s="217">
        <v>2005</v>
      </c>
      <c r="D174" s="180" t="s">
        <v>785</v>
      </c>
      <c r="E174" s="180" t="s">
        <v>41</v>
      </c>
      <c r="F174" s="180" t="s">
        <v>87</v>
      </c>
      <c r="G174" s="180" t="s">
        <v>260</v>
      </c>
      <c r="H174" s="180" t="s">
        <v>1738</v>
      </c>
      <c r="I174" s="180" t="s">
        <v>76</v>
      </c>
      <c r="J174" s="180" t="s">
        <v>54</v>
      </c>
      <c r="K174" s="180" t="s">
        <v>94</v>
      </c>
      <c r="L174" s="180">
        <v>155</v>
      </c>
      <c r="M174" s="224">
        <v>250.499</v>
      </c>
      <c r="N174" s="180">
        <v>7.2</v>
      </c>
      <c r="O174" s="94">
        <v>0.3</v>
      </c>
      <c r="P174" s="239">
        <f t="shared" si="53"/>
        <v>5.0434251169192468</v>
      </c>
      <c r="Q174" s="262" t="str">
        <f t="shared" si="59"/>
        <v>Gadd Daph</v>
      </c>
      <c r="R174" s="263">
        <f t="shared" si="60"/>
        <v>-2.4266320519836029</v>
      </c>
      <c r="S174" s="220">
        <f t="shared" si="58"/>
        <v>7.4700571689028497</v>
      </c>
      <c r="T174" s="236">
        <f t="shared" si="57"/>
        <v>11</v>
      </c>
      <c r="U174" s="221" t="str">
        <f t="shared" si="62"/>
        <v>11-REP-NOEC-Neonates</v>
      </c>
      <c r="V174" s="222" cm="1">
        <f t="array" ref="V174">GEOMEAN(IF(U174=$U$7:$U$360,$S$7:$S$360))</f>
        <v>6.7202609896064711</v>
      </c>
      <c r="W174" s="264">
        <f t="shared" si="61"/>
        <v>3.597373305697761</v>
      </c>
      <c r="X174" s="225">
        <f t="shared" si="55"/>
        <v>36.502228214500114</v>
      </c>
      <c r="Y174" s="225"/>
      <c r="Z174" s="226" t="s">
        <v>1474</v>
      </c>
      <c r="AA174" s="226"/>
      <c r="AB174" s="227" t="s">
        <v>1846</v>
      </c>
      <c r="AC174" s="228" t="s">
        <v>1861</v>
      </c>
      <c r="AD174" s="228"/>
      <c r="AE174" s="229" t="s">
        <v>1584</v>
      </c>
      <c r="AG174" s="248"/>
      <c r="AI174" s="244"/>
    </row>
    <row r="175" spans="1:35" s="182" customFormat="1" ht="15.75" customHeight="1" x14ac:dyDescent="0.25">
      <c r="A175" s="180" t="s">
        <v>1893</v>
      </c>
      <c r="B175" s="180">
        <v>101832</v>
      </c>
      <c r="C175" s="217">
        <v>2007</v>
      </c>
      <c r="D175" s="180" t="s">
        <v>512</v>
      </c>
      <c r="E175" s="180" t="s">
        <v>41</v>
      </c>
      <c r="F175" s="180" t="s">
        <v>87</v>
      </c>
      <c r="G175" s="180" t="s">
        <v>260</v>
      </c>
      <c r="H175" s="180" t="s">
        <v>1738</v>
      </c>
      <c r="I175" s="180" t="s">
        <v>76</v>
      </c>
      <c r="J175" s="180" t="s">
        <v>49</v>
      </c>
      <c r="K175" s="180" t="s">
        <v>253</v>
      </c>
      <c r="L175" s="180">
        <v>84</v>
      </c>
      <c r="M175" s="180">
        <v>250</v>
      </c>
      <c r="N175" s="180">
        <v>7.6</v>
      </c>
      <c r="O175" s="94">
        <v>4</v>
      </c>
      <c r="P175" s="239">
        <f t="shared" si="53"/>
        <v>4.4308167988433134</v>
      </c>
      <c r="Q175" s="262" t="str">
        <f t="shared" si="59"/>
        <v>Gadd Daph</v>
      </c>
      <c r="R175" s="263">
        <f t="shared" si="60"/>
        <v>-1.6525583063478702</v>
      </c>
      <c r="S175" s="220">
        <f t="shared" si="58"/>
        <v>6.083375105191184</v>
      </c>
      <c r="T175" s="236">
        <f t="shared" si="57"/>
        <v>11</v>
      </c>
      <c r="U175" s="221" t="str">
        <f t="shared" si="62"/>
        <v>11-REP-EC10-Neonates</v>
      </c>
      <c r="V175" s="222" cm="1">
        <f t="array" ref="V175">GEOMEAN(IF(U175=$U$7:$U$360,$S$7:$S$360))</f>
        <v>6.8680184697754383</v>
      </c>
      <c r="W175" s="264">
        <f t="shared" si="61"/>
        <v>3.7451307858667282</v>
      </c>
      <c r="X175" s="225">
        <f t="shared" si="55"/>
        <v>42.314541000879686</v>
      </c>
      <c r="Y175" s="225">
        <f t="shared" ref="Y175:Y176" si="64">X175</f>
        <v>42.314541000879686</v>
      </c>
      <c r="Z175" s="226"/>
      <c r="AA175" s="226"/>
      <c r="AB175" s="246"/>
      <c r="AC175" s="228" t="s">
        <v>1858</v>
      </c>
      <c r="AD175" s="276">
        <v>0.72</v>
      </c>
      <c r="AE175" s="228" t="s">
        <v>1859</v>
      </c>
      <c r="AG175" s="248"/>
      <c r="AI175" s="244"/>
    </row>
    <row r="176" spans="1:35" s="182" customFormat="1" ht="15.75" customHeight="1" x14ac:dyDescent="0.25">
      <c r="A176" s="180" t="s">
        <v>1894</v>
      </c>
      <c r="B176" s="180">
        <v>101832</v>
      </c>
      <c r="C176" s="217">
        <v>2007</v>
      </c>
      <c r="D176" s="180" t="s">
        <v>512</v>
      </c>
      <c r="E176" s="180" t="s">
        <v>41</v>
      </c>
      <c r="F176" s="180" t="s">
        <v>87</v>
      </c>
      <c r="G176" s="180" t="s">
        <v>260</v>
      </c>
      <c r="H176" s="180" t="s">
        <v>1738</v>
      </c>
      <c r="I176" s="180" t="s">
        <v>76</v>
      </c>
      <c r="J176" s="180" t="s">
        <v>49</v>
      </c>
      <c r="K176" s="180">
        <v>21</v>
      </c>
      <c r="L176" s="180">
        <v>85</v>
      </c>
      <c r="M176" s="180">
        <v>250</v>
      </c>
      <c r="N176" s="180">
        <v>7.6</v>
      </c>
      <c r="O176" s="94">
        <v>4</v>
      </c>
      <c r="P176" s="239">
        <f t="shared" si="53"/>
        <v>4.4426512564903167</v>
      </c>
      <c r="Q176" s="262" t="str">
        <f t="shared" si="59"/>
        <v>Gadd Daph</v>
      </c>
      <c r="R176" s="263">
        <f t="shared" si="60"/>
        <v>-1.6525583063478702</v>
      </c>
      <c r="S176" s="220">
        <f t="shared" si="58"/>
        <v>6.0952095628381873</v>
      </c>
      <c r="T176" s="236">
        <f t="shared" si="57"/>
        <v>11</v>
      </c>
      <c r="U176" s="221" t="str">
        <f t="shared" si="62"/>
        <v>11-REP-EC10-Neonates</v>
      </c>
      <c r="V176" s="222" cm="1">
        <f t="array" ref="V176">GEOMEAN(IF(U176=$U$7:$U$360,$S$7:$S$360))</f>
        <v>6.8680184697754383</v>
      </c>
      <c r="W176" s="264">
        <f t="shared" si="61"/>
        <v>3.7451307858667282</v>
      </c>
      <c r="X176" s="225">
        <f t="shared" si="55"/>
        <v>42.314541000879686</v>
      </c>
      <c r="Y176" s="225">
        <f t="shared" si="64"/>
        <v>42.314541000879686</v>
      </c>
      <c r="Z176" s="226"/>
      <c r="AA176" s="226"/>
      <c r="AB176" s="246"/>
      <c r="AC176" s="228" t="s">
        <v>1858</v>
      </c>
      <c r="AD176" s="276">
        <v>0.72</v>
      </c>
      <c r="AE176" s="228" t="s">
        <v>1859</v>
      </c>
      <c r="AG176" s="248"/>
      <c r="AI176" s="244"/>
    </row>
    <row r="177" spans="1:35" s="182" customFormat="1" ht="15.75" customHeight="1" x14ac:dyDescent="0.25">
      <c r="A177" s="180" t="s">
        <v>1895</v>
      </c>
      <c r="B177" s="180">
        <v>101832</v>
      </c>
      <c r="C177" s="217">
        <v>2007</v>
      </c>
      <c r="D177" s="180" t="s">
        <v>512</v>
      </c>
      <c r="E177" s="180" t="s">
        <v>41</v>
      </c>
      <c r="F177" s="180" t="s">
        <v>87</v>
      </c>
      <c r="G177" s="180" t="s">
        <v>260</v>
      </c>
      <c r="H177" s="180" t="s">
        <v>1896</v>
      </c>
      <c r="I177" s="180" t="s">
        <v>76</v>
      </c>
      <c r="J177" s="180" t="s">
        <v>54</v>
      </c>
      <c r="K177" s="180" t="s">
        <v>253</v>
      </c>
      <c r="L177" s="180">
        <v>80</v>
      </c>
      <c r="M177" s="180">
        <v>250</v>
      </c>
      <c r="N177" s="180">
        <v>7.6</v>
      </c>
      <c r="O177" s="94">
        <v>4</v>
      </c>
      <c r="P177" s="239">
        <f t="shared" si="53"/>
        <v>4.3820266346738812</v>
      </c>
      <c r="Q177" s="262" t="str">
        <f t="shared" si="59"/>
        <v>Gadd Daph</v>
      </c>
      <c r="R177" s="263">
        <f t="shared" si="60"/>
        <v>-1.6525583063478702</v>
      </c>
      <c r="S177" s="220">
        <f t="shared" si="58"/>
        <v>6.0345849410217518</v>
      </c>
      <c r="T177" s="236">
        <f t="shared" si="57"/>
        <v>11</v>
      </c>
      <c r="U177" s="221" t="str">
        <f t="shared" si="62"/>
        <v>11-REP-NOEC-T7</v>
      </c>
      <c r="V177" s="222" cm="1">
        <f t="array" ref="V177">GEOMEAN(IF(U177=$U$7:$U$360,$S$7:$S$360))</f>
        <v>6.0345849410217518</v>
      </c>
      <c r="W177" s="264">
        <f t="shared" si="61"/>
        <v>2.9116972571130417</v>
      </c>
      <c r="X177" s="225">
        <f t="shared" si="55"/>
        <v>18.387981228970258</v>
      </c>
      <c r="Y177" s="225"/>
      <c r="Z177" s="226" t="s">
        <v>1524</v>
      </c>
      <c r="AA177" s="226"/>
      <c r="AB177" s="246"/>
      <c r="AC177" s="228" t="s">
        <v>1858</v>
      </c>
      <c r="AD177" s="276">
        <v>0.72</v>
      </c>
      <c r="AE177" s="228" t="s">
        <v>1859</v>
      </c>
      <c r="AG177" s="248"/>
      <c r="AI177" s="244"/>
    </row>
    <row r="178" spans="1:35" s="182" customFormat="1" ht="15.75" customHeight="1" x14ac:dyDescent="0.25">
      <c r="A178" s="180" t="s">
        <v>1897</v>
      </c>
      <c r="B178" s="180">
        <v>101832</v>
      </c>
      <c r="C178" s="217">
        <v>2007</v>
      </c>
      <c r="D178" s="180" t="s">
        <v>512</v>
      </c>
      <c r="E178" s="180" t="s">
        <v>41</v>
      </c>
      <c r="F178" s="180" t="s">
        <v>87</v>
      </c>
      <c r="G178" s="180" t="s">
        <v>260</v>
      </c>
      <c r="H178" s="180" t="s">
        <v>1738</v>
      </c>
      <c r="I178" s="180" t="s">
        <v>76</v>
      </c>
      <c r="J178" s="180" t="s">
        <v>54</v>
      </c>
      <c r="K178" s="180" t="s">
        <v>253</v>
      </c>
      <c r="L178" s="180">
        <v>80</v>
      </c>
      <c r="M178" s="180">
        <v>250</v>
      </c>
      <c r="N178" s="180">
        <v>7.6</v>
      </c>
      <c r="O178" s="94">
        <v>4</v>
      </c>
      <c r="P178" s="239">
        <f t="shared" si="53"/>
        <v>4.3820266346738812</v>
      </c>
      <c r="Q178" s="262" t="str">
        <f t="shared" si="59"/>
        <v>Gadd Daph</v>
      </c>
      <c r="R178" s="263">
        <f t="shared" si="60"/>
        <v>-1.6525583063478702</v>
      </c>
      <c r="S178" s="220">
        <f t="shared" si="58"/>
        <v>6.0345849410217518</v>
      </c>
      <c r="T178" s="236">
        <f t="shared" si="57"/>
        <v>11</v>
      </c>
      <c r="U178" s="221" t="str">
        <f t="shared" si="62"/>
        <v>11-REP-NOEC-Neonates</v>
      </c>
      <c r="V178" s="222" cm="1">
        <f t="array" ref="V178">GEOMEAN(IF(U178=$U$7:$U$360,$S$7:$S$360))</f>
        <v>6.7202609896064711</v>
      </c>
      <c r="W178" s="264">
        <f t="shared" si="61"/>
        <v>3.597373305697761</v>
      </c>
      <c r="X178" s="225">
        <f t="shared" si="55"/>
        <v>36.502228214500114</v>
      </c>
      <c r="Y178" s="225"/>
      <c r="Z178" s="226" t="s">
        <v>1524</v>
      </c>
      <c r="AA178" s="226"/>
      <c r="AB178" s="246"/>
      <c r="AC178" s="228" t="s">
        <v>1858</v>
      </c>
      <c r="AD178" s="276">
        <v>0.72</v>
      </c>
      <c r="AE178" s="228" t="s">
        <v>1859</v>
      </c>
      <c r="AG178" s="248"/>
      <c r="AI178" s="244"/>
    </row>
    <row r="179" spans="1:35" s="182" customFormat="1" ht="15.75" customHeight="1" x14ac:dyDescent="0.25">
      <c r="B179" s="241"/>
      <c r="C179" s="217">
        <v>2005</v>
      </c>
      <c r="D179" s="180" t="s">
        <v>1230</v>
      </c>
      <c r="E179" s="180" t="s">
        <v>41</v>
      </c>
      <c r="F179" s="180" t="s">
        <v>87</v>
      </c>
      <c r="G179" s="180" t="s">
        <v>260</v>
      </c>
      <c r="H179" s="180" t="s">
        <v>1738</v>
      </c>
      <c r="I179" s="180" t="s">
        <v>76</v>
      </c>
      <c r="J179" s="180" t="s">
        <v>54</v>
      </c>
      <c r="K179" s="217">
        <v>21</v>
      </c>
      <c r="L179" s="250">
        <v>39.234000000000002</v>
      </c>
      <c r="M179" s="180">
        <v>50</v>
      </c>
      <c r="N179" s="180">
        <v>6.6</v>
      </c>
      <c r="O179" s="94">
        <v>5</v>
      </c>
      <c r="P179" s="239">
        <f t="shared" si="53"/>
        <v>3.6695437178071941</v>
      </c>
      <c r="Q179" s="262" t="str">
        <f t="shared" si="59"/>
        <v>Gadd Daph</v>
      </c>
      <c r="R179" s="263">
        <f t="shared" si="60"/>
        <v>-1.9231362924294011</v>
      </c>
      <c r="S179" s="220">
        <f t="shared" si="58"/>
        <v>5.5926800102365952</v>
      </c>
      <c r="T179" s="236">
        <f t="shared" si="57"/>
        <v>11</v>
      </c>
      <c r="U179" s="221" t="str">
        <f t="shared" si="62"/>
        <v>11-REP-NOEC-Neonates</v>
      </c>
      <c r="V179" s="222" cm="1">
        <f t="array" ref="V179">GEOMEAN(IF(U179=$U$7:$U$360,$S$7:$S$360))</f>
        <v>6.7202609896064711</v>
      </c>
      <c r="W179" s="264">
        <f t="shared" si="61"/>
        <v>3.597373305697761</v>
      </c>
      <c r="X179" s="225">
        <f t="shared" si="55"/>
        <v>36.502228214500114</v>
      </c>
      <c r="Y179" s="225"/>
      <c r="Z179" s="226" t="s">
        <v>1854</v>
      </c>
      <c r="AA179" s="226"/>
      <c r="AB179" s="246"/>
      <c r="AC179" s="228"/>
      <c r="AD179" s="228"/>
      <c r="AE179" s="228"/>
      <c r="AG179" s="248"/>
      <c r="AI179" s="244"/>
    </row>
    <row r="180" spans="1:35" s="182" customFormat="1" ht="15.75" customHeight="1" x14ac:dyDescent="0.25">
      <c r="B180" s="241"/>
      <c r="C180" s="217">
        <v>2005</v>
      </c>
      <c r="D180" s="180" t="s">
        <v>1230</v>
      </c>
      <c r="E180" s="180" t="s">
        <v>41</v>
      </c>
      <c r="F180" s="180" t="s">
        <v>87</v>
      </c>
      <c r="G180" s="180" t="s">
        <v>260</v>
      </c>
      <c r="H180" s="180" t="s">
        <v>1738</v>
      </c>
      <c r="I180" s="180" t="s">
        <v>76</v>
      </c>
      <c r="J180" s="180" t="s">
        <v>54</v>
      </c>
      <c r="K180" s="217">
        <v>21</v>
      </c>
      <c r="L180" s="250">
        <v>49.696400000000004</v>
      </c>
      <c r="M180" s="180">
        <v>75</v>
      </c>
      <c r="N180" s="180">
        <v>6.6</v>
      </c>
      <c r="O180" s="94">
        <v>5</v>
      </c>
      <c r="P180" s="239">
        <f t="shared" si="53"/>
        <v>3.9059324958714243</v>
      </c>
      <c r="Q180" s="262" t="str">
        <f t="shared" si="59"/>
        <v>Gadd Daph</v>
      </c>
      <c r="R180" s="263">
        <f t="shared" si="60"/>
        <v>-1.7974421089158703</v>
      </c>
      <c r="S180" s="220">
        <f t="shared" si="58"/>
        <v>5.7033746047872942</v>
      </c>
      <c r="T180" s="236">
        <f t="shared" si="57"/>
        <v>11</v>
      </c>
      <c r="U180" s="221" t="str">
        <f t="shared" si="62"/>
        <v>11-REP-NOEC-Neonates</v>
      </c>
      <c r="V180" s="222" cm="1">
        <f t="array" ref="V180">GEOMEAN(IF(U180=$U$7:$U$360,$S$7:$S$360))</f>
        <v>6.7202609896064711</v>
      </c>
      <c r="W180" s="264">
        <f t="shared" si="61"/>
        <v>3.597373305697761</v>
      </c>
      <c r="X180" s="225">
        <f t="shared" si="55"/>
        <v>36.502228214500114</v>
      </c>
      <c r="Y180" s="225"/>
      <c r="Z180" s="226" t="s">
        <v>1854</v>
      </c>
      <c r="AA180" s="226"/>
      <c r="AB180" s="254"/>
      <c r="AC180" s="228"/>
      <c r="AD180" s="228"/>
      <c r="AE180" s="228"/>
      <c r="AG180" s="248"/>
      <c r="AI180" s="244"/>
    </row>
    <row r="181" spans="1:35" s="182" customFormat="1" ht="15.75" customHeight="1" x14ac:dyDescent="0.25">
      <c r="B181" s="241"/>
      <c r="C181" s="217">
        <v>2005</v>
      </c>
      <c r="D181" s="180" t="s">
        <v>1230</v>
      </c>
      <c r="E181" s="180" t="s">
        <v>41</v>
      </c>
      <c r="F181" s="180" t="s">
        <v>87</v>
      </c>
      <c r="G181" s="180" t="s">
        <v>260</v>
      </c>
      <c r="H181" s="180" t="s">
        <v>1738</v>
      </c>
      <c r="I181" s="180" t="s">
        <v>76</v>
      </c>
      <c r="J181" s="180" t="s">
        <v>54</v>
      </c>
      <c r="K181" s="217">
        <v>21</v>
      </c>
      <c r="L181" s="250">
        <v>54.273699999999998</v>
      </c>
      <c r="M181" s="180">
        <v>125</v>
      </c>
      <c r="N181" s="180">
        <v>6.6</v>
      </c>
      <c r="O181" s="94">
        <v>5</v>
      </c>
      <c r="P181" s="239">
        <f t="shared" si="53"/>
        <v>3.9940397633816911</v>
      </c>
      <c r="Q181" s="262" t="str">
        <f t="shared" si="59"/>
        <v>Gadd Daph</v>
      </c>
      <c r="R181" s="263">
        <f t="shared" si="60"/>
        <v>-1.639086165548413</v>
      </c>
      <c r="S181" s="220">
        <f t="shared" si="58"/>
        <v>5.6331259289301041</v>
      </c>
      <c r="T181" s="236">
        <f t="shared" si="57"/>
        <v>11</v>
      </c>
      <c r="U181" s="221" t="str">
        <f t="shared" si="62"/>
        <v>11-REP-NOEC-Neonates</v>
      </c>
      <c r="V181" s="222" cm="1">
        <f t="array" ref="V181">GEOMEAN(IF(U181=$U$7:$U$360,$S$7:$S$360))</f>
        <v>6.7202609896064711</v>
      </c>
      <c r="W181" s="264">
        <f t="shared" si="61"/>
        <v>3.597373305697761</v>
      </c>
      <c r="X181" s="225">
        <f t="shared" si="55"/>
        <v>36.502228214500114</v>
      </c>
      <c r="Y181" s="225"/>
      <c r="Z181" s="226" t="s">
        <v>1854</v>
      </c>
      <c r="AA181" s="226"/>
      <c r="AB181" s="254"/>
      <c r="AC181" s="243"/>
      <c r="AD181" s="243"/>
      <c r="AE181" s="243"/>
      <c r="AG181" s="248"/>
      <c r="AI181" s="244"/>
    </row>
    <row r="182" spans="1:35" s="182" customFormat="1" ht="15.75" customHeight="1" x14ac:dyDescent="0.25">
      <c r="B182" s="241"/>
      <c r="C182" s="217">
        <v>2005</v>
      </c>
      <c r="D182" s="180" t="s">
        <v>1230</v>
      </c>
      <c r="E182" s="180" t="s">
        <v>41</v>
      </c>
      <c r="F182" s="180" t="s">
        <v>87</v>
      </c>
      <c r="G182" s="180" t="s">
        <v>260</v>
      </c>
      <c r="H182" s="180" t="s">
        <v>1738</v>
      </c>
      <c r="I182" s="180" t="s">
        <v>76</v>
      </c>
      <c r="J182" s="180" t="s">
        <v>54</v>
      </c>
      <c r="K182" s="217">
        <v>21</v>
      </c>
      <c r="L182" s="250">
        <v>92.1999</v>
      </c>
      <c r="M182" s="180">
        <v>225</v>
      </c>
      <c r="N182" s="180">
        <v>6.6</v>
      </c>
      <c r="O182" s="94">
        <v>5</v>
      </c>
      <c r="P182" s="239">
        <f t="shared" si="53"/>
        <v>4.5239590459632613</v>
      </c>
      <c r="Q182" s="262" t="str">
        <f t="shared" si="59"/>
        <v>Gadd Daph</v>
      </c>
      <c r="R182" s="263">
        <f t="shared" si="60"/>
        <v>-1.4568722994287562</v>
      </c>
      <c r="S182" s="220">
        <f t="shared" si="58"/>
        <v>5.9808313453920174</v>
      </c>
      <c r="T182" s="236">
        <f t="shared" si="57"/>
        <v>11</v>
      </c>
      <c r="U182" s="221" t="str">
        <f t="shared" si="62"/>
        <v>11-REP-NOEC-Neonates</v>
      </c>
      <c r="V182" s="222" cm="1">
        <f t="array" ref="V182">GEOMEAN(IF(U182=$U$7:$U$360,$S$7:$S$360))</f>
        <v>6.7202609896064711</v>
      </c>
      <c r="W182" s="264">
        <f t="shared" si="61"/>
        <v>3.597373305697761</v>
      </c>
      <c r="X182" s="225">
        <f t="shared" si="55"/>
        <v>36.502228214500114</v>
      </c>
      <c r="Y182" s="225"/>
      <c r="Z182" s="226" t="s">
        <v>1854</v>
      </c>
      <c r="AA182" s="226"/>
      <c r="AB182" s="254"/>
      <c r="AC182" s="243"/>
      <c r="AD182" s="243"/>
      <c r="AE182" s="243"/>
      <c r="AG182" s="248"/>
      <c r="AI182" s="244"/>
    </row>
    <row r="183" spans="1:35" s="182" customFormat="1" ht="15.75" customHeight="1" x14ac:dyDescent="0.25">
      <c r="B183" s="241"/>
      <c r="C183" s="217">
        <v>2005</v>
      </c>
      <c r="D183" s="180" t="s">
        <v>1230</v>
      </c>
      <c r="E183" s="180" t="s">
        <v>41</v>
      </c>
      <c r="F183" s="180" t="s">
        <v>87</v>
      </c>
      <c r="G183" s="180" t="s">
        <v>260</v>
      </c>
      <c r="H183" s="180" t="s">
        <v>1738</v>
      </c>
      <c r="I183" s="180" t="s">
        <v>76</v>
      </c>
      <c r="J183" s="180" t="s">
        <v>54</v>
      </c>
      <c r="K183" s="217">
        <v>21</v>
      </c>
      <c r="L183" s="250">
        <v>157.5899</v>
      </c>
      <c r="M183" s="180">
        <v>325</v>
      </c>
      <c r="N183" s="180">
        <v>6.6</v>
      </c>
      <c r="O183" s="94">
        <v>5</v>
      </c>
      <c r="P183" s="239">
        <f t="shared" si="53"/>
        <v>5.0599960890757485</v>
      </c>
      <c r="Q183" s="262" t="str">
        <f t="shared" si="59"/>
        <v>Gadd Daph</v>
      </c>
      <c r="R183" s="263">
        <f t="shared" si="60"/>
        <v>-1.3428776175899073</v>
      </c>
      <c r="S183" s="220">
        <f t="shared" si="58"/>
        <v>6.4028737066656554</v>
      </c>
      <c r="T183" s="236">
        <f t="shared" si="57"/>
        <v>11</v>
      </c>
      <c r="U183" s="221" t="str">
        <f t="shared" si="62"/>
        <v>11-REP-NOEC-Neonates</v>
      </c>
      <c r="V183" s="222" cm="1">
        <f t="array" ref="V183">GEOMEAN(IF(U183=$U$7:$U$360,$S$7:$S$360))</f>
        <v>6.7202609896064711</v>
      </c>
      <c r="W183" s="264">
        <f t="shared" si="61"/>
        <v>3.597373305697761</v>
      </c>
      <c r="X183" s="225">
        <f t="shared" si="55"/>
        <v>36.502228214500114</v>
      </c>
      <c r="Y183" s="225"/>
      <c r="Z183" s="226" t="s">
        <v>1854</v>
      </c>
      <c r="AA183" s="226"/>
      <c r="AB183" s="254"/>
      <c r="AC183" s="243"/>
      <c r="AD183" s="243"/>
      <c r="AE183" s="243"/>
      <c r="AG183" s="248"/>
      <c r="AI183" s="244"/>
    </row>
    <row r="184" spans="1:35" s="182" customFormat="1" ht="15.75" customHeight="1" x14ac:dyDescent="0.25">
      <c r="B184" s="241"/>
      <c r="C184" s="217">
        <v>2005</v>
      </c>
      <c r="D184" s="180" t="s">
        <v>1230</v>
      </c>
      <c r="E184" s="180" t="s">
        <v>41</v>
      </c>
      <c r="F184" s="180" t="s">
        <v>87</v>
      </c>
      <c r="G184" s="180" t="s">
        <v>260</v>
      </c>
      <c r="H184" s="180" t="s">
        <v>1738</v>
      </c>
      <c r="I184" s="180" t="s">
        <v>76</v>
      </c>
      <c r="J184" s="180" t="s">
        <v>54</v>
      </c>
      <c r="K184" s="217">
        <v>21</v>
      </c>
      <c r="L184" s="250">
        <v>98.085000000000008</v>
      </c>
      <c r="M184" s="180">
        <v>425</v>
      </c>
      <c r="N184" s="180">
        <v>6.6</v>
      </c>
      <c r="O184" s="94">
        <v>5</v>
      </c>
      <c r="P184" s="239">
        <f t="shared" si="53"/>
        <v>4.5858344496813492</v>
      </c>
      <c r="Q184" s="262" t="str">
        <f t="shared" si="59"/>
        <v>Gadd Daph</v>
      </c>
      <c r="R184" s="263">
        <f t="shared" si="60"/>
        <v>-1.2597157817455567</v>
      </c>
      <c r="S184" s="220">
        <f t="shared" si="58"/>
        <v>5.8455502314269054</v>
      </c>
      <c r="T184" s="236">
        <f t="shared" si="57"/>
        <v>11</v>
      </c>
      <c r="U184" s="221" t="str">
        <f t="shared" si="62"/>
        <v>11-REP-NOEC-Neonates</v>
      </c>
      <c r="V184" s="222" cm="1">
        <f t="array" ref="V184">GEOMEAN(IF(U184=$U$7:$U$360,$S$7:$S$360))</f>
        <v>6.7202609896064711</v>
      </c>
      <c r="W184" s="264">
        <f t="shared" si="61"/>
        <v>3.597373305697761</v>
      </c>
      <c r="X184" s="225">
        <f t="shared" si="55"/>
        <v>36.502228214500114</v>
      </c>
      <c r="Y184" s="225"/>
      <c r="Z184" s="226" t="s">
        <v>1854</v>
      </c>
      <c r="AA184" s="226"/>
      <c r="AB184" s="246"/>
      <c r="AC184" s="228"/>
      <c r="AD184" s="228"/>
      <c r="AE184" s="228"/>
      <c r="AG184" s="248"/>
      <c r="AI184" s="244"/>
    </row>
    <row r="185" spans="1:35" s="182" customFormat="1" ht="15.75" customHeight="1" x14ac:dyDescent="0.25">
      <c r="B185" s="241"/>
      <c r="C185" s="217">
        <v>2005</v>
      </c>
      <c r="D185" s="180" t="s">
        <v>1230</v>
      </c>
      <c r="E185" s="180" t="s">
        <v>41</v>
      </c>
      <c r="F185" s="180" t="s">
        <v>87</v>
      </c>
      <c r="G185" s="180" t="s">
        <v>260</v>
      </c>
      <c r="H185" s="180" t="s">
        <v>1738</v>
      </c>
      <c r="I185" s="180" t="s">
        <v>76</v>
      </c>
      <c r="J185" s="180" t="s">
        <v>54</v>
      </c>
      <c r="K185" s="217">
        <v>21</v>
      </c>
      <c r="L185" s="250">
        <v>47.734699999999997</v>
      </c>
      <c r="M185" s="180">
        <v>50</v>
      </c>
      <c r="N185" s="180">
        <v>6.6</v>
      </c>
      <c r="O185" s="94">
        <v>5</v>
      </c>
      <c r="P185" s="239">
        <f t="shared" si="53"/>
        <v>3.8656585967334842</v>
      </c>
      <c r="Q185" s="262" t="str">
        <f t="shared" si="59"/>
        <v>Gadd Daph</v>
      </c>
      <c r="R185" s="263">
        <f t="shared" si="60"/>
        <v>-1.9231362924294011</v>
      </c>
      <c r="S185" s="220">
        <f t="shared" si="58"/>
        <v>5.7887948891628849</v>
      </c>
      <c r="T185" s="236">
        <f t="shared" si="57"/>
        <v>11</v>
      </c>
      <c r="U185" s="221" t="str">
        <f t="shared" si="62"/>
        <v>11-REP-NOEC-Neonates</v>
      </c>
      <c r="V185" s="222" cm="1">
        <f t="array" ref="V185">GEOMEAN(IF(U185=$U$7:$U$360,$S$7:$S$360))</f>
        <v>6.7202609896064711</v>
      </c>
      <c r="W185" s="264">
        <f t="shared" si="61"/>
        <v>3.597373305697761</v>
      </c>
      <c r="X185" s="225">
        <f t="shared" si="55"/>
        <v>36.502228214500114</v>
      </c>
      <c r="Y185" s="225"/>
      <c r="Z185" s="226" t="s">
        <v>1854</v>
      </c>
      <c r="AA185" s="226"/>
      <c r="AB185" s="246"/>
      <c r="AC185" s="228"/>
      <c r="AD185" s="228"/>
      <c r="AE185" s="228"/>
      <c r="AG185" s="248"/>
      <c r="AI185" s="244"/>
    </row>
    <row r="186" spans="1:35" s="182" customFormat="1" ht="15.75" customHeight="1" x14ac:dyDescent="0.25">
      <c r="B186" s="241"/>
      <c r="C186" s="217">
        <v>2005</v>
      </c>
      <c r="D186" s="180" t="s">
        <v>1230</v>
      </c>
      <c r="E186" s="180" t="s">
        <v>41</v>
      </c>
      <c r="F186" s="180" t="s">
        <v>87</v>
      </c>
      <c r="G186" s="180" t="s">
        <v>260</v>
      </c>
      <c r="H186" s="180" t="s">
        <v>1738</v>
      </c>
      <c r="I186" s="180" t="s">
        <v>76</v>
      </c>
      <c r="J186" s="180" t="s">
        <v>54</v>
      </c>
      <c r="K186" s="217">
        <v>21</v>
      </c>
      <c r="L186" s="250">
        <v>47.734699999999997</v>
      </c>
      <c r="M186" s="180">
        <v>75</v>
      </c>
      <c r="N186" s="180">
        <v>6.6</v>
      </c>
      <c r="O186" s="94">
        <v>5</v>
      </c>
      <c r="P186" s="239">
        <f t="shared" si="53"/>
        <v>3.8656585967334842</v>
      </c>
      <c r="Q186" s="262" t="str">
        <f t="shared" si="59"/>
        <v>Gadd Daph</v>
      </c>
      <c r="R186" s="263">
        <f t="shared" si="60"/>
        <v>-1.7974421089158703</v>
      </c>
      <c r="S186" s="220">
        <f t="shared" si="58"/>
        <v>5.6631007056493541</v>
      </c>
      <c r="T186" s="236">
        <f t="shared" si="57"/>
        <v>11</v>
      </c>
      <c r="U186" s="221" t="str">
        <f t="shared" si="62"/>
        <v>11-REP-NOEC-Neonates</v>
      </c>
      <c r="V186" s="222" cm="1">
        <f t="array" ref="V186">GEOMEAN(IF(U186=$U$7:$U$360,$S$7:$S$360))</f>
        <v>6.7202609896064711</v>
      </c>
      <c r="W186" s="264">
        <f t="shared" si="61"/>
        <v>3.597373305697761</v>
      </c>
      <c r="X186" s="225">
        <f t="shared" si="55"/>
        <v>36.502228214500114</v>
      </c>
      <c r="Y186" s="225"/>
      <c r="Z186" s="226" t="s">
        <v>1854</v>
      </c>
      <c r="AA186" s="226"/>
      <c r="AB186" s="246"/>
      <c r="AC186" s="228"/>
      <c r="AD186" s="228"/>
      <c r="AE186" s="228"/>
      <c r="AG186" s="248"/>
      <c r="AI186" s="244"/>
    </row>
    <row r="187" spans="1:35" s="182" customFormat="1" ht="15.75" customHeight="1" x14ac:dyDescent="0.25">
      <c r="B187" s="241"/>
      <c r="C187" s="217">
        <v>2005</v>
      </c>
      <c r="D187" s="180" t="s">
        <v>1230</v>
      </c>
      <c r="E187" s="180" t="s">
        <v>41</v>
      </c>
      <c r="F187" s="180" t="s">
        <v>87</v>
      </c>
      <c r="G187" s="180" t="s">
        <v>260</v>
      </c>
      <c r="H187" s="180" t="s">
        <v>1738</v>
      </c>
      <c r="I187" s="180" t="s">
        <v>76</v>
      </c>
      <c r="J187" s="180" t="s">
        <v>54</v>
      </c>
      <c r="K187" s="217">
        <v>21</v>
      </c>
      <c r="L187" s="250">
        <v>147.1275</v>
      </c>
      <c r="M187" s="180">
        <v>125</v>
      </c>
      <c r="N187" s="180">
        <v>6.6</v>
      </c>
      <c r="O187" s="94">
        <v>5</v>
      </c>
      <c r="P187" s="239">
        <f t="shared" si="53"/>
        <v>4.991299557789513</v>
      </c>
      <c r="Q187" s="262" t="str">
        <f t="shared" si="59"/>
        <v>Gadd Daph</v>
      </c>
      <c r="R187" s="263">
        <f t="shared" si="60"/>
        <v>-1.639086165548413</v>
      </c>
      <c r="S187" s="220">
        <f t="shared" si="58"/>
        <v>6.630385723337926</v>
      </c>
      <c r="T187" s="236">
        <f t="shared" si="57"/>
        <v>11</v>
      </c>
      <c r="U187" s="221" t="str">
        <f t="shared" si="62"/>
        <v>11-REP-NOEC-Neonates</v>
      </c>
      <c r="V187" s="222" cm="1">
        <f t="array" ref="V187">GEOMEAN(IF(U187=$U$7:$U$360,$S$7:$S$360))</f>
        <v>6.7202609896064711</v>
      </c>
      <c r="W187" s="264">
        <f t="shared" si="61"/>
        <v>3.597373305697761</v>
      </c>
      <c r="X187" s="225">
        <f t="shared" si="55"/>
        <v>36.502228214500114</v>
      </c>
      <c r="Y187" s="225"/>
      <c r="Z187" s="226" t="s">
        <v>1854</v>
      </c>
      <c r="AA187" s="226"/>
      <c r="AB187" s="246"/>
      <c r="AC187" s="228"/>
      <c r="AD187" s="228"/>
      <c r="AE187" s="228"/>
      <c r="AG187" s="248"/>
      <c r="AI187" s="244"/>
    </row>
    <row r="188" spans="1:35" s="182" customFormat="1" ht="15.75" customHeight="1" x14ac:dyDescent="0.25">
      <c r="B188" s="241"/>
      <c r="C188" s="217">
        <v>2005</v>
      </c>
      <c r="D188" s="180" t="s">
        <v>1230</v>
      </c>
      <c r="E188" s="180" t="s">
        <v>41</v>
      </c>
      <c r="F188" s="180" t="s">
        <v>87</v>
      </c>
      <c r="G188" s="180" t="s">
        <v>260</v>
      </c>
      <c r="H188" s="180" t="s">
        <v>1738</v>
      </c>
      <c r="I188" s="180" t="s">
        <v>76</v>
      </c>
      <c r="J188" s="180" t="s">
        <v>54</v>
      </c>
      <c r="K188" s="217">
        <v>21</v>
      </c>
      <c r="L188" s="250">
        <v>164.78280000000001</v>
      </c>
      <c r="M188" s="180">
        <v>225</v>
      </c>
      <c r="N188" s="180">
        <v>6.6</v>
      </c>
      <c r="O188" s="94">
        <v>5</v>
      </c>
      <c r="P188" s="239">
        <f t="shared" si="53"/>
        <v>5.1046282430965162</v>
      </c>
      <c r="Q188" s="262" t="str">
        <f t="shared" si="59"/>
        <v>Gadd Daph</v>
      </c>
      <c r="R188" s="263">
        <f t="shared" si="60"/>
        <v>-1.4568722994287562</v>
      </c>
      <c r="S188" s="220">
        <f t="shared" si="58"/>
        <v>6.5615005425252724</v>
      </c>
      <c r="T188" s="236">
        <f t="shared" si="57"/>
        <v>11</v>
      </c>
      <c r="U188" s="221" t="str">
        <f t="shared" si="62"/>
        <v>11-REP-NOEC-Neonates</v>
      </c>
      <c r="V188" s="222" cm="1">
        <f t="array" ref="V188">GEOMEAN(IF(U188=$U$7:$U$360,$S$7:$S$360))</f>
        <v>6.7202609896064711</v>
      </c>
      <c r="W188" s="264">
        <f t="shared" si="61"/>
        <v>3.597373305697761</v>
      </c>
      <c r="X188" s="225">
        <f t="shared" si="55"/>
        <v>36.502228214500114</v>
      </c>
      <c r="Y188" s="225"/>
      <c r="Z188" s="226" t="s">
        <v>1854</v>
      </c>
      <c r="AA188" s="226"/>
      <c r="AB188" s="246"/>
      <c r="AC188" s="228"/>
      <c r="AD188" s="228"/>
      <c r="AE188" s="228"/>
      <c r="AG188" s="248"/>
      <c r="AI188" s="244"/>
    </row>
    <row r="189" spans="1:35" s="182" customFormat="1" ht="15.75" customHeight="1" x14ac:dyDescent="0.25">
      <c r="B189" s="241"/>
      <c r="C189" s="217">
        <v>2005</v>
      </c>
      <c r="D189" s="180" t="s">
        <v>1230</v>
      </c>
      <c r="E189" s="180" t="s">
        <v>41</v>
      </c>
      <c r="F189" s="180" t="s">
        <v>87</v>
      </c>
      <c r="G189" s="180" t="s">
        <v>260</v>
      </c>
      <c r="H189" s="180" t="s">
        <v>1738</v>
      </c>
      <c r="I189" s="180" t="s">
        <v>76</v>
      </c>
      <c r="J189" s="180" t="s">
        <v>54</v>
      </c>
      <c r="K189" s="217">
        <v>21</v>
      </c>
      <c r="L189" s="250">
        <v>158.89770000000001</v>
      </c>
      <c r="M189" s="180">
        <v>325</v>
      </c>
      <c r="N189" s="180">
        <v>6.6</v>
      </c>
      <c r="O189" s="94">
        <v>5</v>
      </c>
      <c r="P189" s="239">
        <f t="shared" si="53"/>
        <v>5.068260598925642</v>
      </c>
      <c r="Q189" s="262" t="str">
        <f t="shared" si="59"/>
        <v>Gadd Daph</v>
      </c>
      <c r="R189" s="263">
        <f t="shared" si="60"/>
        <v>-1.3428776175899073</v>
      </c>
      <c r="S189" s="220">
        <f t="shared" si="58"/>
        <v>6.4111382165155497</v>
      </c>
      <c r="T189" s="236">
        <f t="shared" si="57"/>
        <v>11</v>
      </c>
      <c r="U189" s="221" t="str">
        <f t="shared" si="62"/>
        <v>11-REP-NOEC-Neonates</v>
      </c>
      <c r="V189" s="222" cm="1">
        <f t="array" ref="V189">GEOMEAN(IF(U189=$U$7:$U$360,$S$7:$S$360))</f>
        <v>6.7202609896064711</v>
      </c>
      <c r="W189" s="264">
        <f t="shared" si="61"/>
        <v>3.597373305697761</v>
      </c>
      <c r="X189" s="225">
        <f t="shared" si="55"/>
        <v>36.502228214500114</v>
      </c>
      <c r="Y189" s="225"/>
      <c r="Z189" s="226" t="s">
        <v>1854</v>
      </c>
      <c r="AA189" s="226"/>
      <c r="AB189" s="246"/>
      <c r="AC189" s="228"/>
      <c r="AD189" s="228"/>
      <c r="AE189" s="228"/>
      <c r="AG189" s="248"/>
      <c r="AI189" s="244"/>
    </row>
    <row r="190" spans="1:35" s="182" customFormat="1" ht="15.75" customHeight="1" x14ac:dyDescent="0.25">
      <c r="B190" s="241"/>
      <c r="C190" s="217">
        <v>2005</v>
      </c>
      <c r="D190" s="180" t="s">
        <v>1230</v>
      </c>
      <c r="E190" s="180" t="s">
        <v>41</v>
      </c>
      <c r="F190" s="180" t="s">
        <v>87</v>
      </c>
      <c r="G190" s="180" t="s">
        <v>260</v>
      </c>
      <c r="H190" s="180" t="s">
        <v>1738</v>
      </c>
      <c r="I190" s="180" t="s">
        <v>76</v>
      </c>
      <c r="J190" s="180" t="s">
        <v>54</v>
      </c>
      <c r="K190" s="217">
        <v>21</v>
      </c>
      <c r="L190" s="250">
        <v>156.28210000000001</v>
      </c>
      <c r="M190" s="180">
        <v>425</v>
      </c>
      <c r="N190" s="180">
        <v>6.6</v>
      </c>
      <c r="O190" s="94">
        <v>5</v>
      </c>
      <c r="P190" s="239">
        <f t="shared" si="53"/>
        <v>5.0516627075166038</v>
      </c>
      <c r="Q190" s="262" t="str">
        <f t="shared" si="59"/>
        <v>Gadd Daph</v>
      </c>
      <c r="R190" s="263">
        <f t="shared" si="60"/>
        <v>-1.2597157817455567</v>
      </c>
      <c r="S190" s="220">
        <f t="shared" si="58"/>
        <v>6.3113784892621609</v>
      </c>
      <c r="T190" s="236">
        <f t="shared" si="57"/>
        <v>11</v>
      </c>
      <c r="U190" s="221" t="str">
        <f t="shared" si="62"/>
        <v>11-REP-NOEC-Neonates</v>
      </c>
      <c r="V190" s="222" cm="1">
        <f t="array" ref="V190">GEOMEAN(IF(U190=$U$7:$U$360,$S$7:$S$360))</f>
        <v>6.7202609896064711</v>
      </c>
      <c r="W190" s="264">
        <f>V190+$AI$8*$AI$5+$AH$8*LN($AH$5)+$AJ$8*LN($AJ$5)+$AK$8*LN($AJ$5)*$AI$5</f>
        <v>3.597373305697761</v>
      </c>
      <c r="X190" s="225">
        <f t="shared" si="55"/>
        <v>36.502228214500114</v>
      </c>
      <c r="Y190" s="225"/>
      <c r="Z190" s="226" t="s">
        <v>1854</v>
      </c>
      <c r="AA190" s="226"/>
      <c r="AB190" s="246"/>
      <c r="AC190" s="228"/>
      <c r="AD190" s="228"/>
      <c r="AE190" s="228"/>
      <c r="AG190" s="248"/>
      <c r="AI190" s="244"/>
    </row>
    <row r="191" spans="1:35" s="182" customFormat="1" ht="15.75" customHeight="1" x14ac:dyDescent="0.25">
      <c r="B191" s="241"/>
      <c r="C191" s="217">
        <v>2005</v>
      </c>
      <c r="D191" s="180" t="s">
        <v>1230</v>
      </c>
      <c r="E191" s="180" t="s">
        <v>41</v>
      </c>
      <c r="F191" s="180" t="s">
        <v>87</v>
      </c>
      <c r="G191" s="180" t="s">
        <v>260</v>
      </c>
      <c r="H191" s="180" t="s">
        <v>1738</v>
      </c>
      <c r="I191" s="180" t="s">
        <v>76</v>
      </c>
      <c r="J191" s="180" t="s">
        <v>54</v>
      </c>
      <c r="K191" s="217">
        <v>21</v>
      </c>
      <c r="L191" s="250">
        <v>79.121899999999997</v>
      </c>
      <c r="M191" s="180">
        <v>50</v>
      </c>
      <c r="N191" s="180">
        <v>6.6</v>
      </c>
      <c r="O191" s="94">
        <v>5</v>
      </c>
      <c r="P191" s="239">
        <f t="shared" si="53"/>
        <v>4.3709897011818342</v>
      </c>
      <c r="Q191" s="262" t="str">
        <f t="shared" si="59"/>
        <v>Gadd Daph</v>
      </c>
      <c r="R191" s="263">
        <f t="shared" si="60"/>
        <v>-1.9231362924294011</v>
      </c>
      <c r="S191" s="220">
        <f t="shared" si="58"/>
        <v>6.2941259936112353</v>
      </c>
      <c r="T191" s="236">
        <f t="shared" si="57"/>
        <v>11</v>
      </c>
      <c r="U191" s="221" t="str">
        <f t="shared" si="62"/>
        <v>11-REP-NOEC-Neonates</v>
      </c>
      <c r="V191" s="222" cm="1">
        <f t="array" ref="V191">GEOMEAN(IF(U191=$U$7:$U$360,$S$7:$S$360))</f>
        <v>6.7202609896064711</v>
      </c>
      <c r="W191" s="264">
        <f t="shared" ref="W191:W254" si="65">V191+$AI$8*$AI$5+$AH$8*LN($AH$5)+$AJ$8*LN($AJ$5)+$AK$8*LN($AJ$5)*$AI$5</f>
        <v>3.597373305697761</v>
      </c>
      <c r="X191" s="225">
        <f t="shared" si="55"/>
        <v>36.502228214500114</v>
      </c>
      <c r="Y191" s="225"/>
      <c r="Z191" s="226" t="s">
        <v>1854</v>
      </c>
      <c r="AA191" s="226"/>
      <c r="AB191" s="246"/>
      <c r="AC191" s="228"/>
      <c r="AD191" s="228"/>
      <c r="AE191" s="228"/>
      <c r="AG191" s="248"/>
      <c r="AI191" s="244"/>
    </row>
    <row r="192" spans="1:35" s="182" customFormat="1" ht="15.75" customHeight="1" x14ac:dyDescent="0.25">
      <c r="B192" s="241"/>
      <c r="C192" s="217">
        <v>2005</v>
      </c>
      <c r="D192" s="180" t="s">
        <v>1230</v>
      </c>
      <c r="E192" s="180" t="s">
        <v>41</v>
      </c>
      <c r="F192" s="180" t="s">
        <v>87</v>
      </c>
      <c r="G192" s="180" t="s">
        <v>260</v>
      </c>
      <c r="H192" s="180" t="s">
        <v>1738</v>
      </c>
      <c r="I192" s="180" t="s">
        <v>76</v>
      </c>
      <c r="J192" s="180" t="s">
        <v>54</v>
      </c>
      <c r="K192" s="217">
        <v>21</v>
      </c>
      <c r="L192" s="250">
        <v>142.55020000000002</v>
      </c>
      <c r="M192" s="180">
        <v>50</v>
      </c>
      <c r="N192" s="180">
        <v>6.6</v>
      </c>
      <c r="O192" s="94">
        <v>5</v>
      </c>
      <c r="P192" s="239">
        <f t="shared" si="53"/>
        <v>4.9596942183741826</v>
      </c>
      <c r="Q192" s="262" t="str">
        <f t="shared" si="59"/>
        <v>Gadd Daph</v>
      </c>
      <c r="R192" s="263">
        <f t="shared" si="60"/>
        <v>-1.9231362924294011</v>
      </c>
      <c r="S192" s="220">
        <f t="shared" si="58"/>
        <v>6.8828305108035837</v>
      </c>
      <c r="T192" s="236">
        <f t="shared" si="57"/>
        <v>11</v>
      </c>
      <c r="U192" s="221" t="str">
        <f t="shared" si="62"/>
        <v>11-REP-NOEC-Neonates</v>
      </c>
      <c r="V192" s="222" cm="1">
        <f t="array" ref="V192">GEOMEAN(IF(U192=$U$7:$U$360,$S$7:$S$360))</f>
        <v>6.7202609896064711</v>
      </c>
      <c r="W192" s="264">
        <f t="shared" si="65"/>
        <v>3.597373305697761</v>
      </c>
      <c r="X192" s="225">
        <f t="shared" si="55"/>
        <v>36.502228214500114</v>
      </c>
      <c r="Y192" s="225"/>
      <c r="Z192" s="226" t="s">
        <v>1854</v>
      </c>
      <c r="AA192" s="226"/>
      <c r="AB192" s="246"/>
      <c r="AC192" s="228"/>
      <c r="AD192" s="228"/>
      <c r="AE192" s="228"/>
      <c r="AG192" s="248"/>
      <c r="AI192" s="244"/>
    </row>
    <row r="193" spans="1:35" s="182" customFormat="1" ht="15.75" customHeight="1" x14ac:dyDescent="0.25">
      <c r="B193" s="241"/>
      <c r="C193" s="217">
        <v>2005</v>
      </c>
      <c r="D193" s="180" t="s">
        <v>1230</v>
      </c>
      <c r="E193" s="180" t="s">
        <v>41</v>
      </c>
      <c r="F193" s="180" t="s">
        <v>87</v>
      </c>
      <c r="G193" s="180" t="s">
        <v>260</v>
      </c>
      <c r="H193" s="180" t="s">
        <v>1738</v>
      </c>
      <c r="I193" s="180" t="s">
        <v>76</v>
      </c>
      <c r="J193" s="180" t="s">
        <v>54</v>
      </c>
      <c r="K193" s="217">
        <v>21</v>
      </c>
      <c r="L193" s="250">
        <v>135.35729999999998</v>
      </c>
      <c r="M193" s="180">
        <v>50</v>
      </c>
      <c r="N193" s="180">
        <v>6.6</v>
      </c>
      <c r="O193" s="94">
        <v>5</v>
      </c>
      <c r="P193" s="239">
        <f t="shared" si="53"/>
        <v>4.9079179488504625</v>
      </c>
      <c r="Q193" s="262" t="str">
        <f t="shared" si="59"/>
        <v>Gadd Daph</v>
      </c>
      <c r="R193" s="263">
        <f t="shared" si="60"/>
        <v>-1.9231362924294011</v>
      </c>
      <c r="S193" s="220">
        <f t="shared" si="58"/>
        <v>6.8310542412798636</v>
      </c>
      <c r="T193" s="236">
        <f t="shared" si="57"/>
        <v>11</v>
      </c>
      <c r="U193" s="221" t="str">
        <f t="shared" si="62"/>
        <v>11-REP-NOEC-Neonates</v>
      </c>
      <c r="V193" s="222" cm="1">
        <f t="array" ref="V193">GEOMEAN(IF(U193=$U$7:$U$360,$S$7:$S$360))</f>
        <v>6.7202609896064711</v>
      </c>
      <c r="W193" s="264">
        <f t="shared" si="65"/>
        <v>3.597373305697761</v>
      </c>
      <c r="X193" s="225">
        <f t="shared" si="55"/>
        <v>36.502228214500114</v>
      </c>
      <c r="Y193" s="225"/>
      <c r="Z193" s="226" t="s">
        <v>1854</v>
      </c>
      <c r="AA193" s="226"/>
      <c r="AB193" s="246"/>
      <c r="AC193" s="228"/>
      <c r="AD193" s="228"/>
      <c r="AE193" s="228"/>
      <c r="AG193" s="248"/>
      <c r="AI193" s="244"/>
    </row>
    <row r="194" spans="1:35" s="182" customFormat="1" ht="15.75" customHeight="1" x14ac:dyDescent="0.25">
      <c r="B194" s="241"/>
      <c r="C194" s="217">
        <v>2005</v>
      </c>
      <c r="D194" s="180" t="s">
        <v>1230</v>
      </c>
      <c r="E194" s="180" t="s">
        <v>41</v>
      </c>
      <c r="F194" s="180" t="s">
        <v>87</v>
      </c>
      <c r="G194" s="180" t="s">
        <v>260</v>
      </c>
      <c r="H194" s="180" t="s">
        <v>1738</v>
      </c>
      <c r="I194" s="180" t="s">
        <v>76</v>
      </c>
      <c r="J194" s="180" t="s">
        <v>54</v>
      </c>
      <c r="K194" s="217">
        <v>21</v>
      </c>
      <c r="L194" s="250">
        <v>143.20410000000001</v>
      </c>
      <c r="M194" s="180">
        <v>50</v>
      </c>
      <c r="N194" s="180">
        <v>6.6</v>
      </c>
      <c r="O194" s="94">
        <v>5</v>
      </c>
      <c r="P194" s="239">
        <f t="shared" si="53"/>
        <v>4.9642708854015938</v>
      </c>
      <c r="Q194" s="262" t="str">
        <f t="shared" si="59"/>
        <v>Gadd Daph</v>
      </c>
      <c r="R194" s="263">
        <f t="shared" si="60"/>
        <v>-1.9231362924294011</v>
      </c>
      <c r="S194" s="220">
        <f t="shared" si="58"/>
        <v>6.8874071778309949</v>
      </c>
      <c r="T194" s="236">
        <f t="shared" si="57"/>
        <v>11</v>
      </c>
      <c r="U194" s="221" t="str">
        <f t="shared" si="62"/>
        <v>11-REP-NOEC-Neonates</v>
      </c>
      <c r="V194" s="222" cm="1">
        <f t="array" ref="V194">GEOMEAN(IF(U194=$U$7:$U$360,$S$7:$S$360))</f>
        <v>6.7202609896064711</v>
      </c>
      <c r="W194" s="264">
        <f t="shared" si="65"/>
        <v>3.597373305697761</v>
      </c>
      <c r="X194" s="225">
        <f t="shared" si="55"/>
        <v>36.502228214500114</v>
      </c>
      <c r="Y194" s="225"/>
      <c r="Z194" s="226" t="s">
        <v>1854</v>
      </c>
      <c r="AA194" s="226"/>
      <c r="AB194" s="246"/>
      <c r="AC194" s="228"/>
      <c r="AD194" s="228"/>
      <c r="AE194" s="228"/>
      <c r="AG194" s="248"/>
      <c r="AI194" s="244"/>
    </row>
    <row r="195" spans="1:35" s="182" customFormat="1" ht="15.75" customHeight="1" x14ac:dyDescent="0.25">
      <c r="B195" s="241"/>
      <c r="C195" s="217">
        <v>2005</v>
      </c>
      <c r="D195" s="180" t="s">
        <v>1230</v>
      </c>
      <c r="E195" s="180" t="s">
        <v>41</v>
      </c>
      <c r="F195" s="180" t="s">
        <v>87</v>
      </c>
      <c r="G195" s="180" t="s">
        <v>260</v>
      </c>
      <c r="H195" s="180" t="s">
        <v>1738</v>
      </c>
      <c r="I195" s="180" t="s">
        <v>76</v>
      </c>
      <c r="J195" s="180" t="s">
        <v>54</v>
      </c>
      <c r="K195" s="217">
        <v>21</v>
      </c>
      <c r="L195" s="250">
        <v>168.0523</v>
      </c>
      <c r="M195" s="180">
        <v>50</v>
      </c>
      <c r="N195" s="180">
        <v>6</v>
      </c>
      <c r="O195" s="94">
        <v>5</v>
      </c>
      <c r="P195" s="239">
        <f t="shared" si="53"/>
        <v>5.1242752404803129</v>
      </c>
      <c r="Q195" s="262" t="str">
        <f t="shared" si="59"/>
        <v>Gadd Daph</v>
      </c>
      <c r="R195" s="263">
        <f t="shared" si="60"/>
        <v>-1.8428953518199109</v>
      </c>
      <c r="S195" s="220">
        <f t="shared" si="58"/>
        <v>6.9671705923002243</v>
      </c>
      <c r="T195" s="236">
        <f t="shared" si="57"/>
        <v>11</v>
      </c>
      <c r="U195" s="221" t="str">
        <f t="shared" si="62"/>
        <v>11-REP-NOEC-Neonates</v>
      </c>
      <c r="V195" s="222" cm="1">
        <f t="array" ref="V195">GEOMEAN(IF(U195=$U$7:$U$360,$S$7:$S$360))</f>
        <v>6.7202609896064711</v>
      </c>
      <c r="W195" s="264">
        <f t="shared" si="65"/>
        <v>3.597373305697761</v>
      </c>
      <c r="X195" s="225">
        <f t="shared" si="55"/>
        <v>36.502228214500114</v>
      </c>
      <c r="Y195" s="225"/>
      <c r="Z195" s="226" t="s">
        <v>1854</v>
      </c>
      <c r="AA195" s="226"/>
      <c r="AB195" s="246"/>
      <c r="AC195" s="228"/>
      <c r="AD195" s="228"/>
      <c r="AE195" s="228"/>
      <c r="AG195" s="248"/>
      <c r="AI195" s="244"/>
    </row>
    <row r="196" spans="1:35" s="182" customFormat="1" ht="15.75" customHeight="1" x14ac:dyDescent="0.25">
      <c r="B196" s="241"/>
      <c r="C196" s="217">
        <v>2005</v>
      </c>
      <c r="D196" s="180" t="s">
        <v>1230</v>
      </c>
      <c r="E196" s="180" t="s">
        <v>41</v>
      </c>
      <c r="F196" s="180" t="s">
        <v>87</v>
      </c>
      <c r="G196" s="180" t="s">
        <v>260</v>
      </c>
      <c r="H196" s="180" t="s">
        <v>1738</v>
      </c>
      <c r="I196" s="180" t="s">
        <v>76</v>
      </c>
      <c r="J196" s="180" t="s">
        <v>54</v>
      </c>
      <c r="K196" s="217">
        <v>21</v>
      </c>
      <c r="L196" s="250">
        <v>161.51330000000002</v>
      </c>
      <c r="M196" s="180">
        <v>50</v>
      </c>
      <c r="N196" s="180">
        <v>6.5</v>
      </c>
      <c r="O196" s="94">
        <v>5</v>
      </c>
      <c r="P196" s="239">
        <f t="shared" si="53"/>
        <v>5.0845874922130703</v>
      </c>
      <c r="Q196" s="262" t="str">
        <f t="shared" si="59"/>
        <v>Gadd Daph</v>
      </c>
      <c r="R196" s="263">
        <f t="shared" si="60"/>
        <v>-1.9097628023278186</v>
      </c>
      <c r="S196" s="220">
        <f t="shared" si="58"/>
        <v>6.9943502945408884</v>
      </c>
      <c r="T196" s="236">
        <f t="shared" si="57"/>
        <v>11</v>
      </c>
      <c r="U196" s="221" t="str">
        <f t="shared" si="62"/>
        <v>11-REP-NOEC-Neonates</v>
      </c>
      <c r="V196" s="222" cm="1">
        <f t="array" ref="V196">GEOMEAN(IF(U196=$U$7:$U$360,$S$7:$S$360))</f>
        <v>6.7202609896064711</v>
      </c>
      <c r="W196" s="264">
        <f t="shared" si="65"/>
        <v>3.597373305697761</v>
      </c>
      <c r="X196" s="225">
        <f t="shared" si="55"/>
        <v>36.502228214500114</v>
      </c>
      <c r="Y196" s="225"/>
      <c r="Z196" s="226" t="s">
        <v>1854</v>
      </c>
      <c r="AA196" s="226"/>
      <c r="AB196" s="227" t="s">
        <v>1846</v>
      </c>
      <c r="AC196" s="228" t="s">
        <v>1861</v>
      </c>
      <c r="AD196" s="228"/>
      <c r="AE196" s="229" t="s">
        <v>1584</v>
      </c>
      <c r="AG196" s="248"/>
      <c r="AI196" s="244"/>
    </row>
    <row r="197" spans="1:35" s="182" customFormat="1" ht="15.75" customHeight="1" x14ac:dyDescent="0.25">
      <c r="B197" s="241"/>
      <c r="C197" s="217">
        <v>2005</v>
      </c>
      <c r="D197" s="180" t="s">
        <v>1230</v>
      </c>
      <c r="E197" s="180" t="s">
        <v>41</v>
      </c>
      <c r="F197" s="180" t="s">
        <v>87</v>
      </c>
      <c r="G197" s="180" t="s">
        <v>260</v>
      </c>
      <c r="H197" s="180" t="s">
        <v>1738</v>
      </c>
      <c r="I197" s="180" t="s">
        <v>76</v>
      </c>
      <c r="J197" s="180" t="s">
        <v>54</v>
      </c>
      <c r="K197" s="217">
        <v>21</v>
      </c>
      <c r="L197" s="250">
        <v>153.66650000000001</v>
      </c>
      <c r="M197" s="180">
        <v>50</v>
      </c>
      <c r="N197" s="180">
        <v>7</v>
      </c>
      <c r="O197" s="94">
        <v>5</v>
      </c>
      <c r="P197" s="239">
        <f t="shared" si="53"/>
        <v>5.0347846697292526</v>
      </c>
      <c r="Q197" s="262" t="str">
        <f t="shared" si="59"/>
        <v>Gadd Daph</v>
      </c>
      <c r="R197" s="263">
        <f t="shared" si="60"/>
        <v>-1.9766302528357276</v>
      </c>
      <c r="S197" s="220">
        <f t="shared" si="58"/>
        <v>7.0114149225649802</v>
      </c>
      <c r="T197" s="236">
        <f t="shared" si="57"/>
        <v>11</v>
      </c>
      <c r="U197" s="221" t="str">
        <f t="shared" si="62"/>
        <v>11-REP-NOEC-Neonates</v>
      </c>
      <c r="V197" s="222" cm="1">
        <f t="array" ref="V197">GEOMEAN(IF(U197=$U$7:$U$360,$S$7:$S$360))</f>
        <v>6.7202609896064711</v>
      </c>
      <c r="W197" s="264">
        <f t="shared" si="65"/>
        <v>3.597373305697761</v>
      </c>
      <c r="X197" s="225">
        <f t="shared" si="55"/>
        <v>36.502228214500114</v>
      </c>
      <c r="Y197" s="225"/>
      <c r="Z197" s="226" t="s">
        <v>1854</v>
      </c>
      <c r="AA197" s="226"/>
      <c r="AB197" s="227" t="s">
        <v>1846</v>
      </c>
      <c r="AC197" s="228" t="s">
        <v>1861</v>
      </c>
      <c r="AD197" s="228"/>
      <c r="AE197" s="229" t="s">
        <v>1584</v>
      </c>
      <c r="AG197" s="248"/>
      <c r="AI197" s="244"/>
    </row>
    <row r="198" spans="1:35" s="182" customFormat="1" ht="15.75" customHeight="1" x14ac:dyDescent="0.25">
      <c r="B198" s="241"/>
      <c r="C198" s="217">
        <v>2005</v>
      </c>
      <c r="D198" s="180" t="s">
        <v>1230</v>
      </c>
      <c r="E198" s="180" t="s">
        <v>41</v>
      </c>
      <c r="F198" s="180" t="s">
        <v>87</v>
      </c>
      <c r="G198" s="180" t="s">
        <v>260</v>
      </c>
      <c r="H198" s="180" t="s">
        <v>1738</v>
      </c>
      <c r="I198" s="180" t="s">
        <v>76</v>
      </c>
      <c r="J198" s="180" t="s">
        <v>54</v>
      </c>
      <c r="K198" s="217">
        <v>21</v>
      </c>
      <c r="L198" s="250">
        <v>132.74169999999998</v>
      </c>
      <c r="M198" s="180">
        <v>50</v>
      </c>
      <c r="N198" s="180">
        <v>7.5</v>
      </c>
      <c r="O198" s="94">
        <v>5</v>
      </c>
      <c r="P198" s="239">
        <f t="shared" si="53"/>
        <v>4.88840513462688</v>
      </c>
      <c r="Q198" s="262" t="str">
        <f t="shared" si="59"/>
        <v>Gadd Daph</v>
      </c>
      <c r="R198" s="263">
        <f t="shared" si="60"/>
        <v>-2.0434977033436352</v>
      </c>
      <c r="S198" s="220">
        <f t="shared" si="58"/>
        <v>6.9319028379705152</v>
      </c>
      <c r="T198" s="236">
        <f t="shared" si="57"/>
        <v>11</v>
      </c>
      <c r="U198" s="221" t="str">
        <f t="shared" si="62"/>
        <v>11-REP-NOEC-Neonates</v>
      </c>
      <c r="V198" s="222" cm="1">
        <f t="array" ref="V198">GEOMEAN(IF(U198=$U$7:$U$360,$S$7:$S$360))</f>
        <v>6.7202609896064711</v>
      </c>
      <c r="W198" s="264">
        <f t="shared" si="65"/>
        <v>3.597373305697761</v>
      </c>
      <c r="X198" s="225">
        <f t="shared" si="55"/>
        <v>36.502228214500114</v>
      </c>
      <c r="Y198" s="225"/>
      <c r="Z198" s="226" t="s">
        <v>1854</v>
      </c>
      <c r="AA198" s="226"/>
      <c r="AB198" s="227" t="s">
        <v>1846</v>
      </c>
      <c r="AC198" s="228" t="s">
        <v>1861</v>
      </c>
      <c r="AD198" s="228"/>
      <c r="AE198" s="229" t="s">
        <v>1584</v>
      </c>
      <c r="AG198" s="248"/>
      <c r="AI198" s="244"/>
    </row>
    <row r="199" spans="1:35" s="182" customFormat="1" ht="15.75" customHeight="1" x14ac:dyDescent="0.25">
      <c r="B199" s="241"/>
      <c r="C199" s="217">
        <v>2005</v>
      </c>
      <c r="D199" s="180" t="s">
        <v>1230</v>
      </c>
      <c r="E199" s="180" t="s">
        <v>41</v>
      </c>
      <c r="F199" s="180" t="s">
        <v>87</v>
      </c>
      <c r="G199" s="180" t="s">
        <v>260</v>
      </c>
      <c r="H199" s="180" t="s">
        <v>1738</v>
      </c>
      <c r="I199" s="180" t="s">
        <v>76</v>
      </c>
      <c r="J199" s="180" t="s">
        <v>54</v>
      </c>
      <c r="K199" s="217">
        <v>21</v>
      </c>
      <c r="L199" s="250">
        <v>117.04810000000001</v>
      </c>
      <c r="M199" s="180">
        <v>50</v>
      </c>
      <c r="N199" s="180">
        <v>8</v>
      </c>
      <c r="O199" s="94">
        <v>5</v>
      </c>
      <c r="P199" s="239">
        <f t="shared" si="53"/>
        <v>4.7625849614258486</v>
      </c>
      <c r="Q199" s="262" t="str">
        <f t="shared" si="59"/>
        <v>Gadd Daph</v>
      </c>
      <c r="R199" s="263">
        <f t="shared" si="60"/>
        <v>-2.1103651538515429</v>
      </c>
      <c r="S199" s="220">
        <f t="shared" si="58"/>
        <v>6.8729501152773915</v>
      </c>
      <c r="T199" s="236">
        <f t="shared" si="57"/>
        <v>11</v>
      </c>
      <c r="U199" s="221" t="str">
        <f t="shared" si="62"/>
        <v>11-REP-NOEC-Neonates</v>
      </c>
      <c r="V199" s="222" cm="1">
        <f t="array" ref="V199">GEOMEAN(IF(U199=$U$7:$U$360,$S$7:$S$360))</f>
        <v>6.7202609896064711</v>
      </c>
      <c r="W199" s="264">
        <f t="shared" si="65"/>
        <v>3.597373305697761</v>
      </c>
      <c r="X199" s="225">
        <f t="shared" si="55"/>
        <v>36.502228214500114</v>
      </c>
      <c r="Y199" s="225"/>
      <c r="Z199" s="226" t="s">
        <v>1854</v>
      </c>
      <c r="AA199" s="226"/>
      <c r="AB199" s="227" t="s">
        <v>1846</v>
      </c>
      <c r="AC199" s="228" t="s">
        <v>1861</v>
      </c>
      <c r="AD199" s="228"/>
      <c r="AE199" s="229" t="s">
        <v>1584</v>
      </c>
      <c r="AG199" s="248"/>
      <c r="AI199" s="244"/>
    </row>
    <row r="200" spans="1:35" s="182" customFormat="1" ht="15.75" customHeight="1" x14ac:dyDescent="0.25">
      <c r="A200" s="182" t="s">
        <v>1825</v>
      </c>
      <c r="B200" s="183">
        <v>2017</v>
      </c>
      <c r="C200" s="183">
        <v>2017</v>
      </c>
      <c r="D200" s="183" t="s">
        <v>1530</v>
      </c>
      <c r="E200" s="183" t="s">
        <v>1829</v>
      </c>
      <c r="F200" s="180" t="s">
        <v>87</v>
      </c>
      <c r="G200" s="180" t="s">
        <v>260</v>
      </c>
      <c r="H200" s="180" t="s">
        <v>1738</v>
      </c>
      <c r="I200" s="183" t="s">
        <v>76</v>
      </c>
      <c r="J200" s="183" t="s">
        <v>49</v>
      </c>
      <c r="K200" s="183">
        <v>21</v>
      </c>
      <c r="L200" s="183">
        <v>165</v>
      </c>
      <c r="M200" s="183">
        <v>607.6</v>
      </c>
      <c r="N200" s="183">
        <v>8.1999999999999993</v>
      </c>
      <c r="O200" s="183">
        <v>3.93</v>
      </c>
      <c r="P200" s="239">
        <f t="shared" ref="P200:P257" si="66">LN(L200)</f>
        <v>5.1059454739005803</v>
      </c>
      <c r="Q200" s="262" t="str">
        <f t="shared" si="59"/>
        <v>Gadd Daph</v>
      </c>
      <c r="R200" s="263">
        <f t="shared" si="60"/>
        <v>-1.499662607175793</v>
      </c>
      <c r="S200" s="220">
        <f t="shared" si="58"/>
        <v>6.6056080810763733</v>
      </c>
      <c r="T200" s="236">
        <f t="shared" si="57"/>
        <v>11</v>
      </c>
      <c r="U200" s="221"/>
      <c r="V200" s="222" t="e" cm="1">
        <f t="array" ref="V200">GEOMEAN(IF(U200=$U$7:$U$360,$S$7:$S$360))</f>
        <v>#NUM!</v>
      </c>
      <c r="W200" s="264" t="e">
        <f t="shared" si="65"/>
        <v>#NUM!</v>
      </c>
      <c r="X200" s="225" t="e">
        <f t="shared" ref="X200:X263" si="67">EXP(W200)</f>
        <v>#NUM!</v>
      </c>
      <c r="Y200" s="225"/>
      <c r="Z200" s="226"/>
      <c r="AA200" s="226" t="s">
        <v>1890</v>
      </c>
      <c r="AB200" s="246"/>
      <c r="AC200" s="228" t="s">
        <v>1772</v>
      </c>
      <c r="AD200" s="276">
        <v>0.8</v>
      </c>
      <c r="AE200" s="228" t="s">
        <v>1859</v>
      </c>
      <c r="AG200" s="248"/>
      <c r="AI200" s="244"/>
    </row>
    <row r="201" spans="1:35" s="182" customFormat="1" ht="15.75" customHeight="1" x14ac:dyDescent="0.25">
      <c r="A201" s="182" t="s">
        <v>1826</v>
      </c>
      <c r="B201" s="183">
        <v>2017</v>
      </c>
      <c r="C201" s="183">
        <v>2017</v>
      </c>
      <c r="D201" s="183" t="s">
        <v>1530</v>
      </c>
      <c r="E201" s="183" t="s">
        <v>1830</v>
      </c>
      <c r="F201" s="180" t="s">
        <v>87</v>
      </c>
      <c r="G201" s="180" t="s">
        <v>260</v>
      </c>
      <c r="H201" s="180" t="s">
        <v>1738</v>
      </c>
      <c r="I201" s="183" t="s">
        <v>76</v>
      </c>
      <c r="J201" s="183" t="s">
        <v>49</v>
      </c>
      <c r="K201" s="183">
        <v>21</v>
      </c>
      <c r="L201" s="183">
        <v>203</v>
      </c>
      <c r="M201" s="183">
        <v>494.2</v>
      </c>
      <c r="N201" s="183">
        <v>8.07</v>
      </c>
      <c r="O201" s="183">
        <v>3.13</v>
      </c>
      <c r="P201" s="239">
        <f t="shared" si="66"/>
        <v>5.3132059790417872</v>
      </c>
      <c r="Q201" s="262" t="str">
        <f t="shared" si="59"/>
        <v>Gadd Daph</v>
      </c>
      <c r="R201" s="263">
        <f t="shared" si="60"/>
        <v>-1.6609819921545559</v>
      </c>
      <c r="S201" s="220">
        <f t="shared" si="58"/>
        <v>6.9741879711963435</v>
      </c>
      <c r="T201" s="236">
        <f t="shared" ref="T201:T264" si="68">IF(F201=F200,T200,T200+1)</f>
        <v>11</v>
      </c>
      <c r="U201" s="221"/>
      <c r="V201" s="222" t="e" cm="1">
        <f t="array" ref="V201">GEOMEAN(IF(U201=$U$7:$U$360,$S$7:$S$360))</f>
        <v>#NUM!</v>
      </c>
      <c r="W201" s="264" t="e">
        <f t="shared" si="65"/>
        <v>#NUM!</v>
      </c>
      <c r="X201" s="225" t="e">
        <f t="shared" si="67"/>
        <v>#NUM!</v>
      </c>
      <c r="Y201" s="225"/>
      <c r="Z201" s="226"/>
      <c r="AA201" s="226" t="s">
        <v>1890</v>
      </c>
      <c r="AB201" s="246"/>
      <c r="AC201" s="228" t="s">
        <v>1772</v>
      </c>
      <c r="AD201" s="276">
        <v>0.8</v>
      </c>
      <c r="AE201" s="228" t="s">
        <v>1859</v>
      </c>
      <c r="AG201" s="248"/>
      <c r="AI201" s="244"/>
    </row>
    <row r="202" spans="1:35" s="182" customFormat="1" ht="15.75" customHeight="1" x14ac:dyDescent="0.25">
      <c r="A202" s="182" t="s">
        <v>1827</v>
      </c>
      <c r="B202" s="183">
        <v>2017</v>
      </c>
      <c r="C202" s="183">
        <v>2017</v>
      </c>
      <c r="D202" s="183" t="s">
        <v>1530</v>
      </c>
      <c r="E202" s="183" t="s">
        <v>1831</v>
      </c>
      <c r="F202" s="180" t="s">
        <v>87</v>
      </c>
      <c r="G202" s="180" t="s">
        <v>260</v>
      </c>
      <c r="H202" s="180" t="s">
        <v>1738</v>
      </c>
      <c r="I202" s="183" t="s">
        <v>76</v>
      </c>
      <c r="J202" s="183" t="s">
        <v>49</v>
      </c>
      <c r="K202" s="183">
        <v>21</v>
      </c>
      <c r="L202" s="183">
        <v>109</v>
      </c>
      <c r="M202" s="183">
        <v>91.1</v>
      </c>
      <c r="N202" s="183">
        <v>8.07</v>
      </c>
      <c r="O202" s="183">
        <v>4.26</v>
      </c>
      <c r="P202" s="239">
        <f t="shared" si="66"/>
        <v>4.6913478822291435</v>
      </c>
      <c r="Q202" s="262" t="str">
        <f t="shared" si="59"/>
        <v>Gadd Daph</v>
      </c>
      <c r="R202" s="263">
        <f t="shared" si="60"/>
        <v>-2.0197253954385768</v>
      </c>
      <c r="S202" s="220">
        <f t="shared" si="58"/>
        <v>6.7110732776677207</v>
      </c>
      <c r="T202" s="236">
        <f t="shared" si="68"/>
        <v>11</v>
      </c>
      <c r="U202" s="221" t="str">
        <f t="shared" ref="U202" si="69">CONCATENATE(T202,"-",I202,"-",J202,"-",H202)</f>
        <v>11-REP-EC10-Neonates</v>
      </c>
      <c r="V202" s="222" cm="1">
        <f t="array" ref="V202">GEOMEAN(IF(U202=$U$7:$U$360,$S$7:$S$360))</f>
        <v>6.8680184697754383</v>
      </c>
      <c r="W202" s="264">
        <f t="shared" si="65"/>
        <v>3.7451307858667282</v>
      </c>
      <c r="X202" s="225">
        <f t="shared" si="67"/>
        <v>42.314541000879686</v>
      </c>
      <c r="Y202" s="225">
        <f t="shared" ref="Y202" si="70">X202</f>
        <v>42.314541000879686</v>
      </c>
      <c r="Z202" s="226"/>
      <c r="AA202" s="226"/>
      <c r="AB202" s="246"/>
      <c r="AC202" s="228" t="s">
        <v>1772</v>
      </c>
      <c r="AD202" s="276">
        <v>0.8</v>
      </c>
      <c r="AE202" s="228" t="s">
        <v>1859</v>
      </c>
      <c r="AG202" s="248"/>
      <c r="AI202" s="244"/>
    </row>
    <row r="203" spans="1:35" s="182" customFormat="1" ht="15.75" customHeight="1" x14ac:dyDescent="0.25">
      <c r="A203" s="182" t="s">
        <v>1828</v>
      </c>
      <c r="B203" s="183">
        <v>2017</v>
      </c>
      <c r="C203" s="183">
        <v>2017</v>
      </c>
      <c r="D203" s="183" t="s">
        <v>1530</v>
      </c>
      <c r="E203" s="183" t="s">
        <v>1832</v>
      </c>
      <c r="F203" s="180" t="s">
        <v>87</v>
      </c>
      <c r="G203" s="180" t="s">
        <v>260</v>
      </c>
      <c r="H203" s="180" t="s">
        <v>1738</v>
      </c>
      <c r="I203" s="183" t="s">
        <v>76</v>
      </c>
      <c r="J203" s="183" t="s">
        <v>49</v>
      </c>
      <c r="K203" s="183">
        <v>21</v>
      </c>
      <c r="L203" s="183">
        <v>58</v>
      </c>
      <c r="M203" s="183">
        <v>17.3</v>
      </c>
      <c r="N203" s="183">
        <v>7.15</v>
      </c>
      <c r="O203" s="183">
        <v>5.13</v>
      </c>
      <c r="P203" s="239">
        <f t="shared" si="66"/>
        <v>4.0604430105464191</v>
      </c>
      <c r="Q203" s="262" t="str">
        <f t="shared" si="59"/>
        <v>Gadd Daph</v>
      </c>
      <c r="R203" s="263">
        <f t="shared" si="60"/>
        <v>-2.3175875962321166</v>
      </c>
      <c r="S203" s="220">
        <f t="shared" si="58"/>
        <v>6.3780306067785357</v>
      </c>
      <c r="T203" s="236">
        <f t="shared" si="68"/>
        <v>11</v>
      </c>
      <c r="U203" s="221"/>
      <c r="V203" s="222" t="e" cm="1">
        <f t="array" ref="V203">GEOMEAN(IF(U203=$U$7:$U$360,$S$7:$S$360))</f>
        <v>#NUM!</v>
      </c>
      <c r="W203" s="264" t="e">
        <f t="shared" si="65"/>
        <v>#NUM!</v>
      </c>
      <c r="X203" s="225" t="e">
        <f t="shared" si="67"/>
        <v>#NUM!</v>
      </c>
      <c r="Y203" s="225"/>
      <c r="Z203" s="226" t="s">
        <v>1898</v>
      </c>
      <c r="AA203" s="194" t="s">
        <v>1874</v>
      </c>
      <c r="AB203" s="246"/>
      <c r="AC203" s="228" t="s">
        <v>1772</v>
      </c>
      <c r="AD203" s="276">
        <v>0.8</v>
      </c>
      <c r="AE203" s="228" t="s">
        <v>1859</v>
      </c>
      <c r="AG203" s="248"/>
      <c r="AI203" s="244"/>
    </row>
    <row r="204" spans="1:35" s="182" customFormat="1" ht="15.75" customHeight="1" x14ac:dyDescent="0.25">
      <c r="B204" s="180"/>
      <c r="C204" s="217">
        <v>2022</v>
      </c>
      <c r="D204" s="180" t="s">
        <v>1654</v>
      </c>
      <c r="E204" s="180" t="s">
        <v>1679</v>
      </c>
      <c r="F204" s="180" t="s">
        <v>1657</v>
      </c>
      <c r="G204" s="180" t="s">
        <v>260</v>
      </c>
      <c r="H204" s="180" t="s">
        <v>1738</v>
      </c>
      <c r="I204" s="180" t="s">
        <v>76</v>
      </c>
      <c r="J204" s="180" t="s">
        <v>49</v>
      </c>
      <c r="K204" s="180">
        <v>21</v>
      </c>
      <c r="L204" s="180">
        <v>55</v>
      </c>
      <c r="M204" s="180">
        <v>32.700000000000003</v>
      </c>
      <c r="N204" s="180">
        <v>8.1</v>
      </c>
      <c r="O204" s="94">
        <v>0.7</v>
      </c>
      <c r="P204" s="239">
        <f t="shared" si="66"/>
        <v>4.0073331852324712</v>
      </c>
      <c r="Q204" s="262" t="str">
        <f t="shared" si="59"/>
        <v>Gadd Daph</v>
      </c>
      <c r="R204" s="263">
        <f t="shared" si="60"/>
        <v>-3.3249448953526759</v>
      </c>
      <c r="S204" s="220">
        <f t="shared" ref="S204:S260" si="71">P204-R204</f>
        <v>7.3322780805851471</v>
      </c>
      <c r="T204" s="236">
        <f t="shared" si="68"/>
        <v>12</v>
      </c>
      <c r="U204" s="221" t="str">
        <f t="shared" ref="U204:U206" si="72">CONCATENATE(T204,"-",I204,"-",J204,"-",H204)</f>
        <v>12-REP-EC10-Neonates</v>
      </c>
      <c r="V204" s="222" cm="1">
        <f t="array" ref="V204">GEOMEAN(IF(U204=$U$7:$U$360,$S$7:$S$360))</f>
        <v>6.192988869188726</v>
      </c>
      <c r="W204" s="264">
        <f t="shared" si="65"/>
        <v>3.070101185280016</v>
      </c>
      <c r="X204" s="225">
        <f t="shared" si="67"/>
        <v>21.544082508738349</v>
      </c>
      <c r="Y204" s="225">
        <f t="shared" ref="Y204:Y206" si="73">X204</f>
        <v>21.544082508738349</v>
      </c>
      <c r="Z204" s="226"/>
      <c r="AA204" s="226"/>
      <c r="AB204" s="255"/>
      <c r="AC204" s="228" t="s">
        <v>1772</v>
      </c>
      <c r="AD204" s="276">
        <v>0.93</v>
      </c>
      <c r="AE204" s="228" t="s">
        <v>2001</v>
      </c>
      <c r="AG204" s="248"/>
      <c r="AI204" s="244"/>
    </row>
    <row r="205" spans="1:35" s="182" customFormat="1" ht="15.75" customHeight="1" x14ac:dyDescent="0.25">
      <c r="B205" s="180"/>
      <c r="C205" s="217">
        <v>2022</v>
      </c>
      <c r="D205" s="180" t="s">
        <v>1654</v>
      </c>
      <c r="E205" s="180" t="s">
        <v>1682</v>
      </c>
      <c r="F205" s="180" t="s">
        <v>1657</v>
      </c>
      <c r="G205" s="180" t="s">
        <v>260</v>
      </c>
      <c r="H205" s="180" t="s">
        <v>1738</v>
      </c>
      <c r="I205" s="180" t="s">
        <v>76</v>
      </c>
      <c r="J205" s="180" t="s">
        <v>49</v>
      </c>
      <c r="K205" s="180">
        <v>21</v>
      </c>
      <c r="L205" s="180">
        <v>36</v>
      </c>
      <c r="M205" s="180">
        <v>61.3</v>
      </c>
      <c r="N205" s="180">
        <v>7.9</v>
      </c>
      <c r="O205" s="94">
        <v>6.6</v>
      </c>
      <c r="P205" s="239">
        <f t="shared" si="66"/>
        <v>3.5835189384561099</v>
      </c>
      <c r="Q205" s="262" t="str">
        <f t="shared" si="59"/>
        <v>Gadd Daph</v>
      </c>
      <c r="R205" s="263">
        <f t="shared" si="60"/>
        <v>-1.8961217027678687</v>
      </c>
      <c r="S205" s="220">
        <f t="shared" si="71"/>
        <v>5.4796406412239786</v>
      </c>
      <c r="T205" s="236">
        <f t="shared" si="68"/>
        <v>12</v>
      </c>
      <c r="U205" s="221" t="str">
        <f t="shared" si="72"/>
        <v>12-REP-EC10-Neonates</v>
      </c>
      <c r="V205" s="222" cm="1">
        <f t="array" ref="V205">GEOMEAN(IF(U205=$U$7:$U$360,$S$7:$S$360))</f>
        <v>6.192988869188726</v>
      </c>
      <c r="W205" s="264">
        <f t="shared" si="65"/>
        <v>3.070101185280016</v>
      </c>
      <c r="X205" s="225">
        <f t="shared" si="67"/>
        <v>21.544082508738349</v>
      </c>
      <c r="Y205" s="225">
        <f t="shared" si="73"/>
        <v>21.544082508738349</v>
      </c>
      <c r="Z205" s="226"/>
      <c r="AA205" s="226"/>
      <c r="AB205" s="255"/>
      <c r="AC205" s="228" t="s">
        <v>1772</v>
      </c>
      <c r="AD205" s="276">
        <v>0.93</v>
      </c>
      <c r="AE205" s="228" t="s">
        <v>2001</v>
      </c>
      <c r="AG205" s="248"/>
      <c r="AI205" s="244"/>
    </row>
    <row r="206" spans="1:35" s="182" customFormat="1" ht="15.75" customHeight="1" x14ac:dyDescent="0.25">
      <c r="B206" s="180"/>
      <c r="C206" s="217">
        <v>2022</v>
      </c>
      <c r="D206" s="180" t="s">
        <v>1654</v>
      </c>
      <c r="E206" s="180" t="s">
        <v>1680</v>
      </c>
      <c r="F206" s="180" t="s">
        <v>1657</v>
      </c>
      <c r="G206" s="180" t="s">
        <v>260</v>
      </c>
      <c r="H206" s="180" t="s">
        <v>1738</v>
      </c>
      <c r="I206" s="180" t="s">
        <v>76</v>
      </c>
      <c r="J206" s="180" t="s">
        <v>49</v>
      </c>
      <c r="K206" s="180">
        <v>21</v>
      </c>
      <c r="L206" s="180">
        <v>46</v>
      </c>
      <c r="M206" s="180">
        <v>89.6</v>
      </c>
      <c r="N206" s="180">
        <v>8.1999999999999993</v>
      </c>
      <c r="O206" s="94">
        <v>4</v>
      </c>
      <c r="P206" s="239">
        <f t="shared" si="66"/>
        <v>3.8286413964890951</v>
      </c>
      <c r="Q206" s="262" t="str">
        <f t="shared" si="59"/>
        <v>Gadd Daph</v>
      </c>
      <c r="R206" s="263">
        <f t="shared" si="60"/>
        <v>-2.0830246536898276</v>
      </c>
      <c r="S206" s="220">
        <f t="shared" si="71"/>
        <v>5.9116660501789227</v>
      </c>
      <c r="T206" s="236">
        <f t="shared" si="68"/>
        <v>12</v>
      </c>
      <c r="U206" s="221" t="str">
        <f t="shared" si="72"/>
        <v>12-REP-EC10-Neonates</v>
      </c>
      <c r="V206" s="222" cm="1">
        <f t="array" ref="V206">GEOMEAN(IF(U206=$U$7:$U$360,$S$7:$S$360))</f>
        <v>6.192988869188726</v>
      </c>
      <c r="W206" s="264">
        <f t="shared" si="65"/>
        <v>3.070101185280016</v>
      </c>
      <c r="X206" s="225">
        <f t="shared" si="67"/>
        <v>21.544082508738349</v>
      </c>
      <c r="Y206" s="225">
        <f t="shared" si="73"/>
        <v>21.544082508738349</v>
      </c>
      <c r="Z206" s="226"/>
      <c r="AA206" s="226"/>
      <c r="AB206" s="255"/>
      <c r="AC206" s="228" t="s">
        <v>1772</v>
      </c>
      <c r="AD206" s="276">
        <v>0.93</v>
      </c>
      <c r="AE206" s="228" t="s">
        <v>2001</v>
      </c>
      <c r="AG206" s="248"/>
      <c r="AI206" s="244"/>
    </row>
    <row r="207" spans="1:35" s="182" customFormat="1" ht="15.75" customHeight="1" x14ac:dyDescent="0.25">
      <c r="B207" s="180"/>
      <c r="C207" s="217">
        <v>2022</v>
      </c>
      <c r="D207" s="180" t="s">
        <v>1654</v>
      </c>
      <c r="E207" s="180" t="s">
        <v>1681</v>
      </c>
      <c r="F207" s="180" t="s">
        <v>1657</v>
      </c>
      <c r="G207" s="180" t="s">
        <v>260</v>
      </c>
      <c r="H207" s="180" t="s">
        <v>1738</v>
      </c>
      <c r="I207" s="180" t="s">
        <v>76</v>
      </c>
      <c r="J207" s="180" t="s">
        <v>49</v>
      </c>
      <c r="K207" s="180">
        <v>21</v>
      </c>
      <c r="L207" s="180">
        <v>72</v>
      </c>
      <c r="M207" s="180">
        <v>9.1999999999999993</v>
      </c>
      <c r="N207" s="180">
        <v>7.5</v>
      </c>
      <c r="O207" s="94">
        <v>10</v>
      </c>
      <c r="P207" s="239">
        <f t="shared" si="66"/>
        <v>4.2766661190160553</v>
      </c>
      <c r="Q207" s="262" t="str">
        <f t="shared" si="59"/>
        <v>Gadd Daph</v>
      </c>
      <c r="R207" s="263">
        <f t="shared" si="60"/>
        <v>-2.2910128827453331</v>
      </c>
      <c r="S207" s="220">
        <f t="shared" si="71"/>
        <v>6.5676790017613884</v>
      </c>
      <c r="T207" s="236">
        <f t="shared" si="68"/>
        <v>12</v>
      </c>
      <c r="U207" s="221"/>
      <c r="V207" s="222" t="e" cm="1">
        <f t="array" ref="V207">GEOMEAN(IF(U207=$U$7:$U$360,$S$7:$S$360))</f>
        <v>#NUM!</v>
      </c>
      <c r="W207" s="264" t="e">
        <f t="shared" si="65"/>
        <v>#NUM!</v>
      </c>
      <c r="X207" s="225" t="e">
        <f t="shared" si="67"/>
        <v>#NUM!</v>
      </c>
      <c r="Y207" s="225"/>
      <c r="Z207" s="226" t="s">
        <v>1898</v>
      </c>
      <c r="AA207" s="194" t="s">
        <v>1874</v>
      </c>
      <c r="AB207" s="255"/>
      <c r="AC207" s="228" t="s">
        <v>1772</v>
      </c>
      <c r="AD207" s="276">
        <v>0.93</v>
      </c>
      <c r="AE207" s="228" t="s">
        <v>2001</v>
      </c>
      <c r="AG207" s="248"/>
      <c r="AI207" s="244"/>
    </row>
    <row r="208" spans="1:35" s="182" customFormat="1" ht="15.75" customHeight="1" x14ac:dyDescent="0.25">
      <c r="B208" s="180"/>
      <c r="C208" s="217">
        <v>2022</v>
      </c>
      <c r="D208" s="180" t="s">
        <v>1654</v>
      </c>
      <c r="E208" s="180" t="s">
        <v>1679</v>
      </c>
      <c r="F208" s="180" t="s">
        <v>1657</v>
      </c>
      <c r="G208" s="180" t="s">
        <v>260</v>
      </c>
      <c r="H208" s="180" t="s">
        <v>1738</v>
      </c>
      <c r="I208" s="180" t="s">
        <v>76</v>
      </c>
      <c r="J208" s="180" t="s">
        <v>927</v>
      </c>
      <c r="K208" s="180">
        <v>21</v>
      </c>
      <c r="L208" s="180">
        <v>58</v>
      </c>
      <c r="M208" s="180">
        <v>32.700000000000003</v>
      </c>
      <c r="N208" s="180">
        <v>8.1</v>
      </c>
      <c r="O208" s="94">
        <v>0.7</v>
      </c>
      <c r="P208" s="239">
        <f t="shared" si="66"/>
        <v>4.0604430105464191</v>
      </c>
      <c r="Q208" s="262" t="str">
        <f t="shared" si="59"/>
        <v>Gadd Daph</v>
      </c>
      <c r="R208" s="263">
        <f t="shared" si="60"/>
        <v>-3.3249448953526759</v>
      </c>
      <c r="S208" s="220">
        <f t="shared" si="71"/>
        <v>7.385387905899095</v>
      </c>
      <c r="T208" s="236">
        <f t="shared" si="68"/>
        <v>12</v>
      </c>
      <c r="U208" s="221" t="str">
        <f t="shared" ref="U208:U210" si="74">CONCATENATE(T208,"-",I208,"-",J208,"-",H208)</f>
        <v>12-REP-EC20-Neonates</v>
      </c>
      <c r="V208" s="222" cm="1">
        <f t="array" ref="V208">GEOMEAN(IF(U208=$U$7:$U$360,$S$7:$S$360))</f>
        <v>6.5437313166010744</v>
      </c>
      <c r="W208" s="264">
        <f t="shared" si="65"/>
        <v>3.4208436326923644</v>
      </c>
      <c r="X208" s="225">
        <f t="shared" si="67"/>
        <v>30.595215260380904</v>
      </c>
      <c r="Y208" s="225"/>
      <c r="Z208" s="226" t="s">
        <v>1467</v>
      </c>
      <c r="AA208" s="226"/>
      <c r="AB208" s="255"/>
      <c r="AC208" s="228" t="s">
        <v>1772</v>
      </c>
      <c r="AD208" s="276">
        <v>0.93</v>
      </c>
      <c r="AE208" s="228" t="s">
        <v>2001</v>
      </c>
      <c r="AG208" s="248"/>
      <c r="AI208" s="244"/>
    </row>
    <row r="209" spans="1:38" s="182" customFormat="1" ht="15.75" customHeight="1" x14ac:dyDescent="0.25">
      <c r="B209" s="180"/>
      <c r="C209" s="217">
        <v>2022</v>
      </c>
      <c r="D209" s="180" t="s">
        <v>1654</v>
      </c>
      <c r="E209" s="180" t="s">
        <v>1682</v>
      </c>
      <c r="F209" s="180" t="s">
        <v>1657</v>
      </c>
      <c r="G209" s="180" t="s">
        <v>260</v>
      </c>
      <c r="H209" s="180" t="s">
        <v>1738</v>
      </c>
      <c r="I209" s="180" t="s">
        <v>76</v>
      </c>
      <c r="J209" s="180" t="s">
        <v>927</v>
      </c>
      <c r="K209" s="180">
        <v>21</v>
      </c>
      <c r="L209" s="180">
        <v>55</v>
      </c>
      <c r="M209" s="180">
        <v>61.3</v>
      </c>
      <c r="N209" s="180">
        <v>7.9</v>
      </c>
      <c r="O209" s="94">
        <v>6.6</v>
      </c>
      <c r="P209" s="239">
        <f t="shared" si="66"/>
        <v>4.0073331852324712</v>
      </c>
      <c r="Q209" s="262" t="str">
        <f t="shared" si="59"/>
        <v>Gadd Daph</v>
      </c>
      <c r="R209" s="263">
        <f t="shared" si="60"/>
        <v>-1.8961217027678687</v>
      </c>
      <c r="S209" s="220">
        <f t="shared" si="71"/>
        <v>5.9034548880003399</v>
      </c>
      <c r="T209" s="236">
        <f t="shared" si="68"/>
        <v>12</v>
      </c>
      <c r="U209" s="221" t="str">
        <f t="shared" si="74"/>
        <v>12-REP-EC20-Neonates</v>
      </c>
      <c r="V209" s="222" cm="1">
        <f t="array" ref="V209">GEOMEAN(IF(U209=$U$7:$U$360,$S$7:$S$360))</f>
        <v>6.5437313166010744</v>
      </c>
      <c r="W209" s="264">
        <f t="shared" si="65"/>
        <v>3.4208436326923644</v>
      </c>
      <c r="X209" s="225">
        <f t="shared" si="67"/>
        <v>30.595215260380904</v>
      </c>
      <c r="Y209" s="225"/>
      <c r="Z209" s="226" t="s">
        <v>1467</v>
      </c>
      <c r="AA209" s="226"/>
      <c r="AB209" s="255"/>
      <c r="AC209" s="228" t="s">
        <v>1772</v>
      </c>
      <c r="AD209" s="276">
        <v>0.93</v>
      </c>
      <c r="AE209" s="228" t="s">
        <v>2001</v>
      </c>
      <c r="AG209" s="248"/>
      <c r="AI209" s="244"/>
    </row>
    <row r="210" spans="1:38" s="182" customFormat="1" ht="15.75" customHeight="1" x14ac:dyDescent="0.25">
      <c r="B210" s="180"/>
      <c r="C210" s="217">
        <v>2022</v>
      </c>
      <c r="D210" s="180" t="s">
        <v>1654</v>
      </c>
      <c r="E210" s="180" t="s">
        <v>1680</v>
      </c>
      <c r="F210" s="180" t="s">
        <v>1657</v>
      </c>
      <c r="G210" s="180" t="s">
        <v>260</v>
      </c>
      <c r="H210" s="180" t="s">
        <v>1738</v>
      </c>
      <c r="I210" s="180" t="s">
        <v>76</v>
      </c>
      <c r="J210" s="180" t="s">
        <v>927</v>
      </c>
      <c r="K210" s="180">
        <v>21</v>
      </c>
      <c r="L210" s="180">
        <v>77</v>
      </c>
      <c r="M210" s="180">
        <v>89.6</v>
      </c>
      <c r="N210" s="180">
        <v>8.1999999999999993</v>
      </c>
      <c r="O210" s="94">
        <v>4</v>
      </c>
      <c r="P210" s="239">
        <f t="shared" si="66"/>
        <v>4.3438054218536841</v>
      </c>
      <c r="Q210" s="262" t="str">
        <f t="shared" si="59"/>
        <v>Gadd Daph</v>
      </c>
      <c r="R210" s="263">
        <f t="shared" si="60"/>
        <v>-2.0830246536898276</v>
      </c>
      <c r="S210" s="220">
        <f t="shared" si="71"/>
        <v>6.4268300755435117</v>
      </c>
      <c r="T210" s="236">
        <f t="shared" si="68"/>
        <v>12</v>
      </c>
      <c r="U210" s="221" t="str">
        <f t="shared" si="74"/>
        <v>12-REP-EC20-Neonates</v>
      </c>
      <c r="V210" s="222" cm="1">
        <f t="array" ref="V210">GEOMEAN(IF(U210=$U$7:$U$360,$S$7:$S$360))</f>
        <v>6.5437313166010744</v>
      </c>
      <c r="W210" s="264">
        <f t="shared" si="65"/>
        <v>3.4208436326923644</v>
      </c>
      <c r="X210" s="225">
        <f t="shared" si="67"/>
        <v>30.595215260380904</v>
      </c>
      <c r="Y210" s="225"/>
      <c r="Z210" s="226" t="s">
        <v>1467</v>
      </c>
      <c r="AA210" s="226"/>
      <c r="AB210" s="254"/>
      <c r="AC210" s="228" t="s">
        <v>1772</v>
      </c>
      <c r="AD210" s="276">
        <v>0.93</v>
      </c>
      <c r="AE210" s="228" t="s">
        <v>2001</v>
      </c>
      <c r="AG210" s="248"/>
      <c r="AI210" s="244"/>
    </row>
    <row r="211" spans="1:38" s="182" customFormat="1" ht="15.75" customHeight="1" x14ac:dyDescent="0.25">
      <c r="B211" s="180"/>
      <c r="C211" s="217">
        <v>2022</v>
      </c>
      <c r="D211" s="180" t="s">
        <v>1654</v>
      </c>
      <c r="E211" s="180" t="s">
        <v>1681</v>
      </c>
      <c r="F211" s="180" t="s">
        <v>1657</v>
      </c>
      <c r="G211" s="180" t="s">
        <v>260</v>
      </c>
      <c r="H211" s="180" t="s">
        <v>1738</v>
      </c>
      <c r="I211" s="180" t="s">
        <v>76</v>
      </c>
      <c r="J211" s="180" t="s">
        <v>927</v>
      </c>
      <c r="K211" s="180">
        <v>21</v>
      </c>
      <c r="L211" s="180">
        <v>78</v>
      </c>
      <c r="M211" s="180">
        <v>9.1999999999999993</v>
      </c>
      <c r="N211" s="180">
        <v>7.5</v>
      </c>
      <c r="O211" s="94">
        <v>10</v>
      </c>
      <c r="P211" s="239">
        <f t="shared" si="66"/>
        <v>4.3567088266895917</v>
      </c>
      <c r="Q211" s="262" t="str">
        <f t="shared" si="59"/>
        <v>Gadd Daph</v>
      </c>
      <c r="R211" s="263">
        <f t="shared" si="60"/>
        <v>-2.2910128827453331</v>
      </c>
      <c r="S211" s="220">
        <f t="shared" si="71"/>
        <v>6.6477217094349248</v>
      </c>
      <c r="T211" s="236">
        <f t="shared" si="68"/>
        <v>12</v>
      </c>
      <c r="U211" s="221"/>
      <c r="V211" s="222" t="e" cm="1">
        <f t="array" ref="V211">GEOMEAN(IF(U211=$U$7:$U$360,$S$7:$S$360))</f>
        <v>#NUM!</v>
      </c>
      <c r="W211" s="264" t="e">
        <f t="shared" si="65"/>
        <v>#NUM!</v>
      </c>
      <c r="X211" s="225" t="e">
        <f t="shared" si="67"/>
        <v>#NUM!</v>
      </c>
      <c r="Y211" s="225"/>
      <c r="Z211" s="226" t="s">
        <v>1898</v>
      </c>
      <c r="AA211" s="194" t="s">
        <v>1874</v>
      </c>
      <c r="AB211" s="254"/>
      <c r="AC211" s="228" t="s">
        <v>1772</v>
      </c>
      <c r="AD211" s="276">
        <v>0.93</v>
      </c>
      <c r="AE211" s="228" t="s">
        <v>2001</v>
      </c>
      <c r="AG211" s="248"/>
      <c r="AI211" s="244"/>
    </row>
    <row r="212" spans="1:38" s="259" customFormat="1" ht="15.75" customHeight="1" x14ac:dyDescent="0.25">
      <c r="B212" s="245" t="s">
        <v>1736</v>
      </c>
      <c r="C212" s="245">
        <v>2020</v>
      </c>
      <c r="D212" s="245" t="s">
        <v>1721</v>
      </c>
      <c r="E212" s="245" t="s">
        <v>1740</v>
      </c>
      <c r="F212" s="245" t="s">
        <v>1737</v>
      </c>
      <c r="G212" s="245" t="s">
        <v>260</v>
      </c>
      <c r="H212" s="245" t="s">
        <v>1738</v>
      </c>
      <c r="I212" s="245" t="s">
        <v>163</v>
      </c>
      <c r="J212" s="245" t="s">
        <v>49</v>
      </c>
      <c r="K212" s="245">
        <v>6</v>
      </c>
      <c r="L212" s="245">
        <v>40</v>
      </c>
      <c r="M212" s="277">
        <v>3.7</v>
      </c>
      <c r="N212" s="278">
        <v>7</v>
      </c>
      <c r="O212" s="277">
        <v>1.5</v>
      </c>
      <c r="P212" s="239">
        <f t="shared" si="66"/>
        <v>3.6888794541139363</v>
      </c>
      <c r="Q212" s="262" t="str">
        <f t="shared" si="59"/>
        <v>Gadd Daph</v>
      </c>
      <c r="R212" s="263">
        <f t="shared" si="60"/>
        <v>-3.1208865956381588</v>
      </c>
      <c r="S212" s="220">
        <f t="shared" si="71"/>
        <v>6.8097660497520955</v>
      </c>
      <c r="T212" s="236">
        <f t="shared" si="68"/>
        <v>13</v>
      </c>
      <c r="U212" s="221"/>
      <c r="V212" s="222" t="e" cm="1">
        <f t="array" ref="V212">GEOMEAN(IF(U212=$U$7:$U$360,$S$7:$S$360))</f>
        <v>#NUM!</v>
      </c>
      <c r="W212" s="264" t="e">
        <f t="shared" si="65"/>
        <v>#NUM!</v>
      </c>
      <c r="X212" s="225" t="e">
        <f t="shared" si="67"/>
        <v>#NUM!</v>
      </c>
      <c r="Y212" s="225"/>
      <c r="Z212" s="226" t="s">
        <v>1898</v>
      </c>
      <c r="AA212" s="194" t="s">
        <v>1874</v>
      </c>
      <c r="AB212" s="254"/>
      <c r="AC212" s="247" t="s">
        <v>1772</v>
      </c>
      <c r="AD212" s="276">
        <v>0.9</v>
      </c>
      <c r="AE212" s="244" t="s">
        <v>1773</v>
      </c>
      <c r="AG212" s="248"/>
      <c r="AH212" s="258"/>
      <c r="AI212" s="244"/>
      <c r="AJ212" s="258"/>
      <c r="AK212" s="258"/>
      <c r="AL212" s="182"/>
    </row>
    <row r="213" spans="1:38" s="182" customFormat="1" ht="15.75" customHeight="1" x14ac:dyDescent="0.25">
      <c r="B213" s="180">
        <v>9248</v>
      </c>
      <c r="C213" s="180">
        <v>1993</v>
      </c>
      <c r="D213" s="180" t="s">
        <v>1342</v>
      </c>
      <c r="E213" s="180" t="s">
        <v>41</v>
      </c>
      <c r="F213" s="180" t="s">
        <v>553</v>
      </c>
      <c r="G213" s="180" t="s">
        <v>260</v>
      </c>
      <c r="H213" s="180" t="s">
        <v>2047</v>
      </c>
      <c r="I213" s="180" t="s">
        <v>237</v>
      </c>
      <c r="J213" s="180" t="s">
        <v>54</v>
      </c>
      <c r="K213" s="180">
        <v>42</v>
      </c>
      <c r="L213" s="180">
        <v>108</v>
      </c>
      <c r="M213" s="180">
        <v>130</v>
      </c>
      <c r="N213" s="181">
        <v>8.25</v>
      </c>
      <c r="O213" s="94">
        <v>0.5</v>
      </c>
      <c r="P213" s="239">
        <f t="shared" si="66"/>
        <v>4.6821312271242199</v>
      </c>
      <c r="Q213" s="262" t="str">
        <f t="shared" si="59"/>
        <v>Gadd Daph</v>
      </c>
      <c r="R213" s="263">
        <f t="shared" si="60"/>
        <v>-3.1830896850835377</v>
      </c>
      <c r="S213" s="220">
        <f t="shared" si="71"/>
        <v>7.8652209122077572</v>
      </c>
      <c r="T213" s="236">
        <f t="shared" si="68"/>
        <v>14</v>
      </c>
      <c r="U213" s="221" t="str">
        <f>CONCATENATE(T213,"-",I213,"-",J213,"-",H213,K213)</f>
        <v>14-MOR-NOEC-&lt;1 week old42</v>
      </c>
      <c r="V213" s="222" cm="1">
        <f t="array" ref="V213">GEOMEAN(IF(U213=$U$7:$U$360,$S$7:$S$360))</f>
        <v>7.8652209122077572</v>
      </c>
      <c r="W213" s="264">
        <f t="shared" si="65"/>
        <v>4.7423332282990476</v>
      </c>
      <c r="X213" s="225">
        <f t="shared" si="67"/>
        <v>114.701514527578</v>
      </c>
      <c r="Y213" s="225">
        <f t="shared" ref="Y213:Y217" si="75">X213</f>
        <v>114.701514527578</v>
      </c>
      <c r="Z213" s="226" t="s">
        <v>1507</v>
      </c>
      <c r="AA213" s="226"/>
      <c r="AB213" s="254"/>
      <c r="AC213" s="243" t="s">
        <v>1772</v>
      </c>
      <c r="AD213" s="251">
        <v>0.81</v>
      </c>
      <c r="AE213" s="243" t="s">
        <v>1899</v>
      </c>
      <c r="AG213" s="248"/>
      <c r="AI213" s="244"/>
    </row>
    <row r="214" spans="1:38" s="182" customFormat="1" ht="15.75" customHeight="1" x14ac:dyDescent="0.25">
      <c r="B214" s="180">
        <v>9248</v>
      </c>
      <c r="C214" s="217">
        <v>1993</v>
      </c>
      <c r="D214" s="180" t="s">
        <v>1342</v>
      </c>
      <c r="E214" s="180" t="s">
        <v>41</v>
      </c>
      <c r="F214" s="180" t="s">
        <v>553</v>
      </c>
      <c r="G214" s="180" t="s">
        <v>260</v>
      </c>
      <c r="H214" s="180" t="s">
        <v>2047</v>
      </c>
      <c r="I214" s="180" t="s">
        <v>237</v>
      </c>
      <c r="J214" s="180" t="s">
        <v>54</v>
      </c>
      <c r="K214" s="180">
        <v>70</v>
      </c>
      <c r="L214" s="180">
        <v>42.3</v>
      </c>
      <c r="M214" s="180">
        <v>130</v>
      </c>
      <c r="N214" s="181">
        <v>8.25</v>
      </c>
      <c r="O214" s="94">
        <v>0.5</v>
      </c>
      <c r="P214" s="239">
        <f t="shared" si="66"/>
        <v>3.7447870860522321</v>
      </c>
      <c r="Q214" s="262" t="str">
        <f t="shared" si="59"/>
        <v>Gadd Daph</v>
      </c>
      <c r="R214" s="263">
        <f t="shared" si="60"/>
        <v>-3.1830896850835377</v>
      </c>
      <c r="S214" s="220">
        <f t="shared" si="71"/>
        <v>6.9278767711357698</v>
      </c>
      <c r="T214" s="236">
        <f t="shared" si="68"/>
        <v>14</v>
      </c>
      <c r="U214" s="221" t="str">
        <f>CONCATENATE(T214,"-",I214,"-",J214,"-",H214,K214)</f>
        <v>14-MOR-NOEC-&lt;1 week old70</v>
      </c>
      <c r="V214" s="222" cm="1">
        <f t="array" ref="V214">GEOMEAN(IF(U214=$U$7:$U$360,$S$7:$S$360))</f>
        <v>6.9278767711357698</v>
      </c>
      <c r="W214" s="264">
        <f t="shared" si="65"/>
        <v>3.8049890872270598</v>
      </c>
      <c r="X214" s="225">
        <f t="shared" si="67"/>
        <v>44.924759856634694</v>
      </c>
      <c r="Y214" s="225">
        <f t="shared" si="75"/>
        <v>44.924759856634694</v>
      </c>
      <c r="Z214" s="226" t="s">
        <v>1507</v>
      </c>
      <c r="AA214" s="226"/>
      <c r="AB214" s="254"/>
      <c r="AC214" s="243" t="s">
        <v>1772</v>
      </c>
      <c r="AD214" s="251">
        <v>0.81</v>
      </c>
      <c r="AE214" s="243" t="s">
        <v>1899</v>
      </c>
      <c r="AG214" s="248"/>
      <c r="AI214" s="244"/>
    </row>
    <row r="215" spans="1:38" s="182" customFormat="1" ht="15.75" customHeight="1" thickBot="1" x14ac:dyDescent="0.3">
      <c r="A215" s="182" t="s">
        <v>1900</v>
      </c>
      <c r="B215" s="241">
        <v>1975</v>
      </c>
      <c r="C215" s="217">
        <v>1986</v>
      </c>
      <c r="D215" s="180" t="s">
        <v>1635</v>
      </c>
      <c r="E215" s="180" t="s">
        <v>41</v>
      </c>
      <c r="F215" s="180" t="s">
        <v>146</v>
      </c>
      <c r="G215" s="279" t="s">
        <v>260</v>
      </c>
      <c r="H215" s="180" t="s">
        <v>187</v>
      </c>
      <c r="I215" s="180" t="s">
        <v>156</v>
      </c>
      <c r="J215" s="180" t="s">
        <v>174</v>
      </c>
      <c r="K215" s="217">
        <v>14</v>
      </c>
      <c r="L215" s="217">
        <v>9920</v>
      </c>
      <c r="M215" s="180">
        <v>26</v>
      </c>
      <c r="N215" s="180">
        <v>7.1</v>
      </c>
      <c r="O215" s="94">
        <v>1.6</v>
      </c>
      <c r="P215" s="239">
        <f t="shared" si="66"/>
        <v>9.2023082002789192</v>
      </c>
      <c r="Q215" s="262" t="str">
        <f t="shared" si="59"/>
        <v>Gadd Daph</v>
      </c>
      <c r="R215" s="263">
        <f t="shared" si="60"/>
        <v>-2.5391089699226366</v>
      </c>
      <c r="S215" s="220">
        <f t="shared" si="71"/>
        <v>11.741417170201556</v>
      </c>
      <c r="T215" s="236">
        <f t="shared" si="68"/>
        <v>15</v>
      </c>
      <c r="U215" s="221" t="str">
        <f t="shared" ref="U215" si="76">CONCATENATE(T215,"-",I215,"-",J215,"-",H215)</f>
        <v>15-Mortality-LC10-Adult</v>
      </c>
      <c r="V215" s="222" cm="1">
        <f t="array" ref="V215">GEOMEAN(IF(U215=$U$7:$U$360,$S$7:$S$360))</f>
        <v>11.741417170201556</v>
      </c>
      <c r="W215" s="264">
        <f t="shared" si="65"/>
        <v>8.6185294862928465</v>
      </c>
      <c r="X215" s="225">
        <f t="shared" si="67"/>
        <v>5533.2436974696711</v>
      </c>
      <c r="Y215" s="225">
        <f t="shared" si="75"/>
        <v>5533.2436974696711</v>
      </c>
      <c r="Z215" s="226" t="s">
        <v>1617</v>
      </c>
      <c r="AA215" s="194"/>
      <c r="AB215" s="254"/>
      <c r="AC215" s="228" t="s">
        <v>1858</v>
      </c>
      <c r="AD215" s="276">
        <v>0.75</v>
      </c>
      <c r="AE215" s="228" t="s">
        <v>1773</v>
      </c>
      <c r="AG215" s="248"/>
      <c r="AI215" s="244"/>
    </row>
    <row r="216" spans="1:38" s="259" customFormat="1" ht="15.75" customHeight="1" x14ac:dyDescent="0.25">
      <c r="B216" s="245" t="s">
        <v>1727</v>
      </c>
      <c r="C216" s="245">
        <v>2020</v>
      </c>
      <c r="D216" s="245" t="s">
        <v>1721</v>
      </c>
      <c r="E216" s="245" t="s">
        <v>1740</v>
      </c>
      <c r="F216" s="245" t="s">
        <v>517</v>
      </c>
      <c r="G216" s="245" t="s">
        <v>518</v>
      </c>
      <c r="H216" s="245"/>
      <c r="I216" s="245" t="s">
        <v>1729</v>
      </c>
      <c r="J216" s="245" t="s">
        <v>49</v>
      </c>
      <c r="K216" s="245">
        <v>4</v>
      </c>
      <c r="L216" s="245">
        <v>53</v>
      </c>
      <c r="M216" s="277">
        <v>3.5</v>
      </c>
      <c r="N216" s="278">
        <v>6.8</v>
      </c>
      <c r="O216" s="280">
        <v>1.4</v>
      </c>
      <c r="P216" s="239">
        <f t="shared" si="66"/>
        <v>3.970291913552122</v>
      </c>
      <c r="Q216" s="262" t="str">
        <f t="shared" si="59"/>
        <v>Gadd Daph</v>
      </c>
      <c r="R216" s="263">
        <f t="shared" si="60"/>
        <v>-3.0695819208703146</v>
      </c>
      <c r="S216" s="220">
        <f t="shared" si="71"/>
        <v>7.039873834422437</v>
      </c>
      <c r="T216" s="236">
        <f t="shared" si="68"/>
        <v>16</v>
      </c>
      <c r="U216" s="221"/>
      <c r="V216" s="222" t="e" cm="1">
        <f t="array" ref="V216">GEOMEAN(IF(U216=$U$7:$U$360,$S$7:$S$360))</f>
        <v>#NUM!</v>
      </c>
      <c r="W216" s="264" t="e">
        <f t="shared" si="65"/>
        <v>#NUM!</v>
      </c>
      <c r="X216" s="225" t="e">
        <f t="shared" si="67"/>
        <v>#NUM!</v>
      </c>
      <c r="Y216" s="225" t="e">
        <f t="shared" si="75"/>
        <v>#NUM!</v>
      </c>
      <c r="Z216" s="226"/>
      <c r="AA216" s="194" t="s">
        <v>1874</v>
      </c>
      <c r="AB216" s="254"/>
      <c r="AC216" s="247" t="s">
        <v>1772</v>
      </c>
      <c r="AD216" s="276">
        <v>0.8</v>
      </c>
      <c r="AE216" s="244" t="s">
        <v>1773</v>
      </c>
      <c r="AG216" s="248"/>
      <c r="AH216" s="258"/>
      <c r="AI216" s="244"/>
      <c r="AJ216" s="258"/>
      <c r="AK216" s="258"/>
      <c r="AL216" s="182"/>
    </row>
    <row r="217" spans="1:38" s="182" customFormat="1" ht="15.75" customHeight="1" x14ac:dyDescent="0.25">
      <c r="B217" s="180">
        <v>101773</v>
      </c>
      <c r="C217" s="217">
        <v>2008</v>
      </c>
      <c r="D217" s="180" t="s">
        <v>980</v>
      </c>
      <c r="E217" s="180" t="s">
        <v>41</v>
      </c>
      <c r="F217" s="180" t="s">
        <v>981</v>
      </c>
      <c r="G217" s="226" t="s">
        <v>153</v>
      </c>
      <c r="H217" s="180" t="s">
        <v>982</v>
      </c>
      <c r="I217" s="180" t="s">
        <v>228</v>
      </c>
      <c r="J217" s="180" t="s">
        <v>49</v>
      </c>
      <c r="K217" s="180" t="s">
        <v>126</v>
      </c>
      <c r="L217" s="180">
        <v>2069.1999999999998</v>
      </c>
      <c r="M217" s="180">
        <v>44.4</v>
      </c>
      <c r="N217" s="180">
        <v>7.77</v>
      </c>
      <c r="O217" s="94">
        <v>0.5</v>
      </c>
      <c r="P217" s="239">
        <f t="shared" si="66"/>
        <v>7.6349173381293598</v>
      </c>
      <c r="Q217" s="262" t="str">
        <f t="shared" si="59"/>
        <v>Gadd Daph</v>
      </c>
      <c r="R217" s="263">
        <f t="shared" si="60"/>
        <v>-3.1866705739984269</v>
      </c>
      <c r="S217" s="220">
        <f t="shared" si="71"/>
        <v>10.821587912127786</v>
      </c>
      <c r="T217" s="236">
        <f t="shared" si="68"/>
        <v>17</v>
      </c>
      <c r="U217" s="221" t="str">
        <f t="shared" ref="U217:U219" si="77">CONCATENATE(T217,"-",I217,"-",J217,"-",H217)</f>
        <v>17-DVP-EC10-NY</v>
      </c>
      <c r="V217" s="222" cm="1">
        <f t="array" ref="V217">GEOMEAN(IF(U217=$U$7:$U$360,$S$7:$S$360))</f>
        <v>10.821587912127786</v>
      </c>
      <c r="W217" s="264">
        <f t="shared" si="65"/>
        <v>7.6987002282190744</v>
      </c>
      <c r="X217" s="225">
        <f t="shared" si="67"/>
        <v>2205.4795080758822</v>
      </c>
      <c r="Y217" s="225">
        <f t="shared" si="75"/>
        <v>2205.4795080758822</v>
      </c>
      <c r="Z217" s="226" t="s">
        <v>1618</v>
      </c>
      <c r="AA217" s="226"/>
      <c r="AB217" s="252"/>
      <c r="AC217" s="243" t="s">
        <v>1798</v>
      </c>
      <c r="AD217" s="228"/>
      <c r="AE217" s="229" t="s">
        <v>1359</v>
      </c>
      <c r="AG217" s="248"/>
      <c r="AH217" s="281"/>
      <c r="AI217" s="244"/>
      <c r="AJ217" s="281"/>
      <c r="AK217" s="281"/>
    </row>
    <row r="218" spans="1:38" s="182" customFormat="1" ht="15.75" customHeight="1" x14ac:dyDescent="0.25">
      <c r="B218" s="180">
        <v>101773</v>
      </c>
      <c r="C218" s="217">
        <v>2008</v>
      </c>
      <c r="D218" s="180" t="s">
        <v>980</v>
      </c>
      <c r="E218" s="180" t="s">
        <v>41</v>
      </c>
      <c r="F218" s="180" t="s">
        <v>981</v>
      </c>
      <c r="G218" s="226" t="s">
        <v>153</v>
      </c>
      <c r="H218" s="180" t="s">
        <v>982</v>
      </c>
      <c r="I218" s="180" t="s">
        <v>228</v>
      </c>
      <c r="J218" s="180" t="s">
        <v>465</v>
      </c>
      <c r="K218" s="180" t="s">
        <v>126</v>
      </c>
      <c r="L218" s="180">
        <v>5300</v>
      </c>
      <c r="M218" s="180">
        <v>44.4</v>
      </c>
      <c r="N218" s="180">
        <v>7.77</v>
      </c>
      <c r="O218" s="94">
        <v>0.5</v>
      </c>
      <c r="P218" s="239">
        <f t="shared" si="66"/>
        <v>8.5754620995402124</v>
      </c>
      <c r="Q218" s="262" t="str">
        <f t="shared" si="59"/>
        <v>Gadd Daph</v>
      </c>
      <c r="R218" s="263">
        <f t="shared" si="60"/>
        <v>-3.1866705739984269</v>
      </c>
      <c r="S218" s="220">
        <f t="shared" si="71"/>
        <v>11.762132673538639</v>
      </c>
      <c r="T218" s="236">
        <f t="shared" si="68"/>
        <v>17</v>
      </c>
      <c r="U218" s="221" t="str">
        <f t="shared" si="77"/>
        <v>17-DVP-NOEL-NY</v>
      </c>
      <c r="V218" s="222" cm="1">
        <f t="array" ref="V218">GEOMEAN(IF(U218=$U$7:$U$360,$S$7:$S$360))</f>
        <v>11.762132673538639</v>
      </c>
      <c r="W218" s="264">
        <f t="shared" si="65"/>
        <v>8.6392449896299297</v>
      </c>
      <c r="X218" s="225">
        <f t="shared" si="67"/>
        <v>5649.063112701624</v>
      </c>
      <c r="Y218" s="225"/>
      <c r="Z218" s="226" t="s">
        <v>1467</v>
      </c>
      <c r="AA218" s="226"/>
      <c r="AC218" s="243" t="s">
        <v>1798</v>
      </c>
      <c r="AD218" s="228"/>
      <c r="AE218" s="229" t="s">
        <v>1359</v>
      </c>
      <c r="AG218" s="248"/>
      <c r="AI218" s="244"/>
    </row>
    <row r="219" spans="1:38" s="182" customFormat="1" ht="15.75" customHeight="1" x14ac:dyDescent="0.25">
      <c r="A219" s="182" t="s">
        <v>1901</v>
      </c>
      <c r="B219" s="180"/>
      <c r="C219" s="217">
        <v>2021</v>
      </c>
      <c r="D219" s="180" t="s">
        <v>1705</v>
      </c>
      <c r="E219" s="180" t="s">
        <v>1902</v>
      </c>
      <c r="F219" s="180" t="s">
        <v>1712</v>
      </c>
      <c r="G219" s="226" t="s">
        <v>153</v>
      </c>
      <c r="H219" s="180" t="s">
        <v>1717</v>
      </c>
      <c r="I219" s="180" t="s">
        <v>1253</v>
      </c>
      <c r="J219" s="180" t="s">
        <v>927</v>
      </c>
      <c r="K219" s="180">
        <v>14</v>
      </c>
      <c r="L219" s="180">
        <v>55</v>
      </c>
      <c r="M219" s="180">
        <v>27</v>
      </c>
      <c r="N219" s="180">
        <v>6.83</v>
      </c>
      <c r="O219" s="94">
        <v>41</v>
      </c>
      <c r="P219" s="239">
        <f t="shared" si="66"/>
        <v>4.0073331852324712</v>
      </c>
      <c r="Q219" s="262" t="str">
        <f t="shared" si="59"/>
        <v>Gadd Daph</v>
      </c>
      <c r="R219" s="263">
        <f t="shared" si="60"/>
        <v>-1.6416041331829874</v>
      </c>
      <c r="S219" s="220">
        <f t="shared" si="71"/>
        <v>5.6489373184154585</v>
      </c>
      <c r="T219" s="236">
        <f t="shared" si="68"/>
        <v>18</v>
      </c>
      <c r="U219" s="221" t="str">
        <f t="shared" si="77"/>
        <v>18-Growth-EC20-&lt;24 hr old</v>
      </c>
      <c r="V219" s="222" cm="1">
        <f t="array" ref="V219">GEOMEAN(IF(U219=$U$7:$U$360,$S$7:$S$360))</f>
        <v>5.1114949497521174</v>
      </c>
      <c r="W219" s="264">
        <f t="shared" si="65"/>
        <v>1.9886072658434073</v>
      </c>
      <c r="X219" s="225">
        <f t="shared" si="67"/>
        <v>7.3053522602736782</v>
      </c>
      <c r="Y219" s="225"/>
      <c r="Z219" s="226"/>
      <c r="AA219" s="226"/>
      <c r="AB219" s="255"/>
      <c r="AC219" s="228" t="s">
        <v>1772</v>
      </c>
      <c r="AD219" s="276">
        <v>0.82</v>
      </c>
      <c r="AE219" s="228" t="s">
        <v>1859</v>
      </c>
      <c r="AG219" s="248"/>
      <c r="AI219" s="244"/>
    </row>
    <row r="220" spans="1:38" s="182" customFormat="1" ht="15.75" customHeight="1" x14ac:dyDescent="0.25">
      <c r="A220" s="182" t="s">
        <v>1903</v>
      </c>
      <c r="B220" s="180"/>
      <c r="C220" s="217">
        <v>2021</v>
      </c>
      <c r="D220" s="180" t="s">
        <v>1705</v>
      </c>
      <c r="E220" s="180" t="s">
        <v>1904</v>
      </c>
      <c r="F220" s="180" t="s">
        <v>1712</v>
      </c>
      <c r="G220" s="226" t="s">
        <v>153</v>
      </c>
      <c r="H220" s="180" t="s">
        <v>1717</v>
      </c>
      <c r="I220" s="180" t="s">
        <v>1253</v>
      </c>
      <c r="J220" s="180" t="s">
        <v>927</v>
      </c>
      <c r="K220" s="180">
        <v>14</v>
      </c>
      <c r="L220" s="180">
        <v>45</v>
      </c>
      <c r="M220" s="180">
        <v>18</v>
      </c>
      <c r="N220" s="180">
        <v>6.58</v>
      </c>
      <c r="O220" s="94">
        <v>29</v>
      </c>
      <c r="P220" s="239">
        <f t="shared" si="66"/>
        <v>3.8066624897703196</v>
      </c>
      <c r="Q220" s="262" t="str">
        <f t="shared" si="59"/>
        <v>Gadd Daph</v>
      </c>
      <c r="R220" s="263">
        <f t="shared" si="60"/>
        <v>-1.9221653423186122</v>
      </c>
      <c r="S220" s="220">
        <f t="shared" si="71"/>
        <v>5.7288278320889319</v>
      </c>
      <c r="T220" s="236">
        <f t="shared" si="68"/>
        <v>18</v>
      </c>
      <c r="U220" s="221"/>
      <c r="V220" s="222" t="e" cm="1">
        <f t="array" ref="V220">GEOMEAN(IF(U220=$U$7:$U$360,$S$7:$S$360))</f>
        <v>#NUM!</v>
      </c>
      <c r="W220" s="264" t="e">
        <f t="shared" si="65"/>
        <v>#NUM!</v>
      </c>
      <c r="X220" s="225" t="e">
        <f t="shared" si="67"/>
        <v>#NUM!</v>
      </c>
      <c r="Y220" s="225"/>
      <c r="Z220" s="226"/>
      <c r="AA220" s="194" t="s">
        <v>1874</v>
      </c>
      <c r="AB220" s="244"/>
      <c r="AC220" s="228" t="s">
        <v>1772</v>
      </c>
      <c r="AD220" s="276">
        <v>0.82</v>
      </c>
      <c r="AE220" s="228" t="s">
        <v>1859</v>
      </c>
      <c r="AG220" s="248"/>
      <c r="AI220" s="244"/>
    </row>
    <row r="221" spans="1:38" s="182" customFormat="1" ht="15.75" customHeight="1" x14ac:dyDescent="0.25">
      <c r="A221" s="182" t="s">
        <v>1905</v>
      </c>
      <c r="B221" s="180"/>
      <c r="C221" s="217">
        <v>2021</v>
      </c>
      <c r="D221" s="180" t="s">
        <v>1705</v>
      </c>
      <c r="E221" s="180" t="s">
        <v>1906</v>
      </c>
      <c r="F221" s="180" t="s">
        <v>1712</v>
      </c>
      <c r="G221" s="226" t="s">
        <v>153</v>
      </c>
      <c r="H221" s="180" t="s">
        <v>1717</v>
      </c>
      <c r="I221" s="180" t="s">
        <v>1253</v>
      </c>
      <c r="J221" s="180" t="s">
        <v>927</v>
      </c>
      <c r="K221" s="180">
        <v>14</v>
      </c>
      <c r="L221" s="180">
        <v>25</v>
      </c>
      <c r="M221" s="180">
        <v>323</v>
      </c>
      <c r="N221" s="180">
        <v>7.06</v>
      </c>
      <c r="O221" s="94">
        <v>5</v>
      </c>
      <c r="P221" s="239">
        <f t="shared" si="66"/>
        <v>3.2188758248682006</v>
      </c>
      <c r="Q221" s="262" t="str">
        <f t="shared" si="59"/>
        <v>Gadd Daph</v>
      </c>
      <c r="R221" s="263">
        <f t="shared" si="60"/>
        <v>-1.4063092583803778</v>
      </c>
      <c r="S221" s="220">
        <f t="shared" si="71"/>
        <v>4.6251850832485779</v>
      </c>
      <c r="T221" s="236">
        <f t="shared" si="68"/>
        <v>18</v>
      </c>
      <c r="U221" s="221" t="str">
        <f t="shared" ref="U221:U223" si="78">CONCATENATE(T221,"-",I221,"-",J221,"-",H221)</f>
        <v>18-Growth-EC20-&lt;24 hr old</v>
      </c>
      <c r="V221" s="222" cm="1">
        <f t="array" ref="V221">GEOMEAN(IF(U221=$U$7:$U$360,$S$7:$S$360))</f>
        <v>5.1114949497521174</v>
      </c>
      <c r="W221" s="264">
        <f t="shared" si="65"/>
        <v>1.9886072658434073</v>
      </c>
      <c r="X221" s="225">
        <f t="shared" si="67"/>
        <v>7.3053522602736782</v>
      </c>
      <c r="Y221" s="225">
        <f t="shared" ref="Y221" si="79">X221</f>
        <v>7.3053522602736782</v>
      </c>
      <c r="Z221" s="226"/>
      <c r="AA221" s="226"/>
      <c r="AB221" s="255"/>
      <c r="AC221" s="228" t="s">
        <v>1772</v>
      </c>
      <c r="AD221" s="276">
        <v>0.82</v>
      </c>
      <c r="AE221" s="228" t="s">
        <v>1859</v>
      </c>
      <c r="AG221" s="248"/>
      <c r="AI221" s="244"/>
    </row>
    <row r="222" spans="1:38" s="182" customFormat="1" ht="15.75" customHeight="1" x14ac:dyDescent="0.25">
      <c r="A222" s="182" t="s">
        <v>1907</v>
      </c>
      <c r="B222" s="180"/>
      <c r="C222" s="217">
        <v>2020</v>
      </c>
      <c r="D222" s="180" t="s">
        <v>1908</v>
      </c>
      <c r="E222" s="180" t="s">
        <v>1716</v>
      </c>
      <c r="F222" s="180" t="s">
        <v>1712</v>
      </c>
      <c r="G222" s="226" t="s">
        <v>153</v>
      </c>
      <c r="H222" s="180" t="s">
        <v>1717</v>
      </c>
      <c r="I222" s="180" t="s">
        <v>1621</v>
      </c>
      <c r="J222" s="180" t="s">
        <v>927</v>
      </c>
      <c r="K222" s="180">
        <v>14</v>
      </c>
      <c r="L222" s="180">
        <v>10</v>
      </c>
      <c r="M222" s="180">
        <v>100</v>
      </c>
      <c r="N222" s="180">
        <v>8.3000000000000007</v>
      </c>
      <c r="O222" s="94">
        <v>2</v>
      </c>
      <c r="P222" s="239">
        <f t="shared" si="66"/>
        <v>2.3025850929940459</v>
      </c>
      <c r="Q222" s="262" t="str">
        <f t="shared" si="59"/>
        <v>Gadd Daph</v>
      </c>
      <c r="R222" s="263">
        <f t="shared" si="60"/>
        <v>-2.478054111452205</v>
      </c>
      <c r="S222" s="220">
        <f t="shared" si="71"/>
        <v>4.7806392044462509</v>
      </c>
      <c r="T222" s="236">
        <f t="shared" si="68"/>
        <v>18</v>
      </c>
      <c r="U222" s="221" t="str">
        <f t="shared" si="78"/>
        <v>18-Survival-EC20-&lt;24 hr old</v>
      </c>
      <c r="V222" s="222" cm="1">
        <f t="array" ref="V222">GEOMEAN(IF(U222=$U$7:$U$360,$S$7:$S$360))</f>
        <v>4.7806392044462509</v>
      </c>
      <c r="W222" s="264">
        <f t="shared" si="65"/>
        <v>1.6577515205375408</v>
      </c>
      <c r="X222" s="225">
        <f t="shared" si="67"/>
        <v>5.2474986767112766</v>
      </c>
      <c r="Y222" s="225" t="s">
        <v>1987</v>
      </c>
      <c r="AA222" s="226" t="s">
        <v>1909</v>
      </c>
      <c r="AB222" s="255"/>
      <c r="AC222" s="243" t="s">
        <v>1858</v>
      </c>
      <c r="AD222" s="276">
        <v>0.65</v>
      </c>
      <c r="AE222" s="228" t="s">
        <v>1859</v>
      </c>
      <c r="AG222" s="248"/>
      <c r="AI222" s="244"/>
    </row>
    <row r="223" spans="1:38" s="182" customFormat="1" ht="15.75" customHeight="1" thickBot="1" x14ac:dyDescent="0.3">
      <c r="A223" s="182" t="s">
        <v>1783</v>
      </c>
      <c r="B223" s="245"/>
      <c r="C223" s="227">
        <v>2017</v>
      </c>
      <c r="D223" s="227" t="s">
        <v>1785</v>
      </c>
      <c r="E223" s="227" t="s">
        <v>1795</v>
      </c>
      <c r="F223" s="245" t="s">
        <v>1786</v>
      </c>
      <c r="G223" s="180" t="s">
        <v>183</v>
      </c>
      <c r="H223" s="227" t="s">
        <v>1251</v>
      </c>
      <c r="I223" s="245" t="s">
        <v>1309</v>
      </c>
      <c r="J223" s="245" t="s">
        <v>52</v>
      </c>
      <c r="K223" s="245">
        <v>3</v>
      </c>
      <c r="L223" s="282">
        <v>14</v>
      </c>
      <c r="M223" s="277">
        <v>42</v>
      </c>
      <c r="N223" s="278">
        <v>7</v>
      </c>
      <c r="O223" s="277">
        <v>0.1</v>
      </c>
      <c r="P223" s="239">
        <f t="shared" si="66"/>
        <v>2.6390573296152584</v>
      </c>
      <c r="Q223" s="262" t="str">
        <f t="shared" ref="Q223:Q255" si="80">$AG$8</f>
        <v>Gadd Daph</v>
      </c>
      <c r="R223" s="263">
        <f t="shared" si="60"/>
        <v>-3.1260462443704888</v>
      </c>
      <c r="S223" s="220">
        <f t="shared" si="71"/>
        <v>5.7651035739857477</v>
      </c>
      <c r="T223" s="236">
        <f t="shared" si="68"/>
        <v>19</v>
      </c>
      <c r="U223" s="221" t="str">
        <f t="shared" si="78"/>
        <v>19-DEV-NEC-Larvae</v>
      </c>
      <c r="V223" s="222" cm="1">
        <f t="array" ref="V223">GEOMEAN(IF(U223=$U$7:$U$360,$S$7:$S$360))</f>
        <v>5.7651035739857477</v>
      </c>
      <c r="W223" s="264">
        <f t="shared" si="65"/>
        <v>2.6422158900770376</v>
      </c>
      <c r="X223" s="225">
        <f t="shared" si="67"/>
        <v>14.044289755578918</v>
      </c>
      <c r="Y223" s="225">
        <f t="shared" ref="Y223:Y226" si="81">X223</f>
        <v>14.044289755578918</v>
      </c>
      <c r="Z223" s="226"/>
      <c r="AA223" s="226"/>
      <c r="AB223" s="255"/>
      <c r="AC223" s="228" t="s">
        <v>1772</v>
      </c>
      <c r="AD223" s="276">
        <v>0.83</v>
      </c>
      <c r="AE223" s="228" t="s">
        <v>1773</v>
      </c>
      <c r="AG223" s="248"/>
      <c r="AI223" s="244"/>
    </row>
    <row r="224" spans="1:38" s="182" customFormat="1" ht="15.75" customHeight="1" x14ac:dyDescent="0.25">
      <c r="B224" s="245" t="s">
        <v>1719</v>
      </c>
      <c r="C224" s="245">
        <v>2020</v>
      </c>
      <c r="D224" s="245" t="s">
        <v>1721</v>
      </c>
      <c r="E224" s="245" t="s">
        <v>1740</v>
      </c>
      <c r="F224" s="245" t="s">
        <v>1722</v>
      </c>
      <c r="G224" s="180" t="s">
        <v>183</v>
      </c>
      <c r="H224" s="245" t="s">
        <v>187</v>
      </c>
      <c r="I224" s="245" t="s">
        <v>163</v>
      </c>
      <c r="J224" s="245" t="s">
        <v>49</v>
      </c>
      <c r="K224" s="245">
        <v>4</v>
      </c>
      <c r="L224" s="245">
        <v>27</v>
      </c>
      <c r="M224" s="277">
        <v>3.8</v>
      </c>
      <c r="N224" s="278">
        <v>6.8</v>
      </c>
      <c r="O224" s="280">
        <v>1.4</v>
      </c>
      <c r="P224" s="239">
        <f t="shared" si="66"/>
        <v>3.2958368660043291</v>
      </c>
      <c r="Q224" s="262" t="str">
        <f t="shared" si="80"/>
        <v>Gadd Daph</v>
      </c>
      <c r="R224" s="263">
        <f t="shared" ref="R224:R255" si="82">$AI$8*N224+$AH$8*LN(M224)+$AJ$8*LN(O224)+$AK$8*LN(O224)*N224</f>
        <v>-3.0440881104168533</v>
      </c>
      <c r="S224" s="220">
        <f t="shared" si="71"/>
        <v>6.339924976421182</v>
      </c>
      <c r="T224" s="236">
        <f t="shared" si="68"/>
        <v>20</v>
      </c>
      <c r="U224" s="221"/>
      <c r="V224" s="222" t="e" cm="1">
        <f t="array" ref="V224">GEOMEAN(IF(U224=$U$7:$U$360,$S$7:$S$360))</f>
        <v>#NUM!</v>
      </c>
      <c r="W224" s="264" t="e">
        <f t="shared" si="65"/>
        <v>#NUM!</v>
      </c>
      <c r="X224" s="225" t="e">
        <f t="shared" si="67"/>
        <v>#NUM!</v>
      </c>
      <c r="Y224" s="225" t="e">
        <f t="shared" si="81"/>
        <v>#NUM!</v>
      </c>
      <c r="Z224" s="226"/>
      <c r="AA224" s="194" t="s">
        <v>1874</v>
      </c>
      <c r="AB224" s="254"/>
      <c r="AC224" s="247" t="s">
        <v>1772</v>
      </c>
      <c r="AD224" s="276">
        <v>0.82</v>
      </c>
      <c r="AE224" s="244" t="s">
        <v>1773</v>
      </c>
      <c r="AG224" s="248"/>
      <c r="AI224" s="244"/>
    </row>
    <row r="225" spans="1:38" s="182" customFormat="1" ht="15.75" customHeight="1" x14ac:dyDescent="0.25">
      <c r="A225" s="182" t="s">
        <v>1910</v>
      </c>
      <c r="B225" s="245"/>
      <c r="C225" s="227">
        <v>2017</v>
      </c>
      <c r="D225" s="227" t="s">
        <v>1785</v>
      </c>
      <c r="E225" s="227" t="s">
        <v>1795</v>
      </c>
      <c r="F225" s="227" t="s">
        <v>1790</v>
      </c>
      <c r="G225" s="180" t="s">
        <v>183</v>
      </c>
      <c r="H225" s="227" t="s">
        <v>1251</v>
      </c>
      <c r="I225" s="245" t="s">
        <v>1309</v>
      </c>
      <c r="J225" s="245" t="s">
        <v>52</v>
      </c>
      <c r="K225" s="245">
        <v>3</v>
      </c>
      <c r="L225" s="283">
        <v>8.4</v>
      </c>
      <c r="M225" s="277">
        <v>42</v>
      </c>
      <c r="N225" s="278">
        <v>7</v>
      </c>
      <c r="O225" s="277">
        <v>0.1</v>
      </c>
      <c r="P225" s="239">
        <f t="shared" si="66"/>
        <v>2.1282317058492679</v>
      </c>
      <c r="Q225" s="262" t="str">
        <f t="shared" si="80"/>
        <v>Gadd Daph</v>
      </c>
      <c r="R225" s="263">
        <f t="shared" si="82"/>
        <v>-3.1260462443704888</v>
      </c>
      <c r="S225" s="220">
        <f t="shared" si="71"/>
        <v>5.2542779502197572</v>
      </c>
      <c r="T225" s="236">
        <f t="shared" si="68"/>
        <v>21</v>
      </c>
      <c r="U225" s="221" t="str">
        <f t="shared" ref="U225:U286" si="83">CONCATENATE(T225,"-",I225,"-",J225,"-",H225)</f>
        <v>21-DEV-NEC-Larvae</v>
      </c>
      <c r="V225" s="222" cm="1">
        <f t="array" ref="V225">GEOMEAN(IF(U225=$U$7:$U$360,$S$7:$S$360))</f>
        <v>5.2542779502197572</v>
      </c>
      <c r="W225" s="264">
        <f t="shared" si="65"/>
        <v>2.1313902663110471</v>
      </c>
      <c r="X225" s="225">
        <f t="shared" si="67"/>
        <v>8.4265738533473513</v>
      </c>
      <c r="Y225" s="225">
        <f t="shared" si="81"/>
        <v>8.4265738533473513</v>
      </c>
      <c r="Z225" s="226"/>
      <c r="AA225" s="226"/>
      <c r="AB225" s="254"/>
      <c r="AC225" s="228" t="s">
        <v>1772</v>
      </c>
      <c r="AD225" s="276">
        <v>0.83</v>
      </c>
      <c r="AE225" s="228" t="s">
        <v>1773</v>
      </c>
      <c r="AG225" s="248"/>
      <c r="AI225" s="244"/>
    </row>
    <row r="226" spans="1:38" s="182" customFormat="1" ht="15.75" customHeight="1" x14ac:dyDescent="0.25">
      <c r="B226" s="180">
        <v>14043</v>
      </c>
      <c r="C226" s="217">
        <v>1994</v>
      </c>
      <c r="D226" s="180" t="s">
        <v>293</v>
      </c>
      <c r="E226" s="180" t="s">
        <v>41</v>
      </c>
      <c r="F226" s="180" t="s">
        <v>149</v>
      </c>
      <c r="G226" s="180" t="s">
        <v>183</v>
      </c>
      <c r="H226" s="180" t="s">
        <v>185</v>
      </c>
      <c r="I226" s="180" t="s">
        <v>156</v>
      </c>
      <c r="J226" s="180" t="s">
        <v>174</v>
      </c>
      <c r="K226" s="217">
        <v>70</v>
      </c>
      <c r="L226" s="217">
        <v>517</v>
      </c>
      <c r="M226" s="180">
        <v>267.72000000000003</v>
      </c>
      <c r="N226" s="181">
        <v>7.9</v>
      </c>
      <c r="O226" s="94">
        <v>6.74</v>
      </c>
      <c r="P226" s="239">
        <f t="shared" si="66"/>
        <v>6.2480428745084291</v>
      </c>
      <c r="Q226" s="262" t="str">
        <f t="shared" si="80"/>
        <v>Gadd Daph</v>
      </c>
      <c r="R226" s="263">
        <f t="shared" si="82"/>
        <v>-1.4287203631855316</v>
      </c>
      <c r="S226" s="220">
        <f t="shared" si="71"/>
        <v>7.6767632376939607</v>
      </c>
      <c r="T226" s="236">
        <f t="shared" si="68"/>
        <v>22</v>
      </c>
      <c r="U226" s="221" t="str">
        <f t="shared" si="83"/>
        <v>22-Mortality-LC10-Adult/juvenile</v>
      </c>
      <c r="V226" s="222" cm="1">
        <f t="array" ref="V226">GEOMEAN(IF(U226=$U$7:$U$360,$S$7:$S$360))</f>
        <v>7.6767632376939607</v>
      </c>
      <c r="W226" s="264">
        <f t="shared" si="65"/>
        <v>4.5538755537852502</v>
      </c>
      <c r="X226" s="225">
        <f t="shared" si="67"/>
        <v>94.999872907632408</v>
      </c>
      <c r="Y226" s="225">
        <f t="shared" si="81"/>
        <v>94.999872907632408</v>
      </c>
      <c r="Z226" s="226"/>
      <c r="AA226" s="226" t="s">
        <v>1608</v>
      </c>
      <c r="AB226" s="254"/>
      <c r="AC226" s="243" t="s">
        <v>1858</v>
      </c>
      <c r="AD226" s="251">
        <v>0.72</v>
      </c>
      <c r="AE226" s="243" t="s">
        <v>1773</v>
      </c>
      <c r="AG226" s="248"/>
      <c r="AH226" s="281"/>
      <c r="AI226" s="244"/>
      <c r="AJ226" s="281"/>
      <c r="AK226" s="281"/>
      <c r="AL226" s="281"/>
    </row>
    <row r="227" spans="1:38" s="182" customFormat="1" ht="15.75" customHeight="1" x14ac:dyDescent="0.25">
      <c r="B227" s="180">
        <v>14043</v>
      </c>
      <c r="C227" s="217">
        <v>1994</v>
      </c>
      <c r="D227" s="180" t="s">
        <v>293</v>
      </c>
      <c r="E227" s="180" t="s">
        <v>41</v>
      </c>
      <c r="F227" s="180" t="s">
        <v>149</v>
      </c>
      <c r="G227" s="180" t="s">
        <v>183</v>
      </c>
      <c r="H227" s="180" t="s">
        <v>185</v>
      </c>
      <c r="I227" s="180" t="s">
        <v>1609</v>
      </c>
      <c r="J227" s="180" t="s">
        <v>54</v>
      </c>
      <c r="K227" s="217">
        <v>70</v>
      </c>
      <c r="L227" s="217">
        <v>101</v>
      </c>
      <c r="M227" s="180">
        <v>267.72000000000003</v>
      </c>
      <c r="N227" s="181">
        <v>7.9</v>
      </c>
      <c r="O227" s="94">
        <v>6.74</v>
      </c>
      <c r="P227" s="239">
        <f t="shared" si="66"/>
        <v>4.6151205168412597</v>
      </c>
      <c r="Q227" s="262" t="str">
        <f t="shared" si="80"/>
        <v>Gadd Daph</v>
      </c>
      <c r="R227" s="263">
        <f t="shared" si="82"/>
        <v>-1.4287203631855316</v>
      </c>
      <c r="S227" s="220">
        <f t="shared" si="71"/>
        <v>6.0438408800267913</v>
      </c>
      <c r="T227" s="236">
        <f t="shared" si="68"/>
        <v>22</v>
      </c>
      <c r="U227" s="221" t="str">
        <f t="shared" si="83"/>
        <v>22-Filtration rate-NOEC-Adult/juvenile</v>
      </c>
      <c r="V227" s="222" cm="1">
        <f t="array" ref="V227">GEOMEAN(IF(U227=$U$7:$U$360,$S$7:$S$360))</f>
        <v>6.0438408800267913</v>
      </c>
      <c r="W227" s="264">
        <f t="shared" si="65"/>
        <v>2.9209531961180812</v>
      </c>
      <c r="X227" s="225">
        <f t="shared" si="67"/>
        <v>18.558969368802476</v>
      </c>
      <c r="Y227" s="225"/>
      <c r="Z227" s="226" t="s">
        <v>1466</v>
      </c>
      <c r="AA227" s="226" t="s">
        <v>1608</v>
      </c>
      <c r="AB227" s="254"/>
      <c r="AC227" s="243" t="s">
        <v>1858</v>
      </c>
      <c r="AD227" s="251">
        <v>0.72</v>
      </c>
      <c r="AE227" s="243" t="s">
        <v>1773</v>
      </c>
      <c r="AG227" s="248"/>
      <c r="AI227" s="244"/>
    </row>
    <row r="228" spans="1:38" s="182" customFormat="1" ht="15.75" customHeight="1" x14ac:dyDescent="0.25">
      <c r="B228" s="246">
        <v>165445</v>
      </c>
      <c r="C228" s="284">
        <v>2014</v>
      </c>
      <c r="D228" s="285" t="s">
        <v>1770</v>
      </c>
      <c r="E228" s="246" t="s">
        <v>1776</v>
      </c>
      <c r="F228" s="286" t="s">
        <v>1771</v>
      </c>
      <c r="G228" s="180" t="s">
        <v>183</v>
      </c>
      <c r="H228" s="286" t="s">
        <v>1251</v>
      </c>
      <c r="I228" s="286" t="s">
        <v>237</v>
      </c>
      <c r="J228" s="286" t="s">
        <v>927</v>
      </c>
      <c r="K228" s="286">
        <v>2</v>
      </c>
      <c r="L228" s="274">
        <v>155</v>
      </c>
      <c r="M228" s="286">
        <v>30</v>
      </c>
      <c r="N228" s="287">
        <v>7.8</v>
      </c>
      <c r="O228" s="246">
        <v>2.4500000000000002</v>
      </c>
      <c r="P228" s="239">
        <f t="shared" si="66"/>
        <v>5.0434251169192468</v>
      </c>
      <c r="Q228" s="262" t="str">
        <f t="shared" si="80"/>
        <v>Gadd Daph</v>
      </c>
      <c r="R228" s="263">
        <f t="shared" si="82"/>
        <v>-2.5786752640940005</v>
      </c>
      <c r="S228" s="220">
        <f t="shared" si="71"/>
        <v>7.6221003810132473</v>
      </c>
      <c r="T228" s="236">
        <f t="shared" si="68"/>
        <v>23</v>
      </c>
      <c r="U228" s="221" t="str">
        <f t="shared" si="83"/>
        <v>23-MOR-EC20-Larvae</v>
      </c>
      <c r="V228" s="222" cm="1">
        <f t="array" ref="V228">GEOMEAN(IF(U228=$U$7:$U$360,$S$7:$S$360))</f>
        <v>7.4601745354627162</v>
      </c>
      <c r="W228" s="264">
        <f t="shared" si="65"/>
        <v>4.3372868515540066</v>
      </c>
      <c r="X228" s="225">
        <f t="shared" si="67"/>
        <v>76.499702470774594</v>
      </c>
      <c r="Y228" s="225">
        <f t="shared" ref="Y228:Y233" si="84">X228</f>
        <v>76.499702470774594</v>
      </c>
      <c r="Z228" s="226"/>
      <c r="AA228" s="226"/>
      <c r="AB228" s="244" t="s">
        <v>1911</v>
      </c>
      <c r="AC228" s="244" t="s">
        <v>1772</v>
      </c>
      <c r="AD228" s="247">
        <v>0.81</v>
      </c>
      <c r="AE228" s="244" t="s">
        <v>1773</v>
      </c>
      <c r="AG228" s="248"/>
      <c r="AI228" s="244"/>
    </row>
    <row r="229" spans="1:38" s="182" customFormat="1" ht="15.75" customHeight="1" x14ac:dyDescent="0.25">
      <c r="B229" s="246">
        <v>165445</v>
      </c>
      <c r="C229" s="284">
        <v>2014</v>
      </c>
      <c r="D229" s="288" t="s">
        <v>1770</v>
      </c>
      <c r="E229" s="246" t="s">
        <v>1776</v>
      </c>
      <c r="F229" s="286" t="s">
        <v>1771</v>
      </c>
      <c r="G229" s="180" t="s">
        <v>183</v>
      </c>
      <c r="H229" s="286" t="s">
        <v>1251</v>
      </c>
      <c r="I229" s="286" t="s">
        <v>237</v>
      </c>
      <c r="J229" s="286" t="s">
        <v>927</v>
      </c>
      <c r="K229" s="286">
        <v>2</v>
      </c>
      <c r="L229" s="274">
        <v>281</v>
      </c>
      <c r="M229" s="286">
        <v>30</v>
      </c>
      <c r="N229" s="287">
        <v>7.89</v>
      </c>
      <c r="O229" s="246">
        <v>2.4500000000000002</v>
      </c>
      <c r="P229" s="239">
        <f t="shared" si="66"/>
        <v>5.6383546693337454</v>
      </c>
      <c r="Q229" s="262" t="str">
        <f t="shared" si="80"/>
        <v>Gadd Daph</v>
      </c>
      <c r="R229" s="263">
        <f t="shared" si="82"/>
        <v>-2.6061197627635773</v>
      </c>
      <c r="S229" s="220">
        <f t="shared" si="71"/>
        <v>8.2444744320973236</v>
      </c>
      <c r="T229" s="236">
        <f t="shared" si="68"/>
        <v>23</v>
      </c>
      <c r="U229" s="221" t="str">
        <f t="shared" si="83"/>
        <v>23-MOR-EC20-Larvae</v>
      </c>
      <c r="V229" s="222" cm="1">
        <f t="array" ref="V229">GEOMEAN(IF(U229=$U$7:$U$360,$S$7:$S$360))</f>
        <v>7.4601745354627162</v>
      </c>
      <c r="W229" s="264">
        <f t="shared" si="65"/>
        <v>4.3372868515540066</v>
      </c>
      <c r="X229" s="225">
        <f t="shared" si="67"/>
        <v>76.499702470774594</v>
      </c>
      <c r="Y229" s="225">
        <f t="shared" si="84"/>
        <v>76.499702470774594</v>
      </c>
      <c r="Z229" s="226"/>
      <c r="AA229" s="226"/>
      <c r="AB229" s="244" t="s">
        <v>1911</v>
      </c>
      <c r="AC229" s="244" t="s">
        <v>1772</v>
      </c>
      <c r="AD229" s="247">
        <v>0.81</v>
      </c>
      <c r="AE229" s="244" t="s">
        <v>1773</v>
      </c>
      <c r="AG229" s="248"/>
      <c r="AI229" s="244"/>
    </row>
    <row r="230" spans="1:38" s="182" customFormat="1" ht="15.75" customHeight="1" x14ac:dyDescent="0.25">
      <c r="B230" s="246">
        <v>165445</v>
      </c>
      <c r="C230" s="284">
        <v>2014</v>
      </c>
      <c r="D230" s="288" t="s">
        <v>1770</v>
      </c>
      <c r="E230" s="246" t="s">
        <v>1776</v>
      </c>
      <c r="F230" s="286" t="s">
        <v>1771</v>
      </c>
      <c r="G230" s="180" t="s">
        <v>183</v>
      </c>
      <c r="H230" s="286" t="s">
        <v>1251</v>
      </c>
      <c r="I230" s="286" t="s">
        <v>237</v>
      </c>
      <c r="J230" s="286" t="s">
        <v>927</v>
      </c>
      <c r="K230" s="286">
        <v>2</v>
      </c>
      <c r="L230" s="274">
        <v>56</v>
      </c>
      <c r="M230" s="286">
        <v>30</v>
      </c>
      <c r="N230" s="287">
        <v>7.81</v>
      </c>
      <c r="O230" s="246">
        <v>2.4500000000000002</v>
      </c>
      <c r="P230" s="239">
        <f t="shared" si="66"/>
        <v>4.0253516907351496</v>
      </c>
      <c r="Q230" s="262" t="str">
        <f t="shared" si="80"/>
        <v>Gadd Daph</v>
      </c>
      <c r="R230" s="263">
        <f t="shared" si="82"/>
        <v>-2.5817246528350646</v>
      </c>
      <c r="S230" s="220">
        <f t="shared" si="71"/>
        <v>6.6070763435702142</v>
      </c>
      <c r="T230" s="236">
        <f t="shared" si="68"/>
        <v>23</v>
      </c>
      <c r="U230" s="221" t="str">
        <f t="shared" si="83"/>
        <v>23-MOR-EC20-Larvae</v>
      </c>
      <c r="V230" s="222" cm="1">
        <f t="array" ref="V230">GEOMEAN(IF(U230=$U$7:$U$360,$S$7:$S$360))</f>
        <v>7.4601745354627162</v>
      </c>
      <c r="W230" s="264">
        <f t="shared" si="65"/>
        <v>4.3372868515540066</v>
      </c>
      <c r="X230" s="225">
        <f t="shared" si="67"/>
        <v>76.499702470774594</v>
      </c>
      <c r="Y230" s="225">
        <f t="shared" si="84"/>
        <v>76.499702470774594</v>
      </c>
      <c r="Z230" s="226"/>
      <c r="AA230" s="226"/>
      <c r="AB230" s="244" t="s">
        <v>1911</v>
      </c>
      <c r="AC230" s="244" t="s">
        <v>1772</v>
      </c>
      <c r="AD230" s="247">
        <v>0.81</v>
      </c>
      <c r="AE230" s="244" t="s">
        <v>1773</v>
      </c>
      <c r="AG230" s="248"/>
      <c r="AI230" s="244"/>
    </row>
    <row r="231" spans="1:38" s="182" customFormat="1" ht="15.75" customHeight="1" x14ac:dyDescent="0.25">
      <c r="A231" s="182" t="s">
        <v>1912</v>
      </c>
      <c r="B231" s="246"/>
      <c r="C231" s="227">
        <v>2017</v>
      </c>
      <c r="D231" s="227" t="s">
        <v>1785</v>
      </c>
      <c r="E231" s="227" t="s">
        <v>1795</v>
      </c>
      <c r="F231" s="227" t="s">
        <v>1791</v>
      </c>
      <c r="G231" s="180" t="s">
        <v>183</v>
      </c>
      <c r="H231" s="227" t="s">
        <v>1251</v>
      </c>
      <c r="I231" s="245" t="s">
        <v>1309</v>
      </c>
      <c r="J231" s="245" t="s">
        <v>52</v>
      </c>
      <c r="K231" s="245">
        <v>3</v>
      </c>
      <c r="L231" s="283">
        <v>8.6999999999999993</v>
      </c>
      <c r="M231" s="277">
        <v>42</v>
      </c>
      <c r="N231" s="278">
        <v>7</v>
      </c>
      <c r="O231" s="277">
        <v>0.1</v>
      </c>
      <c r="P231" s="239">
        <f t="shared" si="66"/>
        <v>2.1633230256605378</v>
      </c>
      <c r="Q231" s="262" t="str">
        <f t="shared" si="80"/>
        <v>Gadd Daph</v>
      </c>
      <c r="R231" s="263">
        <f t="shared" si="82"/>
        <v>-3.1260462443704888</v>
      </c>
      <c r="S231" s="220">
        <f t="shared" si="71"/>
        <v>5.2893692700310266</v>
      </c>
      <c r="T231" s="236">
        <f t="shared" si="68"/>
        <v>24</v>
      </c>
      <c r="U231" s="221" t="str">
        <f t="shared" si="83"/>
        <v>24-DEV-NEC-Larvae</v>
      </c>
      <c r="V231" s="222" cm="1">
        <f t="array" ref="V231">GEOMEAN(IF(U231=$U$7:$U$360,$S$7:$S$360))</f>
        <v>5.2893692700310266</v>
      </c>
      <c r="W231" s="264">
        <f t="shared" si="65"/>
        <v>2.1664815861223166</v>
      </c>
      <c r="X231" s="225">
        <f t="shared" si="67"/>
        <v>8.7275229195383233</v>
      </c>
      <c r="Y231" s="225">
        <f t="shared" si="84"/>
        <v>8.7275229195383233</v>
      </c>
      <c r="Z231" s="226"/>
      <c r="AA231" s="226"/>
      <c r="AB231" s="254"/>
      <c r="AC231" s="228" t="s">
        <v>1772</v>
      </c>
      <c r="AD231" s="276">
        <v>0.83</v>
      </c>
      <c r="AE231" s="228" t="s">
        <v>1773</v>
      </c>
      <c r="AG231" s="248"/>
      <c r="AI231" s="244"/>
    </row>
    <row r="232" spans="1:38" s="182" customFormat="1" ht="15.75" customHeight="1" x14ac:dyDescent="0.25">
      <c r="A232" s="182" t="s">
        <v>1913</v>
      </c>
      <c r="B232" s="246"/>
      <c r="C232" s="227">
        <v>2017</v>
      </c>
      <c r="D232" s="227" t="s">
        <v>1785</v>
      </c>
      <c r="E232" s="227" t="s">
        <v>1795</v>
      </c>
      <c r="F232" s="227" t="s">
        <v>1792</v>
      </c>
      <c r="G232" s="180" t="s">
        <v>183</v>
      </c>
      <c r="H232" s="227" t="s">
        <v>1251</v>
      </c>
      <c r="I232" s="245" t="s">
        <v>1309</v>
      </c>
      <c r="J232" s="245" t="s">
        <v>52</v>
      </c>
      <c r="K232" s="245">
        <v>3</v>
      </c>
      <c r="L232" s="282">
        <v>10</v>
      </c>
      <c r="M232" s="277">
        <v>42</v>
      </c>
      <c r="N232" s="278">
        <v>7</v>
      </c>
      <c r="O232" s="277">
        <v>0.1</v>
      </c>
      <c r="P232" s="239">
        <f t="shared" si="66"/>
        <v>2.3025850929940459</v>
      </c>
      <c r="Q232" s="262" t="str">
        <f t="shared" si="80"/>
        <v>Gadd Daph</v>
      </c>
      <c r="R232" s="263">
        <f t="shared" si="82"/>
        <v>-3.1260462443704888</v>
      </c>
      <c r="S232" s="220">
        <f t="shared" si="71"/>
        <v>5.4286313373645347</v>
      </c>
      <c r="T232" s="236">
        <f t="shared" si="68"/>
        <v>25</v>
      </c>
      <c r="U232" s="221" t="str">
        <f t="shared" si="83"/>
        <v>25-DEV-NEC-Larvae</v>
      </c>
      <c r="V232" s="222" cm="1">
        <f t="array" ref="V232">GEOMEAN(IF(U232=$U$7:$U$360,$S$7:$S$360))</f>
        <v>5.4286313373645347</v>
      </c>
      <c r="W232" s="264">
        <f t="shared" si="65"/>
        <v>2.3057436534558247</v>
      </c>
      <c r="X232" s="225">
        <f t="shared" si="67"/>
        <v>10.031635539699227</v>
      </c>
      <c r="Y232" s="225">
        <f t="shared" si="84"/>
        <v>10.031635539699227</v>
      </c>
      <c r="Z232" s="226"/>
      <c r="AA232" s="226"/>
      <c r="AB232" s="254"/>
      <c r="AC232" s="228" t="s">
        <v>1772</v>
      </c>
      <c r="AD232" s="276">
        <v>0.83</v>
      </c>
      <c r="AE232" s="228" t="s">
        <v>1773</v>
      </c>
      <c r="AG232" s="248"/>
      <c r="AI232" s="244"/>
    </row>
    <row r="233" spans="1:38" s="182" customFormat="1" ht="15.75" customHeight="1" x14ac:dyDescent="0.25">
      <c r="A233" s="182" t="s">
        <v>1914</v>
      </c>
      <c r="B233" s="246"/>
      <c r="C233" s="227">
        <v>2017</v>
      </c>
      <c r="D233" s="227" t="s">
        <v>1785</v>
      </c>
      <c r="E233" s="227" t="s">
        <v>1795</v>
      </c>
      <c r="F233" s="227" t="s">
        <v>1793</v>
      </c>
      <c r="G233" s="180" t="s">
        <v>183</v>
      </c>
      <c r="H233" s="227" t="s">
        <v>1251</v>
      </c>
      <c r="I233" s="245" t="s">
        <v>1309</v>
      </c>
      <c r="J233" s="245" t="s">
        <v>52</v>
      </c>
      <c r="K233" s="245">
        <v>3</v>
      </c>
      <c r="L233" s="282">
        <v>11</v>
      </c>
      <c r="M233" s="277">
        <v>42</v>
      </c>
      <c r="N233" s="278">
        <v>7</v>
      </c>
      <c r="O233" s="277">
        <v>0.1</v>
      </c>
      <c r="P233" s="239">
        <f t="shared" si="66"/>
        <v>2.3978952727983707</v>
      </c>
      <c r="Q233" s="262" t="str">
        <f t="shared" si="80"/>
        <v>Gadd Daph</v>
      </c>
      <c r="R233" s="263">
        <f t="shared" si="82"/>
        <v>-3.1260462443704888</v>
      </c>
      <c r="S233" s="220">
        <f t="shared" si="71"/>
        <v>5.5239415171688595</v>
      </c>
      <c r="T233" s="236">
        <f t="shared" si="68"/>
        <v>26</v>
      </c>
      <c r="U233" s="221" t="str">
        <f t="shared" si="83"/>
        <v>26-DEV-NEC-Larvae</v>
      </c>
      <c r="V233" s="222" cm="1">
        <f t="array" ref="V233">GEOMEAN(IF(U233=$U$7:$U$360,$S$7:$S$360))</f>
        <v>5.5239415171688595</v>
      </c>
      <c r="W233" s="264">
        <f t="shared" si="65"/>
        <v>2.4010538332601494</v>
      </c>
      <c r="X233" s="225">
        <f t="shared" si="67"/>
        <v>11.034799093669148</v>
      </c>
      <c r="Y233" s="225">
        <f t="shared" si="84"/>
        <v>11.034799093669148</v>
      </c>
      <c r="Z233" s="226"/>
      <c r="AA233" s="226"/>
      <c r="AB233" s="254"/>
      <c r="AC233" s="228" t="s">
        <v>1772</v>
      </c>
      <c r="AD233" s="276">
        <v>0.83</v>
      </c>
      <c r="AE233" s="228" t="s">
        <v>1773</v>
      </c>
      <c r="AG233" s="248"/>
      <c r="AI233" s="244"/>
    </row>
    <row r="234" spans="1:38" s="182" customFormat="1" ht="15.75" customHeight="1" x14ac:dyDescent="0.25">
      <c r="B234" s="183"/>
      <c r="C234" s="217">
        <v>2010</v>
      </c>
      <c r="D234" s="261" t="s">
        <v>1378</v>
      </c>
      <c r="E234" s="180" t="s">
        <v>1379</v>
      </c>
      <c r="F234" s="180" t="s">
        <v>1380</v>
      </c>
      <c r="G234" s="180" t="s">
        <v>183</v>
      </c>
      <c r="H234" s="180" t="s">
        <v>1381</v>
      </c>
      <c r="I234" s="180" t="s">
        <v>81</v>
      </c>
      <c r="J234" s="180" t="s">
        <v>54</v>
      </c>
      <c r="K234" s="180">
        <v>28</v>
      </c>
      <c r="L234" s="180">
        <v>45</v>
      </c>
      <c r="M234" s="180">
        <v>48</v>
      </c>
      <c r="N234" s="180">
        <v>8</v>
      </c>
      <c r="O234" s="94">
        <v>0.5</v>
      </c>
      <c r="P234" s="239">
        <f t="shared" si="66"/>
        <v>3.8066624897703196</v>
      </c>
      <c r="Q234" s="262" t="str">
        <f t="shared" si="80"/>
        <v>Gadd Daph</v>
      </c>
      <c r="R234" s="263">
        <f t="shared" si="82"/>
        <v>-3.3203642205097257</v>
      </c>
      <c r="S234" s="220">
        <f t="shared" si="71"/>
        <v>7.1270267102800453</v>
      </c>
      <c r="T234" s="236">
        <f t="shared" si="68"/>
        <v>27</v>
      </c>
      <c r="U234" s="221" t="str">
        <f t="shared" si="83"/>
        <v>27-GRO-NOEC-Juvenile (2-mo)</v>
      </c>
      <c r="V234" s="222" cm="1">
        <f t="array" ref="V234">GEOMEAN(IF(U234=$U$7:$U$360,$S$7:$S$360))</f>
        <v>7.1270267102800453</v>
      </c>
      <c r="W234" s="264">
        <f t="shared" si="65"/>
        <v>4.0041390263713357</v>
      </c>
      <c r="X234" s="225">
        <f t="shared" si="67"/>
        <v>54.824601537042319</v>
      </c>
      <c r="Y234" s="225"/>
      <c r="Z234" s="226" t="s">
        <v>1469</v>
      </c>
      <c r="AA234" s="194"/>
      <c r="AB234" s="227" t="s">
        <v>1846</v>
      </c>
      <c r="AC234" s="243" t="s">
        <v>1798</v>
      </c>
      <c r="AD234" s="228"/>
      <c r="AE234" s="229" t="s">
        <v>1584</v>
      </c>
      <c r="AG234" s="248"/>
      <c r="AH234" s="281"/>
      <c r="AI234" s="244"/>
      <c r="AJ234" s="281"/>
      <c r="AK234" s="281"/>
      <c r="AL234" s="281"/>
    </row>
    <row r="235" spans="1:38" s="182" customFormat="1" ht="15.75" customHeight="1" x14ac:dyDescent="0.25">
      <c r="B235" s="183"/>
      <c r="C235" s="217">
        <v>2010</v>
      </c>
      <c r="D235" s="261" t="s">
        <v>1378</v>
      </c>
      <c r="E235" s="180" t="s">
        <v>1379</v>
      </c>
      <c r="F235" s="180" t="s">
        <v>1380</v>
      </c>
      <c r="G235" s="180" t="s">
        <v>183</v>
      </c>
      <c r="H235" s="180" t="s">
        <v>1382</v>
      </c>
      <c r="I235" s="180" t="s">
        <v>81</v>
      </c>
      <c r="J235" s="180" t="s">
        <v>54</v>
      </c>
      <c r="K235" s="180">
        <v>28</v>
      </c>
      <c r="L235" s="180">
        <v>48</v>
      </c>
      <c r="M235" s="180">
        <v>49</v>
      </c>
      <c r="N235" s="180">
        <v>7.8</v>
      </c>
      <c r="O235" s="94">
        <v>0.5</v>
      </c>
      <c r="P235" s="239">
        <f t="shared" si="66"/>
        <v>3.8712010109078911</v>
      </c>
      <c r="Q235" s="262" t="str">
        <f t="shared" si="80"/>
        <v>Gadd Daph</v>
      </c>
      <c r="R235" s="263">
        <f t="shared" si="82"/>
        <v>-3.17670117681</v>
      </c>
      <c r="S235" s="220">
        <f t="shared" si="71"/>
        <v>7.0479021877178916</v>
      </c>
      <c r="T235" s="236">
        <f t="shared" si="68"/>
        <v>27</v>
      </c>
      <c r="U235" s="221" t="str">
        <f t="shared" si="83"/>
        <v>27-GRO-NOEC-Juvenile (4-mo)</v>
      </c>
      <c r="V235" s="222" cm="1">
        <f t="array" ref="V235">GEOMEAN(IF(U235=$U$7:$U$360,$S$7:$S$360))</f>
        <v>7.0479021877178916</v>
      </c>
      <c r="W235" s="264">
        <f t="shared" si="65"/>
        <v>3.9250145038091815</v>
      </c>
      <c r="X235" s="225">
        <f t="shared" si="67"/>
        <v>50.653812726744981</v>
      </c>
      <c r="Y235" s="225"/>
      <c r="Z235" s="226" t="s">
        <v>1469</v>
      </c>
      <c r="AA235" s="194"/>
      <c r="AB235" s="227" t="s">
        <v>1846</v>
      </c>
      <c r="AC235" s="243" t="s">
        <v>1798</v>
      </c>
      <c r="AD235" s="228"/>
      <c r="AE235" s="229" t="s">
        <v>1584</v>
      </c>
      <c r="AG235" s="248"/>
      <c r="AI235" s="244"/>
    </row>
    <row r="236" spans="1:38" s="281" customFormat="1" ht="15.75" customHeight="1" x14ac:dyDescent="0.25">
      <c r="B236" s="183"/>
      <c r="C236" s="217">
        <v>2010</v>
      </c>
      <c r="D236" s="261" t="s">
        <v>1378</v>
      </c>
      <c r="E236" s="180" t="s">
        <v>1379</v>
      </c>
      <c r="F236" s="180" t="s">
        <v>1380</v>
      </c>
      <c r="G236" s="180" t="s">
        <v>183</v>
      </c>
      <c r="H236" s="180" t="s">
        <v>1381</v>
      </c>
      <c r="I236" s="180" t="s">
        <v>81</v>
      </c>
      <c r="J236" s="180" t="s">
        <v>1062</v>
      </c>
      <c r="K236" s="180">
        <v>28</v>
      </c>
      <c r="L236" s="183">
        <v>55</v>
      </c>
      <c r="M236" s="180">
        <v>48</v>
      </c>
      <c r="N236" s="181">
        <v>8</v>
      </c>
      <c r="O236" s="94">
        <v>0.5</v>
      </c>
      <c r="P236" s="239">
        <f t="shared" si="66"/>
        <v>4.0073331852324712</v>
      </c>
      <c r="Q236" s="262" t="str">
        <f t="shared" si="80"/>
        <v>Gadd Daph</v>
      </c>
      <c r="R236" s="263">
        <f t="shared" si="82"/>
        <v>-3.3203642205097257</v>
      </c>
      <c r="S236" s="220">
        <f t="shared" si="71"/>
        <v>7.3276974057421969</v>
      </c>
      <c r="T236" s="236">
        <f t="shared" si="68"/>
        <v>27</v>
      </c>
      <c r="U236" s="221" t="str">
        <f t="shared" si="83"/>
        <v>27-GRO-IC10-Juvenile (2-mo)</v>
      </c>
      <c r="V236" s="222" cm="1">
        <f t="array" ref="V236">GEOMEAN(IF(U236=$U$7:$U$360,$S$7:$S$360))</f>
        <v>6.8239081016730081</v>
      </c>
      <c r="W236" s="264">
        <f t="shared" si="65"/>
        <v>3.701020417764298</v>
      </c>
      <c r="X236" s="225">
        <f t="shared" si="67"/>
        <v>40.488598573045472</v>
      </c>
      <c r="Y236" s="225">
        <f t="shared" ref="Y236:Y237" si="85">X236</f>
        <v>40.488598573045472</v>
      </c>
      <c r="Z236" s="226"/>
      <c r="AA236" s="194"/>
      <c r="AB236" s="227" t="s">
        <v>1846</v>
      </c>
      <c r="AC236" s="243" t="s">
        <v>1798</v>
      </c>
      <c r="AD236" s="228"/>
      <c r="AE236" s="229" t="s">
        <v>1584</v>
      </c>
      <c r="AG236" s="248"/>
      <c r="AI236" s="244"/>
    </row>
    <row r="237" spans="1:38" s="281" customFormat="1" ht="15.75" customHeight="1" x14ac:dyDescent="0.25">
      <c r="B237" s="183"/>
      <c r="C237" s="217">
        <v>2010</v>
      </c>
      <c r="D237" s="261" t="s">
        <v>1378</v>
      </c>
      <c r="E237" s="180" t="s">
        <v>1379</v>
      </c>
      <c r="F237" s="180" t="s">
        <v>1380</v>
      </c>
      <c r="G237" s="180" t="s">
        <v>183</v>
      </c>
      <c r="H237" s="180" t="s">
        <v>1381</v>
      </c>
      <c r="I237" s="180" t="s">
        <v>81</v>
      </c>
      <c r="J237" s="180" t="s">
        <v>1062</v>
      </c>
      <c r="K237" s="180">
        <v>28</v>
      </c>
      <c r="L237" s="227">
        <v>24</v>
      </c>
      <c r="M237" s="180">
        <v>49</v>
      </c>
      <c r="N237" s="181">
        <v>7.8</v>
      </c>
      <c r="O237" s="94">
        <v>0.5</v>
      </c>
      <c r="P237" s="239">
        <f t="shared" si="66"/>
        <v>3.1780538303479458</v>
      </c>
      <c r="Q237" s="262" t="str">
        <f t="shared" si="80"/>
        <v>Gadd Daph</v>
      </c>
      <c r="R237" s="263">
        <f t="shared" si="82"/>
        <v>-3.17670117681</v>
      </c>
      <c r="S237" s="220">
        <f t="shared" si="71"/>
        <v>6.3547550071579462</v>
      </c>
      <c r="T237" s="236">
        <f t="shared" si="68"/>
        <v>27</v>
      </c>
      <c r="U237" s="221" t="str">
        <f t="shared" si="83"/>
        <v>27-GRO-IC10-Juvenile (2-mo)</v>
      </c>
      <c r="V237" s="222" cm="1">
        <f t="array" ref="V237">GEOMEAN(IF(U237=$U$7:$U$360,$S$7:$S$360))</f>
        <v>6.8239081016730081</v>
      </c>
      <c r="W237" s="264">
        <f t="shared" si="65"/>
        <v>3.701020417764298</v>
      </c>
      <c r="X237" s="225">
        <f t="shared" si="67"/>
        <v>40.488598573045472</v>
      </c>
      <c r="Y237" s="225">
        <f t="shared" si="85"/>
        <v>40.488598573045472</v>
      </c>
      <c r="Z237" s="226"/>
      <c r="AA237" s="194"/>
      <c r="AB237" s="227" t="s">
        <v>1846</v>
      </c>
      <c r="AC237" s="228" t="s">
        <v>1915</v>
      </c>
      <c r="AD237" s="228"/>
      <c r="AE237" s="229" t="s">
        <v>1584</v>
      </c>
      <c r="AG237" s="248"/>
      <c r="AI237" s="244"/>
    </row>
    <row r="238" spans="1:38" s="281" customFormat="1" ht="15.75" customHeight="1" x14ac:dyDescent="0.25">
      <c r="B238" s="183"/>
      <c r="C238" s="217">
        <v>2010</v>
      </c>
      <c r="D238" s="261" t="s">
        <v>1378</v>
      </c>
      <c r="E238" s="180" t="s">
        <v>1379</v>
      </c>
      <c r="F238" s="180" t="s">
        <v>1380</v>
      </c>
      <c r="G238" s="180" t="s">
        <v>183</v>
      </c>
      <c r="H238" s="180" t="s">
        <v>1381</v>
      </c>
      <c r="I238" s="180" t="s">
        <v>237</v>
      </c>
      <c r="J238" s="180" t="s">
        <v>54</v>
      </c>
      <c r="K238" s="180">
        <v>28</v>
      </c>
      <c r="L238" s="180">
        <v>87</v>
      </c>
      <c r="M238" s="180">
        <v>48</v>
      </c>
      <c r="N238" s="180">
        <v>8</v>
      </c>
      <c r="O238" s="94">
        <v>0.5</v>
      </c>
      <c r="P238" s="239">
        <f t="shared" si="66"/>
        <v>4.4659081186545837</v>
      </c>
      <c r="Q238" s="262" t="str">
        <f t="shared" si="80"/>
        <v>Gadd Daph</v>
      </c>
      <c r="R238" s="263">
        <f t="shared" si="82"/>
        <v>-3.3203642205097257</v>
      </c>
      <c r="S238" s="220">
        <f t="shared" si="71"/>
        <v>7.7862723391643094</v>
      </c>
      <c r="T238" s="236">
        <f t="shared" si="68"/>
        <v>27</v>
      </c>
      <c r="U238" s="221" t="str">
        <f t="shared" si="83"/>
        <v>27-MOR-NOEC-Juvenile (2-mo)</v>
      </c>
      <c r="V238" s="222" cm="1">
        <f t="array" ref="V238">GEOMEAN(IF(U238=$U$7:$U$360,$S$7:$S$360))</f>
        <v>7.7862723391643094</v>
      </c>
      <c r="W238" s="264">
        <f t="shared" si="65"/>
        <v>4.6633846552555998</v>
      </c>
      <c r="X238" s="225">
        <f t="shared" si="67"/>
        <v>105.99422963828182</v>
      </c>
      <c r="Y238" s="225"/>
      <c r="Z238" s="226" t="s">
        <v>1469</v>
      </c>
      <c r="AA238" s="194"/>
      <c r="AB238" s="227" t="s">
        <v>1846</v>
      </c>
      <c r="AC238" s="243" t="s">
        <v>1798</v>
      </c>
      <c r="AD238" s="228"/>
      <c r="AE238" s="229" t="s">
        <v>1584</v>
      </c>
      <c r="AG238" s="248"/>
      <c r="AI238" s="244"/>
    </row>
    <row r="239" spans="1:38" s="182" customFormat="1" ht="15.75" customHeight="1" x14ac:dyDescent="0.25">
      <c r="B239" s="183"/>
      <c r="C239" s="217">
        <v>2010</v>
      </c>
      <c r="D239" s="261" t="s">
        <v>1378</v>
      </c>
      <c r="E239" s="180" t="s">
        <v>1379</v>
      </c>
      <c r="F239" s="180" t="s">
        <v>1380</v>
      </c>
      <c r="G239" s="180" t="s">
        <v>183</v>
      </c>
      <c r="H239" s="180" t="s">
        <v>1382</v>
      </c>
      <c r="I239" s="180" t="s">
        <v>237</v>
      </c>
      <c r="J239" s="180" t="s">
        <v>54</v>
      </c>
      <c r="K239" s="180">
        <v>28</v>
      </c>
      <c r="L239" s="180">
        <v>97</v>
      </c>
      <c r="M239" s="180">
        <v>49</v>
      </c>
      <c r="N239" s="180">
        <v>7.8</v>
      </c>
      <c r="O239" s="94">
        <v>0.5</v>
      </c>
      <c r="P239" s="239">
        <f t="shared" si="66"/>
        <v>4.5747109785033828</v>
      </c>
      <c r="Q239" s="262" t="str">
        <f t="shared" si="80"/>
        <v>Gadd Daph</v>
      </c>
      <c r="R239" s="263">
        <f t="shared" si="82"/>
        <v>-3.17670117681</v>
      </c>
      <c r="S239" s="220">
        <f t="shared" si="71"/>
        <v>7.7514121553133828</v>
      </c>
      <c r="T239" s="236">
        <f t="shared" si="68"/>
        <v>27</v>
      </c>
      <c r="U239" s="221" t="str">
        <f t="shared" si="83"/>
        <v>27-MOR-NOEC-Juvenile (4-mo)</v>
      </c>
      <c r="V239" s="222" cm="1">
        <f t="array" ref="V239">GEOMEAN(IF(U239=$U$7:$U$360,$S$7:$S$360))</f>
        <v>7.7514121553133828</v>
      </c>
      <c r="W239" s="264">
        <f t="shared" si="65"/>
        <v>4.6285244714046723</v>
      </c>
      <c r="X239" s="225">
        <f t="shared" si="67"/>
        <v>102.36291321863037</v>
      </c>
      <c r="Y239" s="225"/>
      <c r="Z239" s="226" t="s">
        <v>1469</v>
      </c>
      <c r="AA239" s="194"/>
      <c r="AB239" s="227" t="s">
        <v>1846</v>
      </c>
      <c r="AC239" s="243" t="s">
        <v>1798</v>
      </c>
      <c r="AD239" s="228"/>
      <c r="AE239" s="229" t="s">
        <v>1584</v>
      </c>
      <c r="AG239" s="248"/>
      <c r="AI239" s="244"/>
    </row>
    <row r="240" spans="1:38" s="281" customFormat="1" ht="15.75" customHeight="1" x14ac:dyDescent="0.25">
      <c r="B240" s="183"/>
      <c r="C240" s="217">
        <v>2010</v>
      </c>
      <c r="D240" s="261" t="s">
        <v>1378</v>
      </c>
      <c r="E240" s="180" t="s">
        <v>1379</v>
      </c>
      <c r="F240" s="180" t="s">
        <v>1380</v>
      </c>
      <c r="G240" s="180" t="s">
        <v>183</v>
      </c>
      <c r="H240" s="180" t="s">
        <v>1381</v>
      </c>
      <c r="I240" s="180" t="s">
        <v>237</v>
      </c>
      <c r="J240" s="180" t="s">
        <v>1062</v>
      </c>
      <c r="K240" s="180">
        <v>28</v>
      </c>
      <c r="L240" s="180">
        <v>127</v>
      </c>
      <c r="M240" s="180">
        <v>48</v>
      </c>
      <c r="N240" s="181">
        <v>8</v>
      </c>
      <c r="O240" s="94">
        <v>0.5</v>
      </c>
      <c r="P240" s="239">
        <f t="shared" si="66"/>
        <v>4.8441870864585912</v>
      </c>
      <c r="Q240" s="262" t="str">
        <f t="shared" si="80"/>
        <v>Gadd Daph</v>
      </c>
      <c r="R240" s="263">
        <f t="shared" si="82"/>
        <v>-3.3203642205097257</v>
      </c>
      <c r="S240" s="220">
        <f t="shared" si="71"/>
        <v>8.1645513069683169</v>
      </c>
      <c r="T240" s="236">
        <f t="shared" si="68"/>
        <v>27</v>
      </c>
      <c r="U240" s="221" t="str">
        <f t="shared" si="83"/>
        <v>27-MOR-IC10-Juvenile (2-mo)</v>
      </c>
      <c r="V240" s="222" cm="1">
        <f t="array" ref="V240">GEOMEAN(IF(U240=$U$7:$U$360,$S$7:$S$360))</f>
        <v>8.1645513069683169</v>
      </c>
      <c r="W240" s="264">
        <f t="shared" si="65"/>
        <v>5.0416636230596072</v>
      </c>
      <c r="X240" s="225">
        <f t="shared" si="67"/>
        <v>154.72720878231945</v>
      </c>
      <c r="Y240" s="225">
        <f t="shared" ref="Y240:Y255" si="86">X240</f>
        <v>154.72720878231945</v>
      </c>
      <c r="Z240" s="226"/>
      <c r="AA240" s="194"/>
      <c r="AB240" s="227" t="s">
        <v>1846</v>
      </c>
      <c r="AC240" s="243" t="s">
        <v>1798</v>
      </c>
      <c r="AD240" s="228"/>
      <c r="AE240" s="229" t="s">
        <v>1584</v>
      </c>
      <c r="AG240" s="248"/>
      <c r="AI240" s="244"/>
    </row>
    <row r="241" spans="1:38" s="182" customFormat="1" ht="15.75" customHeight="1" x14ac:dyDescent="0.25">
      <c r="B241" s="183"/>
      <c r="C241" s="217">
        <v>2010</v>
      </c>
      <c r="D241" s="261" t="s">
        <v>1378</v>
      </c>
      <c r="E241" s="180" t="s">
        <v>1379</v>
      </c>
      <c r="F241" s="180" t="s">
        <v>1380</v>
      </c>
      <c r="G241" s="180" t="s">
        <v>183</v>
      </c>
      <c r="H241" s="180" t="s">
        <v>1382</v>
      </c>
      <c r="I241" s="180" t="s">
        <v>237</v>
      </c>
      <c r="J241" s="180" t="s">
        <v>1062</v>
      </c>
      <c r="K241" s="180">
        <v>28</v>
      </c>
      <c r="L241" s="180">
        <v>125</v>
      </c>
      <c r="M241" s="180">
        <v>49</v>
      </c>
      <c r="N241" s="181">
        <v>7.8</v>
      </c>
      <c r="O241" s="94">
        <v>0.5</v>
      </c>
      <c r="P241" s="239">
        <f t="shared" si="66"/>
        <v>4.8283137373023015</v>
      </c>
      <c r="Q241" s="262" t="str">
        <f t="shared" si="80"/>
        <v>Gadd Daph</v>
      </c>
      <c r="R241" s="263">
        <f t="shared" si="82"/>
        <v>-3.17670117681</v>
      </c>
      <c r="S241" s="220">
        <f t="shared" si="71"/>
        <v>8.0050149141123015</v>
      </c>
      <c r="T241" s="236">
        <f t="shared" si="68"/>
        <v>27</v>
      </c>
      <c r="U241" s="221" t="str">
        <f t="shared" si="83"/>
        <v>27-MOR-IC10-Juvenile (4-mo)</v>
      </c>
      <c r="V241" s="222" cm="1">
        <f t="array" ref="V241">GEOMEAN(IF(U241=$U$7:$U$360,$S$7:$S$360))</f>
        <v>8.0050149141123015</v>
      </c>
      <c r="W241" s="264">
        <f t="shared" si="65"/>
        <v>4.8821272302035918</v>
      </c>
      <c r="X241" s="225">
        <f t="shared" si="67"/>
        <v>131.91097064256508</v>
      </c>
      <c r="Y241" s="225">
        <f t="shared" si="86"/>
        <v>131.91097064256508</v>
      </c>
      <c r="Z241" s="226"/>
      <c r="AA241" s="194"/>
      <c r="AB241" s="227" t="s">
        <v>1846</v>
      </c>
      <c r="AC241" s="243" t="s">
        <v>1798</v>
      </c>
      <c r="AD241" s="228"/>
      <c r="AE241" s="229" t="s">
        <v>1584</v>
      </c>
      <c r="AG241" s="248"/>
      <c r="AI241" s="244"/>
    </row>
    <row r="242" spans="1:38" s="281" customFormat="1" ht="15.75" customHeight="1" x14ac:dyDescent="0.25">
      <c r="B242" s="183"/>
      <c r="C242" s="289">
        <v>2010</v>
      </c>
      <c r="D242" s="290" t="s">
        <v>1548</v>
      </c>
      <c r="E242" s="291" t="s">
        <v>1551</v>
      </c>
      <c r="F242" s="292" t="s">
        <v>1549</v>
      </c>
      <c r="G242" s="180" t="s">
        <v>183</v>
      </c>
      <c r="H242" s="180" t="s">
        <v>1550</v>
      </c>
      <c r="I242" s="291" t="s">
        <v>81</v>
      </c>
      <c r="J242" s="293" t="s">
        <v>49</v>
      </c>
      <c r="K242" s="293">
        <v>28</v>
      </c>
      <c r="L242" s="294">
        <v>1629</v>
      </c>
      <c r="M242" s="180">
        <v>256</v>
      </c>
      <c r="N242" s="181">
        <v>7.81</v>
      </c>
      <c r="O242" s="94">
        <v>12.7</v>
      </c>
      <c r="P242" s="239">
        <f t="shared" si="66"/>
        <v>7.3957216086020452</v>
      </c>
      <c r="Q242" s="262" t="str">
        <f t="shared" si="80"/>
        <v>Gadd Daph</v>
      </c>
      <c r="R242" s="263">
        <f t="shared" si="82"/>
        <v>-1.1364590065117559</v>
      </c>
      <c r="S242" s="220">
        <f t="shared" si="71"/>
        <v>8.532180615113802</v>
      </c>
      <c r="T242" s="236">
        <f t="shared" si="68"/>
        <v>28</v>
      </c>
      <c r="U242" s="221" t="str">
        <f t="shared" si="83"/>
        <v>28-GRO-EC10-21 days</v>
      </c>
      <c r="V242" s="222" cm="1">
        <f t="array" ref="V242">GEOMEAN(IF(U242=$U$7:$U$360,$S$7:$S$360))</f>
        <v>8.2648873022803198</v>
      </c>
      <c r="W242" s="264">
        <f t="shared" si="65"/>
        <v>5.1419996183716101</v>
      </c>
      <c r="X242" s="225">
        <f t="shared" si="67"/>
        <v>171.05747623683536</v>
      </c>
      <c r="Y242" s="225">
        <f t="shared" si="86"/>
        <v>171.05747623683536</v>
      </c>
      <c r="Z242" s="226"/>
      <c r="AA242" s="194" t="s">
        <v>1558</v>
      </c>
      <c r="AB242" s="227" t="s">
        <v>1846</v>
      </c>
      <c r="AC242" s="243" t="s">
        <v>1798</v>
      </c>
      <c r="AD242" s="228"/>
      <c r="AE242" s="229" t="s">
        <v>1584</v>
      </c>
      <c r="AG242" s="248"/>
      <c r="AI242" s="244"/>
    </row>
    <row r="243" spans="1:38" s="182" customFormat="1" ht="15.75" customHeight="1" x14ac:dyDescent="0.25">
      <c r="B243" s="183"/>
      <c r="C243" s="289">
        <v>2010</v>
      </c>
      <c r="D243" s="290" t="s">
        <v>1548</v>
      </c>
      <c r="E243" s="291" t="s">
        <v>1552</v>
      </c>
      <c r="F243" s="292" t="s">
        <v>1549</v>
      </c>
      <c r="G243" s="180" t="s">
        <v>183</v>
      </c>
      <c r="H243" s="180" t="s">
        <v>1550</v>
      </c>
      <c r="I243" s="291" t="s">
        <v>81</v>
      </c>
      <c r="J243" s="293" t="s">
        <v>49</v>
      </c>
      <c r="K243" s="293">
        <v>28</v>
      </c>
      <c r="L243" s="294">
        <v>910</v>
      </c>
      <c r="M243" s="180">
        <v>225</v>
      </c>
      <c r="N243" s="181">
        <v>7.9</v>
      </c>
      <c r="O243" s="94">
        <v>7.82</v>
      </c>
      <c r="P243" s="239">
        <f t="shared" si="66"/>
        <v>6.8134445995108956</v>
      </c>
      <c r="Q243" s="262" t="str">
        <f t="shared" si="80"/>
        <v>Gadd Daph</v>
      </c>
      <c r="R243" s="263">
        <f t="shared" si="82"/>
        <v>-1.4088933362562495</v>
      </c>
      <c r="S243" s="220">
        <f t="shared" si="71"/>
        <v>8.2223379357671451</v>
      </c>
      <c r="T243" s="236">
        <f t="shared" si="68"/>
        <v>28</v>
      </c>
      <c r="U243" s="221" t="str">
        <f t="shared" si="83"/>
        <v>28-GRO-EC10-21 days</v>
      </c>
      <c r="V243" s="222" cm="1">
        <f t="array" ref="V243">GEOMEAN(IF(U243=$U$7:$U$360,$S$7:$S$360))</f>
        <v>8.2648873022803198</v>
      </c>
      <c r="W243" s="264">
        <f t="shared" si="65"/>
        <v>5.1419996183716101</v>
      </c>
      <c r="X243" s="225">
        <f t="shared" si="67"/>
        <v>171.05747623683536</v>
      </c>
      <c r="Y243" s="225">
        <f t="shared" si="86"/>
        <v>171.05747623683536</v>
      </c>
      <c r="Z243" s="226"/>
      <c r="AA243" s="194" t="s">
        <v>1558</v>
      </c>
      <c r="AB243" s="227" t="s">
        <v>1846</v>
      </c>
      <c r="AC243" s="243" t="s">
        <v>1798</v>
      </c>
      <c r="AD243" s="228"/>
      <c r="AE243" s="229" t="s">
        <v>1584</v>
      </c>
      <c r="AG243" s="248"/>
      <c r="AI243" s="244"/>
    </row>
    <row r="244" spans="1:38" s="281" customFormat="1" ht="15.75" customHeight="1" x14ac:dyDescent="0.25">
      <c r="B244" s="183"/>
      <c r="C244" s="289">
        <v>2010</v>
      </c>
      <c r="D244" s="290" t="s">
        <v>1548</v>
      </c>
      <c r="E244" s="291" t="s">
        <v>1553</v>
      </c>
      <c r="F244" s="292" t="s">
        <v>1549</v>
      </c>
      <c r="G244" s="180" t="s">
        <v>183</v>
      </c>
      <c r="H244" s="180" t="s">
        <v>1550</v>
      </c>
      <c r="I244" s="291" t="s">
        <v>81</v>
      </c>
      <c r="J244" s="293" t="s">
        <v>49</v>
      </c>
      <c r="K244" s="293">
        <v>28</v>
      </c>
      <c r="L244" s="294">
        <v>200</v>
      </c>
      <c r="M244" s="180">
        <v>37.6</v>
      </c>
      <c r="N244" s="181">
        <v>7.41</v>
      </c>
      <c r="O244" s="94">
        <v>2.85</v>
      </c>
      <c r="P244" s="239">
        <f t="shared" si="66"/>
        <v>5.2983173665480363</v>
      </c>
      <c r="Q244" s="262" t="str">
        <f t="shared" si="80"/>
        <v>Gadd Daph</v>
      </c>
      <c r="R244" s="263">
        <f t="shared" si="82"/>
        <v>-2.3325232369415234</v>
      </c>
      <c r="S244" s="220">
        <f t="shared" si="71"/>
        <v>7.6308406034895597</v>
      </c>
      <c r="T244" s="236">
        <f t="shared" si="68"/>
        <v>28</v>
      </c>
      <c r="U244" s="221" t="str">
        <f t="shared" si="83"/>
        <v>28-GRO-EC10-21 days</v>
      </c>
      <c r="V244" s="222" cm="1">
        <f t="array" ref="V244">GEOMEAN(IF(U244=$U$7:$U$360,$S$7:$S$360))</f>
        <v>8.2648873022803198</v>
      </c>
      <c r="W244" s="264">
        <f t="shared" si="65"/>
        <v>5.1419996183716101</v>
      </c>
      <c r="X244" s="225">
        <f t="shared" si="67"/>
        <v>171.05747623683536</v>
      </c>
      <c r="Y244" s="225">
        <f t="shared" si="86"/>
        <v>171.05747623683536</v>
      </c>
      <c r="Z244" s="226"/>
      <c r="AA244" s="194" t="s">
        <v>1558</v>
      </c>
      <c r="AB244" s="227" t="s">
        <v>1846</v>
      </c>
      <c r="AC244" s="243" t="s">
        <v>1798</v>
      </c>
      <c r="AD244" s="228"/>
      <c r="AE244" s="229" t="s">
        <v>1584</v>
      </c>
      <c r="AG244" s="248"/>
      <c r="AI244" s="244"/>
    </row>
    <row r="245" spans="1:38" s="182" customFormat="1" ht="15.75" customHeight="1" x14ac:dyDescent="0.25">
      <c r="B245" s="183"/>
      <c r="C245" s="289">
        <v>2010</v>
      </c>
      <c r="D245" s="290" t="s">
        <v>1548</v>
      </c>
      <c r="E245" s="291" t="s">
        <v>1554</v>
      </c>
      <c r="F245" s="292" t="s">
        <v>1549</v>
      </c>
      <c r="G245" s="180" t="s">
        <v>183</v>
      </c>
      <c r="H245" s="180" t="s">
        <v>1550</v>
      </c>
      <c r="I245" s="291" t="s">
        <v>81</v>
      </c>
      <c r="J245" s="293" t="s">
        <v>49</v>
      </c>
      <c r="K245" s="293">
        <v>28</v>
      </c>
      <c r="L245" s="294">
        <v>244</v>
      </c>
      <c r="M245" s="180">
        <v>40.9</v>
      </c>
      <c r="N245" s="181">
        <v>6.77</v>
      </c>
      <c r="O245" s="94">
        <v>1.5</v>
      </c>
      <c r="P245" s="239">
        <f t="shared" si="66"/>
        <v>5.4971682252932021</v>
      </c>
      <c r="Q245" s="262" t="str">
        <f t="shared" si="80"/>
        <v>Gadd Daph</v>
      </c>
      <c r="R245" s="263">
        <f t="shared" si="82"/>
        <v>-2.27880112415217</v>
      </c>
      <c r="S245" s="220">
        <f t="shared" si="71"/>
        <v>7.7759693494453721</v>
      </c>
      <c r="T245" s="236">
        <f t="shared" si="68"/>
        <v>28</v>
      </c>
      <c r="U245" s="221" t="str">
        <f t="shared" si="83"/>
        <v>28-GRO-EC10-21 days</v>
      </c>
      <c r="V245" s="222" cm="1">
        <f t="array" ref="V245">GEOMEAN(IF(U245=$U$7:$U$360,$S$7:$S$360))</f>
        <v>8.2648873022803198</v>
      </c>
      <c r="W245" s="264">
        <f t="shared" si="65"/>
        <v>5.1419996183716101</v>
      </c>
      <c r="X245" s="225">
        <f t="shared" si="67"/>
        <v>171.05747623683536</v>
      </c>
      <c r="Y245" s="225">
        <f t="shared" si="86"/>
        <v>171.05747623683536</v>
      </c>
      <c r="Z245" s="226"/>
      <c r="AA245" s="194" t="s">
        <v>1558</v>
      </c>
      <c r="AB245" s="227" t="s">
        <v>1846</v>
      </c>
      <c r="AC245" s="243" t="s">
        <v>1798</v>
      </c>
      <c r="AD245" s="228"/>
      <c r="AE245" s="229" t="s">
        <v>1584</v>
      </c>
      <c r="AG245" s="248"/>
      <c r="AI245" s="244"/>
    </row>
    <row r="246" spans="1:38" s="281" customFormat="1" ht="15.75" customHeight="1" x14ac:dyDescent="0.25">
      <c r="B246" s="183"/>
      <c r="C246" s="289">
        <v>2010</v>
      </c>
      <c r="D246" s="290" t="s">
        <v>1548</v>
      </c>
      <c r="E246" s="291" t="s">
        <v>1555</v>
      </c>
      <c r="F246" s="292" t="s">
        <v>1549</v>
      </c>
      <c r="G246" s="180" t="s">
        <v>183</v>
      </c>
      <c r="H246" s="180" t="s">
        <v>1550</v>
      </c>
      <c r="I246" s="291" t="s">
        <v>81</v>
      </c>
      <c r="J246" s="293" t="s">
        <v>49</v>
      </c>
      <c r="K246" s="293">
        <v>28</v>
      </c>
      <c r="L246" s="294">
        <v>330</v>
      </c>
      <c r="M246" s="180">
        <v>40.200000000000003</v>
      </c>
      <c r="N246" s="295">
        <v>8.2799999999999994</v>
      </c>
      <c r="O246" s="94">
        <v>1.71</v>
      </c>
      <c r="P246" s="239">
        <f t="shared" si="66"/>
        <v>5.7990926544605257</v>
      </c>
      <c r="Q246" s="262" t="str">
        <f t="shared" si="80"/>
        <v>Gadd Daph</v>
      </c>
      <c r="R246" s="263">
        <f t="shared" si="82"/>
        <v>-2.8454723241901032</v>
      </c>
      <c r="S246" s="220">
        <f t="shared" si="71"/>
        <v>8.644564978650628</v>
      </c>
      <c r="T246" s="236">
        <f t="shared" si="68"/>
        <v>28</v>
      </c>
      <c r="U246" s="221" t="str">
        <f t="shared" si="83"/>
        <v>28-GRO-EC10-21 days</v>
      </c>
      <c r="V246" s="222" cm="1">
        <f t="array" ref="V246">GEOMEAN(IF(U246=$U$7:$U$360,$S$7:$S$360))</f>
        <v>8.2648873022803198</v>
      </c>
      <c r="W246" s="264">
        <f t="shared" si="65"/>
        <v>5.1419996183716101</v>
      </c>
      <c r="X246" s="225">
        <f t="shared" si="67"/>
        <v>171.05747623683536</v>
      </c>
      <c r="Y246" s="225">
        <f t="shared" si="86"/>
        <v>171.05747623683536</v>
      </c>
      <c r="Z246" s="226"/>
      <c r="AA246" s="194" t="s">
        <v>1557</v>
      </c>
      <c r="AB246" s="281" t="s">
        <v>1916</v>
      </c>
      <c r="AC246" s="243" t="s">
        <v>1798</v>
      </c>
      <c r="AD246" s="228"/>
      <c r="AE246" s="229" t="s">
        <v>1584</v>
      </c>
      <c r="AG246" s="248"/>
      <c r="AH246" s="182"/>
      <c r="AI246" s="244"/>
      <c r="AJ246" s="182"/>
      <c r="AK246" s="182"/>
    </row>
    <row r="247" spans="1:38" s="182" customFormat="1" ht="15.75" customHeight="1" x14ac:dyDescent="0.25">
      <c r="B247" s="183"/>
      <c r="C247" s="289">
        <v>2010</v>
      </c>
      <c r="D247" s="290" t="s">
        <v>1548</v>
      </c>
      <c r="E247" s="291" t="s">
        <v>1556</v>
      </c>
      <c r="F247" s="292" t="s">
        <v>1549</v>
      </c>
      <c r="G247" s="180" t="s">
        <v>183</v>
      </c>
      <c r="H247" s="180" t="s">
        <v>1550</v>
      </c>
      <c r="I247" s="291" t="s">
        <v>81</v>
      </c>
      <c r="J247" s="293" t="s">
        <v>49</v>
      </c>
      <c r="K247" s="293">
        <v>28</v>
      </c>
      <c r="L247" s="294">
        <v>719</v>
      </c>
      <c r="M247" s="180">
        <v>296</v>
      </c>
      <c r="N247" s="295">
        <v>8.25</v>
      </c>
      <c r="O247" s="94">
        <v>1.53</v>
      </c>
      <c r="P247" s="239">
        <f t="shared" si="66"/>
        <v>6.577861357721047</v>
      </c>
      <c r="Q247" s="262" t="str">
        <f t="shared" si="80"/>
        <v>Gadd Daph</v>
      </c>
      <c r="R247" s="263">
        <f t="shared" si="82"/>
        <v>-2.2793332826250219</v>
      </c>
      <c r="S247" s="220">
        <f t="shared" si="71"/>
        <v>8.8571946403460693</v>
      </c>
      <c r="T247" s="236">
        <f t="shared" si="68"/>
        <v>28</v>
      </c>
      <c r="U247" s="221" t="str">
        <f t="shared" si="83"/>
        <v>28-GRO-EC10-21 days</v>
      </c>
      <c r="V247" s="222" cm="1">
        <f t="array" ref="V247">GEOMEAN(IF(U247=$U$7:$U$360,$S$7:$S$360))</f>
        <v>8.2648873022803198</v>
      </c>
      <c r="W247" s="264">
        <f t="shared" si="65"/>
        <v>5.1419996183716101</v>
      </c>
      <c r="X247" s="225">
        <f t="shared" si="67"/>
        <v>171.05747623683536</v>
      </c>
      <c r="Y247" s="225">
        <f t="shared" si="86"/>
        <v>171.05747623683536</v>
      </c>
      <c r="Z247" s="226"/>
      <c r="AA247" s="194" t="s">
        <v>1557</v>
      </c>
      <c r="AB247" s="281" t="s">
        <v>1916</v>
      </c>
      <c r="AC247" s="243" t="s">
        <v>1798</v>
      </c>
      <c r="AD247" s="228"/>
      <c r="AE247" s="229" t="s">
        <v>1584</v>
      </c>
      <c r="AG247" s="248"/>
      <c r="AI247" s="244"/>
    </row>
    <row r="248" spans="1:38" s="281" customFormat="1" ht="15.75" customHeight="1" x14ac:dyDescent="0.25">
      <c r="B248" s="241">
        <v>1982</v>
      </c>
      <c r="C248" s="217">
        <v>1986</v>
      </c>
      <c r="D248" s="180" t="s">
        <v>1377</v>
      </c>
      <c r="E248" s="180" t="s">
        <v>41</v>
      </c>
      <c r="F248" s="180" t="s">
        <v>147</v>
      </c>
      <c r="G248" s="180" t="s">
        <v>183</v>
      </c>
      <c r="H248" s="180" t="s">
        <v>185</v>
      </c>
      <c r="I248" s="180" t="s">
        <v>156</v>
      </c>
      <c r="J248" s="180" t="s">
        <v>54</v>
      </c>
      <c r="K248" s="217">
        <v>30</v>
      </c>
      <c r="L248" s="217">
        <v>570</v>
      </c>
      <c r="M248" s="180">
        <v>36</v>
      </c>
      <c r="N248" s="181">
        <v>6.9</v>
      </c>
      <c r="O248" s="94">
        <v>0.5</v>
      </c>
      <c r="P248" s="239">
        <f t="shared" si="66"/>
        <v>6.3456363608285962</v>
      </c>
      <c r="Q248" s="262" t="str">
        <f t="shared" si="80"/>
        <v>Gadd Daph</v>
      </c>
      <c r="R248" s="263">
        <f t="shared" si="82"/>
        <v>-2.6545548073019525</v>
      </c>
      <c r="S248" s="220">
        <f t="shared" si="71"/>
        <v>9.0001911681305486</v>
      </c>
      <c r="T248" s="236">
        <f t="shared" si="68"/>
        <v>29</v>
      </c>
      <c r="U248" s="221" t="str">
        <f t="shared" si="83"/>
        <v>29-Mortality-NOEC-Adult/juvenile</v>
      </c>
      <c r="V248" s="222" cm="1">
        <f t="array" ref="V248">GEOMEAN(IF(U248=$U$7:$U$360,$S$7:$S$360))</f>
        <v>9.0001911681305486</v>
      </c>
      <c r="W248" s="264">
        <f t="shared" si="65"/>
        <v>5.877303484221839</v>
      </c>
      <c r="X248" s="225">
        <f t="shared" si="67"/>
        <v>356.84570312534936</v>
      </c>
      <c r="Y248" s="225">
        <f t="shared" si="86"/>
        <v>356.84570312534936</v>
      </c>
      <c r="Z248" s="226" t="s">
        <v>1507</v>
      </c>
      <c r="AA248" s="226"/>
      <c r="AB248" s="254"/>
      <c r="AC248" s="243" t="s">
        <v>1858</v>
      </c>
      <c r="AD248" s="251">
        <v>0.77</v>
      </c>
      <c r="AE248" s="243" t="s">
        <v>1773</v>
      </c>
      <c r="AG248" s="248"/>
      <c r="AH248" s="182"/>
      <c r="AI248" s="244"/>
      <c r="AJ248" s="182"/>
      <c r="AK248" s="182"/>
      <c r="AL248" s="182"/>
    </row>
    <row r="249" spans="1:38" s="182" customFormat="1" ht="15.75" customHeight="1" x14ac:dyDescent="0.25">
      <c r="B249" s="180">
        <v>16506</v>
      </c>
      <c r="C249" s="217">
        <v>1995</v>
      </c>
      <c r="D249" s="180" t="s">
        <v>306</v>
      </c>
      <c r="E249" s="180" t="s">
        <v>41</v>
      </c>
      <c r="F249" s="180" t="s">
        <v>1316</v>
      </c>
      <c r="G249" s="180" t="s">
        <v>183</v>
      </c>
      <c r="H249" s="317" t="s">
        <v>160</v>
      </c>
      <c r="I249" s="180" t="s">
        <v>81</v>
      </c>
      <c r="J249" s="180" t="s">
        <v>54</v>
      </c>
      <c r="K249" s="180" t="s">
        <v>1205</v>
      </c>
      <c r="L249" s="180">
        <v>72</v>
      </c>
      <c r="M249" s="250">
        <v>238.21379999999999</v>
      </c>
      <c r="N249" s="180">
        <v>8</v>
      </c>
      <c r="O249" s="94">
        <v>4.3</v>
      </c>
      <c r="P249" s="239">
        <f t="shared" si="66"/>
        <v>4.2766661190160553</v>
      </c>
      <c r="Q249" s="262" t="str">
        <f t="shared" si="80"/>
        <v>Gadd Daph</v>
      </c>
      <c r="R249" s="263">
        <f t="shared" si="82"/>
        <v>-1.7048379253731691</v>
      </c>
      <c r="S249" s="220">
        <f t="shared" si="71"/>
        <v>5.981504044389224</v>
      </c>
      <c r="T249" s="236">
        <f t="shared" si="68"/>
        <v>30</v>
      </c>
      <c r="U249" s="221" t="str">
        <f t="shared" si="83"/>
        <v>30-GRO-NOEC-Juvenile</v>
      </c>
      <c r="V249" s="222" cm="1">
        <f t="array" ref="V249">GEOMEAN(IF(U249=$U$7:$U$360,$S$7:$S$360))</f>
        <v>5.981504044389224</v>
      </c>
      <c r="W249" s="264">
        <f t="shared" si="65"/>
        <v>2.8586163604805139</v>
      </c>
      <c r="X249" s="225">
        <f t="shared" si="67"/>
        <v>17.437383184816362</v>
      </c>
      <c r="Y249" s="225">
        <f t="shared" si="86"/>
        <v>17.437383184816362</v>
      </c>
      <c r="Z249" s="226" t="s">
        <v>1507</v>
      </c>
      <c r="AA249" s="226"/>
      <c r="AB249" s="227" t="s">
        <v>1846</v>
      </c>
      <c r="AC249" s="243" t="s">
        <v>1861</v>
      </c>
      <c r="AD249" s="251"/>
      <c r="AE249" s="229" t="s">
        <v>1584</v>
      </c>
      <c r="AG249" s="248"/>
      <c r="AI249" s="244"/>
    </row>
    <row r="250" spans="1:38" s="182" customFormat="1" ht="15.75" customHeight="1" x14ac:dyDescent="0.25">
      <c r="A250" s="182" t="s">
        <v>1917</v>
      </c>
      <c r="B250" s="180"/>
      <c r="C250" s="227">
        <v>2017</v>
      </c>
      <c r="D250" s="227" t="s">
        <v>1785</v>
      </c>
      <c r="E250" s="227" t="s">
        <v>1795</v>
      </c>
      <c r="F250" s="227" t="s">
        <v>140</v>
      </c>
      <c r="G250" s="180" t="s">
        <v>183</v>
      </c>
      <c r="H250" s="227" t="s">
        <v>1251</v>
      </c>
      <c r="I250" s="245" t="s">
        <v>1309</v>
      </c>
      <c r="J250" s="245" t="s">
        <v>52</v>
      </c>
      <c r="K250" s="245">
        <v>3</v>
      </c>
      <c r="L250" s="282">
        <v>15</v>
      </c>
      <c r="M250" s="277">
        <v>42</v>
      </c>
      <c r="N250" s="278">
        <v>7</v>
      </c>
      <c r="O250" s="277">
        <v>0.1</v>
      </c>
      <c r="P250" s="239">
        <f t="shared" si="66"/>
        <v>2.7080502011022101</v>
      </c>
      <c r="Q250" s="262" t="str">
        <f t="shared" si="80"/>
        <v>Gadd Daph</v>
      </c>
      <c r="R250" s="263">
        <f t="shared" si="82"/>
        <v>-3.1260462443704888</v>
      </c>
      <c r="S250" s="220">
        <f t="shared" si="71"/>
        <v>5.8340964454726993</v>
      </c>
      <c r="T250" s="236">
        <f t="shared" si="68"/>
        <v>31</v>
      </c>
      <c r="U250" s="221" t="str">
        <f t="shared" si="83"/>
        <v>31-DEV-NEC-Larvae</v>
      </c>
      <c r="V250" s="222" cm="1">
        <f t="array" ref="V250">GEOMEAN(IF(U250=$U$7:$U$360,$S$7:$S$360))</f>
        <v>5.8340964454726993</v>
      </c>
      <c r="W250" s="264">
        <f t="shared" si="65"/>
        <v>2.7112087615639893</v>
      </c>
      <c r="X250" s="225">
        <f t="shared" si="67"/>
        <v>15.047453309548844</v>
      </c>
      <c r="Y250" s="225">
        <f t="shared" si="86"/>
        <v>15.047453309548844</v>
      </c>
      <c r="Z250" s="226"/>
      <c r="AA250" s="226"/>
      <c r="AB250" s="254"/>
      <c r="AC250" s="228" t="s">
        <v>1772</v>
      </c>
      <c r="AD250" s="276">
        <v>0.83</v>
      </c>
      <c r="AE250" s="228" t="s">
        <v>1773</v>
      </c>
      <c r="AG250" s="248"/>
      <c r="AI250" s="244"/>
    </row>
    <row r="251" spans="1:38" s="281" customFormat="1" ht="15.75" customHeight="1" x14ac:dyDescent="0.25">
      <c r="B251" s="290"/>
      <c r="C251" s="289">
        <v>2010</v>
      </c>
      <c r="D251" s="290" t="s">
        <v>1566</v>
      </c>
      <c r="E251" s="290"/>
      <c r="F251" s="290" t="s">
        <v>1567</v>
      </c>
      <c r="G251" s="290" t="s">
        <v>1403</v>
      </c>
      <c r="H251" s="290" t="s">
        <v>1568</v>
      </c>
      <c r="I251" s="290" t="s">
        <v>256</v>
      </c>
      <c r="J251" s="290" t="s">
        <v>49</v>
      </c>
      <c r="K251" s="290">
        <v>2</v>
      </c>
      <c r="L251" s="290">
        <v>550</v>
      </c>
      <c r="M251" s="290">
        <v>255</v>
      </c>
      <c r="N251" s="290">
        <v>7.77</v>
      </c>
      <c r="O251" s="153">
        <v>8.94</v>
      </c>
      <c r="P251" s="239">
        <f t="shared" si="66"/>
        <v>6.3099182782265162</v>
      </c>
      <c r="Q251" s="262" t="str">
        <f t="shared" si="80"/>
        <v>Gadd Daph</v>
      </c>
      <c r="R251" s="263">
        <f t="shared" si="82"/>
        <v>-1.3044473591475043</v>
      </c>
      <c r="S251" s="220">
        <f t="shared" si="71"/>
        <v>7.6143656373740205</v>
      </c>
      <c r="T251" s="236">
        <f t="shared" si="68"/>
        <v>32</v>
      </c>
      <c r="U251" s="221" t="str">
        <f t="shared" si="83"/>
        <v>32-POP-EC10-&lt;2 hour old</v>
      </c>
      <c r="V251" s="222" cm="1">
        <f t="array" ref="V251">GEOMEAN(IF(U251=$U$7:$U$360,$S$7:$S$360))</f>
        <v>7.5409511042092277</v>
      </c>
      <c r="W251" s="264">
        <f t="shared" si="65"/>
        <v>4.418063420300518</v>
      </c>
      <c r="X251" s="225">
        <f t="shared" si="67"/>
        <v>82.935518498179519</v>
      </c>
      <c r="Y251" s="225">
        <f t="shared" si="86"/>
        <v>82.935518498179519</v>
      </c>
      <c r="Z251" s="226"/>
      <c r="AA251" s="226"/>
      <c r="AB251" s="227" t="s">
        <v>1846</v>
      </c>
      <c r="AC251" s="243" t="s">
        <v>1798</v>
      </c>
      <c r="AD251" s="228"/>
      <c r="AE251" s="229" t="s">
        <v>1584</v>
      </c>
      <c r="AG251" s="248"/>
      <c r="AH251" s="182"/>
      <c r="AI251" s="244"/>
      <c r="AJ251" s="182"/>
      <c r="AK251" s="182"/>
      <c r="AL251" s="182"/>
    </row>
    <row r="252" spans="1:38" s="182" customFormat="1" ht="15.75" customHeight="1" x14ac:dyDescent="0.25">
      <c r="B252" s="290"/>
      <c r="C252" s="289">
        <v>2010</v>
      </c>
      <c r="D252" s="290" t="s">
        <v>1566</v>
      </c>
      <c r="E252" s="290"/>
      <c r="F252" s="290" t="s">
        <v>1567</v>
      </c>
      <c r="G252" s="290" t="s">
        <v>1403</v>
      </c>
      <c r="H252" s="290" t="s">
        <v>1568</v>
      </c>
      <c r="I252" s="290" t="s">
        <v>256</v>
      </c>
      <c r="J252" s="290" t="s">
        <v>49</v>
      </c>
      <c r="K252" s="290">
        <v>2</v>
      </c>
      <c r="L252" s="290">
        <v>197</v>
      </c>
      <c r="M252" s="290">
        <v>45.7</v>
      </c>
      <c r="N252" s="290">
        <v>7.4</v>
      </c>
      <c r="O252" s="153">
        <v>2.83</v>
      </c>
      <c r="P252" s="239">
        <f t="shared" si="66"/>
        <v>5.2832037287379885</v>
      </c>
      <c r="Q252" s="262" t="str">
        <f t="shared" si="80"/>
        <v>Gadd Daph</v>
      </c>
      <c r="R252" s="263">
        <f t="shared" si="82"/>
        <v>-2.2720054840686155</v>
      </c>
      <c r="S252" s="220">
        <f t="shared" si="71"/>
        <v>7.555209212806604</v>
      </c>
      <c r="T252" s="236">
        <f t="shared" si="68"/>
        <v>32</v>
      </c>
      <c r="U252" s="221" t="str">
        <f t="shared" si="83"/>
        <v>32-POP-EC10-&lt;2 hour old</v>
      </c>
      <c r="V252" s="222" cm="1">
        <f t="array" ref="V252">GEOMEAN(IF(U252=$U$7:$U$360,$S$7:$S$360))</f>
        <v>7.5409511042092277</v>
      </c>
      <c r="W252" s="264">
        <f t="shared" si="65"/>
        <v>4.418063420300518</v>
      </c>
      <c r="X252" s="225">
        <f t="shared" si="67"/>
        <v>82.935518498179519</v>
      </c>
      <c r="Y252" s="225">
        <f t="shared" si="86"/>
        <v>82.935518498179519</v>
      </c>
      <c r="Z252" s="226"/>
      <c r="AA252" s="226"/>
      <c r="AB252" s="227" t="s">
        <v>1846</v>
      </c>
      <c r="AC252" s="243" t="s">
        <v>1798</v>
      </c>
      <c r="AD252" s="228"/>
      <c r="AE252" s="229" t="s">
        <v>1584</v>
      </c>
      <c r="AG252" s="248"/>
      <c r="AI252" s="244"/>
    </row>
    <row r="253" spans="1:38" s="182" customFormat="1" ht="15.75" customHeight="1" x14ac:dyDescent="0.25">
      <c r="B253" s="290"/>
      <c r="C253" s="289">
        <v>2010</v>
      </c>
      <c r="D253" s="290" t="s">
        <v>1566</v>
      </c>
      <c r="E253" s="290"/>
      <c r="F253" s="290" t="s">
        <v>1567</v>
      </c>
      <c r="G253" s="290" t="s">
        <v>1403</v>
      </c>
      <c r="H253" s="290" t="s">
        <v>1568</v>
      </c>
      <c r="I253" s="290" t="s">
        <v>256</v>
      </c>
      <c r="J253" s="290" t="s">
        <v>49</v>
      </c>
      <c r="K253" s="290">
        <v>2</v>
      </c>
      <c r="L253" s="290">
        <v>142</v>
      </c>
      <c r="M253" s="290">
        <v>46.9</v>
      </c>
      <c r="N253" s="290">
        <v>6.89</v>
      </c>
      <c r="O253" s="153">
        <v>1.18</v>
      </c>
      <c r="P253" s="239">
        <f t="shared" si="66"/>
        <v>4.9558270576012609</v>
      </c>
      <c r="Q253" s="262" t="str">
        <f t="shared" si="80"/>
        <v>Gadd Daph</v>
      </c>
      <c r="R253" s="263">
        <f t="shared" si="82"/>
        <v>-2.3479400590118948</v>
      </c>
      <c r="S253" s="220">
        <f t="shared" si="71"/>
        <v>7.3037671166131553</v>
      </c>
      <c r="T253" s="236">
        <f t="shared" si="68"/>
        <v>32</v>
      </c>
      <c r="U253" s="221" t="str">
        <f t="shared" si="83"/>
        <v>32-POP-EC10-&lt;2 hour old</v>
      </c>
      <c r="V253" s="222" cm="1">
        <f t="array" ref="V253">GEOMEAN(IF(U253=$U$7:$U$360,$S$7:$S$360))</f>
        <v>7.5409511042092277</v>
      </c>
      <c r="W253" s="264">
        <f t="shared" si="65"/>
        <v>4.418063420300518</v>
      </c>
      <c r="X253" s="225">
        <f t="shared" si="67"/>
        <v>82.935518498179519</v>
      </c>
      <c r="Y253" s="225">
        <f t="shared" si="86"/>
        <v>82.935518498179519</v>
      </c>
      <c r="Z253" s="226"/>
      <c r="AA253" s="226"/>
      <c r="AB253" s="227" t="s">
        <v>1846</v>
      </c>
      <c r="AC253" s="243" t="s">
        <v>1798</v>
      </c>
      <c r="AD253" s="228"/>
      <c r="AE253" s="229" t="s">
        <v>1584</v>
      </c>
      <c r="AG253" s="248"/>
      <c r="AI253" s="244"/>
    </row>
    <row r="254" spans="1:38" s="182" customFormat="1" ht="15.75" customHeight="1" x14ac:dyDescent="0.25">
      <c r="B254" s="290"/>
      <c r="C254" s="289">
        <v>2010</v>
      </c>
      <c r="D254" s="290" t="s">
        <v>1566</v>
      </c>
      <c r="E254" s="290"/>
      <c r="F254" s="290" t="s">
        <v>1567</v>
      </c>
      <c r="G254" s="290" t="s">
        <v>1403</v>
      </c>
      <c r="H254" s="290" t="s">
        <v>1568</v>
      </c>
      <c r="I254" s="290" t="s">
        <v>256</v>
      </c>
      <c r="J254" s="290" t="s">
        <v>49</v>
      </c>
      <c r="K254" s="290">
        <v>2</v>
      </c>
      <c r="L254" s="290">
        <v>66</v>
      </c>
      <c r="M254" s="290">
        <v>41.5</v>
      </c>
      <c r="N254" s="290">
        <v>8.09</v>
      </c>
      <c r="O254" s="153">
        <v>1.73</v>
      </c>
      <c r="P254" s="239">
        <f t="shared" si="66"/>
        <v>4.1896547420264252</v>
      </c>
      <c r="Q254" s="262" t="str">
        <f t="shared" si="80"/>
        <v>Gadd Daph</v>
      </c>
      <c r="R254" s="263">
        <f t="shared" si="82"/>
        <v>-2.7549724827077915</v>
      </c>
      <c r="S254" s="220">
        <f t="shared" si="71"/>
        <v>6.9446272247342167</v>
      </c>
      <c r="T254" s="236">
        <f t="shared" si="68"/>
        <v>32</v>
      </c>
      <c r="U254" s="221" t="str">
        <f t="shared" si="83"/>
        <v>32-POP-EC10-&lt;2 hour old</v>
      </c>
      <c r="V254" s="222" cm="1">
        <f t="array" ref="V254">GEOMEAN(IF(U254=$U$7:$U$360,$S$7:$S$360))</f>
        <v>7.5409511042092277</v>
      </c>
      <c r="W254" s="264">
        <f t="shared" si="65"/>
        <v>4.418063420300518</v>
      </c>
      <c r="X254" s="225">
        <f t="shared" si="67"/>
        <v>82.935518498179519</v>
      </c>
      <c r="Y254" s="225">
        <f t="shared" si="86"/>
        <v>82.935518498179519</v>
      </c>
      <c r="Z254" s="226"/>
      <c r="AA254" s="226"/>
      <c r="AB254" s="227" t="s">
        <v>1846</v>
      </c>
      <c r="AC254" s="243" t="s">
        <v>1798</v>
      </c>
      <c r="AD254" s="228"/>
      <c r="AE254" s="229" t="s">
        <v>1584</v>
      </c>
      <c r="AG254" s="248"/>
      <c r="AI254" s="244"/>
    </row>
    <row r="255" spans="1:38" s="182" customFormat="1" ht="15.75" customHeight="1" x14ac:dyDescent="0.25">
      <c r="B255" s="290"/>
      <c r="C255" s="289">
        <v>2010</v>
      </c>
      <c r="D255" s="290" t="s">
        <v>1566</v>
      </c>
      <c r="E255" s="290"/>
      <c r="F255" s="290" t="s">
        <v>1567</v>
      </c>
      <c r="G255" s="290" t="s">
        <v>1403</v>
      </c>
      <c r="H255" s="290" t="s">
        <v>1568</v>
      </c>
      <c r="I255" s="290" t="s">
        <v>256</v>
      </c>
      <c r="J255" s="290" t="s">
        <v>49</v>
      </c>
      <c r="K255" s="290">
        <v>2</v>
      </c>
      <c r="L255" s="290">
        <v>453</v>
      </c>
      <c r="M255" s="290">
        <v>311</v>
      </c>
      <c r="N255" s="290">
        <v>8.16</v>
      </c>
      <c r="O255" s="153">
        <v>1.49</v>
      </c>
      <c r="P255" s="239">
        <f t="shared" si="66"/>
        <v>6.1158921254830343</v>
      </c>
      <c r="Q255" s="262" t="str">
        <f t="shared" si="80"/>
        <v>Gadd Daph</v>
      </c>
      <c r="R255" s="263">
        <f t="shared" si="82"/>
        <v>-2.241187611840243</v>
      </c>
      <c r="S255" s="220">
        <f t="shared" si="71"/>
        <v>8.3570797373232768</v>
      </c>
      <c r="T255" s="236">
        <f t="shared" si="68"/>
        <v>32</v>
      </c>
      <c r="U255" s="221" t="str">
        <f t="shared" si="83"/>
        <v>32-POP-EC10-&lt;2 hour old</v>
      </c>
      <c r="V255" s="222" cm="1">
        <f t="array" ref="V255">GEOMEAN(IF(U255=$U$7:$U$360,$S$7:$S$360))</f>
        <v>7.5409511042092277</v>
      </c>
      <c r="W255" s="264">
        <f t="shared" ref="W255" si="87">V255+$AI$8*$AI$5+$AH$8*LN($AH$5)+$AJ$8*LN($AJ$5)+$AK$8*LN($AJ$5)*$AI$5</f>
        <v>4.418063420300518</v>
      </c>
      <c r="X255" s="225">
        <f t="shared" si="67"/>
        <v>82.935518498179519</v>
      </c>
      <c r="Y255" s="225">
        <f t="shared" si="86"/>
        <v>82.935518498179519</v>
      </c>
      <c r="Z255" s="226"/>
      <c r="AA255" s="226"/>
      <c r="AB255" s="227" t="s">
        <v>1846</v>
      </c>
      <c r="AC255" s="243" t="s">
        <v>1798</v>
      </c>
      <c r="AD255" s="228"/>
      <c r="AE255" s="229" t="s">
        <v>1584</v>
      </c>
      <c r="AG255" s="248"/>
      <c r="AI255" s="244"/>
    </row>
    <row r="256" spans="1:38" s="182" customFormat="1" ht="15.75" customHeight="1" x14ac:dyDescent="0.25">
      <c r="B256" s="180">
        <v>68220</v>
      </c>
      <c r="C256" s="217">
        <v>2002</v>
      </c>
      <c r="D256" s="180" t="s">
        <v>566</v>
      </c>
      <c r="E256" s="180" t="s">
        <v>41</v>
      </c>
      <c r="F256" s="180" t="s">
        <v>567</v>
      </c>
      <c r="G256" s="180" t="s">
        <v>1303</v>
      </c>
      <c r="H256" s="180" t="s">
        <v>264</v>
      </c>
      <c r="I256" s="180" t="s">
        <v>256</v>
      </c>
      <c r="J256" s="180" t="s">
        <v>54</v>
      </c>
      <c r="K256" s="180" t="s">
        <v>619</v>
      </c>
      <c r="L256" s="180">
        <v>20.270900000000001</v>
      </c>
      <c r="M256" s="180">
        <v>85</v>
      </c>
      <c r="N256" s="180">
        <v>7.5</v>
      </c>
      <c r="O256" s="94">
        <v>0.5</v>
      </c>
      <c r="P256" s="239">
        <f t="shared" si="66"/>
        <v>3.0091863600702395</v>
      </c>
      <c r="Q256" s="296" t="str">
        <f t="shared" ref="Q256:Q310" si="88">$AG$9</f>
        <v>Chlorella</v>
      </c>
      <c r="R256" s="297">
        <f>$AI$9*N256+$AH$9*LN(M256)+$AJ$9*LN(O256)</f>
        <v>5.4109635241442411E-2</v>
      </c>
      <c r="S256" s="220">
        <f t="shared" si="71"/>
        <v>2.955076724828797</v>
      </c>
      <c r="T256" s="236">
        <f t="shared" si="68"/>
        <v>33</v>
      </c>
      <c r="U256" s="221" t="str">
        <f t="shared" si="83"/>
        <v>33-POP-NOEC-EX</v>
      </c>
      <c r="V256" s="222" cm="1">
        <f t="array" ref="V256">MEDIAN(IF(U256=$U$7:$U$360,$S$7:$S$360))</f>
        <v>2.955076724828797</v>
      </c>
      <c r="W256" s="298">
        <f>V256+$AI$9*$AI$5+$AH$9*LN($AH$5)+$AJ$9*LN($AJ$5)</f>
        <v>2.3082879023108873</v>
      </c>
      <c r="X256" s="225">
        <f t="shared" si="67"/>
        <v>10.057191012891741</v>
      </c>
      <c r="Y256" s="225"/>
      <c r="Z256" s="226" t="s">
        <v>1511</v>
      </c>
      <c r="AA256" s="226"/>
      <c r="AB256" s="246"/>
      <c r="AC256" s="265" t="s">
        <v>1858</v>
      </c>
      <c r="AD256" s="275">
        <v>0.7</v>
      </c>
      <c r="AE256" s="265" t="s">
        <v>1873</v>
      </c>
      <c r="AG256" s="248"/>
      <c r="AI256" s="244"/>
    </row>
    <row r="257" spans="1:38" s="182" customFormat="1" ht="15.75" customHeight="1" x14ac:dyDescent="0.25">
      <c r="B257" s="180">
        <v>68220</v>
      </c>
      <c r="C257" s="217">
        <v>2002</v>
      </c>
      <c r="D257" s="180" t="s">
        <v>566</v>
      </c>
      <c r="E257" s="180" t="s">
        <v>41</v>
      </c>
      <c r="F257" s="180" t="s">
        <v>567</v>
      </c>
      <c r="G257" s="180" t="s">
        <v>1303</v>
      </c>
      <c r="H257" s="180" t="s">
        <v>264</v>
      </c>
      <c r="I257" s="180" t="s">
        <v>256</v>
      </c>
      <c r="J257" s="180" t="s">
        <v>54</v>
      </c>
      <c r="K257" s="180" t="s">
        <v>103</v>
      </c>
      <c r="L257" s="180">
        <v>20.270900000000001</v>
      </c>
      <c r="M257" s="180">
        <v>85</v>
      </c>
      <c r="N257" s="180">
        <v>7.5</v>
      </c>
      <c r="O257" s="94">
        <v>0.5</v>
      </c>
      <c r="P257" s="239">
        <f t="shared" si="66"/>
        <v>3.0091863600702395</v>
      </c>
      <c r="Q257" s="296" t="str">
        <f t="shared" si="88"/>
        <v>Chlorella</v>
      </c>
      <c r="R257" s="297">
        <f t="shared" ref="R257:R309" si="89">$AI$9*N257+$AH$9*LN(M257)+$AJ$9*LN(O257)</f>
        <v>5.4109635241442411E-2</v>
      </c>
      <c r="S257" s="220">
        <f t="shared" si="71"/>
        <v>2.955076724828797</v>
      </c>
      <c r="T257" s="236">
        <f t="shared" si="68"/>
        <v>33</v>
      </c>
      <c r="U257" s="221" t="str">
        <f t="shared" si="83"/>
        <v>33-POP-NOEC-EX</v>
      </c>
      <c r="V257" s="222" cm="1">
        <f t="array" ref="V257">MEDIAN(IF(U257=$U$7:$U$360,$S$7:$S$360))</f>
        <v>2.955076724828797</v>
      </c>
      <c r="W257" s="298">
        <f t="shared" ref="W257:W309" si="90">V257+$AI$9*$AI$5+$AH$9*LN($AH$5)+$AJ$9*LN($AJ$5)</f>
        <v>2.3082879023108873</v>
      </c>
      <c r="X257" s="225">
        <f t="shared" si="67"/>
        <v>10.057191012891741</v>
      </c>
      <c r="Y257" s="225"/>
      <c r="Z257" s="226" t="s">
        <v>1511</v>
      </c>
      <c r="AA257" s="226"/>
      <c r="AB257" s="246"/>
      <c r="AC257" s="265" t="s">
        <v>1858</v>
      </c>
      <c r="AD257" s="275">
        <v>0.7</v>
      </c>
      <c r="AE257" s="265" t="s">
        <v>1873</v>
      </c>
      <c r="AG257" s="248"/>
      <c r="AI257" s="244"/>
    </row>
    <row r="258" spans="1:38" s="182" customFormat="1" ht="15.75" customHeight="1" x14ac:dyDescent="0.25">
      <c r="B258" s="180">
        <v>115303</v>
      </c>
      <c r="C258" s="217">
        <v>2007</v>
      </c>
      <c r="D258" s="180" t="s">
        <v>1061</v>
      </c>
      <c r="E258" s="180" t="s">
        <v>41</v>
      </c>
      <c r="F258" s="180" t="s">
        <v>567</v>
      </c>
      <c r="G258" s="180" t="s">
        <v>1303</v>
      </c>
      <c r="H258" s="180" t="s">
        <v>264</v>
      </c>
      <c r="I258" s="180" t="s">
        <v>256</v>
      </c>
      <c r="J258" s="180" t="s">
        <v>49</v>
      </c>
      <c r="K258" s="180" t="s">
        <v>103</v>
      </c>
      <c r="L258" s="180">
        <v>28</v>
      </c>
      <c r="M258" s="180">
        <v>85</v>
      </c>
      <c r="N258" s="181">
        <v>7.5</v>
      </c>
      <c r="O258" s="94">
        <v>0.5</v>
      </c>
      <c r="P258" s="239">
        <f>LN(L258)</f>
        <v>3.3322045101752038</v>
      </c>
      <c r="Q258" s="296" t="str">
        <f t="shared" si="88"/>
        <v>Chlorella</v>
      </c>
      <c r="R258" s="297">
        <f t="shared" si="89"/>
        <v>5.4109635241442411E-2</v>
      </c>
      <c r="S258" s="220">
        <f t="shared" si="71"/>
        <v>3.2780948749337613</v>
      </c>
      <c r="T258" s="236">
        <f t="shared" si="68"/>
        <v>33</v>
      </c>
      <c r="U258" s="221" t="str">
        <f t="shared" si="83"/>
        <v>33-POP-EC10-EX</v>
      </c>
      <c r="V258" s="222" cm="1">
        <f t="array" ref="V258">MEDIAN(IF(U258=$U$7:$U$360,$S$7:$S$360))</f>
        <v>0.5483589578715401</v>
      </c>
      <c r="W258" s="298">
        <f t="shared" si="90"/>
        <v>-9.8429864646369603E-2</v>
      </c>
      <c r="X258" s="225">
        <f t="shared" si="67"/>
        <v>0.90625925119845641</v>
      </c>
      <c r="Y258" s="299">
        <f t="shared" ref="Y258:Y272" si="91">X258</f>
        <v>0.90625925119845641</v>
      </c>
      <c r="Z258" s="226"/>
      <c r="AA258" s="226"/>
      <c r="AB258" s="246"/>
      <c r="AC258" s="243" t="s">
        <v>1858</v>
      </c>
      <c r="AD258" s="251">
        <v>0.72</v>
      </c>
      <c r="AE258" s="243" t="s">
        <v>1873</v>
      </c>
      <c r="AG258" s="248"/>
      <c r="AI258" s="244"/>
    </row>
    <row r="259" spans="1:38" s="182" customFormat="1" ht="15.75" customHeight="1" x14ac:dyDescent="0.25">
      <c r="A259" s="182" t="s">
        <v>1918</v>
      </c>
      <c r="B259" s="180"/>
      <c r="C259" s="217">
        <v>2021</v>
      </c>
      <c r="D259" s="180" t="s">
        <v>1652</v>
      </c>
      <c r="E259" s="180" t="s">
        <v>1311</v>
      </c>
      <c r="F259" s="180" t="s">
        <v>567</v>
      </c>
      <c r="G259" s="180" t="s">
        <v>1303</v>
      </c>
      <c r="H259" s="180" t="s">
        <v>264</v>
      </c>
      <c r="I259" s="180" t="s">
        <v>256</v>
      </c>
      <c r="J259" s="180" t="s">
        <v>49</v>
      </c>
      <c r="K259" s="180">
        <v>3</v>
      </c>
      <c r="L259" s="180">
        <v>4.5</v>
      </c>
      <c r="M259" s="180">
        <v>93</v>
      </c>
      <c r="N259" s="180">
        <v>6.7</v>
      </c>
      <c r="O259" s="94">
        <v>0.66</v>
      </c>
      <c r="P259" s="239">
        <f t="shared" ref="P259:P272" si="92">LN(L259)</f>
        <v>1.5040773967762742</v>
      </c>
      <c r="Q259" s="296" t="str">
        <f t="shared" si="88"/>
        <v>Chlorella</v>
      </c>
      <c r="R259" s="297">
        <f t="shared" si="89"/>
        <v>0.49929353806159682</v>
      </c>
      <c r="S259" s="220">
        <f t="shared" si="71"/>
        <v>1.0047838587146773</v>
      </c>
      <c r="T259" s="236">
        <f t="shared" si="68"/>
        <v>33</v>
      </c>
      <c r="U259" s="221" t="str">
        <f t="shared" si="83"/>
        <v>33-POP-EC10-EX</v>
      </c>
      <c r="V259" s="222" cm="1">
        <f t="array" ref="V259">MEDIAN(IF(U259=$U$7:$U$360,$S$7:$S$360))</f>
        <v>0.5483589578715401</v>
      </c>
      <c r="W259" s="298">
        <f t="shared" si="90"/>
        <v>-9.8429864646369603E-2</v>
      </c>
      <c r="X259" s="225">
        <f t="shared" si="67"/>
        <v>0.90625925119845641</v>
      </c>
      <c r="Y259" s="225">
        <f t="shared" si="91"/>
        <v>0.90625925119845641</v>
      </c>
      <c r="Z259" s="226"/>
      <c r="AA259" s="226"/>
      <c r="AB259" s="246"/>
      <c r="AC259" s="228" t="s">
        <v>1772</v>
      </c>
      <c r="AD259" s="276">
        <v>0.91</v>
      </c>
      <c r="AE259" s="228" t="s">
        <v>1859</v>
      </c>
      <c r="AG259" s="248"/>
      <c r="AI259" s="244"/>
    </row>
    <row r="260" spans="1:38" s="182" customFormat="1" ht="15.75" customHeight="1" x14ac:dyDescent="0.25">
      <c r="A260" s="182" t="s">
        <v>1919</v>
      </c>
      <c r="B260" s="180"/>
      <c r="C260" s="217">
        <v>2021</v>
      </c>
      <c r="D260" s="180" t="s">
        <v>1652</v>
      </c>
      <c r="E260" s="180" t="s">
        <v>1311</v>
      </c>
      <c r="F260" s="180" t="s">
        <v>567</v>
      </c>
      <c r="G260" s="180" t="s">
        <v>1303</v>
      </c>
      <c r="H260" s="180" t="s">
        <v>264</v>
      </c>
      <c r="I260" s="180" t="s">
        <v>256</v>
      </c>
      <c r="J260" s="180" t="s">
        <v>49</v>
      </c>
      <c r="K260" s="180">
        <v>3</v>
      </c>
      <c r="L260" s="180">
        <v>1.8</v>
      </c>
      <c r="M260" s="180">
        <v>93</v>
      </c>
      <c r="N260" s="180">
        <v>7.1</v>
      </c>
      <c r="O260" s="94">
        <v>0.44</v>
      </c>
      <c r="P260" s="239">
        <f t="shared" si="92"/>
        <v>0.58778666490211906</v>
      </c>
      <c r="Q260" s="296" t="str">
        <f t="shared" si="88"/>
        <v>Chlorella</v>
      </c>
      <c r="R260" s="297">
        <f t="shared" si="89"/>
        <v>0.21337528511563142</v>
      </c>
      <c r="S260" s="220">
        <f t="shared" si="71"/>
        <v>0.37441137978648764</v>
      </c>
      <c r="T260" s="236">
        <f t="shared" si="68"/>
        <v>33</v>
      </c>
      <c r="U260" s="221" t="str">
        <f t="shared" si="83"/>
        <v>33-POP-EC10-EX</v>
      </c>
      <c r="V260" s="222" cm="1">
        <f t="array" ref="V260">MEDIAN(IF(U260=$U$7:$U$360,$S$7:$S$360))</f>
        <v>0.5483589578715401</v>
      </c>
      <c r="W260" s="298">
        <f t="shared" si="90"/>
        <v>-9.8429864646369603E-2</v>
      </c>
      <c r="X260" s="225">
        <f t="shared" si="67"/>
        <v>0.90625925119845641</v>
      </c>
      <c r="Y260" s="225">
        <f t="shared" si="91"/>
        <v>0.90625925119845641</v>
      </c>
      <c r="Z260" s="226"/>
      <c r="AA260" s="226"/>
      <c r="AB260" s="246"/>
      <c r="AC260" s="228" t="s">
        <v>1772</v>
      </c>
      <c r="AD260" s="276">
        <v>0.91</v>
      </c>
      <c r="AE260" s="228" t="s">
        <v>1859</v>
      </c>
      <c r="AG260" s="248"/>
      <c r="AI260" s="244"/>
    </row>
    <row r="261" spans="1:38" s="182" customFormat="1" ht="15.75" customHeight="1" x14ac:dyDescent="0.25">
      <c r="A261" s="182" t="s">
        <v>1920</v>
      </c>
      <c r="B261" s="180"/>
      <c r="C261" s="217">
        <v>2021</v>
      </c>
      <c r="D261" s="180" t="s">
        <v>1652</v>
      </c>
      <c r="E261" s="180" t="s">
        <v>1311</v>
      </c>
      <c r="F261" s="180" t="s">
        <v>567</v>
      </c>
      <c r="G261" s="180" t="s">
        <v>1303</v>
      </c>
      <c r="H261" s="180" t="s">
        <v>264</v>
      </c>
      <c r="I261" s="180" t="s">
        <v>256</v>
      </c>
      <c r="J261" s="180" t="s">
        <v>49</v>
      </c>
      <c r="K261" s="180">
        <v>3</v>
      </c>
      <c r="L261" s="180">
        <v>0.79</v>
      </c>
      <c r="M261" s="180">
        <v>94</v>
      </c>
      <c r="N261" s="180">
        <v>7.7</v>
      </c>
      <c r="O261" s="94">
        <v>0.6</v>
      </c>
      <c r="P261" s="239">
        <f t="shared" si="92"/>
        <v>-0.23572233352106983</v>
      </c>
      <c r="Q261" s="296" t="str">
        <f t="shared" si="88"/>
        <v>Chlorella</v>
      </c>
      <c r="R261" s="297">
        <f t="shared" si="89"/>
        <v>0.11403759452585011</v>
      </c>
      <c r="S261" s="220">
        <v>0.1</v>
      </c>
      <c r="T261" s="236">
        <f t="shared" si="68"/>
        <v>33</v>
      </c>
      <c r="U261" s="221" t="str">
        <f t="shared" si="83"/>
        <v>33-POP-EC10-EX</v>
      </c>
      <c r="V261" s="222" cm="1">
        <f t="array" ref="V261">MEDIAN(IF(U261=$U$7:$U$360,$S$7:$S$360))</f>
        <v>0.5483589578715401</v>
      </c>
      <c r="W261" s="298">
        <f t="shared" si="90"/>
        <v>-9.8429864646369603E-2</v>
      </c>
      <c r="X261" s="225">
        <f t="shared" si="67"/>
        <v>0.90625925119845641</v>
      </c>
      <c r="Y261" s="225">
        <f t="shared" si="91"/>
        <v>0.90625925119845641</v>
      </c>
      <c r="Z261" s="226"/>
      <c r="AA261" s="226"/>
      <c r="AB261" s="254"/>
      <c r="AC261" s="228" t="s">
        <v>1772</v>
      </c>
      <c r="AD261" s="276">
        <v>0.91</v>
      </c>
      <c r="AE261" s="228" t="s">
        <v>1859</v>
      </c>
      <c r="AG261" s="248"/>
      <c r="AI261" s="244"/>
    </row>
    <row r="262" spans="1:38" s="182" customFormat="1" ht="15.75" customHeight="1" x14ac:dyDescent="0.25">
      <c r="A262" s="182" t="s">
        <v>1921</v>
      </c>
      <c r="B262" s="241"/>
      <c r="C262" s="217">
        <v>2021</v>
      </c>
      <c r="D262" s="180" t="s">
        <v>1652</v>
      </c>
      <c r="E262" s="180" t="s">
        <v>1311</v>
      </c>
      <c r="F262" s="180" t="s">
        <v>567</v>
      </c>
      <c r="G262" s="180" t="s">
        <v>1303</v>
      </c>
      <c r="H262" s="180" t="s">
        <v>264</v>
      </c>
      <c r="I262" s="180" t="s">
        <v>256</v>
      </c>
      <c r="J262" s="180" t="s">
        <v>49</v>
      </c>
      <c r="K262" s="180">
        <v>3</v>
      </c>
      <c r="L262" s="217">
        <v>4.0999999999999996</v>
      </c>
      <c r="M262" s="180">
        <v>94</v>
      </c>
      <c r="N262" s="180">
        <v>8</v>
      </c>
      <c r="O262" s="94">
        <v>0.6</v>
      </c>
      <c r="P262" s="239">
        <f t="shared" si="92"/>
        <v>1.410986973710262</v>
      </c>
      <c r="Q262" s="296" t="str">
        <f t="shared" si="88"/>
        <v>Chlorella</v>
      </c>
      <c r="R262" s="297">
        <f t="shared" si="89"/>
        <v>6.3375945258501987E-3</v>
      </c>
      <c r="S262" s="220">
        <f t="shared" ref="S262:S272" si="93">P262-R262</f>
        <v>1.4046493791844119</v>
      </c>
      <c r="T262" s="236">
        <f t="shared" si="68"/>
        <v>33</v>
      </c>
      <c r="U262" s="221" t="str">
        <f t="shared" si="83"/>
        <v>33-POP-EC10-EX</v>
      </c>
      <c r="V262" s="222" cm="1">
        <f t="array" ref="V262">MEDIAN(IF(U262=$U$7:$U$360,$S$7:$S$360))</f>
        <v>0.5483589578715401</v>
      </c>
      <c r="W262" s="298">
        <f t="shared" si="90"/>
        <v>-9.8429864646369603E-2</v>
      </c>
      <c r="X262" s="299">
        <f t="shared" si="67"/>
        <v>0.90625925119845641</v>
      </c>
      <c r="Y262" s="225">
        <f t="shared" si="91"/>
        <v>0.90625925119845641</v>
      </c>
      <c r="Z262" s="226"/>
      <c r="AA262" s="226"/>
      <c r="AB262" s="254"/>
      <c r="AC262" s="228" t="s">
        <v>1772</v>
      </c>
      <c r="AD262" s="276">
        <v>0.91</v>
      </c>
      <c r="AE262" s="228" t="s">
        <v>1859</v>
      </c>
      <c r="AG262" s="248"/>
      <c r="AI262" s="244"/>
    </row>
    <row r="263" spans="1:38" s="182" customFormat="1" ht="15.75" customHeight="1" x14ac:dyDescent="0.25">
      <c r="A263" s="182" t="s">
        <v>1922</v>
      </c>
      <c r="B263" s="180"/>
      <c r="C263" s="217">
        <v>2021</v>
      </c>
      <c r="D263" s="180" t="s">
        <v>1652</v>
      </c>
      <c r="E263" s="180" t="s">
        <v>1311</v>
      </c>
      <c r="F263" s="180" t="s">
        <v>567</v>
      </c>
      <c r="G263" s="180" t="s">
        <v>1303</v>
      </c>
      <c r="H263" s="180" t="s">
        <v>264</v>
      </c>
      <c r="I263" s="180" t="s">
        <v>256</v>
      </c>
      <c r="J263" s="180" t="s">
        <v>49</v>
      </c>
      <c r="K263" s="180">
        <v>3</v>
      </c>
      <c r="L263" s="180">
        <v>3.2</v>
      </c>
      <c r="M263" s="180">
        <v>93</v>
      </c>
      <c r="N263" s="180">
        <v>8.3000000000000007</v>
      </c>
      <c r="O263" s="94">
        <v>0.69</v>
      </c>
      <c r="P263" s="239">
        <f t="shared" si="92"/>
        <v>1.1631508098056809</v>
      </c>
      <c r="Q263" s="296" t="str">
        <f t="shared" si="88"/>
        <v>Chlorella</v>
      </c>
      <c r="R263" s="297">
        <f t="shared" si="89"/>
        <v>-5.9503893276040776E-2</v>
      </c>
      <c r="S263" s="220">
        <f t="shared" si="93"/>
        <v>1.2226547030817216</v>
      </c>
      <c r="T263" s="236">
        <f t="shared" si="68"/>
        <v>33</v>
      </c>
      <c r="U263" s="221" t="str">
        <f t="shared" si="83"/>
        <v>33-POP-EC10-EX</v>
      </c>
      <c r="V263" s="222" cm="1">
        <f t="array" ref="V263">MEDIAN(IF(U263=$U$7:$U$360,$S$7:$S$360))</f>
        <v>0.5483589578715401</v>
      </c>
      <c r="W263" s="298">
        <f t="shared" si="90"/>
        <v>-9.8429864646369603E-2</v>
      </c>
      <c r="X263" s="299">
        <f t="shared" si="67"/>
        <v>0.90625925119845641</v>
      </c>
      <c r="Y263" s="225">
        <f t="shared" si="91"/>
        <v>0.90625925119845641</v>
      </c>
      <c r="Z263" s="226"/>
      <c r="AA263" s="226"/>
      <c r="AB263" s="254"/>
      <c r="AC263" s="228" t="s">
        <v>1772</v>
      </c>
      <c r="AD263" s="276">
        <v>0.91</v>
      </c>
      <c r="AE263" s="228" t="s">
        <v>1859</v>
      </c>
      <c r="AG263" s="248"/>
      <c r="AI263" s="244"/>
    </row>
    <row r="264" spans="1:38" s="182" customFormat="1" ht="15.75" customHeight="1" x14ac:dyDescent="0.25">
      <c r="A264" s="182" t="s">
        <v>1923</v>
      </c>
      <c r="B264" s="180"/>
      <c r="C264" s="217">
        <v>2022</v>
      </c>
      <c r="D264" s="180" t="s">
        <v>1652</v>
      </c>
      <c r="E264" s="180" t="s">
        <v>1311</v>
      </c>
      <c r="F264" s="180" t="s">
        <v>567</v>
      </c>
      <c r="G264" s="180" t="s">
        <v>1303</v>
      </c>
      <c r="H264" s="180" t="s">
        <v>264</v>
      </c>
      <c r="I264" s="180" t="s">
        <v>256</v>
      </c>
      <c r="J264" s="180" t="s">
        <v>49</v>
      </c>
      <c r="K264" s="180">
        <v>3</v>
      </c>
      <c r="L264" s="180">
        <v>1.5</v>
      </c>
      <c r="M264" s="180">
        <v>5</v>
      </c>
      <c r="N264" s="180">
        <v>6.7</v>
      </c>
      <c r="O264" s="94">
        <v>0.5</v>
      </c>
      <c r="P264" s="239">
        <f t="shared" si="92"/>
        <v>0.40546510810816438</v>
      </c>
      <c r="Q264" s="296" t="str">
        <f t="shared" si="88"/>
        <v>Chlorella</v>
      </c>
      <c r="R264" s="297">
        <f t="shared" si="89"/>
        <v>-1.5654429453083911</v>
      </c>
      <c r="S264" s="220">
        <f t="shared" si="93"/>
        <v>1.9709080534165555</v>
      </c>
      <c r="T264" s="236">
        <f t="shared" si="68"/>
        <v>33</v>
      </c>
      <c r="U264" s="221" t="str">
        <f t="shared" si="83"/>
        <v>33-POP-EC10-EX</v>
      </c>
      <c r="V264" s="222" cm="1">
        <f t="array" ref="V264">MEDIAN(IF(U264=$U$7:$U$360,$S$7:$S$360))</f>
        <v>0.5483589578715401</v>
      </c>
      <c r="W264" s="298">
        <f t="shared" si="90"/>
        <v>-9.8429864646369603E-2</v>
      </c>
      <c r="X264" s="299">
        <f t="shared" ref="X264:X272" si="94">EXP(W264)</f>
        <v>0.90625925119845641</v>
      </c>
      <c r="Y264" s="225">
        <f t="shared" si="91"/>
        <v>0.90625925119845641</v>
      </c>
      <c r="Z264" s="226"/>
      <c r="AA264" s="226"/>
      <c r="AB264" s="254"/>
      <c r="AC264" s="228" t="s">
        <v>1772</v>
      </c>
      <c r="AD264" s="276">
        <v>0.91</v>
      </c>
      <c r="AE264" s="228" t="s">
        <v>1859</v>
      </c>
      <c r="AG264" s="248"/>
      <c r="AI264" s="244"/>
    </row>
    <row r="265" spans="1:38" s="182" customFormat="1" ht="15.75" customHeight="1" x14ac:dyDescent="0.25">
      <c r="A265" s="182" t="s">
        <v>1924</v>
      </c>
      <c r="B265" s="180"/>
      <c r="C265" s="217">
        <v>2022</v>
      </c>
      <c r="D265" s="180" t="s">
        <v>1652</v>
      </c>
      <c r="E265" s="180" t="s">
        <v>1311</v>
      </c>
      <c r="F265" s="180" t="s">
        <v>567</v>
      </c>
      <c r="G265" s="180" t="s">
        <v>1303</v>
      </c>
      <c r="H265" s="180" t="s">
        <v>264</v>
      </c>
      <c r="I265" s="180" t="s">
        <v>256</v>
      </c>
      <c r="J265" s="180" t="s">
        <v>49</v>
      </c>
      <c r="K265" s="180">
        <v>3</v>
      </c>
      <c r="L265" s="180">
        <v>1.8</v>
      </c>
      <c r="M265" s="180">
        <v>5</v>
      </c>
      <c r="N265" s="180">
        <v>7.6</v>
      </c>
      <c r="O265" s="94">
        <v>0.5</v>
      </c>
      <c r="P265" s="239">
        <f t="shared" si="92"/>
        <v>0.58778666490211906</v>
      </c>
      <c r="Q265" s="296" t="str">
        <f t="shared" si="88"/>
        <v>Chlorella</v>
      </c>
      <c r="R265" s="297">
        <f t="shared" si="89"/>
        <v>-1.8885429453083908</v>
      </c>
      <c r="S265" s="220">
        <f t="shared" si="93"/>
        <v>2.4763296102105099</v>
      </c>
      <c r="T265" s="236">
        <f t="shared" ref="T265:T328" si="95">IF(F265=F264,T264,T264+1)</f>
        <v>33</v>
      </c>
      <c r="U265" s="221" t="str">
        <f t="shared" si="83"/>
        <v>33-POP-EC10-EX</v>
      </c>
      <c r="V265" s="222" cm="1">
        <f t="array" ref="V265">MEDIAN(IF(U265=$U$7:$U$360,$S$7:$S$360))</f>
        <v>0.5483589578715401</v>
      </c>
      <c r="W265" s="298">
        <f t="shared" si="90"/>
        <v>-9.8429864646369603E-2</v>
      </c>
      <c r="X265" s="299">
        <f t="shared" si="94"/>
        <v>0.90625925119845641</v>
      </c>
      <c r="Y265" s="225">
        <f t="shared" si="91"/>
        <v>0.90625925119845641</v>
      </c>
      <c r="Z265" s="226"/>
      <c r="AA265" s="226"/>
      <c r="AB265" s="254"/>
      <c r="AC265" s="228" t="s">
        <v>1772</v>
      </c>
      <c r="AD265" s="276">
        <v>0.91</v>
      </c>
      <c r="AE265" s="228" t="s">
        <v>1859</v>
      </c>
      <c r="AG265" s="248"/>
      <c r="AI265" s="244"/>
    </row>
    <row r="266" spans="1:38" s="182" customFormat="1" ht="15.75" customHeight="1" x14ac:dyDescent="0.25">
      <c r="A266" s="182" t="s">
        <v>1925</v>
      </c>
      <c r="B266" s="180"/>
      <c r="C266" s="217">
        <v>2022</v>
      </c>
      <c r="D266" s="180" t="s">
        <v>1652</v>
      </c>
      <c r="E266" s="180" t="s">
        <v>1311</v>
      </c>
      <c r="F266" s="180" t="s">
        <v>567</v>
      </c>
      <c r="G266" s="180" t="s">
        <v>1303</v>
      </c>
      <c r="H266" s="180" t="s">
        <v>264</v>
      </c>
      <c r="I266" s="180" t="s">
        <v>256</v>
      </c>
      <c r="J266" s="180" t="s">
        <v>49</v>
      </c>
      <c r="K266" s="180">
        <v>3</v>
      </c>
      <c r="L266" s="180">
        <v>0.85</v>
      </c>
      <c r="M266" s="180">
        <v>5</v>
      </c>
      <c r="N266" s="180">
        <v>8.3000000000000007</v>
      </c>
      <c r="O266" s="94">
        <v>0.5</v>
      </c>
      <c r="P266" s="239">
        <f t="shared" si="92"/>
        <v>-0.16251892949777494</v>
      </c>
      <c r="Q266" s="296" t="str">
        <f t="shared" si="88"/>
        <v>Chlorella</v>
      </c>
      <c r="R266" s="297">
        <f t="shared" si="89"/>
        <v>-2.1398429453083914</v>
      </c>
      <c r="S266" s="220">
        <f t="shared" si="93"/>
        <v>1.9773240158106165</v>
      </c>
      <c r="T266" s="236">
        <f t="shared" si="95"/>
        <v>33</v>
      </c>
      <c r="U266" s="221" t="str">
        <f t="shared" si="83"/>
        <v>33-POP-EC10-EX</v>
      </c>
      <c r="V266" s="222" cm="1">
        <f t="array" ref="V266">MEDIAN(IF(U266=$U$7:$U$360,$S$7:$S$360))</f>
        <v>0.5483589578715401</v>
      </c>
      <c r="W266" s="298">
        <f t="shared" si="90"/>
        <v>-9.8429864646369603E-2</v>
      </c>
      <c r="X266" s="299">
        <f t="shared" si="94"/>
        <v>0.90625925119845641</v>
      </c>
      <c r="Y266" s="225">
        <f t="shared" si="91"/>
        <v>0.90625925119845641</v>
      </c>
      <c r="Z266" s="226"/>
      <c r="AA266" s="226"/>
      <c r="AB266" s="254"/>
      <c r="AC266" s="228" t="s">
        <v>1772</v>
      </c>
      <c r="AD266" s="276">
        <v>0.91</v>
      </c>
      <c r="AE266" s="228" t="s">
        <v>1859</v>
      </c>
      <c r="AG266" s="248"/>
      <c r="AI266" s="244"/>
    </row>
    <row r="267" spans="1:38" s="182" customFormat="1" ht="15.75" customHeight="1" x14ac:dyDescent="0.25">
      <c r="A267" s="182" t="s">
        <v>1926</v>
      </c>
      <c r="B267" s="241"/>
      <c r="C267" s="217">
        <v>2022</v>
      </c>
      <c r="D267" s="180" t="s">
        <v>1652</v>
      </c>
      <c r="E267" s="180" t="s">
        <v>1311</v>
      </c>
      <c r="F267" s="180" t="s">
        <v>567</v>
      </c>
      <c r="G267" s="180" t="s">
        <v>1303</v>
      </c>
      <c r="H267" s="180" t="s">
        <v>264</v>
      </c>
      <c r="I267" s="180" t="s">
        <v>256</v>
      </c>
      <c r="J267" s="180" t="s">
        <v>49</v>
      </c>
      <c r="K267" s="180">
        <v>3</v>
      </c>
      <c r="L267" s="217">
        <v>3.3</v>
      </c>
      <c r="M267" s="180">
        <v>31</v>
      </c>
      <c r="N267" s="180">
        <v>6.7</v>
      </c>
      <c r="O267" s="94">
        <v>0.5</v>
      </c>
      <c r="P267" s="239">
        <f t="shared" si="92"/>
        <v>1.1939224684724346</v>
      </c>
      <c r="Q267" s="296" t="str">
        <f t="shared" si="88"/>
        <v>Chlorella</v>
      </c>
      <c r="R267" s="297">
        <f t="shared" si="89"/>
        <v>-0.33752127175803726</v>
      </c>
      <c r="S267" s="220">
        <f t="shared" si="93"/>
        <v>1.5314437402304719</v>
      </c>
      <c r="T267" s="236">
        <f t="shared" si="95"/>
        <v>33</v>
      </c>
      <c r="U267" s="221" t="str">
        <f t="shared" si="83"/>
        <v>33-POP-EC10-EX</v>
      </c>
      <c r="V267" s="222" cm="1">
        <f t="array" ref="V267">MEDIAN(IF(U267=$U$7:$U$360,$S$7:$S$360))</f>
        <v>0.5483589578715401</v>
      </c>
      <c r="W267" s="298">
        <f t="shared" si="90"/>
        <v>-9.8429864646369603E-2</v>
      </c>
      <c r="X267" s="299">
        <f t="shared" si="94"/>
        <v>0.90625925119845641</v>
      </c>
      <c r="Y267" s="225">
        <f t="shared" si="91"/>
        <v>0.90625925119845641</v>
      </c>
      <c r="Z267" s="226"/>
      <c r="AA267" s="226"/>
      <c r="AB267" s="254"/>
      <c r="AC267" s="228" t="s">
        <v>1772</v>
      </c>
      <c r="AD267" s="276">
        <v>0.91</v>
      </c>
      <c r="AE267" s="228" t="s">
        <v>1859</v>
      </c>
      <c r="AG267" s="248"/>
      <c r="AH267" s="183"/>
      <c r="AI267" s="244"/>
      <c r="AJ267" s="183"/>
      <c r="AK267" s="183"/>
    </row>
    <row r="268" spans="1:38" s="182" customFormat="1" ht="15.75" customHeight="1" x14ac:dyDescent="0.25">
      <c r="A268" s="300" t="s">
        <v>1927</v>
      </c>
      <c r="B268" s="180"/>
      <c r="C268" s="217">
        <v>2022</v>
      </c>
      <c r="D268" s="180" t="s">
        <v>1652</v>
      </c>
      <c r="E268" s="180" t="s">
        <v>1311</v>
      </c>
      <c r="F268" s="180" t="s">
        <v>567</v>
      </c>
      <c r="G268" s="180" t="s">
        <v>1303</v>
      </c>
      <c r="H268" s="180" t="s">
        <v>264</v>
      </c>
      <c r="I268" s="180" t="s">
        <v>256</v>
      </c>
      <c r="J268" s="180" t="s">
        <v>49</v>
      </c>
      <c r="K268" s="180">
        <v>3</v>
      </c>
      <c r="L268" s="180">
        <v>2.1</v>
      </c>
      <c r="M268" s="180">
        <v>31</v>
      </c>
      <c r="N268" s="180">
        <v>7.6</v>
      </c>
      <c r="O268" s="94">
        <v>0.5</v>
      </c>
      <c r="P268" s="239">
        <f t="shared" si="92"/>
        <v>0.74193734472937733</v>
      </c>
      <c r="Q268" s="296" t="str">
        <f t="shared" si="88"/>
        <v>Chlorella</v>
      </c>
      <c r="R268" s="297">
        <f t="shared" si="89"/>
        <v>-0.66062127175803698</v>
      </c>
      <c r="S268" s="220">
        <f t="shared" si="93"/>
        <v>1.4025586164874144</v>
      </c>
      <c r="T268" s="236">
        <f t="shared" si="95"/>
        <v>33</v>
      </c>
      <c r="U268" s="221" t="str">
        <f t="shared" si="83"/>
        <v>33-POP-EC10-EX</v>
      </c>
      <c r="V268" s="222" cm="1">
        <f t="array" ref="V268">MEDIAN(IF(U268=$U$7:$U$360,$S$7:$S$360))</f>
        <v>0.5483589578715401</v>
      </c>
      <c r="W268" s="298">
        <f t="shared" si="90"/>
        <v>-9.8429864646369603E-2</v>
      </c>
      <c r="X268" s="299">
        <f t="shared" si="94"/>
        <v>0.90625925119845641</v>
      </c>
      <c r="Y268" s="225">
        <f t="shared" si="91"/>
        <v>0.90625925119845641</v>
      </c>
      <c r="Z268" s="226"/>
      <c r="AA268" s="226"/>
      <c r="AB268" s="254"/>
      <c r="AC268" s="228" t="s">
        <v>1772</v>
      </c>
      <c r="AD268" s="276">
        <v>0.91</v>
      </c>
      <c r="AE268" s="228" t="s">
        <v>1859</v>
      </c>
      <c r="AG268" s="248"/>
      <c r="AH268" s="183"/>
      <c r="AI268" s="244"/>
      <c r="AJ268" s="183"/>
      <c r="AK268" s="183"/>
    </row>
    <row r="269" spans="1:38" s="182" customFormat="1" ht="15.75" customHeight="1" x14ac:dyDescent="0.25">
      <c r="A269" s="300" t="s">
        <v>1928</v>
      </c>
      <c r="B269" s="180"/>
      <c r="C269" s="217">
        <v>2022</v>
      </c>
      <c r="D269" s="180" t="s">
        <v>1652</v>
      </c>
      <c r="E269" s="180" t="s">
        <v>1311</v>
      </c>
      <c r="F269" s="180" t="s">
        <v>567</v>
      </c>
      <c r="G269" s="180" t="s">
        <v>1303</v>
      </c>
      <c r="H269" s="180" t="s">
        <v>264</v>
      </c>
      <c r="I269" s="180" t="s">
        <v>256</v>
      </c>
      <c r="J269" s="180" t="s">
        <v>49</v>
      </c>
      <c r="K269" s="180">
        <v>3</v>
      </c>
      <c r="L269" s="180">
        <v>1.3</v>
      </c>
      <c r="M269" s="180">
        <v>31</v>
      </c>
      <c r="N269" s="180">
        <v>8.3000000000000007</v>
      </c>
      <c r="O269" s="94">
        <v>0.5</v>
      </c>
      <c r="P269" s="239">
        <f t="shared" si="92"/>
        <v>0.26236426446749106</v>
      </c>
      <c r="Q269" s="296" t="str">
        <f t="shared" si="88"/>
        <v>Chlorella</v>
      </c>
      <c r="R269" s="297">
        <f t="shared" si="89"/>
        <v>-0.9119212717580375</v>
      </c>
      <c r="S269" s="220">
        <f t="shared" si="93"/>
        <v>1.1742855362255287</v>
      </c>
      <c r="T269" s="236">
        <f t="shared" si="95"/>
        <v>33</v>
      </c>
      <c r="U269" s="221" t="str">
        <f t="shared" si="83"/>
        <v>33-POP-EC10-EX</v>
      </c>
      <c r="V269" s="222" cm="1">
        <f t="array" ref="V269">MEDIAN(IF(U269=$U$7:$U$360,$S$7:$S$360))</f>
        <v>0.5483589578715401</v>
      </c>
      <c r="W269" s="298">
        <f t="shared" si="90"/>
        <v>-9.8429864646369603E-2</v>
      </c>
      <c r="X269" s="299">
        <f t="shared" si="94"/>
        <v>0.90625925119845641</v>
      </c>
      <c r="Y269" s="225">
        <f t="shared" si="91"/>
        <v>0.90625925119845641</v>
      </c>
      <c r="Z269" s="226"/>
      <c r="AA269" s="226"/>
      <c r="AB269" s="254"/>
      <c r="AC269" s="228" t="s">
        <v>1772</v>
      </c>
      <c r="AD269" s="276">
        <v>0.91</v>
      </c>
      <c r="AE269" s="228" t="s">
        <v>1859</v>
      </c>
      <c r="AG269" s="248"/>
      <c r="AH269" s="183"/>
      <c r="AI269" s="244"/>
      <c r="AJ269" s="183"/>
      <c r="AK269" s="183"/>
      <c r="AL269" s="183"/>
    </row>
    <row r="270" spans="1:38" s="182" customFormat="1" ht="15.75" customHeight="1" x14ac:dyDescent="0.25">
      <c r="A270" s="300" t="s">
        <v>1929</v>
      </c>
      <c r="B270" s="180"/>
      <c r="C270" s="217">
        <v>2022</v>
      </c>
      <c r="D270" s="180" t="s">
        <v>1652</v>
      </c>
      <c r="E270" s="180" t="s">
        <v>1311</v>
      </c>
      <c r="F270" s="180" t="s">
        <v>567</v>
      </c>
      <c r="G270" s="180" t="s">
        <v>1303</v>
      </c>
      <c r="H270" s="180" t="s">
        <v>264</v>
      </c>
      <c r="I270" s="180" t="s">
        <v>256</v>
      </c>
      <c r="J270" s="180" t="s">
        <v>49</v>
      </c>
      <c r="K270" s="180">
        <v>3</v>
      </c>
      <c r="L270" s="180">
        <v>5.3</v>
      </c>
      <c r="M270" s="180">
        <v>402</v>
      </c>
      <c r="N270" s="180">
        <v>6.7</v>
      </c>
      <c r="O270" s="94">
        <v>0.5</v>
      </c>
      <c r="P270" s="239">
        <f t="shared" si="92"/>
        <v>1.6677068205580761</v>
      </c>
      <c r="Q270" s="296" t="str">
        <f t="shared" si="88"/>
        <v>Chlorella</v>
      </c>
      <c r="R270" s="297">
        <f t="shared" si="89"/>
        <v>1.3870175952640609</v>
      </c>
      <c r="S270" s="220">
        <f t="shared" si="93"/>
        <v>0.28068922529401519</v>
      </c>
      <c r="T270" s="236">
        <f t="shared" si="95"/>
        <v>33</v>
      </c>
      <c r="U270" s="221" t="str">
        <f t="shared" si="83"/>
        <v>33-POP-EC10-EX</v>
      </c>
      <c r="V270" s="222" cm="1">
        <f t="array" ref="V270">MEDIAN(IF(U270=$U$7:$U$360,$S$7:$S$360))</f>
        <v>0.5483589578715401</v>
      </c>
      <c r="W270" s="298">
        <f t="shared" si="90"/>
        <v>-9.8429864646369603E-2</v>
      </c>
      <c r="X270" s="299">
        <f t="shared" si="94"/>
        <v>0.90625925119845641</v>
      </c>
      <c r="Y270" s="225">
        <f t="shared" si="91"/>
        <v>0.90625925119845641</v>
      </c>
      <c r="Z270" s="226"/>
      <c r="AA270" s="226"/>
      <c r="AB270" s="254"/>
      <c r="AC270" s="228" t="s">
        <v>1772</v>
      </c>
      <c r="AD270" s="276">
        <v>0.91</v>
      </c>
      <c r="AE270" s="228" t="s">
        <v>1859</v>
      </c>
      <c r="AG270" s="248"/>
      <c r="AI270" s="244"/>
      <c r="AL270" s="183"/>
    </row>
    <row r="271" spans="1:38" s="182" customFormat="1" ht="15.75" customHeight="1" x14ac:dyDescent="0.25">
      <c r="A271" s="300" t="s">
        <v>1930</v>
      </c>
      <c r="B271" s="180"/>
      <c r="C271" s="217">
        <v>2022</v>
      </c>
      <c r="D271" s="180" t="s">
        <v>1652</v>
      </c>
      <c r="E271" s="180" t="s">
        <v>1311</v>
      </c>
      <c r="F271" s="180" t="s">
        <v>567</v>
      </c>
      <c r="G271" s="180" t="s">
        <v>1303</v>
      </c>
      <c r="H271" s="180" t="s">
        <v>264</v>
      </c>
      <c r="I271" s="180" t="s">
        <v>256</v>
      </c>
      <c r="J271" s="180" t="s">
        <v>49</v>
      </c>
      <c r="K271" s="180">
        <v>3</v>
      </c>
      <c r="L271" s="180">
        <v>4.4000000000000004</v>
      </c>
      <c r="M271" s="180">
        <v>402</v>
      </c>
      <c r="N271" s="180">
        <v>7.6</v>
      </c>
      <c r="O271" s="94">
        <v>0.5</v>
      </c>
      <c r="P271" s="239">
        <f t="shared" si="92"/>
        <v>1.4816045409242156</v>
      </c>
      <c r="Q271" s="296" t="str">
        <f t="shared" si="88"/>
        <v>Chlorella</v>
      </c>
      <c r="R271" s="297">
        <f t="shared" si="89"/>
        <v>1.0639175952640612</v>
      </c>
      <c r="S271" s="220">
        <f t="shared" si="93"/>
        <v>0.41768694566015441</v>
      </c>
      <c r="T271" s="236">
        <f t="shared" si="95"/>
        <v>33</v>
      </c>
      <c r="U271" s="221" t="str">
        <f t="shared" si="83"/>
        <v>33-POP-EC10-EX</v>
      </c>
      <c r="V271" s="222" cm="1">
        <f t="array" ref="V271">MEDIAN(IF(U271=$U$7:$U$360,$S$7:$S$360))</f>
        <v>0.5483589578715401</v>
      </c>
      <c r="W271" s="298">
        <f t="shared" si="90"/>
        <v>-9.8429864646369603E-2</v>
      </c>
      <c r="X271" s="299">
        <f t="shared" si="94"/>
        <v>0.90625925119845641</v>
      </c>
      <c r="Y271" s="225">
        <f t="shared" si="91"/>
        <v>0.90625925119845641</v>
      </c>
      <c r="Z271" s="226"/>
      <c r="AA271" s="226"/>
      <c r="AB271" s="254"/>
      <c r="AC271" s="228" t="s">
        <v>1772</v>
      </c>
      <c r="AD271" s="276">
        <v>0.91</v>
      </c>
      <c r="AE271" s="228" t="s">
        <v>1859</v>
      </c>
      <c r="AG271" s="248"/>
      <c r="AI271" s="244"/>
      <c r="AL271" s="183"/>
    </row>
    <row r="272" spans="1:38" s="182" customFormat="1" ht="15.75" customHeight="1" x14ac:dyDescent="0.25">
      <c r="A272" s="300" t="s">
        <v>1931</v>
      </c>
      <c r="B272" s="180"/>
      <c r="C272" s="217">
        <v>2022</v>
      </c>
      <c r="D272" s="180" t="s">
        <v>1652</v>
      </c>
      <c r="E272" s="180" t="s">
        <v>1311</v>
      </c>
      <c r="F272" s="180" t="s">
        <v>567</v>
      </c>
      <c r="G272" s="180" t="s">
        <v>1303</v>
      </c>
      <c r="H272" s="180" t="s">
        <v>264</v>
      </c>
      <c r="I272" s="180" t="s">
        <v>256</v>
      </c>
      <c r="J272" s="180" t="s">
        <v>49</v>
      </c>
      <c r="K272" s="180">
        <v>3</v>
      </c>
      <c r="L272" s="180">
        <v>3.9</v>
      </c>
      <c r="M272" s="180">
        <v>402</v>
      </c>
      <c r="N272" s="180">
        <v>8.3000000000000007</v>
      </c>
      <c r="O272" s="94">
        <v>0.5</v>
      </c>
      <c r="P272" s="239">
        <f t="shared" si="92"/>
        <v>1.3609765531356006</v>
      </c>
      <c r="Q272" s="296" t="str">
        <f t="shared" si="88"/>
        <v>Chlorella</v>
      </c>
      <c r="R272" s="297">
        <f t="shared" si="89"/>
        <v>0.81261759526406052</v>
      </c>
      <c r="S272" s="220">
        <f t="shared" si="93"/>
        <v>0.5483589578715401</v>
      </c>
      <c r="T272" s="236">
        <f t="shared" si="95"/>
        <v>33</v>
      </c>
      <c r="U272" s="221" t="str">
        <f t="shared" si="83"/>
        <v>33-POP-EC10-EX</v>
      </c>
      <c r="V272" s="222" cm="1">
        <f t="array" ref="V272">MEDIAN(IF(U272=$U$7:$U$360,$S$7:$S$360))</f>
        <v>0.5483589578715401</v>
      </c>
      <c r="W272" s="298">
        <f t="shared" si="90"/>
        <v>-9.8429864646369603E-2</v>
      </c>
      <c r="X272" s="299">
        <f t="shared" si="94"/>
        <v>0.90625925119845641</v>
      </c>
      <c r="Y272" s="225">
        <f t="shared" si="91"/>
        <v>0.90625925119845641</v>
      </c>
      <c r="Z272" s="226"/>
      <c r="AA272" s="226"/>
      <c r="AB272" s="254"/>
      <c r="AC272" s="228" t="s">
        <v>1772</v>
      </c>
      <c r="AD272" s="276">
        <v>0.91</v>
      </c>
      <c r="AE272" s="228" t="s">
        <v>1859</v>
      </c>
      <c r="AG272" s="248"/>
      <c r="AI272" s="244"/>
    </row>
    <row r="273" spans="1:38" s="183" customFormat="1" ht="15.75" customHeight="1" x14ac:dyDescent="0.25">
      <c r="A273" s="183" t="s">
        <v>1932</v>
      </c>
      <c r="B273" s="180"/>
      <c r="C273" s="217">
        <v>2023</v>
      </c>
      <c r="D273" s="180" t="s">
        <v>1652</v>
      </c>
      <c r="E273" s="180" t="s">
        <v>1311</v>
      </c>
      <c r="F273" s="180" t="s">
        <v>567</v>
      </c>
      <c r="G273" s="180" t="s">
        <v>1303</v>
      </c>
      <c r="H273" s="180" t="s">
        <v>264</v>
      </c>
      <c r="I273" s="180" t="s">
        <v>256</v>
      </c>
      <c r="J273" s="180" t="s">
        <v>49</v>
      </c>
      <c r="K273" s="180">
        <v>3</v>
      </c>
      <c r="L273" s="180">
        <v>1.6</v>
      </c>
      <c r="M273" s="180">
        <v>90</v>
      </c>
      <c r="N273" s="180">
        <v>7.7</v>
      </c>
      <c r="O273" s="94">
        <v>0.5</v>
      </c>
      <c r="P273" s="239">
        <f>LN(L273)</f>
        <v>0.47000362924573563</v>
      </c>
      <c r="Q273" s="296" t="str">
        <f t="shared" si="88"/>
        <v>Chlorella</v>
      </c>
      <c r="R273" s="297">
        <f t="shared" si="89"/>
        <v>2.0777247755727646E-2</v>
      </c>
      <c r="S273" s="220">
        <f>P273-R273</f>
        <v>0.44922638149000799</v>
      </c>
      <c r="T273" s="236">
        <f t="shared" si="95"/>
        <v>33</v>
      </c>
      <c r="U273" s="221" t="str">
        <f t="shared" si="83"/>
        <v>33-POP-EC10-EX</v>
      </c>
      <c r="V273" s="222" cm="1">
        <f t="array" ref="V273">MEDIAN(IF(U273=$U$7:$U$360,$S$7:$S$360))</f>
        <v>0.5483589578715401</v>
      </c>
      <c r="W273" s="298">
        <f t="shared" si="90"/>
        <v>-9.8429864646369603E-2</v>
      </c>
      <c r="X273" s="299">
        <f>EXP(W273)</f>
        <v>0.90625925119845641</v>
      </c>
      <c r="Y273" s="225">
        <f>X273</f>
        <v>0.90625925119845641</v>
      </c>
      <c r="Z273" s="226"/>
      <c r="AA273" s="226"/>
      <c r="AB273" s="254"/>
      <c r="AC273" s="228" t="s">
        <v>1772</v>
      </c>
      <c r="AD273" s="276">
        <v>0.8</v>
      </c>
      <c r="AE273" s="228" t="s">
        <v>1859</v>
      </c>
      <c r="AG273" s="248"/>
      <c r="AH273" s="182"/>
      <c r="AI273" s="244"/>
      <c r="AJ273" s="182"/>
      <c r="AK273" s="182"/>
      <c r="AL273" s="182"/>
    </row>
    <row r="274" spans="1:38" s="183" customFormat="1" ht="15.75" customHeight="1" x14ac:dyDescent="0.25">
      <c r="A274" s="183" t="s">
        <v>1933</v>
      </c>
      <c r="B274" s="180"/>
      <c r="C274" s="217">
        <v>2023</v>
      </c>
      <c r="D274" s="180" t="s">
        <v>1652</v>
      </c>
      <c r="E274" s="180" t="s">
        <v>1659</v>
      </c>
      <c r="F274" s="180" t="s">
        <v>567</v>
      </c>
      <c r="G274" s="180" t="s">
        <v>1303</v>
      </c>
      <c r="H274" s="180" t="s">
        <v>264</v>
      </c>
      <c r="I274" s="180" t="s">
        <v>256</v>
      </c>
      <c r="J274" s="180" t="s">
        <v>49</v>
      </c>
      <c r="K274" s="180">
        <v>3</v>
      </c>
      <c r="L274" s="180">
        <v>2</v>
      </c>
      <c r="M274" s="180">
        <v>90</v>
      </c>
      <c r="N274" s="180">
        <v>7.6</v>
      </c>
      <c r="O274" s="94">
        <v>2.5</v>
      </c>
      <c r="P274" s="239">
        <f t="shared" ref="P274:P331" si="96">LN(L274)</f>
        <v>0.69314718055994529</v>
      </c>
      <c r="Q274" s="296" t="str">
        <f t="shared" si="88"/>
        <v>Chlorella</v>
      </c>
      <c r="R274" s="297">
        <f t="shared" si="89"/>
        <v>0.62158995502009717</v>
      </c>
      <c r="S274" s="220">
        <f t="shared" ref="S274" si="97">P274-R274</f>
        <v>7.1557225539848113E-2</v>
      </c>
      <c r="T274" s="236">
        <f t="shared" si="95"/>
        <v>33</v>
      </c>
      <c r="U274" s="221" t="str">
        <f t="shared" si="83"/>
        <v>33-POP-EC10-EX</v>
      </c>
      <c r="V274" s="222" cm="1">
        <f t="array" ref="V274">MEDIAN(IF(U274=$U$7:$U$360,$S$7:$S$360))</f>
        <v>0.5483589578715401</v>
      </c>
      <c r="W274" s="298">
        <f t="shared" si="90"/>
        <v>-9.8429864646369603E-2</v>
      </c>
      <c r="X274" s="299">
        <f t="shared" ref="X274:X331" si="98">EXP(W274)</f>
        <v>0.90625925119845641</v>
      </c>
      <c r="Y274" s="225">
        <f t="shared" ref="Y274:Y277" si="99">X274</f>
        <v>0.90625925119845641</v>
      </c>
      <c r="Z274" s="226"/>
      <c r="AA274" s="226"/>
      <c r="AB274" s="254"/>
      <c r="AC274" s="228" t="s">
        <v>1772</v>
      </c>
      <c r="AD274" s="276">
        <v>0.8</v>
      </c>
      <c r="AE274" s="228" t="s">
        <v>1859</v>
      </c>
      <c r="AG274" s="248"/>
      <c r="AH274" s="182"/>
      <c r="AI274" s="244"/>
      <c r="AJ274" s="182"/>
      <c r="AK274" s="182"/>
      <c r="AL274" s="182"/>
    </row>
    <row r="275" spans="1:38" s="183" customFormat="1" ht="15.75" customHeight="1" x14ac:dyDescent="0.25">
      <c r="A275" s="183" t="s">
        <v>1934</v>
      </c>
      <c r="B275" s="180"/>
      <c r="C275" s="217">
        <v>2023</v>
      </c>
      <c r="D275" s="180" t="s">
        <v>1652</v>
      </c>
      <c r="E275" s="180" t="s">
        <v>1659</v>
      </c>
      <c r="F275" s="180" t="s">
        <v>567</v>
      </c>
      <c r="G275" s="180" t="s">
        <v>1303</v>
      </c>
      <c r="H275" s="180" t="s">
        <v>264</v>
      </c>
      <c r="I275" s="180" t="s">
        <v>256</v>
      </c>
      <c r="J275" s="180" t="s">
        <v>49</v>
      </c>
      <c r="K275" s="180">
        <v>3</v>
      </c>
      <c r="L275" s="180">
        <v>3.5</v>
      </c>
      <c r="M275" s="180">
        <v>90</v>
      </c>
      <c r="N275" s="180">
        <v>7.6</v>
      </c>
      <c r="O275" s="94">
        <v>5.4</v>
      </c>
      <c r="P275" s="239">
        <f t="shared" si="96"/>
        <v>1.2527629684953681</v>
      </c>
      <c r="Q275" s="296" t="str">
        <f t="shared" si="88"/>
        <v>Chlorella</v>
      </c>
      <c r="R275" s="297">
        <f t="shared" si="89"/>
        <v>0.89189794083541896</v>
      </c>
      <c r="S275" s="220">
        <f>P275-R275</f>
        <v>0.3608650276599491</v>
      </c>
      <c r="T275" s="236">
        <f t="shared" si="95"/>
        <v>33</v>
      </c>
      <c r="U275" s="221" t="str">
        <f t="shared" si="83"/>
        <v>33-POP-EC10-EX</v>
      </c>
      <c r="V275" s="222" cm="1">
        <f t="array" ref="V275">MEDIAN(IF(U275=$U$7:$U$360,$S$7:$S$360))</f>
        <v>0.5483589578715401</v>
      </c>
      <c r="W275" s="298">
        <f t="shared" si="90"/>
        <v>-9.8429864646369603E-2</v>
      </c>
      <c r="X275" s="299">
        <f t="shared" si="98"/>
        <v>0.90625925119845641</v>
      </c>
      <c r="Y275" s="225">
        <f t="shared" si="99"/>
        <v>0.90625925119845641</v>
      </c>
      <c r="Z275" s="226"/>
      <c r="AA275" s="226"/>
      <c r="AB275" s="254"/>
      <c r="AC275" s="228" t="s">
        <v>1772</v>
      </c>
      <c r="AD275" s="276">
        <v>0.8</v>
      </c>
      <c r="AE275" s="228" t="s">
        <v>1859</v>
      </c>
      <c r="AG275" s="248"/>
      <c r="AH275" s="182"/>
      <c r="AI275" s="244"/>
      <c r="AJ275" s="182"/>
      <c r="AK275" s="182"/>
      <c r="AL275" s="182"/>
    </row>
    <row r="276" spans="1:38" s="182" customFormat="1" ht="15.75" customHeight="1" x14ac:dyDescent="0.25">
      <c r="A276" s="183" t="s">
        <v>1935</v>
      </c>
      <c r="B276" s="180"/>
      <c r="C276" s="217">
        <v>2023</v>
      </c>
      <c r="D276" s="180" t="s">
        <v>1652</v>
      </c>
      <c r="E276" s="180" t="s">
        <v>1659</v>
      </c>
      <c r="F276" s="180" t="s">
        <v>567</v>
      </c>
      <c r="G276" s="180" t="s">
        <v>1303</v>
      </c>
      <c r="H276" s="180" t="s">
        <v>264</v>
      </c>
      <c r="I276" s="180" t="s">
        <v>256</v>
      </c>
      <c r="J276" s="180" t="s">
        <v>49</v>
      </c>
      <c r="K276" s="180">
        <v>3</v>
      </c>
      <c r="L276" s="180">
        <v>4.5</v>
      </c>
      <c r="M276" s="180">
        <v>90</v>
      </c>
      <c r="N276" s="180">
        <v>7.6</v>
      </c>
      <c r="O276" s="94">
        <v>10.1</v>
      </c>
      <c r="P276" s="239">
        <f t="shared" si="96"/>
        <v>1.5040773967762742</v>
      </c>
      <c r="Q276" s="296" t="str">
        <f t="shared" si="88"/>
        <v>Chlorella</v>
      </c>
      <c r="R276" s="297">
        <f t="shared" si="89"/>
        <v>1.1116718419026408</v>
      </c>
      <c r="S276" s="220">
        <f t="shared" ref="S276:S331" si="100">P276-R276</f>
        <v>0.39240555487363338</v>
      </c>
      <c r="T276" s="236">
        <f t="shared" si="95"/>
        <v>33</v>
      </c>
      <c r="U276" s="221" t="str">
        <f t="shared" si="83"/>
        <v>33-POP-EC10-EX</v>
      </c>
      <c r="V276" s="222" cm="1">
        <f t="array" ref="V276">MEDIAN(IF(U276=$U$7:$U$360,$S$7:$S$360))</f>
        <v>0.5483589578715401</v>
      </c>
      <c r="W276" s="298">
        <f t="shared" si="90"/>
        <v>-9.8429864646369603E-2</v>
      </c>
      <c r="X276" s="299">
        <f t="shared" si="98"/>
        <v>0.90625925119845641</v>
      </c>
      <c r="Y276" s="225">
        <f t="shared" si="99"/>
        <v>0.90625925119845641</v>
      </c>
      <c r="Z276" s="226"/>
      <c r="AA276" s="226"/>
      <c r="AB276" s="254"/>
      <c r="AC276" s="228" t="s">
        <v>1772</v>
      </c>
      <c r="AD276" s="276">
        <v>0.8</v>
      </c>
      <c r="AE276" s="228" t="s">
        <v>1859</v>
      </c>
      <c r="AG276" s="248"/>
      <c r="AI276" s="244"/>
    </row>
    <row r="277" spans="1:38" s="182" customFormat="1" ht="15.75" customHeight="1" x14ac:dyDescent="0.25">
      <c r="A277" s="183" t="s">
        <v>1936</v>
      </c>
      <c r="B277" s="180"/>
      <c r="C277" s="217">
        <v>2023</v>
      </c>
      <c r="D277" s="180" t="s">
        <v>1652</v>
      </c>
      <c r="E277" s="180" t="s">
        <v>1659</v>
      </c>
      <c r="F277" s="180" t="s">
        <v>567</v>
      </c>
      <c r="G277" s="180" t="s">
        <v>1303</v>
      </c>
      <c r="H277" s="180" t="s">
        <v>264</v>
      </c>
      <c r="I277" s="180" t="s">
        <v>256</v>
      </c>
      <c r="J277" s="180" t="s">
        <v>49</v>
      </c>
      <c r="K277" s="180">
        <v>3</v>
      </c>
      <c r="L277" s="180">
        <v>6.1</v>
      </c>
      <c r="M277" s="180">
        <v>90</v>
      </c>
      <c r="N277" s="180">
        <v>7.6</v>
      </c>
      <c r="O277" s="94">
        <v>15.1</v>
      </c>
      <c r="P277" s="239">
        <f t="shared" si="96"/>
        <v>1.8082887711792655</v>
      </c>
      <c r="Q277" s="296" t="str">
        <f t="shared" si="88"/>
        <v>Chlorella</v>
      </c>
      <c r="R277" s="297">
        <f t="shared" si="89"/>
        <v>1.2528297632133971</v>
      </c>
      <c r="S277" s="220">
        <f t="shared" si="100"/>
        <v>0.55545900796586833</v>
      </c>
      <c r="T277" s="236">
        <f t="shared" si="95"/>
        <v>33</v>
      </c>
      <c r="U277" s="221" t="str">
        <f t="shared" si="83"/>
        <v>33-POP-EC10-EX</v>
      </c>
      <c r="V277" s="222" cm="1">
        <f t="array" ref="V277">MEDIAN(IF(U277=$U$7:$U$360,$S$7:$S$360))</f>
        <v>0.5483589578715401</v>
      </c>
      <c r="W277" s="298">
        <f t="shared" si="90"/>
        <v>-9.8429864646369603E-2</v>
      </c>
      <c r="X277" s="299">
        <f t="shared" si="98"/>
        <v>0.90625925119845641</v>
      </c>
      <c r="Y277" s="225">
        <f t="shared" si="99"/>
        <v>0.90625925119845641</v>
      </c>
      <c r="Z277" s="226"/>
      <c r="AA277" s="226"/>
      <c r="AB277" s="254"/>
      <c r="AC277" s="228" t="s">
        <v>1772</v>
      </c>
      <c r="AD277" s="276">
        <v>0.8</v>
      </c>
      <c r="AE277" s="228" t="s">
        <v>1859</v>
      </c>
      <c r="AG277" s="248"/>
      <c r="AI277" s="244"/>
    </row>
    <row r="278" spans="1:38" s="182" customFormat="1" ht="15.75" customHeight="1" x14ac:dyDescent="0.25">
      <c r="A278" s="183" t="s">
        <v>1937</v>
      </c>
      <c r="B278" s="180"/>
      <c r="C278" s="217">
        <v>2023</v>
      </c>
      <c r="D278" s="180" t="s">
        <v>1652</v>
      </c>
      <c r="E278" s="180" t="s">
        <v>1659</v>
      </c>
      <c r="F278" s="180" t="s">
        <v>567</v>
      </c>
      <c r="G278" s="180" t="s">
        <v>1303</v>
      </c>
      <c r="H278" s="180" t="s">
        <v>264</v>
      </c>
      <c r="I278" s="180" t="s">
        <v>256</v>
      </c>
      <c r="J278" s="180" t="s">
        <v>49</v>
      </c>
      <c r="K278" s="180">
        <v>3</v>
      </c>
      <c r="L278" s="180">
        <v>2.7</v>
      </c>
      <c r="M278" s="180">
        <v>90</v>
      </c>
      <c r="N278" s="180">
        <v>6.7</v>
      </c>
      <c r="O278" s="94">
        <v>5.5</v>
      </c>
      <c r="P278" s="239">
        <f t="shared" si="96"/>
        <v>0.99325177301028345</v>
      </c>
      <c r="Q278" s="296" t="str">
        <f t="shared" si="88"/>
        <v>Chlorella</v>
      </c>
      <c r="R278" s="297">
        <f t="shared" si="89"/>
        <v>1.2214384885079557</v>
      </c>
      <c r="S278" s="220">
        <f t="shared" si="100"/>
        <v>-0.22818671549767222</v>
      </c>
      <c r="T278" s="236">
        <f t="shared" si="95"/>
        <v>33</v>
      </c>
      <c r="U278" s="221" t="str">
        <f t="shared" si="83"/>
        <v>33-POP-EC10-EX</v>
      </c>
      <c r="V278" s="222" cm="1">
        <f t="array" ref="V278">MEDIAN(IF(U278=$U$7:$U$360,$S$7:$S$360))</f>
        <v>0.5483589578715401</v>
      </c>
      <c r="W278" s="298">
        <f t="shared" si="90"/>
        <v>-9.8429864646369603E-2</v>
      </c>
      <c r="X278" s="225">
        <f t="shared" si="98"/>
        <v>0.90625925119845641</v>
      </c>
      <c r="Y278" s="225"/>
      <c r="Z278" s="226"/>
      <c r="AA278" s="226"/>
      <c r="AB278" s="254"/>
      <c r="AC278" s="228" t="s">
        <v>1772</v>
      </c>
      <c r="AD278" s="276">
        <v>0.8</v>
      </c>
      <c r="AE278" s="228" t="s">
        <v>1859</v>
      </c>
      <c r="AG278" s="248"/>
      <c r="AI278" s="244"/>
    </row>
    <row r="279" spans="1:38" s="182" customFormat="1" ht="15.75" customHeight="1" x14ac:dyDescent="0.25">
      <c r="A279" s="183" t="s">
        <v>1938</v>
      </c>
      <c r="B279" s="180"/>
      <c r="C279" s="217">
        <v>2023</v>
      </c>
      <c r="D279" s="180" t="s">
        <v>1652</v>
      </c>
      <c r="E279" s="180" t="s">
        <v>1659</v>
      </c>
      <c r="F279" s="180" t="s">
        <v>567</v>
      </c>
      <c r="G279" s="180" t="s">
        <v>1303</v>
      </c>
      <c r="H279" s="180" t="s">
        <v>264</v>
      </c>
      <c r="I279" s="180" t="s">
        <v>256</v>
      </c>
      <c r="J279" s="180" t="s">
        <v>49</v>
      </c>
      <c r="K279" s="180">
        <v>3</v>
      </c>
      <c r="L279" s="180">
        <v>2.8</v>
      </c>
      <c r="M279" s="180">
        <v>90</v>
      </c>
      <c r="N279" s="180">
        <v>8.3000000000000007</v>
      </c>
      <c r="O279" s="94">
        <v>5.5</v>
      </c>
      <c r="P279" s="239">
        <f t="shared" si="96"/>
        <v>1.0296194171811581</v>
      </c>
      <c r="Q279" s="296" t="str">
        <f t="shared" si="88"/>
        <v>Chlorella</v>
      </c>
      <c r="R279" s="297">
        <f t="shared" si="89"/>
        <v>0.64703848850795542</v>
      </c>
      <c r="S279" s="220">
        <f t="shared" si="100"/>
        <v>0.3825809286732027</v>
      </c>
      <c r="T279" s="236">
        <f t="shared" si="95"/>
        <v>33</v>
      </c>
      <c r="U279" s="221" t="str">
        <f t="shared" si="83"/>
        <v>33-POP-EC10-EX</v>
      </c>
      <c r="V279" s="222" cm="1">
        <f t="array" ref="V279">MEDIAN(IF(U279=$U$7:$U$360,$S$7:$S$360))</f>
        <v>0.5483589578715401</v>
      </c>
      <c r="W279" s="298">
        <f t="shared" si="90"/>
        <v>-9.8429864646369603E-2</v>
      </c>
      <c r="X279" s="225">
        <f t="shared" si="98"/>
        <v>0.90625925119845641</v>
      </c>
      <c r="Y279" s="299">
        <f t="shared" ref="Y279:Y280" si="101">X279</f>
        <v>0.90625925119845641</v>
      </c>
      <c r="Z279" s="226"/>
      <c r="AA279" s="226"/>
      <c r="AB279" s="254"/>
      <c r="AC279" s="228" t="s">
        <v>1772</v>
      </c>
      <c r="AD279" s="276">
        <v>0.8</v>
      </c>
      <c r="AE279" s="228" t="s">
        <v>1859</v>
      </c>
      <c r="AG279" s="248"/>
      <c r="AH279" s="183"/>
      <c r="AI279" s="244"/>
      <c r="AJ279" s="183"/>
      <c r="AK279" s="183"/>
    </row>
    <row r="280" spans="1:38" s="182" customFormat="1" ht="15.75" customHeight="1" x14ac:dyDescent="0.25">
      <c r="A280" s="183" t="s">
        <v>1939</v>
      </c>
      <c r="B280" s="180"/>
      <c r="C280" s="217">
        <v>2023</v>
      </c>
      <c r="D280" s="180" t="s">
        <v>1652</v>
      </c>
      <c r="E280" s="180" t="s">
        <v>1660</v>
      </c>
      <c r="F280" s="180" t="s">
        <v>567</v>
      </c>
      <c r="G280" s="180" t="s">
        <v>1303</v>
      </c>
      <c r="H280" s="180" t="s">
        <v>264</v>
      </c>
      <c r="I280" s="180" t="s">
        <v>256</v>
      </c>
      <c r="J280" s="180" t="s">
        <v>49</v>
      </c>
      <c r="K280" s="180">
        <v>3</v>
      </c>
      <c r="L280" s="180">
        <v>1.8</v>
      </c>
      <c r="M280" s="180">
        <v>90</v>
      </c>
      <c r="N280" s="180">
        <v>7.6</v>
      </c>
      <c r="O280" s="94">
        <v>2</v>
      </c>
      <c r="P280" s="239">
        <f t="shared" si="96"/>
        <v>0.58778666490211906</v>
      </c>
      <c r="Q280" s="296" t="str">
        <f t="shared" si="88"/>
        <v>Chlorella</v>
      </c>
      <c r="R280" s="297">
        <f t="shared" si="89"/>
        <v>0.5432665685088095</v>
      </c>
      <c r="S280" s="220">
        <f t="shared" si="100"/>
        <v>4.4520096393309561E-2</v>
      </c>
      <c r="T280" s="236">
        <f t="shared" si="95"/>
        <v>33</v>
      </c>
      <c r="U280" s="221" t="str">
        <f t="shared" si="83"/>
        <v>33-POP-EC10-EX</v>
      </c>
      <c r="V280" s="222" cm="1">
        <f t="array" ref="V280">MEDIAN(IF(U280=$U$7:$U$360,$S$7:$S$360))</f>
        <v>0.5483589578715401</v>
      </c>
      <c r="W280" s="298">
        <f t="shared" si="90"/>
        <v>-9.8429864646369603E-2</v>
      </c>
      <c r="X280" s="225">
        <f t="shared" si="98"/>
        <v>0.90625925119845641</v>
      </c>
      <c r="Y280" s="225">
        <f t="shared" si="101"/>
        <v>0.90625925119845641</v>
      </c>
      <c r="Z280" s="226"/>
      <c r="AA280" s="226"/>
      <c r="AB280" s="254"/>
      <c r="AC280" s="228" t="s">
        <v>1772</v>
      </c>
      <c r="AD280" s="276">
        <v>0.8</v>
      </c>
      <c r="AE280" s="228" t="s">
        <v>1859</v>
      </c>
      <c r="AG280" s="248"/>
      <c r="AH280" s="183"/>
      <c r="AI280" s="244"/>
      <c r="AJ280" s="183"/>
      <c r="AK280" s="183"/>
    </row>
    <row r="281" spans="1:38" s="182" customFormat="1" ht="15.75" customHeight="1" x14ac:dyDescent="0.25">
      <c r="A281" s="183" t="s">
        <v>1940</v>
      </c>
      <c r="B281" s="180"/>
      <c r="C281" s="217">
        <v>2023</v>
      </c>
      <c r="D281" s="180" t="s">
        <v>1652</v>
      </c>
      <c r="E281" s="180" t="s">
        <v>1660</v>
      </c>
      <c r="F281" s="180" t="s">
        <v>567</v>
      </c>
      <c r="G281" s="180" t="s">
        <v>1303</v>
      </c>
      <c r="H281" s="180" t="s">
        <v>264</v>
      </c>
      <c r="I281" s="180" t="s">
        <v>256</v>
      </c>
      <c r="J281" s="180" t="s">
        <v>49</v>
      </c>
      <c r="K281" s="180">
        <v>3</v>
      </c>
      <c r="L281" s="180">
        <v>2.2999999999999998</v>
      </c>
      <c r="M281" s="180">
        <v>90</v>
      </c>
      <c r="N281" s="180">
        <v>7.6</v>
      </c>
      <c r="O281" s="94">
        <v>4.5999999999999996</v>
      </c>
      <c r="P281" s="239">
        <f t="shared" si="96"/>
        <v>0.83290912293510388</v>
      </c>
      <c r="Q281" s="296" t="str">
        <f t="shared" si="88"/>
        <v>Chlorella</v>
      </c>
      <c r="R281" s="297">
        <f t="shared" si="89"/>
        <v>0.83561767065903092</v>
      </c>
      <c r="S281" s="253">
        <f t="shared" si="100"/>
        <v>-2.708547723927035E-3</v>
      </c>
      <c r="T281" s="236">
        <f t="shared" si="95"/>
        <v>33</v>
      </c>
      <c r="U281" s="221" t="str">
        <f t="shared" si="83"/>
        <v>33-POP-EC10-EX</v>
      </c>
      <c r="V281" s="222" cm="1">
        <f t="array" ref="V281">MEDIAN(IF(U281=$U$7:$U$360,$S$7:$S$360))</f>
        <v>0.5483589578715401</v>
      </c>
      <c r="W281" s="298">
        <f t="shared" si="90"/>
        <v>-9.8429864646369603E-2</v>
      </c>
      <c r="X281" s="225">
        <f t="shared" si="98"/>
        <v>0.90625925119845641</v>
      </c>
      <c r="Y281" s="225"/>
      <c r="Z281" s="226"/>
      <c r="AA281" s="226"/>
      <c r="AB281" s="254"/>
      <c r="AC281" s="228" t="s">
        <v>1772</v>
      </c>
      <c r="AD281" s="276">
        <v>0.8</v>
      </c>
      <c r="AE281" s="228" t="s">
        <v>1859</v>
      </c>
      <c r="AG281" s="248"/>
      <c r="AH281" s="183"/>
      <c r="AI281" s="244"/>
      <c r="AJ281" s="183"/>
      <c r="AK281" s="183"/>
      <c r="AL281" s="183"/>
    </row>
    <row r="282" spans="1:38" s="182" customFormat="1" ht="15.75" customHeight="1" x14ac:dyDescent="0.25">
      <c r="A282" s="183" t="s">
        <v>1941</v>
      </c>
      <c r="B282" s="180"/>
      <c r="C282" s="217">
        <v>2023</v>
      </c>
      <c r="D282" s="180" t="s">
        <v>1652</v>
      </c>
      <c r="E282" s="180" t="s">
        <v>1660</v>
      </c>
      <c r="F282" s="180" t="s">
        <v>567</v>
      </c>
      <c r="G282" s="180" t="s">
        <v>1303</v>
      </c>
      <c r="H282" s="180" t="s">
        <v>264</v>
      </c>
      <c r="I282" s="180" t="s">
        <v>256</v>
      </c>
      <c r="J282" s="180" t="s">
        <v>49</v>
      </c>
      <c r="K282" s="180">
        <v>3</v>
      </c>
      <c r="L282" s="180">
        <v>2.9</v>
      </c>
      <c r="M282" s="180">
        <v>90</v>
      </c>
      <c r="N282" s="180">
        <v>7.6</v>
      </c>
      <c r="O282" s="94">
        <v>8.8000000000000007</v>
      </c>
      <c r="P282" s="239">
        <f t="shared" si="96"/>
        <v>1.0647107369924282</v>
      </c>
      <c r="Q282" s="296" t="str">
        <f t="shared" si="88"/>
        <v>Chlorella</v>
      </c>
      <c r="R282" s="297">
        <f t="shared" si="89"/>
        <v>1.0633097623732093</v>
      </c>
      <c r="S282" s="253">
        <f t="shared" si="100"/>
        <v>1.4009746192189532E-3</v>
      </c>
      <c r="T282" s="236">
        <f t="shared" si="95"/>
        <v>33</v>
      </c>
      <c r="U282" s="221" t="str">
        <f t="shared" si="83"/>
        <v>33-POP-EC10-EX</v>
      </c>
      <c r="V282" s="222" cm="1">
        <f t="array" ref="V282">MEDIAN(IF(U282=$U$7:$U$360,$S$7:$S$360))</f>
        <v>0.5483589578715401</v>
      </c>
      <c r="W282" s="298">
        <f t="shared" si="90"/>
        <v>-9.8429864646369603E-2</v>
      </c>
      <c r="X282" s="225">
        <f t="shared" si="98"/>
        <v>0.90625925119845641</v>
      </c>
      <c r="Y282" s="225">
        <f t="shared" ref="Y282:Y283" si="102">X282</f>
        <v>0.90625925119845641</v>
      </c>
      <c r="Z282" s="226"/>
      <c r="AA282" s="226"/>
      <c r="AB282" s="254"/>
      <c r="AC282" s="228" t="s">
        <v>1772</v>
      </c>
      <c r="AD282" s="276">
        <v>0.8</v>
      </c>
      <c r="AE282" s="228" t="s">
        <v>1859</v>
      </c>
      <c r="AG282" s="248"/>
      <c r="AH282" s="183"/>
      <c r="AI282" s="244"/>
      <c r="AJ282" s="183"/>
      <c r="AK282" s="183"/>
      <c r="AL282" s="183"/>
    </row>
    <row r="283" spans="1:38" s="182" customFormat="1" ht="15.75" customHeight="1" x14ac:dyDescent="0.25">
      <c r="A283" s="183" t="s">
        <v>1942</v>
      </c>
      <c r="B283" s="180"/>
      <c r="C283" s="217">
        <v>2023</v>
      </c>
      <c r="D283" s="180" t="s">
        <v>1652</v>
      </c>
      <c r="E283" s="180" t="s">
        <v>1660</v>
      </c>
      <c r="F283" s="180" t="s">
        <v>567</v>
      </c>
      <c r="G283" s="180" t="s">
        <v>1303</v>
      </c>
      <c r="H283" s="180" t="s">
        <v>264</v>
      </c>
      <c r="I283" s="180" t="s">
        <v>256</v>
      </c>
      <c r="J283" s="180" t="s">
        <v>49</v>
      </c>
      <c r="K283" s="180">
        <v>3</v>
      </c>
      <c r="L283" s="180">
        <v>3.4</v>
      </c>
      <c r="M283" s="180">
        <v>90</v>
      </c>
      <c r="N283" s="180">
        <v>7.6</v>
      </c>
      <c r="O283" s="94">
        <v>13</v>
      </c>
      <c r="P283" s="239">
        <f t="shared" si="96"/>
        <v>1.2237754316221157</v>
      </c>
      <c r="Q283" s="296" t="str">
        <f t="shared" si="88"/>
        <v>Chlorella</v>
      </c>
      <c r="R283" s="297">
        <f t="shared" si="89"/>
        <v>1.200269132601268</v>
      </c>
      <c r="S283" s="253">
        <f t="shared" si="100"/>
        <v>2.3506299020847665E-2</v>
      </c>
      <c r="T283" s="236">
        <f t="shared" si="95"/>
        <v>33</v>
      </c>
      <c r="U283" s="221" t="str">
        <f t="shared" si="83"/>
        <v>33-POP-EC10-EX</v>
      </c>
      <c r="V283" s="222" cm="1">
        <f t="array" ref="V283">MEDIAN(IF(U283=$U$7:$U$360,$S$7:$S$360))</f>
        <v>0.5483589578715401</v>
      </c>
      <c r="W283" s="298">
        <f t="shared" si="90"/>
        <v>-9.8429864646369603E-2</v>
      </c>
      <c r="X283" s="225">
        <f t="shared" si="98"/>
        <v>0.90625925119845641</v>
      </c>
      <c r="Y283" s="225">
        <f t="shared" si="102"/>
        <v>0.90625925119845641</v>
      </c>
      <c r="Z283" s="226"/>
      <c r="AA283" s="226"/>
      <c r="AB283" s="254"/>
      <c r="AC283" s="228" t="s">
        <v>1772</v>
      </c>
      <c r="AD283" s="276">
        <v>0.8</v>
      </c>
      <c r="AE283" s="228" t="s">
        <v>1859</v>
      </c>
      <c r="AG283" s="248"/>
      <c r="AH283" s="183"/>
      <c r="AI283" s="244"/>
      <c r="AJ283" s="183"/>
      <c r="AK283" s="183"/>
      <c r="AL283" s="183"/>
    </row>
    <row r="284" spans="1:38" s="182" customFormat="1" ht="15.75" customHeight="1" x14ac:dyDescent="0.25">
      <c r="A284" s="183" t="s">
        <v>1943</v>
      </c>
      <c r="B284" s="180"/>
      <c r="C284" s="217">
        <v>2023</v>
      </c>
      <c r="D284" s="180" t="s">
        <v>1652</v>
      </c>
      <c r="E284" s="180" t="s">
        <v>1660</v>
      </c>
      <c r="F284" s="180" t="s">
        <v>567</v>
      </c>
      <c r="G284" s="180" t="s">
        <v>1303</v>
      </c>
      <c r="H284" s="180" t="s">
        <v>264</v>
      </c>
      <c r="I284" s="180" t="s">
        <v>256</v>
      </c>
      <c r="J284" s="180" t="s">
        <v>49</v>
      </c>
      <c r="K284" s="180">
        <v>3</v>
      </c>
      <c r="L284" s="180">
        <v>2.2000000000000002</v>
      </c>
      <c r="M284" s="180">
        <v>90</v>
      </c>
      <c r="N284" s="180">
        <v>6.7</v>
      </c>
      <c r="O284" s="94">
        <v>4.9000000000000004</v>
      </c>
      <c r="P284" s="239">
        <f t="shared" si="96"/>
        <v>0.78845736036427028</v>
      </c>
      <c r="Q284" s="296" t="str">
        <f t="shared" si="88"/>
        <v>Chlorella</v>
      </c>
      <c r="R284" s="297">
        <f t="shared" si="89"/>
        <v>1.1808934651281884</v>
      </c>
      <c r="S284" s="220">
        <f t="shared" si="100"/>
        <v>-0.3924361047639181</v>
      </c>
      <c r="T284" s="236">
        <f t="shared" si="95"/>
        <v>33</v>
      </c>
      <c r="U284" s="221" t="str">
        <f t="shared" si="83"/>
        <v>33-POP-EC10-EX</v>
      </c>
      <c r="V284" s="222" cm="1">
        <f t="array" ref="V284">MEDIAN(IF(U284=$U$7:$U$360,$S$7:$S$360))</f>
        <v>0.5483589578715401</v>
      </c>
      <c r="W284" s="298">
        <f t="shared" si="90"/>
        <v>-9.8429864646369603E-2</v>
      </c>
      <c r="X284" s="225">
        <f t="shared" si="98"/>
        <v>0.90625925119845641</v>
      </c>
      <c r="Y284" s="225"/>
      <c r="Z284" s="226"/>
      <c r="AA284" s="226"/>
      <c r="AB284" s="254"/>
      <c r="AC284" s="228" t="s">
        <v>1772</v>
      </c>
      <c r="AD284" s="276">
        <v>0.8</v>
      </c>
      <c r="AE284" s="228" t="s">
        <v>1859</v>
      </c>
      <c r="AG284" s="248"/>
      <c r="AH284" s="183"/>
      <c r="AI284" s="244"/>
      <c r="AJ284" s="183"/>
      <c r="AK284" s="183"/>
      <c r="AL284" s="183"/>
    </row>
    <row r="285" spans="1:38" s="183" customFormat="1" ht="15.75" customHeight="1" x14ac:dyDescent="0.25">
      <c r="A285" s="183" t="s">
        <v>1944</v>
      </c>
      <c r="B285" s="180"/>
      <c r="C285" s="217">
        <v>2023</v>
      </c>
      <c r="D285" s="180" t="s">
        <v>1652</v>
      </c>
      <c r="E285" s="180" t="s">
        <v>1660</v>
      </c>
      <c r="F285" s="180" t="s">
        <v>567</v>
      </c>
      <c r="G285" s="180" t="s">
        <v>1303</v>
      </c>
      <c r="H285" s="180" t="s">
        <v>264</v>
      </c>
      <c r="I285" s="180" t="s">
        <v>256</v>
      </c>
      <c r="J285" s="180" t="s">
        <v>49</v>
      </c>
      <c r="K285" s="180">
        <v>3</v>
      </c>
      <c r="L285" s="180">
        <v>2</v>
      </c>
      <c r="M285" s="180">
        <v>90</v>
      </c>
      <c r="N285" s="180">
        <v>8.3000000000000007</v>
      </c>
      <c r="O285" s="94">
        <v>4.9000000000000004</v>
      </c>
      <c r="P285" s="239">
        <f t="shared" si="96"/>
        <v>0.69314718055994529</v>
      </c>
      <c r="Q285" s="296" t="str">
        <f t="shared" si="88"/>
        <v>Chlorella</v>
      </c>
      <c r="R285" s="297">
        <f t="shared" si="89"/>
        <v>0.60649346512818814</v>
      </c>
      <c r="S285" s="220">
        <f t="shared" si="100"/>
        <v>8.665371543175715E-2</v>
      </c>
      <c r="T285" s="236">
        <f t="shared" si="95"/>
        <v>33</v>
      </c>
      <c r="U285" s="221" t="str">
        <f t="shared" si="83"/>
        <v>33-POP-EC10-EX</v>
      </c>
      <c r="V285" s="222" cm="1">
        <f t="array" ref="V285">MEDIAN(IF(U285=$U$7:$U$360,$S$7:$S$360))</f>
        <v>0.5483589578715401</v>
      </c>
      <c r="W285" s="298">
        <f t="shared" si="90"/>
        <v>-9.8429864646369603E-2</v>
      </c>
      <c r="X285" s="225">
        <f t="shared" si="98"/>
        <v>0.90625925119845641</v>
      </c>
      <c r="Y285" s="301">
        <f t="shared" ref="Y285:Y286" si="103">X285</f>
        <v>0.90625925119845641</v>
      </c>
      <c r="Z285" s="226"/>
      <c r="AA285" s="226"/>
      <c r="AB285" s="254"/>
      <c r="AC285" s="228" t="s">
        <v>1772</v>
      </c>
      <c r="AD285" s="276">
        <v>0.8</v>
      </c>
      <c r="AE285" s="228" t="s">
        <v>1859</v>
      </c>
      <c r="AG285" s="248"/>
      <c r="AI285" s="244"/>
    </row>
    <row r="286" spans="1:38" s="183" customFormat="1" ht="15.75" customHeight="1" x14ac:dyDescent="0.25">
      <c r="A286" s="183" t="s">
        <v>1945</v>
      </c>
      <c r="B286" s="180"/>
      <c r="C286" s="217">
        <v>2022</v>
      </c>
      <c r="D286" s="180" t="s">
        <v>1654</v>
      </c>
      <c r="E286" s="180" t="s">
        <v>1661</v>
      </c>
      <c r="F286" s="180" t="s">
        <v>567</v>
      </c>
      <c r="G286" s="180" t="s">
        <v>1303</v>
      </c>
      <c r="H286" s="180" t="s">
        <v>264</v>
      </c>
      <c r="I286" s="180" t="s">
        <v>256</v>
      </c>
      <c r="J286" s="180" t="s">
        <v>49</v>
      </c>
      <c r="K286" s="180">
        <v>3</v>
      </c>
      <c r="L286" s="180">
        <v>145</v>
      </c>
      <c r="M286" s="180">
        <v>355</v>
      </c>
      <c r="N286" s="180">
        <v>8.0500000000000007</v>
      </c>
      <c r="O286" s="94">
        <v>4.2</v>
      </c>
      <c r="P286" s="239">
        <f t="shared" si="96"/>
        <v>4.9767337424205742</v>
      </c>
      <c r="Q286" s="296" t="str">
        <f t="shared" si="88"/>
        <v>Chlorella</v>
      </c>
      <c r="R286" s="297">
        <f t="shared" si="89"/>
        <v>1.5656999406935075</v>
      </c>
      <c r="S286" s="220">
        <f t="shared" si="100"/>
        <v>3.4110338017270667</v>
      </c>
      <c r="T286" s="236">
        <f t="shared" si="95"/>
        <v>33</v>
      </c>
      <c r="U286" s="221" t="str">
        <f t="shared" si="83"/>
        <v>33-POP-EC10-EX</v>
      </c>
      <c r="V286" s="222" cm="1">
        <f t="array" ref="V286">MEDIAN(IF(U286=$U$7:$U$360,$S$7:$S$360))</f>
        <v>0.5483589578715401</v>
      </c>
      <c r="W286" s="298">
        <f t="shared" si="90"/>
        <v>-9.8429864646369603E-2</v>
      </c>
      <c r="X286" s="299">
        <f t="shared" si="98"/>
        <v>0.90625925119845641</v>
      </c>
      <c r="Y286" s="299">
        <f t="shared" si="103"/>
        <v>0.90625925119845641</v>
      </c>
      <c r="Z286" s="226"/>
      <c r="AA286" s="226"/>
      <c r="AB286" s="254"/>
      <c r="AC286" s="228" t="s">
        <v>1772</v>
      </c>
      <c r="AD286" s="276">
        <v>0.85</v>
      </c>
      <c r="AE286" s="228" t="s">
        <v>1859</v>
      </c>
      <c r="AG286" s="248"/>
      <c r="AI286" s="244"/>
    </row>
    <row r="287" spans="1:38" s="183" customFormat="1" ht="15.75" customHeight="1" x14ac:dyDescent="0.25">
      <c r="B287" s="180"/>
      <c r="C287" s="217">
        <v>2022</v>
      </c>
      <c r="D287" s="180" t="s">
        <v>1654</v>
      </c>
      <c r="E287" s="180" t="s">
        <v>1667</v>
      </c>
      <c r="F287" s="180" t="s">
        <v>567</v>
      </c>
      <c r="G287" s="180" t="s">
        <v>1303</v>
      </c>
      <c r="H287" s="180" t="s">
        <v>264</v>
      </c>
      <c r="I287" s="180" t="s">
        <v>256</v>
      </c>
      <c r="J287" s="180" t="s">
        <v>49</v>
      </c>
      <c r="K287" s="180">
        <v>3</v>
      </c>
      <c r="L287" s="180">
        <v>42</v>
      </c>
      <c r="M287" s="180">
        <v>355</v>
      </c>
      <c r="N287" s="180">
        <v>8.1999999999999993</v>
      </c>
      <c r="O287" s="94">
        <v>4.2</v>
      </c>
      <c r="P287" s="239">
        <f t="shared" si="96"/>
        <v>3.7376696182833684</v>
      </c>
      <c r="Q287" s="296" t="str">
        <f t="shared" si="88"/>
        <v>Chlorella</v>
      </c>
      <c r="R287" s="297">
        <f t="shared" si="89"/>
        <v>1.5118499406935082</v>
      </c>
      <c r="S287" s="220">
        <f t="shared" si="100"/>
        <v>2.2258196775898602</v>
      </c>
      <c r="T287" s="236">
        <f t="shared" si="95"/>
        <v>33</v>
      </c>
      <c r="U287" s="221"/>
      <c r="V287" s="222" cm="1">
        <f t="array" ref="V287">MEDIAN(IF(U287=$U$7:$U$360,$S$7:$S$360))</f>
        <v>4.2196406827236466</v>
      </c>
      <c r="W287" s="298">
        <f t="shared" si="90"/>
        <v>3.5728518602057369</v>
      </c>
      <c r="X287" s="225">
        <f t="shared" si="98"/>
        <v>35.618026077796735</v>
      </c>
      <c r="Y287" s="225"/>
      <c r="AA287" s="221" t="s">
        <v>1946</v>
      </c>
      <c r="AB287" s="254"/>
      <c r="AC287" s="228"/>
      <c r="AD287" s="228"/>
      <c r="AE287" s="228"/>
      <c r="AG287" s="248"/>
      <c r="AI287" s="244"/>
    </row>
    <row r="288" spans="1:38" s="183" customFormat="1" ht="15.75" customHeight="1" x14ac:dyDescent="0.25">
      <c r="A288" s="183" t="s">
        <v>1947</v>
      </c>
      <c r="B288" s="180"/>
      <c r="C288" s="217">
        <v>2022</v>
      </c>
      <c r="D288" s="180" t="s">
        <v>1654</v>
      </c>
      <c r="E288" s="180" t="s">
        <v>1662</v>
      </c>
      <c r="F288" s="180" t="s">
        <v>567</v>
      </c>
      <c r="G288" s="180" t="s">
        <v>1303</v>
      </c>
      <c r="H288" s="180" t="s">
        <v>264</v>
      </c>
      <c r="I288" s="180" t="s">
        <v>256</v>
      </c>
      <c r="J288" s="180" t="s">
        <v>49</v>
      </c>
      <c r="K288" s="180">
        <v>3</v>
      </c>
      <c r="L288" s="180">
        <v>35</v>
      </c>
      <c r="M288" s="180">
        <v>89</v>
      </c>
      <c r="N288" s="180">
        <v>7.42</v>
      </c>
      <c r="O288" s="94">
        <v>20</v>
      </c>
      <c r="P288" s="239">
        <f t="shared" si="96"/>
        <v>3.5553480614894135</v>
      </c>
      <c r="Q288" s="296" t="str">
        <f t="shared" si="88"/>
        <v>Chlorella</v>
      </c>
      <c r="R288" s="297">
        <f t="shared" si="89"/>
        <v>1.408574304847181</v>
      </c>
      <c r="S288" s="220">
        <f t="shared" si="100"/>
        <v>2.1467737566422325</v>
      </c>
      <c r="T288" s="236">
        <f t="shared" si="95"/>
        <v>33</v>
      </c>
      <c r="U288" s="221"/>
      <c r="V288" s="222" cm="1">
        <f t="array" ref="V288">MEDIAN(IF(U288=$U$7:$U$360,$S$7:$S$360))</f>
        <v>4.2196406827236466</v>
      </c>
      <c r="W288" s="298">
        <f t="shared" si="90"/>
        <v>3.5728518602057369</v>
      </c>
      <c r="X288" s="225">
        <f t="shared" si="98"/>
        <v>35.618026077796735</v>
      </c>
      <c r="Y288" s="225" t="s">
        <v>1406</v>
      </c>
      <c r="Z288" s="226"/>
      <c r="AA288" s="226" t="s">
        <v>1948</v>
      </c>
      <c r="AB288" s="254"/>
      <c r="AC288" s="228" t="s">
        <v>1772</v>
      </c>
      <c r="AD288" s="276">
        <v>0.85</v>
      </c>
      <c r="AE288" s="228" t="s">
        <v>1859</v>
      </c>
      <c r="AG288" s="248"/>
      <c r="AI288" s="244"/>
    </row>
    <row r="289" spans="1:35" s="183" customFormat="1" ht="15.75" customHeight="1" x14ac:dyDescent="0.25">
      <c r="B289" s="180"/>
      <c r="C289" s="217">
        <v>2022</v>
      </c>
      <c r="D289" s="180" t="s">
        <v>1654</v>
      </c>
      <c r="E289" s="180" t="s">
        <v>1668</v>
      </c>
      <c r="F289" s="180" t="s">
        <v>567</v>
      </c>
      <c r="G289" s="180" t="s">
        <v>1303</v>
      </c>
      <c r="H289" s="180" t="s">
        <v>264</v>
      </c>
      <c r="I289" s="180" t="s">
        <v>256</v>
      </c>
      <c r="J289" s="180" t="s">
        <v>49</v>
      </c>
      <c r="K289" s="180">
        <v>3</v>
      </c>
      <c r="L289" s="180">
        <v>51</v>
      </c>
      <c r="M289" s="180">
        <v>89</v>
      </c>
      <c r="N289" s="180">
        <v>8</v>
      </c>
      <c r="O289" s="94">
        <v>20</v>
      </c>
      <c r="P289" s="239">
        <f t="shared" si="96"/>
        <v>3.9318256327243257</v>
      </c>
      <c r="Q289" s="296" t="str">
        <f t="shared" si="88"/>
        <v>Chlorella</v>
      </c>
      <c r="R289" s="297">
        <f t="shared" si="89"/>
        <v>1.2003543048471812</v>
      </c>
      <c r="S289" s="220">
        <f t="shared" si="100"/>
        <v>2.7314713278771445</v>
      </c>
      <c r="T289" s="236">
        <f t="shared" si="95"/>
        <v>33</v>
      </c>
      <c r="U289" s="221"/>
      <c r="V289" s="222" cm="1">
        <f t="array" ref="V289">MEDIAN(IF(U289=$U$7:$U$360,$S$7:$S$360))</f>
        <v>4.2196406827236466</v>
      </c>
      <c r="W289" s="298">
        <f t="shared" si="90"/>
        <v>3.5728518602057369</v>
      </c>
      <c r="X289" s="225">
        <f t="shared" si="98"/>
        <v>35.618026077796735</v>
      </c>
      <c r="Y289" s="225"/>
      <c r="AA289" s="221" t="s">
        <v>1946</v>
      </c>
      <c r="AB289" s="254"/>
      <c r="AC289" s="228"/>
      <c r="AD289" s="228"/>
      <c r="AE289" s="228"/>
      <c r="AG289" s="248"/>
      <c r="AI289" s="244"/>
    </row>
    <row r="290" spans="1:35" s="183" customFormat="1" ht="15.75" customHeight="1" x14ac:dyDescent="0.25">
      <c r="A290" s="183" t="s">
        <v>1949</v>
      </c>
      <c r="C290" s="217">
        <v>2022</v>
      </c>
      <c r="D290" s="180" t="s">
        <v>1654</v>
      </c>
      <c r="E290" s="180" t="s">
        <v>1663</v>
      </c>
      <c r="F290" s="180" t="s">
        <v>567</v>
      </c>
      <c r="G290" s="180" t="s">
        <v>1303</v>
      </c>
      <c r="H290" s="180" t="s">
        <v>264</v>
      </c>
      <c r="I290" s="180" t="s">
        <v>256</v>
      </c>
      <c r="J290" s="180" t="s">
        <v>49</v>
      </c>
      <c r="K290" s="180">
        <v>3</v>
      </c>
      <c r="L290" s="180">
        <v>27</v>
      </c>
      <c r="M290" s="180">
        <v>3</v>
      </c>
      <c r="N290" s="180">
        <v>6.38</v>
      </c>
      <c r="O290" s="94">
        <v>6</v>
      </c>
      <c r="P290" s="239">
        <f t="shared" si="96"/>
        <v>3.2958368660043291</v>
      </c>
      <c r="Q290" s="296" t="str">
        <f t="shared" si="88"/>
        <v>Chlorella</v>
      </c>
      <c r="R290" s="297">
        <f t="shared" si="89"/>
        <v>-0.92214635602731443</v>
      </c>
      <c r="S290" s="220">
        <f t="shared" si="100"/>
        <v>4.2179832220316431</v>
      </c>
      <c r="T290" s="236">
        <f t="shared" si="95"/>
        <v>33</v>
      </c>
      <c r="U290" s="221" t="str">
        <f t="shared" ref="U290" si="104">CONCATENATE(T290,"-",I290,"-",J290,"-",H290)</f>
        <v>33-POP-EC10-EX</v>
      </c>
      <c r="V290" s="222" cm="1">
        <f t="array" ref="V290">MEDIAN(IF(U290=$U$7:$U$360,$S$7:$S$360))</f>
        <v>0.5483589578715401</v>
      </c>
      <c r="W290" s="298">
        <f t="shared" si="90"/>
        <v>-9.8429864646369603E-2</v>
      </c>
      <c r="X290" s="225">
        <f t="shared" si="98"/>
        <v>0.90625925119845641</v>
      </c>
      <c r="Y290" s="225"/>
      <c r="Z290" s="226"/>
      <c r="AA290" s="226"/>
      <c r="AB290" s="254"/>
      <c r="AC290" s="228" t="s">
        <v>1772</v>
      </c>
      <c r="AD290" s="276">
        <v>0.85</v>
      </c>
      <c r="AE290" s="228" t="s">
        <v>1859</v>
      </c>
      <c r="AG290" s="248"/>
      <c r="AI290" s="244"/>
    </row>
    <row r="291" spans="1:35" s="183" customFormat="1" ht="15.75" customHeight="1" x14ac:dyDescent="0.25">
      <c r="B291" s="180"/>
      <c r="C291" s="217">
        <v>2022</v>
      </c>
      <c r="D291" s="180" t="s">
        <v>1654</v>
      </c>
      <c r="E291" s="180" t="s">
        <v>1669</v>
      </c>
      <c r="F291" s="180" t="s">
        <v>567</v>
      </c>
      <c r="G291" s="180" t="s">
        <v>1303</v>
      </c>
      <c r="H291" s="180" t="s">
        <v>264</v>
      </c>
      <c r="I291" s="180" t="s">
        <v>256</v>
      </c>
      <c r="J291" s="180" t="s">
        <v>49</v>
      </c>
      <c r="K291" s="180">
        <v>3</v>
      </c>
      <c r="L291" s="180">
        <v>14</v>
      </c>
      <c r="M291" s="180">
        <v>3</v>
      </c>
      <c r="N291" s="180">
        <v>6.7</v>
      </c>
      <c r="O291" s="94">
        <v>6</v>
      </c>
      <c r="P291" s="239">
        <f t="shared" si="96"/>
        <v>2.6390573296152584</v>
      </c>
      <c r="Q291" s="296" t="str">
        <f t="shared" si="88"/>
        <v>Chlorella</v>
      </c>
      <c r="R291" s="297">
        <f t="shared" si="89"/>
        <v>-1.0370263560273147</v>
      </c>
      <c r="S291" s="220">
        <f t="shared" si="100"/>
        <v>3.6760836856425732</v>
      </c>
      <c r="T291" s="236">
        <f t="shared" si="95"/>
        <v>33</v>
      </c>
      <c r="U291" s="221"/>
      <c r="V291" s="222" cm="1">
        <f t="array" ref="V291">MEDIAN(IF(U291=$U$7:$U$360,$S$7:$S$360))</f>
        <v>4.2196406827236466</v>
      </c>
      <c r="W291" s="298">
        <f t="shared" si="90"/>
        <v>3.5728518602057369</v>
      </c>
      <c r="X291" s="225">
        <f t="shared" si="98"/>
        <v>35.618026077796735</v>
      </c>
      <c r="Y291" s="225"/>
      <c r="AA291" s="221" t="s">
        <v>1946</v>
      </c>
      <c r="AB291" s="254"/>
      <c r="AC291" s="228"/>
      <c r="AD291" s="228"/>
      <c r="AE291" s="228"/>
      <c r="AG291" s="248"/>
      <c r="AI291" s="244"/>
    </row>
    <row r="292" spans="1:35" s="183" customFormat="1" ht="15.75" customHeight="1" x14ac:dyDescent="0.25">
      <c r="A292" s="183" t="s">
        <v>1950</v>
      </c>
      <c r="B292" s="180"/>
      <c r="C292" s="217">
        <v>2022</v>
      </c>
      <c r="D292" s="180" t="s">
        <v>1654</v>
      </c>
      <c r="E292" s="180" t="s">
        <v>1664</v>
      </c>
      <c r="F292" s="180" t="s">
        <v>567</v>
      </c>
      <c r="G292" s="180" t="s">
        <v>1303</v>
      </c>
      <c r="H292" s="180" t="s">
        <v>264</v>
      </c>
      <c r="I292" s="180" t="s">
        <v>256</v>
      </c>
      <c r="J292" s="180" t="s">
        <v>49</v>
      </c>
      <c r="K292" s="180">
        <v>3</v>
      </c>
      <c r="L292" s="180">
        <v>6.6</v>
      </c>
      <c r="M292" s="180">
        <v>11</v>
      </c>
      <c r="N292" s="180">
        <v>7.47</v>
      </c>
      <c r="O292" s="94">
        <v>0.5</v>
      </c>
      <c r="P292" s="239">
        <f t="shared" si="96"/>
        <v>1.8870696490323797</v>
      </c>
      <c r="Q292" s="296" t="str">
        <f t="shared" si="88"/>
        <v>Chlorella</v>
      </c>
      <c r="R292" s="297">
        <f t="shared" si="89"/>
        <v>-1.311241141783237</v>
      </c>
      <c r="S292" s="220">
        <f t="shared" si="100"/>
        <v>3.1983107908156168</v>
      </c>
      <c r="T292" s="236">
        <f t="shared" si="95"/>
        <v>33</v>
      </c>
      <c r="U292" s="221" t="str">
        <f t="shared" ref="U292" si="105">CONCATENATE(T292,"-",I292,"-",J292,"-",H292)</f>
        <v>33-POP-EC10-EX</v>
      </c>
      <c r="V292" s="222" cm="1">
        <f t="array" ref="V292">MEDIAN(IF(U292=$U$7:$U$360,$S$7:$S$360))</f>
        <v>0.5483589578715401</v>
      </c>
      <c r="W292" s="298">
        <f t="shared" si="90"/>
        <v>-9.8429864646369603E-2</v>
      </c>
      <c r="X292" s="225">
        <f t="shared" si="98"/>
        <v>0.90625925119845641</v>
      </c>
      <c r="Y292" s="225"/>
      <c r="AA292" s="226"/>
      <c r="AB292" s="254"/>
      <c r="AC292" s="228" t="s">
        <v>1772</v>
      </c>
      <c r="AD292" s="276">
        <v>0.85</v>
      </c>
      <c r="AE292" s="228" t="s">
        <v>1859</v>
      </c>
      <c r="AG292" s="248"/>
      <c r="AI292" s="244"/>
    </row>
    <row r="293" spans="1:35" s="183" customFormat="1" ht="15.75" customHeight="1" x14ac:dyDescent="0.25">
      <c r="B293" s="180"/>
      <c r="C293" s="217">
        <v>2022</v>
      </c>
      <c r="D293" s="180" t="s">
        <v>1654</v>
      </c>
      <c r="E293" s="180" t="s">
        <v>1670</v>
      </c>
      <c r="F293" s="180" t="s">
        <v>567</v>
      </c>
      <c r="G293" s="180" t="s">
        <v>1303</v>
      </c>
      <c r="H293" s="180" t="s">
        <v>264</v>
      </c>
      <c r="I293" s="180" t="s">
        <v>256</v>
      </c>
      <c r="J293" s="180" t="s">
        <v>49</v>
      </c>
      <c r="K293" s="180">
        <v>3</v>
      </c>
      <c r="L293" s="180">
        <v>7.4</v>
      </c>
      <c r="M293" s="180">
        <v>11</v>
      </c>
      <c r="N293" s="180">
        <v>7.7</v>
      </c>
      <c r="O293" s="94">
        <v>0.5</v>
      </c>
      <c r="P293" s="239">
        <f t="shared" si="96"/>
        <v>2.0014800002101243</v>
      </c>
      <c r="Q293" s="296" t="str">
        <f t="shared" si="88"/>
        <v>Chlorella</v>
      </c>
      <c r="R293" s="297">
        <f t="shared" si="89"/>
        <v>-1.3938111417832371</v>
      </c>
      <c r="S293" s="220">
        <f t="shared" si="100"/>
        <v>3.3952911419933614</v>
      </c>
      <c r="T293" s="236">
        <f t="shared" si="95"/>
        <v>33</v>
      </c>
      <c r="U293" s="221"/>
      <c r="V293" s="222" cm="1">
        <f t="array" ref="V293">MEDIAN(IF(U293=$U$7:$U$360,$S$7:$S$360))</f>
        <v>4.2196406827236466</v>
      </c>
      <c r="W293" s="298">
        <f t="shared" si="90"/>
        <v>3.5728518602057369</v>
      </c>
      <c r="X293" s="225">
        <f t="shared" si="98"/>
        <v>35.618026077796735</v>
      </c>
      <c r="Y293" s="225"/>
      <c r="AA293" s="221" t="s">
        <v>1946</v>
      </c>
      <c r="AB293" s="254"/>
      <c r="AC293" s="228"/>
      <c r="AD293" s="228"/>
      <c r="AE293" s="228"/>
      <c r="AG293" s="248"/>
      <c r="AI293" s="244"/>
    </row>
    <row r="294" spans="1:35" s="183" customFormat="1" ht="15.75" customHeight="1" x14ac:dyDescent="0.25">
      <c r="A294" s="183" t="s">
        <v>1951</v>
      </c>
      <c r="B294" s="180"/>
      <c r="C294" s="217">
        <v>2022</v>
      </c>
      <c r="D294" s="180" t="s">
        <v>1654</v>
      </c>
      <c r="E294" s="180" t="s">
        <v>1672</v>
      </c>
      <c r="F294" s="180" t="s">
        <v>567</v>
      </c>
      <c r="G294" s="180" t="s">
        <v>1303</v>
      </c>
      <c r="H294" s="180" t="s">
        <v>264</v>
      </c>
      <c r="I294" s="180" t="s">
        <v>256</v>
      </c>
      <c r="J294" s="180" t="s">
        <v>49</v>
      </c>
      <c r="K294" s="180">
        <v>3</v>
      </c>
      <c r="L294" s="180">
        <v>6.3</v>
      </c>
      <c r="M294" s="180">
        <v>11</v>
      </c>
      <c r="N294" s="180">
        <v>8.01</v>
      </c>
      <c r="O294" s="94">
        <v>0.5</v>
      </c>
      <c r="P294" s="239">
        <f t="shared" si="96"/>
        <v>1.8405496333974869</v>
      </c>
      <c r="Q294" s="296" t="str">
        <f t="shared" si="88"/>
        <v>Chlorella</v>
      </c>
      <c r="R294" s="297">
        <f t="shared" si="89"/>
        <v>-1.505101141783237</v>
      </c>
      <c r="S294" s="220">
        <f t="shared" si="100"/>
        <v>3.3456507751807241</v>
      </c>
      <c r="T294" s="236">
        <f t="shared" si="95"/>
        <v>33</v>
      </c>
      <c r="U294" s="221" t="str">
        <f t="shared" ref="U294" si="106">CONCATENATE(T294,"-",I294,"-",J294,"-",H294)</f>
        <v>33-POP-EC10-EX</v>
      </c>
      <c r="V294" s="222" cm="1">
        <f t="array" ref="V294">MEDIAN(IF(U294=$U$7:$U$360,$S$7:$S$360))</f>
        <v>0.5483589578715401</v>
      </c>
      <c r="W294" s="298">
        <f t="shared" si="90"/>
        <v>-9.8429864646369603E-2</v>
      </c>
      <c r="X294" s="225">
        <f t="shared" si="98"/>
        <v>0.90625925119845641</v>
      </c>
      <c r="Y294" s="225"/>
      <c r="Z294" s="226"/>
      <c r="AA294" s="226"/>
      <c r="AB294" s="254"/>
      <c r="AC294" s="228" t="s">
        <v>1772</v>
      </c>
      <c r="AD294" s="276">
        <v>0.85</v>
      </c>
      <c r="AE294" s="228" t="s">
        <v>1859</v>
      </c>
      <c r="AG294" s="248"/>
      <c r="AI294" s="244"/>
    </row>
    <row r="295" spans="1:35" s="183" customFormat="1" ht="15.75" customHeight="1" x14ac:dyDescent="0.25">
      <c r="B295" s="180"/>
      <c r="C295" s="217">
        <v>2022</v>
      </c>
      <c r="D295" s="180" t="s">
        <v>1654</v>
      </c>
      <c r="E295" s="180" t="s">
        <v>1666</v>
      </c>
      <c r="F295" s="180" t="s">
        <v>567</v>
      </c>
      <c r="G295" s="180" t="s">
        <v>1303</v>
      </c>
      <c r="H295" s="180" t="s">
        <v>264</v>
      </c>
      <c r="I295" s="180" t="s">
        <v>256</v>
      </c>
      <c r="J295" s="180" t="s">
        <v>49</v>
      </c>
      <c r="K295" s="180">
        <v>3</v>
      </c>
      <c r="L295" s="180">
        <v>109</v>
      </c>
      <c r="M295" s="180">
        <v>13</v>
      </c>
      <c r="N295" s="180">
        <v>6.1</v>
      </c>
      <c r="O295" s="94">
        <v>25</v>
      </c>
      <c r="P295" s="239">
        <f t="shared" si="96"/>
        <v>4.6913478822291435</v>
      </c>
      <c r="Q295" s="296" t="str">
        <f t="shared" si="88"/>
        <v>Chlorella</v>
      </c>
      <c r="R295" s="297">
        <f t="shared" si="89"/>
        <v>0.66613633210035283</v>
      </c>
      <c r="S295" s="220">
        <f t="shared" si="100"/>
        <v>4.0252115501287911</v>
      </c>
      <c r="T295" s="236">
        <f t="shared" si="95"/>
        <v>33</v>
      </c>
      <c r="U295" s="221"/>
      <c r="V295" s="222" cm="1">
        <f t="array" ref="V295">MEDIAN(IF(U295=$U$7:$U$360,$S$7:$S$360))</f>
        <v>4.2196406827236466</v>
      </c>
      <c r="W295" s="298">
        <f t="shared" si="90"/>
        <v>3.5728518602057369</v>
      </c>
      <c r="X295" s="225">
        <f t="shared" si="98"/>
        <v>35.618026077796735</v>
      </c>
      <c r="Y295" s="225" t="s">
        <v>1406</v>
      </c>
      <c r="Z295" s="226"/>
      <c r="AA295" s="226" t="s">
        <v>1948</v>
      </c>
      <c r="AB295" s="254"/>
      <c r="AC295" s="228"/>
      <c r="AD295" s="228"/>
      <c r="AE295" s="228"/>
      <c r="AG295" s="248"/>
      <c r="AI295" s="244"/>
    </row>
    <row r="296" spans="1:35" s="183" customFormat="1" ht="15.75" customHeight="1" x14ac:dyDescent="0.25">
      <c r="A296" s="183" t="s">
        <v>1952</v>
      </c>
      <c r="B296" s="180"/>
      <c r="C296" s="217">
        <v>2022</v>
      </c>
      <c r="D296" s="180" t="s">
        <v>1654</v>
      </c>
      <c r="E296" s="180" t="s">
        <v>1665</v>
      </c>
      <c r="F296" s="180" t="s">
        <v>567</v>
      </c>
      <c r="G296" s="180" t="s">
        <v>1303</v>
      </c>
      <c r="H296" s="180" t="s">
        <v>264</v>
      </c>
      <c r="I296" s="180" t="s">
        <v>256</v>
      </c>
      <c r="J296" s="180" t="s">
        <v>49</v>
      </c>
      <c r="K296" s="180">
        <v>3</v>
      </c>
      <c r="L296" s="180">
        <v>193</v>
      </c>
      <c r="M296" s="180">
        <v>18</v>
      </c>
      <c r="N296" s="180">
        <v>7.11</v>
      </c>
      <c r="O296" s="94">
        <v>5.3</v>
      </c>
      <c r="P296" s="239">
        <f t="shared" si="96"/>
        <v>5.2626901889048856</v>
      </c>
      <c r="Q296" s="296" t="str">
        <f t="shared" si="88"/>
        <v>Chlorella</v>
      </c>
      <c r="R296" s="297">
        <f t="shared" si="89"/>
        <v>-2.1904712919996627E-2</v>
      </c>
      <c r="S296" s="220">
        <f t="shared" si="100"/>
        <v>5.2845949018248826</v>
      </c>
      <c r="T296" s="236">
        <f t="shared" si="95"/>
        <v>33</v>
      </c>
      <c r="U296" s="221" t="str">
        <f t="shared" ref="U296" si="107">CONCATENATE(T296,"-",I296,"-",J296,"-",H296)</f>
        <v>33-POP-EC10-EX</v>
      </c>
      <c r="V296" s="222" cm="1">
        <f t="array" ref="V296">MEDIAN(IF(U296=$U$7:$U$360,$S$7:$S$360))</f>
        <v>0.5483589578715401</v>
      </c>
      <c r="W296" s="298">
        <f t="shared" si="90"/>
        <v>-9.8429864646369603E-2</v>
      </c>
      <c r="X296" s="225">
        <f t="shared" si="98"/>
        <v>0.90625925119845641</v>
      </c>
      <c r="Y296" s="225"/>
      <c r="Z296" s="226"/>
      <c r="AA296" s="226"/>
      <c r="AB296" s="254"/>
      <c r="AC296" s="228" t="s">
        <v>1772</v>
      </c>
      <c r="AD296" s="276">
        <v>0.85</v>
      </c>
      <c r="AE296" s="228" t="s">
        <v>1859</v>
      </c>
      <c r="AG296" s="248"/>
      <c r="AI296" s="244"/>
    </row>
    <row r="297" spans="1:35" s="183" customFormat="1" ht="15.75" customHeight="1" x14ac:dyDescent="0.25">
      <c r="B297" s="180"/>
      <c r="C297" s="217">
        <v>2022</v>
      </c>
      <c r="D297" s="180" t="s">
        <v>1654</v>
      </c>
      <c r="E297" s="180" t="s">
        <v>1671</v>
      </c>
      <c r="F297" s="180" t="s">
        <v>567</v>
      </c>
      <c r="G297" s="180" t="s">
        <v>1303</v>
      </c>
      <c r="H297" s="180" t="s">
        <v>264</v>
      </c>
      <c r="I297" s="180" t="s">
        <v>256</v>
      </c>
      <c r="J297" s="180" t="s">
        <v>49</v>
      </c>
      <c r="K297" s="180">
        <v>3</v>
      </c>
      <c r="L297" s="180">
        <v>92</v>
      </c>
      <c r="M297" s="180">
        <v>18</v>
      </c>
      <c r="N297" s="180">
        <v>7.4</v>
      </c>
      <c r="O297" s="94">
        <v>5.3</v>
      </c>
      <c r="P297" s="239">
        <f t="shared" si="96"/>
        <v>4.5217885770490405</v>
      </c>
      <c r="Q297" s="296" t="str">
        <f t="shared" si="88"/>
        <v>Chlorella</v>
      </c>
      <c r="R297" s="297">
        <f t="shared" si="89"/>
        <v>-0.12601471291999655</v>
      </c>
      <c r="S297" s="220">
        <f t="shared" si="100"/>
        <v>4.6478032899690369</v>
      </c>
      <c r="T297" s="236">
        <f t="shared" si="95"/>
        <v>33</v>
      </c>
      <c r="U297" s="221"/>
      <c r="V297" s="222" cm="1">
        <f t="array" ref="V297">MEDIAN(IF(U297=$U$7:$U$360,$S$7:$S$360))</f>
        <v>4.2196406827236466</v>
      </c>
      <c r="W297" s="298">
        <f t="shared" si="90"/>
        <v>3.5728518602057369</v>
      </c>
      <c r="X297" s="225">
        <f t="shared" si="98"/>
        <v>35.618026077796735</v>
      </c>
      <c r="Y297" s="225"/>
      <c r="AA297" s="221" t="s">
        <v>1946</v>
      </c>
      <c r="AB297" s="254"/>
      <c r="AC297" s="228"/>
      <c r="AD297" s="228"/>
      <c r="AE297" s="228"/>
      <c r="AG297" s="248"/>
      <c r="AI297" s="244"/>
    </row>
    <row r="298" spans="1:35" s="183" customFormat="1" ht="15.75" customHeight="1" x14ac:dyDescent="0.25">
      <c r="B298" s="180"/>
      <c r="C298" s="217">
        <v>2022</v>
      </c>
      <c r="D298" s="180" t="s">
        <v>1654</v>
      </c>
      <c r="E298" s="180" t="s">
        <v>1661</v>
      </c>
      <c r="F298" s="180" t="s">
        <v>567</v>
      </c>
      <c r="G298" s="180" t="s">
        <v>1303</v>
      </c>
      <c r="H298" s="180" t="s">
        <v>264</v>
      </c>
      <c r="I298" s="180" t="s">
        <v>256</v>
      </c>
      <c r="J298" s="180" t="s">
        <v>927</v>
      </c>
      <c r="K298" s="180">
        <v>3</v>
      </c>
      <c r="L298" s="180">
        <v>256</v>
      </c>
      <c r="M298" s="180">
        <v>355</v>
      </c>
      <c r="N298" s="180">
        <v>8.0500000000000007</v>
      </c>
      <c r="O298" s="94">
        <v>4.2</v>
      </c>
      <c r="P298" s="239">
        <f t="shared" si="96"/>
        <v>5.5451774444795623</v>
      </c>
      <c r="Q298" s="296" t="str">
        <f t="shared" si="88"/>
        <v>Chlorella</v>
      </c>
      <c r="R298" s="297">
        <f t="shared" si="89"/>
        <v>1.5656999406935075</v>
      </c>
      <c r="S298" s="220">
        <f t="shared" si="100"/>
        <v>3.9794775037860548</v>
      </c>
      <c r="T298" s="236">
        <f t="shared" si="95"/>
        <v>33</v>
      </c>
      <c r="U298" s="221"/>
      <c r="V298" s="222" cm="1">
        <f t="array" ref="V298">MEDIAN(IF(U298=$U$7:$U$360,$S$7:$S$360))</f>
        <v>4.2196406827236466</v>
      </c>
      <c r="W298" s="298">
        <f t="shared" si="90"/>
        <v>3.5728518602057369</v>
      </c>
      <c r="X298" s="225">
        <f t="shared" si="98"/>
        <v>35.618026077796735</v>
      </c>
      <c r="Y298" s="225"/>
      <c r="Z298" s="183" t="s">
        <v>1953</v>
      </c>
      <c r="AA298" s="226"/>
      <c r="AB298" s="254"/>
      <c r="AC298" s="228"/>
      <c r="AD298" s="228"/>
      <c r="AE298" s="228"/>
      <c r="AG298" s="248"/>
      <c r="AI298" s="244"/>
    </row>
    <row r="299" spans="1:35" s="183" customFormat="1" ht="15.75" customHeight="1" x14ac:dyDescent="0.25">
      <c r="B299" s="180"/>
      <c r="C299" s="217">
        <v>2022</v>
      </c>
      <c r="D299" s="180" t="s">
        <v>1654</v>
      </c>
      <c r="E299" s="180" t="s">
        <v>1667</v>
      </c>
      <c r="F299" s="180" t="s">
        <v>567</v>
      </c>
      <c r="G299" s="180" t="s">
        <v>1303</v>
      </c>
      <c r="H299" s="180" t="s">
        <v>264</v>
      </c>
      <c r="I299" s="180" t="s">
        <v>256</v>
      </c>
      <c r="J299" s="180" t="s">
        <v>927</v>
      </c>
      <c r="K299" s="180">
        <v>3</v>
      </c>
      <c r="L299" s="180">
        <v>89</v>
      </c>
      <c r="M299" s="180">
        <v>355</v>
      </c>
      <c r="N299" s="180">
        <v>8.1999999999999993</v>
      </c>
      <c r="O299" s="94">
        <v>4.2</v>
      </c>
      <c r="P299" s="239">
        <f t="shared" si="96"/>
        <v>4.4886363697321396</v>
      </c>
      <c r="Q299" s="296" t="str">
        <f t="shared" si="88"/>
        <v>Chlorella</v>
      </c>
      <c r="R299" s="297">
        <f t="shared" si="89"/>
        <v>1.5118499406935082</v>
      </c>
      <c r="S299" s="220">
        <f t="shared" si="100"/>
        <v>2.9767864290386314</v>
      </c>
      <c r="T299" s="236">
        <f t="shared" si="95"/>
        <v>33</v>
      </c>
      <c r="U299" s="221"/>
      <c r="V299" s="222" cm="1">
        <f t="array" ref="V299">MEDIAN(IF(U299=$U$7:$U$360,$S$7:$S$360))</f>
        <v>4.2196406827236466</v>
      </c>
      <c r="W299" s="298">
        <f t="shared" si="90"/>
        <v>3.5728518602057369</v>
      </c>
      <c r="X299" s="225">
        <f t="shared" si="98"/>
        <v>35.618026077796735</v>
      </c>
      <c r="Y299" s="225"/>
      <c r="Z299" s="183" t="s">
        <v>1953</v>
      </c>
      <c r="AA299" s="221" t="s">
        <v>1946</v>
      </c>
      <c r="AB299" s="254"/>
      <c r="AC299" s="228"/>
      <c r="AD299" s="228"/>
      <c r="AE299" s="228"/>
      <c r="AG299" s="248"/>
      <c r="AI299" s="244"/>
    </row>
    <row r="300" spans="1:35" s="183" customFormat="1" ht="15.75" customHeight="1" x14ac:dyDescent="0.25">
      <c r="B300" s="180"/>
      <c r="C300" s="217">
        <v>2022</v>
      </c>
      <c r="D300" s="180" t="s">
        <v>1654</v>
      </c>
      <c r="E300" s="180" t="s">
        <v>1662</v>
      </c>
      <c r="F300" s="180" t="s">
        <v>567</v>
      </c>
      <c r="G300" s="180" t="s">
        <v>1303</v>
      </c>
      <c r="H300" s="180" t="s">
        <v>264</v>
      </c>
      <c r="I300" s="180" t="s">
        <v>256</v>
      </c>
      <c r="J300" s="180" t="s">
        <v>927</v>
      </c>
      <c r="K300" s="180">
        <v>3</v>
      </c>
      <c r="L300" s="180">
        <v>81</v>
      </c>
      <c r="M300" s="180">
        <v>89</v>
      </c>
      <c r="N300" s="180">
        <v>7.42</v>
      </c>
      <c r="O300" s="94">
        <v>20</v>
      </c>
      <c r="P300" s="239">
        <f t="shared" si="96"/>
        <v>4.3944491546724391</v>
      </c>
      <c r="Q300" s="296" t="str">
        <f t="shared" si="88"/>
        <v>Chlorella</v>
      </c>
      <c r="R300" s="297">
        <f t="shared" si="89"/>
        <v>1.408574304847181</v>
      </c>
      <c r="S300" s="220">
        <f t="shared" si="100"/>
        <v>2.9858748498252581</v>
      </c>
      <c r="T300" s="236">
        <f t="shared" si="95"/>
        <v>33</v>
      </c>
      <c r="U300" s="221"/>
      <c r="V300" s="222" cm="1">
        <f t="array" ref="V300">MEDIAN(IF(U300=$U$7:$U$360,$S$7:$S$360))</f>
        <v>4.2196406827236466</v>
      </c>
      <c r="W300" s="298">
        <f t="shared" si="90"/>
        <v>3.5728518602057369</v>
      </c>
      <c r="X300" s="225">
        <f t="shared" si="98"/>
        <v>35.618026077796735</v>
      </c>
      <c r="Y300" s="225"/>
      <c r="Z300" s="183" t="s">
        <v>1953</v>
      </c>
      <c r="AA300" s="226" t="s">
        <v>1948</v>
      </c>
      <c r="AB300" s="254"/>
      <c r="AC300" s="228"/>
      <c r="AD300" s="228"/>
      <c r="AE300" s="228"/>
      <c r="AG300" s="248"/>
      <c r="AI300" s="244"/>
    </row>
    <row r="301" spans="1:35" s="183" customFormat="1" ht="15.75" customHeight="1" x14ac:dyDescent="0.25">
      <c r="B301" s="180"/>
      <c r="C301" s="217">
        <v>2022</v>
      </c>
      <c r="D301" s="180" t="s">
        <v>1654</v>
      </c>
      <c r="E301" s="180" t="s">
        <v>1668</v>
      </c>
      <c r="F301" s="180" t="s">
        <v>567</v>
      </c>
      <c r="G301" s="180" t="s">
        <v>1303</v>
      </c>
      <c r="H301" s="180" t="s">
        <v>264</v>
      </c>
      <c r="I301" s="180" t="s">
        <v>256</v>
      </c>
      <c r="J301" s="180" t="s">
        <v>927</v>
      </c>
      <c r="K301" s="180">
        <v>3</v>
      </c>
      <c r="L301" s="180">
        <v>96</v>
      </c>
      <c r="M301" s="180">
        <v>89</v>
      </c>
      <c r="N301" s="180">
        <v>8</v>
      </c>
      <c r="O301" s="94">
        <v>20</v>
      </c>
      <c r="P301" s="239">
        <f t="shared" si="96"/>
        <v>4.5643481914678361</v>
      </c>
      <c r="Q301" s="296" t="str">
        <f t="shared" si="88"/>
        <v>Chlorella</v>
      </c>
      <c r="R301" s="297">
        <f t="shared" si="89"/>
        <v>1.2003543048471812</v>
      </c>
      <c r="S301" s="220">
        <f t="shared" si="100"/>
        <v>3.3639938866206549</v>
      </c>
      <c r="T301" s="236">
        <f t="shared" si="95"/>
        <v>33</v>
      </c>
      <c r="U301" s="221"/>
      <c r="V301" s="222" cm="1">
        <f t="array" ref="V301">MEDIAN(IF(U301=$U$7:$U$360,$S$7:$S$360))</f>
        <v>4.2196406827236466</v>
      </c>
      <c r="W301" s="298">
        <f t="shared" si="90"/>
        <v>3.5728518602057369</v>
      </c>
      <c r="X301" s="225">
        <f t="shared" si="98"/>
        <v>35.618026077796735</v>
      </c>
      <c r="Y301" s="225"/>
      <c r="Z301" s="183" t="s">
        <v>1953</v>
      </c>
      <c r="AA301" s="226" t="s">
        <v>1948</v>
      </c>
      <c r="AB301" s="254"/>
      <c r="AC301" s="228"/>
      <c r="AD301" s="228"/>
      <c r="AE301" s="228"/>
      <c r="AG301" s="248"/>
      <c r="AI301" s="244"/>
    </row>
    <row r="302" spans="1:35" s="183" customFormat="1" ht="15.75" customHeight="1" x14ac:dyDescent="0.25">
      <c r="B302" s="180"/>
      <c r="C302" s="217">
        <v>2022</v>
      </c>
      <c r="D302" s="180" t="s">
        <v>1654</v>
      </c>
      <c r="E302" s="180" t="s">
        <v>1663</v>
      </c>
      <c r="F302" s="180" t="s">
        <v>567</v>
      </c>
      <c r="G302" s="180" t="s">
        <v>1303</v>
      </c>
      <c r="H302" s="180" t="s">
        <v>264</v>
      </c>
      <c r="I302" s="180" t="s">
        <v>256</v>
      </c>
      <c r="J302" s="180" t="s">
        <v>927</v>
      </c>
      <c r="K302" s="180">
        <v>3</v>
      </c>
      <c r="L302" s="180">
        <v>41</v>
      </c>
      <c r="M302" s="180">
        <v>3</v>
      </c>
      <c r="N302" s="180">
        <v>6.38</v>
      </c>
      <c r="O302" s="94">
        <v>6</v>
      </c>
      <c r="P302" s="239">
        <f t="shared" si="96"/>
        <v>3.713572066704308</v>
      </c>
      <c r="Q302" s="296" t="str">
        <f t="shared" si="88"/>
        <v>Chlorella</v>
      </c>
      <c r="R302" s="297">
        <f t="shared" si="89"/>
        <v>-0.92214635602731443</v>
      </c>
      <c r="S302" s="220">
        <f t="shared" si="100"/>
        <v>4.6357184227316228</v>
      </c>
      <c r="T302" s="236">
        <f t="shared" si="95"/>
        <v>33</v>
      </c>
      <c r="U302" s="221"/>
      <c r="V302" s="222" cm="1">
        <f t="array" ref="V302">MEDIAN(IF(U302=$U$7:$U$360,$S$7:$S$360))</f>
        <v>4.2196406827236466</v>
      </c>
      <c r="W302" s="298">
        <f t="shared" si="90"/>
        <v>3.5728518602057369</v>
      </c>
      <c r="X302" s="225">
        <f t="shared" si="98"/>
        <v>35.618026077796735</v>
      </c>
      <c r="Y302" s="225"/>
      <c r="Z302" s="183" t="s">
        <v>1953</v>
      </c>
      <c r="AA302" s="226"/>
      <c r="AB302" s="254"/>
      <c r="AC302" s="228"/>
      <c r="AD302" s="228"/>
      <c r="AE302" s="228"/>
      <c r="AG302" s="248"/>
      <c r="AI302" s="244"/>
    </row>
    <row r="303" spans="1:35" s="183" customFormat="1" ht="15.75" customHeight="1" x14ac:dyDescent="0.25">
      <c r="B303" s="180"/>
      <c r="C303" s="217">
        <v>2022</v>
      </c>
      <c r="D303" s="180" t="s">
        <v>1654</v>
      </c>
      <c r="E303" s="180" t="s">
        <v>1669</v>
      </c>
      <c r="F303" s="180" t="s">
        <v>567</v>
      </c>
      <c r="G303" s="180" t="s">
        <v>1303</v>
      </c>
      <c r="H303" s="180" t="s">
        <v>264</v>
      </c>
      <c r="I303" s="180" t="s">
        <v>256</v>
      </c>
      <c r="J303" s="180" t="s">
        <v>927</v>
      </c>
      <c r="K303" s="180">
        <v>3</v>
      </c>
      <c r="L303" s="180">
        <v>26</v>
      </c>
      <c r="M303" s="180">
        <v>3</v>
      </c>
      <c r="N303" s="180">
        <v>6.7</v>
      </c>
      <c r="O303" s="94">
        <v>6</v>
      </c>
      <c r="P303" s="239">
        <f t="shared" si="96"/>
        <v>3.2580965380214821</v>
      </c>
      <c r="Q303" s="296" t="str">
        <f t="shared" si="88"/>
        <v>Chlorella</v>
      </c>
      <c r="R303" s="297">
        <f t="shared" si="89"/>
        <v>-1.0370263560273147</v>
      </c>
      <c r="S303" s="220">
        <f t="shared" si="100"/>
        <v>4.2951228940487969</v>
      </c>
      <c r="T303" s="236">
        <f t="shared" si="95"/>
        <v>33</v>
      </c>
      <c r="U303" s="221"/>
      <c r="V303" s="222" cm="1">
        <f t="array" ref="V303">MEDIAN(IF(U303=$U$7:$U$360,$S$7:$S$360))</f>
        <v>4.2196406827236466</v>
      </c>
      <c r="W303" s="298">
        <f t="shared" si="90"/>
        <v>3.5728518602057369</v>
      </c>
      <c r="X303" s="225">
        <f t="shared" si="98"/>
        <v>35.618026077796735</v>
      </c>
      <c r="Y303" s="225"/>
      <c r="Z303" s="183" t="s">
        <v>1953</v>
      </c>
      <c r="AA303" s="221" t="s">
        <v>1946</v>
      </c>
      <c r="AB303" s="254"/>
      <c r="AC303" s="228"/>
      <c r="AD303" s="228"/>
      <c r="AE303" s="228"/>
      <c r="AG303" s="248"/>
      <c r="AI303" s="244"/>
    </row>
    <row r="304" spans="1:35" s="183" customFormat="1" ht="15.75" customHeight="1" x14ac:dyDescent="0.25">
      <c r="B304" s="180"/>
      <c r="C304" s="217">
        <v>2022</v>
      </c>
      <c r="D304" s="180" t="s">
        <v>1654</v>
      </c>
      <c r="E304" s="180" t="s">
        <v>1664</v>
      </c>
      <c r="F304" s="180" t="s">
        <v>567</v>
      </c>
      <c r="G304" s="180" t="s">
        <v>1303</v>
      </c>
      <c r="H304" s="180" t="s">
        <v>264</v>
      </c>
      <c r="I304" s="180" t="s">
        <v>256</v>
      </c>
      <c r="J304" s="180" t="s">
        <v>927</v>
      </c>
      <c r="K304" s="180">
        <v>3</v>
      </c>
      <c r="L304" s="180">
        <v>16</v>
      </c>
      <c r="M304" s="180">
        <v>11</v>
      </c>
      <c r="N304" s="180">
        <v>7.47</v>
      </c>
      <c r="O304" s="94">
        <v>0.5</v>
      </c>
      <c r="P304" s="239">
        <f t="shared" si="96"/>
        <v>2.7725887222397811</v>
      </c>
      <c r="Q304" s="296" t="str">
        <f t="shared" si="88"/>
        <v>Chlorella</v>
      </c>
      <c r="R304" s="297">
        <f t="shared" si="89"/>
        <v>-1.311241141783237</v>
      </c>
      <c r="S304" s="220">
        <f t="shared" si="100"/>
        <v>4.0838298640230182</v>
      </c>
      <c r="T304" s="236">
        <f t="shared" si="95"/>
        <v>33</v>
      </c>
      <c r="U304" s="221"/>
      <c r="V304" s="222" cm="1">
        <f t="array" ref="V304">MEDIAN(IF(U304=$U$7:$U$360,$S$7:$S$360))</f>
        <v>4.2196406827236466</v>
      </c>
      <c r="W304" s="298">
        <f t="shared" si="90"/>
        <v>3.5728518602057369</v>
      </c>
      <c r="X304" s="225">
        <f t="shared" si="98"/>
        <v>35.618026077796735</v>
      </c>
      <c r="Y304" s="225"/>
      <c r="Z304" s="183" t="s">
        <v>1953</v>
      </c>
      <c r="AA304" s="226"/>
      <c r="AB304" s="254"/>
      <c r="AC304" s="228"/>
      <c r="AD304" s="228"/>
      <c r="AE304" s="228"/>
      <c r="AG304" s="248"/>
      <c r="AI304" s="244"/>
    </row>
    <row r="305" spans="1:35" s="183" customFormat="1" ht="15.75" customHeight="1" x14ac:dyDescent="0.25">
      <c r="B305" s="180"/>
      <c r="C305" s="217">
        <v>2022</v>
      </c>
      <c r="D305" s="180" t="s">
        <v>1654</v>
      </c>
      <c r="E305" s="180" t="s">
        <v>1670</v>
      </c>
      <c r="F305" s="180" t="s">
        <v>567</v>
      </c>
      <c r="G305" s="180" t="s">
        <v>1303</v>
      </c>
      <c r="H305" s="180" t="s">
        <v>264</v>
      </c>
      <c r="I305" s="180" t="s">
        <v>256</v>
      </c>
      <c r="J305" s="180" t="s">
        <v>927</v>
      </c>
      <c r="K305" s="180">
        <v>3</v>
      </c>
      <c r="L305" s="180">
        <v>14</v>
      </c>
      <c r="M305" s="180">
        <v>11</v>
      </c>
      <c r="N305" s="180">
        <v>7.7</v>
      </c>
      <c r="O305" s="94">
        <v>0.5</v>
      </c>
      <c r="P305" s="239">
        <f t="shared" si="96"/>
        <v>2.6390573296152584</v>
      </c>
      <c r="Q305" s="296" t="str">
        <f t="shared" si="88"/>
        <v>Chlorella</v>
      </c>
      <c r="R305" s="297">
        <f t="shared" si="89"/>
        <v>-1.3938111417832371</v>
      </c>
      <c r="S305" s="220">
        <f t="shared" si="100"/>
        <v>4.0328684713984959</v>
      </c>
      <c r="T305" s="236">
        <f t="shared" si="95"/>
        <v>33</v>
      </c>
      <c r="U305" s="221"/>
      <c r="V305" s="222" cm="1">
        <f t="array" ref="V305">MEDIAN(IF(U305=$U$7:$U$360,$S$7:$S$360))</f>
        <v>4.2196406827236466</v>
      </c>
      <c r="W305" s="298">
        <f t="shared" si="90"/>
        <v>3.5728518602057369</v>
      </c>
      <c r="X305" s="225">
        <f t="shared" si="98"/>
        <v>35.618026077796735</v>
      </c>
      <c r="Y305" s="225"/>
      <c r="Z305" s="183" t="s">
        <v>1953</v>
      </c>
      <c r="AA305" s="221" t="s">
        <v>1946</v>
      </c>
      <c r="AB305" s="254"/>
      <c r="AC305" s="228"/>
      <c r="AD305" s="228"/>
      <c r="AE305" s="228"/>
      <c r="AG305" s="248"/>
      <c r="AI305" s="244"/>
    </row>
    <row r="306" spans="1:35" s="183" customFormat="1" ht="15.75" customHeight="1" x14ac:dyDescent="0.25">
      <c r="B306" s="180"/>
      <c r="C306" s="217">
        <v>2022</v>
      </c>
      <c r="D306" s="180" t="s">
        <v>1654</v>
      </c>
      <c r="E306" s="180" t="s">
        <v>1672</v>
      </c>
      <c r="F306" s="180" t="s">
        <v>567</v>
      </c>
      <c r="G306" s="180" t="s">
        <v>1303</v>
      </c>
      <c r="H306" s="180" t="s">
        <v>264</v>
      </c>
      <c r="I306" s="180" t="s">
        <v>256</v>
      </c>
      <c r="J306" s="180" t="s">
        <v>927</v>
      </c>
      <c r="K306" s="180">
        <v>3</v>
      </c>
      <c r="L306" s="180">
        <v>14</v>
      </c>
      <c r="M306" s="180">
        <v>11</v>
      </c>
      <c r="N306" s="180">
        <v>8.01</v>
      </c>
      <c r="O306" s="94">
        <v>0.5</v>
      </c>
      <c r="P306" s="239">
        <f t="shared" si="96"/>
        <v>2.6390573296152584</v>
      </c>
      <c r="Q306" s="296" t="str">
        <f t="shared" si="88"/>
        <v>Chlorella</v>
      </c>
      <c r="R306" s="297">
        <f t="shared" si="89"/>
        <v>-1.505101141783237</v>
      </c>
      <c r="S306" s="220">
        <f t="shared" si="100"/>
        <v>4.1441584713984954</v>
      </c>
      <c r="T306" s="236">
        <f t="shared" si="95"/>
        <v>33</v>
      </c>
      <c r="U306" s="221"/>
      <c r="V306" s="222" cm="1">
        <f t="array" ref="V306">MEDIAN(IF(U306=$U$7:$U$360,$S$7:$S$360))</f>
        <v>4.2196406827236466</v>
      </c>
      <c r="W306" s="298">
        <f t="shared" si="90"/>
        <v>3.5728518602057369</v>
      </c>
      <c r="X306" s="225">
        <f t="shared" si="98"/>
        <v>35.618026077796735</v>
      </c>
      <c r="Y306" s="225"/>
      <c r="Z306" s="183" t="s">
        <v>1953</v>
      </c>
      <c r="AA306" s="226"/>
      <c r="AB306" s="254"/>
      <c r="AC306" s="228"/>
      <c r="AD306" s="228"/>
      <c r="AE306" s="228"/>
      <c r="AG306" s="248"/>
      <c r="AI306" s="244"/>
    </row>
    <row r="307" spans="1:35" s="183" customFormat="1" ht="15.75" customHeight="1" x14ac:dyDescent="0.25">
      <c r="B307" s="180"/>
      <c r="C307" s="217">
        <v>2022</v>
      </c>
      <c r="D307" s="180" t="s">
        <v>1654</v>
      </c>
      <c r="E307" s="180" t="s">
        <v>1666</v>
      </c>
      <c r="F307" s="180" t="s">
        <v>567</v>
      </c>
      <c r="G307" s="180" t="s">
        <v>1303</v>
      </c>
      <c r="H307" s="180" t="s">
        <v>264</v>
      </c>
      <c r="I307" s="180" t="s">
        <v>256</v>
      </c>
      <c r="J307" s="180" t="s">
        <v>927</v>
      </c>
      <c r="K307" s="180">
        <v>3</v>
      </c>
      <c r="L307" s="180">
        <v>194</v>
      </c>
      <c r="M307" s="180">
        <v>13</v>
      </c>
      <c r="N307" s="180">
        <v>6.1</v>
      </c>
      <c r="O307" s="94">
        <v>25</v>
      </c>
      <c r="P307" s="239">
        <f t="shared" si="96"/>
        <v>5.2678581590633282</v>
      </c>
      <c r="Q307" s="296" t="str">
        <f t="shared" si="88"/>
        <v>Chlorella</v>
      </c>
      <c r="R307" s="297">
        <f t="shared" si="89"/>
        <v>0.66613633210035283</v>
      </c>
      <c r="S307" s="220">
        <f t="shared" si="100"/>
        <v>4.6017218269629758</v>
      </c>
      <c r="T307" s="236">
        <f t="shared" si="95"/>
        <v>33</v>
      </c>
      <c r="U307" s="221"/>
      <c r="V307" s="222" cm="1">
        <f t="array" ref="V307">MEDIAN(IF(U307=$U$7:$U$360,$S$7:$S$360))</f>
        <v>4.2196406827236466</v>
      </c>
      <c r="W307" s="298">
        <f t="shared" si="90"/>
        <v>3.5728518602057369</v>
      </c>
      <c r="X307" s="225">
        <f t="shared" si="98"/>
        <v>35.618026077796735</v>
      </c>
      <c r="Y307" s="225"/>
      <c r="Z307" s="183" t="s">
        <v>1953</v>
      </c>
      <c r="AA307" s="221" t="s">
        <v>1946</v>
      </c>
      <c r="AB307" s="254"/>
      <c r="AC307" s="228"/>
      <c r="AD307" s="228"/>
      <c r="AE307" s="228"/>
      <c r="AG307" s="248"/>
      <c r="AI307" s="244"/>
    </row>
    <row r="308" spans="1:35" s="183" customFormat="1" ht="15.75" customHeight="1" x14ac:dyDescent="0.25">
      <c r="B308" s="180"/>
      <c r="C308" s="217">
        <v>2022</v>
      </c>
      <c r="D308" s="180" t="s">
        <v>1654</v>
      </c>
      <c r="E308" s="180" t="s">
        <v>1665</v>
      </c>
      <c r="F308" s="180" t="s">
        <v>567</v>
      </c>
      <c r="G308" s="180" t="s">
        <v>1303</v>
      </c>
      <c r="H308" s="180" t="s">
        <v>264</v>
      </c>
      <c r="I308" s="180" t="s">
        <v>256</v>
      </c>
      <c r="J308" s="180" t="s">
        <v>927</v>
      </c>
      <c r="K308" s="180">
        <v>3</v>
      </c>
      <c r="L308" s="180">
        <v>271</v>
      </c>
      <c r="M308" s="180">
        <v>18</v>
      </c>
      <c r="N308" s="180">
        <v>7.11</v>
      </c>
      <c r="O308" s="94">
        <v>5.3</v>
      </c>
      <c r="P308" s="239">
        <f t="shared" si="96"/>
        <v>5.602118820879701</v>
      </c>
      <c r="Q308" s="296" t="str">
        <f t="shared" si="88"/>
        <v>Chlorella</v>
      </c>
      <c r="R308" s="297">
        <f t="shared" si="89"/>
        <v>-2.1904712919996627E-2</v>
      </c>
      <c r="S308" s="220">
        <f t="shared" si="100"/>
        <v>5.624023533799698</v>
      </c>
      <c r="T308" s="236">
        <f t="shared" si="95"/>
        <v>33</v>
      </c>
      <c r="U308" s="221"/>
      <c r="V308" s="222" cm="1">
        <f t="array" ref="V308">MEDIAN(IF(U308=$U$7:$U$360,$S$7:$S$360))</f>
        <v>4.2196406827236466</v>
      </c>
      <c r="W308" s="298">
        <f t="shared" si="90"/>
        <v>3.5728518602057369</v>
      </c>
      <c r="X308" s="225">
        <f t="shared" si="98"/>
        <v>35.618026077796735</v>
      </c>
      <c r="Y308" s="225"/>
      <c r="Z308" s="183" t="s">
        <v>1953</v>
      </c>
      <c r="AA308" s="226"/>
      <c r="AB308" s="254"/>
      <c r="AC308" s="228"/>
      <c r="AD308" s="228"/>
      <c r="AE308" s="228"/>
      <c r="AG308" s="248"/>
      <c r="AI308" s="244"/>
    </row>
    <row r="309" spans="1:35" s="183" customFormat="1" ht="15.75" customHeight="1" thickBot="1" x14ac:dyDescent="0.3">
      <c r="B309" s="180"/>
      <c r="C309" s="217">
        <v>2022</v>
      </c>
      <c r="D309" s="180" t="s">
        <v>1654</v>
      </c>
      <c r="E309" s="180" t="s">
        <v>1671</v>
      </c>
      <c r="F309" s="180" t="s">
        <v>567</v>
      </c>
      <c r="G309" s="180" t="s">
        <v>1303</v>
      </c>
      <c r="H309" s="180" t="s">
        <v>264</v>
      </c>
      <c r="I309" s="180" t="s">
        <v>256</v>
      </c>
      <c r="J309" s="180" t="s">
        <v>927</v>
      </c>
      <c r="K309" s="180">
        <v>3</v>
      </c>
      <c r="L309" s="180">
        <v>139</v>
      </c>
      <c r="M309" s="180">
        <v>18</v>
      </c>
      <c r="N309" s="180">
        <v>7.4</v>
      </c>
      <c r="O309" s="94">
        <v>5.3</v>
      </c>
      <c r="P309" s="239">
        <f t="shared" si="96"/>
        <v>4.9344739331306915</v>
      </c>
      <c r="Q309" s="296" t="str">
        <f t="shared" si="88"/>
        <v>Chlorella</v>
      </c>
      <c r="R309" s="297">
        <f t="shared" si="89"/>
        <v>-0.12601471291999655</v>
      </c>
      <c r="S309" s="220">
        <f t="shared" si="100"/>
        <v>5.0604886460506879</v>
      </c>
      <c r="T309" s="236">
        <f t="shared" si="95"/>
        <v>33</v>
      </c>
      <c r="U309" s="221"/>
      <c r="V309" s="222" cm="1">
        <f t="array" ref="V309">MEDIAN(IF(U309=$U$7:$U$360,$S$7:$S$360))</f>
        <v>4.2196406827236466</v>
      </c>
      <c r="W309" s="298">
        <f t="shared" si="90"/>
        <v>3.5728518602057369</v>
      </c>
      <c r="X309" s="225">
        <f t="shared" si="98"/>
        <v>35.618026077796735</v>
      </c>
      <c r="Y309" s="225"/>
      <c r="Z309" s="183" t="s">
        <v>1953</v>
      </c>
      <c r="AA309" s="221" t="s">
        <v>1946</v>
      </c>
      <c r="AB309" s="254"/>
      <c r="AC309" s="228"/>
      <c r="AD309" s="228"/>
      <c r="AE309" s="228"/>
      <c r="AG309" s="248"/>
      <c r="AI309" s="244"/>
    </row>
    <row r="310" spans="1:35" s="183" customFormat="1" ht="15.75" customHeight="1" x14ac:dyDescent="0.25">
      <c r="B310" s="245" t="s">
        <v>1723</v>
      </c>
      <c r="C310" s="245">
        <v>2020</v>
      </c>
      <c r="D310" s="245" t="s">
        <v>1721</v>
      </c>
      <c r="E310" s="245" t="s">
        <v>1740</v>
      </c>
      <c r="F310" s="245" t="s">
        <v>1724</v>
      </c>
      <c r="G310" s="245" t="s">
        <v>1303</v>
      </c>
      <c r="H310" s="180" t="s">
        <v>264</v>
      </c>
      <c r="I310" s="180" t="s">
        <v>256</v>
      </c>
      <c r="J310" s="245" t="s">
        <v>49</v>
      </c>
      <c r="K310" s="245">
        <v>3</v>
      </c>
      <c r="L310" s="245">
        <v>286</v>
      </c>
      <c r="M310" s="280">
        <v>3.5</v>
      </c>
      <c r="N310" s="278">
        <v>6.4</v>
      </c>
      <c r="O310" s="280">
        <v>1.4</v>
      </c>
      <c r="P310" s="239">
        <f t="shared" si="96"/>
        <v>5.6559918108198524</v>
      </c>
      <c r="Q310" s="296" t="str">
        <f t="shared" si="88"/>
        <v>Chlorella</v>
      </c>
      <c r="R310" s="297">
        <f>$AI$9*N310+$AH$9*LN(M310)+$AJ$9*LN(O310)</f>
        <v>-1.3363887671485717</v>
      </c>
      <c r="S310" s="220">
        <f t="shared" si="100"/>
        <v>6.992380577968424</v>
      </c>
      <c r="T310" s="236">
        <f t="shared" si="95"/>
        <v>34</v>
      </c>
      <c r="U310" s="221" t="str">
        <f t="shared" ref="U310:U346" si="108">CONCATENATE(T310,"-",I310,"-",J310,"-",H310)</f>
        <v>34-POP-EC10-EX</v>
      </c>
      <c r="V310" s="222" cm="1">
        <f t="array" ref="V310">GEOMEAN(IF(U310=$U$7:$U$360,$S$7:$S$360))</f>
        <v>6.992380577968424</v>
      </c>
      <c r="W310" s="298">
        <f>V310+$AI$9*$AI$5+$AH$9*LN($AH$5)+$AJ$9*LN($AJ$5)</f>
        <v>6.3455917554505143</v>
      </c>
      <c r="X310" s="225">
        <f t="shared" si="98"/>
        <v>569.9745755015324</v>
      </c>
      <c r="Y310" s="225">
        <f t="shared" ref="Y310:Y340" si="109">X310</f>
        <v>569.9745755015324</v>
      </c>
      <c r="Z310" s="226"/>
      <c r="AA310" s="226" t="s">
        <v>1954</v>
      </c>
      <c r="AB310" s="254"/>
      <c r="AC310" s="247" t="s">
        <v>1772</v>
      </c>
      <c r="AD310" s="276">
        <v>0.9</v>
      </c>
      <c r="AE310" s="244" t="s">
        <v>1773</v>
      </c>
      <c r="AG310" s="248"/>
      <c r="AI310" s="244"/>
    </row>
    <row r="311" spans="1:35" s="183" customFormat="1" ht="15.75" customHeight="1" x14ac:dyDescent="0.25">
      <c r="B311" s="180">
        <v>84052</v>
      </c>
      <c r="C311" s="217">
        <v>2005</v>
      </c>
      <c r="D311" s="180" t="s">
        <v>785</v>
      </c>
      <c r="E311" s="180" t="s">
        <v>41</v>
      </c>
      <c r="F311" s="180" t="s">
        <v>344</v>
      </c>
      <c r="G311" s="180" t="s">
        <v>1303</v>
      </c>
      <c r="H311" s="180" t="s">
        <v>264</v>
      </c>
      <c r="I311" s="180" t="s">
        <v>256</v>
      </c>
      <c r="J311" s="180" t="s">
        <v>49</v>
      </c>
      <c r="K311" s="180" t="s">
        <v>103</v>
      </c>
      <c r="L311" s="180">
        <v>109</v>
      </c>
      <c r="M311" s="250">
        <v>26.995100000000001</v>
      </c>
      <c r="N311" s="180">
        <v>6.26</v>
      </c>
      <c r="O311" s="94">
        <v>2.48</v>
      </c>
      <c r="P311" s="239">
        <f t="shared" si="96"/>
        <v>4.6913478822291435</v>
      </c>
      <c r="Q311" s="178" t="str">
        <f t="shared" ref="Q311:Q346" si="110">$AG$10</f>
        <v>R. sub - DeForest</v>
      </c>
      <c r="R311" s="302">
        <f>$AI$10*N311+$AH$10*LN(M311)+$AJ$10*LN(O311)</f>
        <v>-5.2250739609230292</v>
      </c>
      <c r="S311" s="220">
        <f t="shared" si="100"/>
        <v>9.9164218431521718</v>
      </c>
      <c r="T311" s="236">
        <f t="shared" si="95"/>
        <v>35</v>
      </c>
      <c r="U311" s="221" t="str">
        <f t="shared" si="108"/>
        <v>35-POP-EC10-EX</v>
      </c>
      <c r="V311" s="222" cm="1">
        <f t="array" ref="V311">GEOMEAN(IF(U311=$U$7:$U$360,$S$7:$S$360))</f>
        <v>9.4587127901440979</v>
      </c>
      <c r="W311" s="303">
        <f>V311+$AI$10*$AI$5+$AH$10*LN($AH$5)+$AJ$10*LN($AJ$5)</f>
        <v>2.8263450294070696</v>
      </c>
      <c r="X311" s="225">
        <f t="shared" si="98"/>
        <v>16.883638711368956</v>
      </c>
      <c r="Y311" s="225">
        <f t="shared" si="109"/>
        <v>16.883638711368956</v>
      </c>
      <c r="Z311" s="226"/>
      <c r="AA311" s="226"/>
      <c r="AB311" s="227" t="s">
        <v>1846</v>
      </c>
      <c r="AC311" s="243" t="s">
        <v>1798</v>
      </c>
      <c r="AD311" s="228"/>
      <c r="AE311" s="229" t="s">
        <v>1584</v>
      </c>
      <c r="AG311" s="248"/>
      <c r="AI311" s="244"/>
    </row>
    <row r="312" spans="1:35" s="183" customFormat="1" ht="15.75" customHeight="1" x14ac:dyDescent="0.25">
      <c r="B312" s="180">
        <v>84052</v>
      </c>
      <c r="C312" s="217">
        <v>2005</v>
      </c>
      <c r="D312" s="180" t="s">
        <v>785</v>
      </c>
      <c r="E312" s="180" t="s">
        <v>41</v>
      </c>
      <c r="F312" s="180" t="s">
        <v>344</v>
      </c>
      <c r="G312" s="180" t="s">
        <v>1303</v>
      </c>
      <c r="H312" s="180" t="s">
        <v>264</v>
      </c>
      <c r="I312" s="180" t="s">
        <v>256</v>
      </c>
      <c r="J312" s="180" t="s">
        <v>49</v>
      </c>
      <c r="K312" s="180" t="s">
        <v>103</v>
      </c>
      <c r="L312" s="180">
        <v>78.5</v>
      </c>
      <c r="M312" s="250">
        <v>26.587723999999998</v>
      </c>
      <c r="N312" s="180">
        <v>6.43</v>
      </c>
      <c r="O312" s="94">
        <v>3.65</v>
      </c>
      <c r="P312" s="239">
        <f t="shared" si="96"/>
        <v>4.3630986247883632</v>
      </c>
      <c r="Q312" s="178" t="str">
        <f t="shared" si="110"/>
        <v>R. sub - DeForest</v>
      </c>
      <c r="R312" s="302">
        <f t="shared" ref="R312:R331" si="111">$AI$10*N312+$AH$10*LN(M312)+$AJ$10*LN(O312)</f>
        <v>-5.2913520219727701</v>
      </c>
      <c r="S312" s="220">
        <f t="shared" si="100"/>
        <v>9.6544506467611342</v>
      </c>
      <c r="T312" s="236">
        <f t="shared" si="95"/>
        <v>35</v>
      </c>
      <c r="U312" s="221" t="str">
        <f t="shared" si="108"/>
        <v>35-POP-EC10-EX</v>
      </c>
      <c r="V312" s="222" cm="1">
        <f t="array" ref="V312">GEOMEAN(IF(U312=$U$7:$U$360,$S$7:$S$360))</f>
        <v>9.4587127901440979</v>
      </c>
      <c r="W312" s="303">
        <f t="shared" ref="W312:W331" si="112">V312+$AI$10*$AI$5+$AH$10*LN($AH$5)+$AJ$10*LN($AJ$5)</f>
        <v>2.8263450294070696</v>
      </c>
      <c r="X312" s="225">
        <f t="shared" si="98"/>
        <v>16.883638711368956</v>
      </c>
      <c r="Y312" s="225">
        <f t="shared" si="109"/>
        <v>16.883638711368956</v>
      </c>
      <c r="Z312" s="226"/>
      <c r="AA312" s="226"/>
      <c r="AB312" s="227" t="s">
        <v>1846</v>
      </c>
      <c r="AC312" s="243" t="s">
        <v>1798</v>
      </c>
      <c r="AD312" s="228"/>
      <c r="AE312" s="229" t="s">
        <v>1584</v>
      </c>
      <c r="AG312" s="248"/>
      <c r="AI312" s="244"/>
    </row>
    <row r="313" spans="1:35" s="183" customFormat="1" ht="15.75" customHeight="1" x14ac:dyDescent="0.25">
      <c r="B313" s="180">
        <v>84052</v>
      </c>
      <c r="C313" s="217">
        <v>2005</v>
      </c>
      <c r="D313" s="180" t="s">
        <v>785</v>
      </c>
      <c r="E313" s="180" t="s">
        <v>41</v>
      </c>
      <c r="F313" s="180" t="s">
        <v>344</v>
      </c>
      <c r="G313" s="180" t="s">
        <v>1303</v>
      </c>
      <c r="H313" s="180" t="s">
        <v>264</v>
      </c>
      <c r="I313" s="180" t="s">
        <v>256</v>
      </c>
      <c r="J313" s="180" t="s">
        <v>49</v>
      </c>
      <c r="K313" s="180" t="s">
        <v>103</v>
      </c>
      <c r="L313" s="180">
        <v>136</v>
      </c>
      <c r="M313" s="250">
        <v>144.36112</v>
      </c>
      <c r="N313" s="180">
        <v>7.42</v>
      </c>
      <c r="O313" s="94">
        <v>22.3</v>
      </c>
      <c r="P313" s="239">
        <f t="shared" si="96"/>
        <v>4.9126548857360524</v>
      </c>
      <c r="Q313" s="178" t="str">
        <f t="shared" si="110"/>
        <v>R. sub - DeForest</v>
      </c>
      <c r="R313" s="302">
        <f t="shared" si="111"/>
        <v>-5.7694413842005901</v>
      </c>
      <c r="S313" s="220">
        <f t="shared" si="100"/>
        <v>10.682096269936643</v>
      </c>
      <c r="T313" s="236">
        <f t="shared" si="95"/>
        <v>35</v>
      </c>
      <c r="U313" s="221" t="str">
        <f t="shared" si="108"/>
        <v>35-POP-EC10-EX</v>
      </c>
      <c r="V313" s="222" cm="1">
        <f t="array" ref="V313">GEOMEAN(IF(U313=$U$7:$U$360,$S$7:$S$360))</f>
        <v>9.4587127901440979</v>
      </c>
      <c r="W313" s="303">
        <f t="shared" si="112"/>
        <v>2.8263450294070696</v>
      </c>
      <c r="X313" s="225">
        <f t="shared" si="98"/>
        <v>16.883638711368956</v>
      </c>
      <c r="Y313" s="225">
        <f t="shared" si="109"/>
        <v>16.883638711368956</v>
      </c>
      <c r="Z313" s="226"/>
      <c r="AA313" s="226"/>
      <c r="AB313" s="227" t="s">
        <v>1846</v>
      </c>
      <c r="AC313" s="243" t="s">
        <v>1798</v>
      </c>
      <c r="AD313" s="228"/>
      <c r="AE313" s="229" t="s">
        <v>1584</v>
      </c>
      <c r="AG313" s="248"/>
      <c r="AI313" s="244"/>
    </row>
    <row r="314" spans="1:35" s="183" customFormat="1" ht="15.75" customHeight="1" x14ac:dyDescent="0.25">
      <c r="B314" s="180">
        <v>84052</v>
      </c>
      <c r="C314" s="217">
        <v>2005</v>
      </c>
      <c r="D314" s="180" t="s">
        <v>785</v>
      </c>
      <c r="E314" s="180" t="s">
        <v>41</v>
      </c>
      <c r="F314" s="180" t="s">
        <v>344</v>
      </c>
      <c r="G314" s="180" t="s">
        <v>1303</v>
      </c>
      <c r="H314" s="180" t="s">
        <v>264</v>
      </c>
      <c r="I314" s="180" t="s">
        <v>256</v>
      </c>
      <c r="J314" s="180" t="s">
        <v>49</v>
      </c>
      <c r="K314" s="180" t="s">
        <v>103</v>
      </c>
      <c r="L314" s="180">
        <v>27.3</v>
      </c>
      <c r="M314" s="250">
        <v>239.07499999999999</v>
      </c>
      <c r="N314" s="180">
        <v>8.01</v>
      </c>
      <c r="O314" s="94">
        <v>5.89</v>
      </c>
      <c r="P314" s="239">
        <f t="shared" si="96"/>
        <v>3.3068867021909143</v>
      </c>
      <c r="Q314" s="178" t="str">
        <f t="shared" si="110"/>
        <v>R. sub - DeForest</v>
      </c>
      <c r="R314" s="302">
        <f t="shared" si="111"/>
        <v>-6.5580394964883286</v>
      </c>
      <c r="S314" s="220">
        <f t="shared" si="100"/>
        <v>9.8649261986792425</v>
      </c>
      <c r="T314" s="236">
        <f t="shared" si="95"/>
        <v>35</v>
      </c>
      <c r="U314" s="221" t="str">
        <f t="shared" si="108"/>
        <v>35-POP-EC10-EX</v>
      </c>
      <c r="V314" s="222" cm="1">
        <f t="array" ref="V314">GEOMEAN(IF(U314=$U$7:$U$360,$S$7:$S$360))</f>
        <v>9.4587127901440979</v>
      </c>
      <c r="W314" s="303">
        <f t="shared" si="112"/>
        <v>2.8263450294070696</v>
      </c>
      <c r="X314" s="225">
        <f t="shared" si="98"/>
        <v>16.883638711368956</v>
      </c>
      <c r="Y314" s="225">
        <f t="shared" si="109"/>
        <v>16.883638711368956</v>
      </c>
      <c r="Z314" s="226"/>
      <c r="AA314" s="226"/>
      <c r="AB314" s="227" t="s">
        <v>1846</v>
      </c>
      <c r="AC314" s="243" t="s">
        <v>1798</v>
      </c>
      <c r="AD314" s="228"/>
      <c r="AE314" s="229" t="s">
        <v>1584</v>
      </c>
      <c r="AG314" s="248"/>
      <c r="AI314" s="244"/>
    </row>
    <row r="315" spans="1:35" s="183" customFormat="1" ht="15.75" customHeight="1" x14ac:dyDescent="0.25">
      <c r="A315" s="183" t="s">
        <v>1955</v>
      </c>
      <c r="B315" s="183" t="s">
        <v>1526</v>
      </c>
      <c r="C315" s="183">
        <v>2017</v>
      </c>
      <c r="D315" s="183" t="s">
        <v>1527</v>
      </c>
      <c r="E315" s="183" t="s">
        <v>1956</v>
      </c>
      <c r="F315" s="180" t="s">
        <v>344</v>
      </c>
      <c r="G315" s="183" t="s">
        <v>1303</v>
      </c>
      <c r="H315" s="183" t="s">
        <v>264</v>
      </c>
      <c r="I315" s="183" t="s">
        <v>256</v>
      </c>
      <c r="J315" s="183" t="s">
        <v>49</v>
      </c>
      <c r="K315" s="183">
        <v>2</v>
      </c>
      <c r="L315" s="183">
        <v>89</v>
      </c>
      <c r="M315" s="183">
        <v>75.2</v>
      </c>
      <c r="N315" s="183">
        <v>6.98</v>
      </c>
      <c r="O315" s="183">
        <v>9.5</v>
      </c>
      <c r="P315" s="239">
        <f t="shared" si="96"/>
        <v>4.4886363697321396</v>
      </c>
      <c r="Q315" s="178" t="str">
        <f t="shared" si="110"/>
        <v>R. sub - DeForest</v>
      </c>
      <c r="R315" s="302">
        <f t="shared" si="111"/>
        <v>-5.5671800140912424</v>
      </c>
      <c r="S315" s="220">
        <f t="shared" si="100"/>
        <v>10.055816383823382</v>
      </c>
      <c r="T315" s="236">
        <f t="shared" si="95"/>
        <v>35</v>
      </c>
      <c r="U315" s="221" t="str">
        <f t="shared" si="108"/>
        <v>35-POP-EC10-EX</v>
      </c>
      <c r="V315" s="222" cm="1">
        <f t="array" ref="V315">GEOMEAN(IF(U315=$U$7:$U$360,$S$7:$S$360))</f>
        <v>9.4587127901440979</v>
      </c>
      <c r="W315" s="303">
        <f t="shared" si="112"/>
        <v>2.8263450294070696</v>
      </c>
      <c r="X315" s="225">
        <f t="shared" si="98"/>
        <v>16.883638711368956</v>
      </c>
      <c r="Y315" s="225">
        <f t="shared" si="109"/>
        <v>16.883638711368956</v>
      </c>
      <c r="Z315" s="226"/>
      <c r="AA315" s="226"/>
      <c r="AB315" s="244"/>
      <c r="AC315" s="244" t="s">
        <v>1772</v>
      </c>
      <c r="AD315" s="247">
        <v>0.81399999999999995</v>
      </c>
      <c r="AE315" s="244" t="s">
        <v>1859</v>
      </c>
      <c r="AG315" s="248"/>
      <c r="AI315" s="244"/>
    </row>
    <row r="316" spans="1:35" s="183" customFormat="1" ht="15.75" customHeight="1" x14ac:dyDescent="0.25">
      <c r="A316" s="183" t="s">
        <v>1957</v>
      </c>
      <c r="B316" s="183" t="s">
        <v>1526</v>
      </c>
      <c r="C316" s="183">
        <v>2017</v>
      </c>
      <c r="D316" s="183" t="s">
        <v>1527</v>
      </c>
      <c r="E316" s="183" t="s">
        <v>1958</v>
      </c>
      <c r="F316" s="180" t="s">
        <v>344</v>
      </c>
      <c r="G316" s="183" t="s">
        <v>1303</v>
      </c>
      <c r="H316" s="183" t="s">
        <v>264</v>
      </c>
      <c r="I316" s="183" t="s">
        <v>256</v>
      </c>
      <c r="J316" s="183" t="s">
        <v>49</v>
      </c>
      <c r="K316" s="183">
        <v>2</v>
      </c>
      <c r="L316" s="183">
        <v>36</v>
      </c>
      <c r="M316" s="183">
        <v>45</v>
      </c>
      <c r="N316" s="183">
        <v>7.26</v>
      </c>
      <c r="O316" s="183">
        <v>12</v>
      </c>
      <c r="P316" s="239">
        <f t="shared" si="96"/>
        <v>3.5835189384561099</v>
      </c>
      <c r="Q316" s="178" t="str">
        <f t="shared" si="110"/>
        <v>R. sub - DeForest</v>
      </c>
      <c r="R316" s="302">
        <f t="shared" si="111"/>
        <v>-5.7605545101943072</v>
      </c>
      <c r="S316" s="220">
        <f t="shared" si="100"/>
        <v>9.3440734486504162</v>
      </c>
      <c r="T316" s="236">
        <f t="shared" si="95"/>
        <v>35</v>
      </c>
      <c r="U316" s="221" t="str">
        <f t="shared" si="108"/>
        <v>35-POP-EC10-EX</v>
      </c>
      <c r="V316" s="222" cm="1">
        <f t="array" ref="V316">GEOMEAN(IF(U316=$U$7:$U$360,$S$7:$S$360))</f>
        <v>9.4587127901440979</v>
      </c>
      <c r="W316" s="303">
        <f t="shared" si="112"/>
        <v>2.8263450294070696</v>
      </c>
      <c r="X316" s="225">
        <f t="shared" si="98"/>
        <v>16.883638711368956</v>
      </c>
      <c r="Y316" s="225">
        <f t="shared" si="109"/>
        <v>16.883638711368956</v>
      </c>
      <c r="Z316" s="226"/>
      <c r="AA316" s="226"/>
      <c r="AB316" s="227"/>
      <c r="AC316" s="244" t="s">
        <v>1772</v>
      </c>
      <c r="AD316" s="247">
        <v>0.81399999999999995</v>
      </c>
      <c r="AE316" s="244" t="s">
        <v>1859</v>
      </c>
      <c r="AG316" s="248"/>
      <c r="AI316" s="244"/>
    </row>
    <row r="317" spans="1:35" s="183" customFormat="1" ht="15.75" customHeight="1" x14ac:dyDescent="0.25">
      <c r="A317" s="183" t="s">
        <v>1959</v>
      </c>
      <c r="B317" s="183" t="s">
        <v>1526</v>
      </c>
      <c r="C317" s="183">
        <v>2017</v>
      </c>
      <c r="D317" s="183" t="s">
        <v>1527</v>
      </c>
      <c r="E317" s="183" t="s">
        <v>1691</v>
      </c>
      <c r="F317" s="180" t="s">
        <v>344</v>
      </c>
      <c r="G317" s="183" t="s">
        <v>1303</v>
      </c>
      <c r="H317" s="183" t="s">
        <v>264</v>
      </c>
      <c r="I317" s="183" t="s">
        <v>256</v>
      </c>
      <c r="J317" s="183" t="s">
        <v>49</v>
      </c>
      <c r="K317" s="183">
        <v>2</v>
      </c>
      <c r="L317" s="183">
        <v>116</v>
      </c>
      <c r="M317" s="183">
        <v>21.5</v>
      </c>
      <c r="N317" s="183">
        <v>6.26</v>
      </c>
      <c r="O317" s="183">
        <v>4.0999999999999996</v>
      </c>
      <c r="P317" s="239">
        <f t="shared" si="96"/>
        <v>4.7535901911063645</v>
      </c>
      <c r="Q317" s="178" t="str">
        <f t="shared" si="110"/>
        <v>R. sub - DeForest</v>
      </c>
      <c r="R317" s="302">
        <f t="shared" si="111"/>
        <v>-5.1200037224945545</v>
      </c>
      <c r="S317" s="220">
        <f t="shared" si="100"/>
        <v>9.873593913600919</v>
      </c>
      <c r="T317" s="236">
        <f t="shared" si="95"/>
        <v>35</v>
      </c>
      <c r="U317" s="221" t="str">
        <f t="shared" si="108"/>
        <v>35-POP-EC10-EX</v>
      </c>
      <c r="V317" s="222" cm="1">
        <f t="array" ref="V317">GEOMEAN(IF(U317=$U$7:$U$360,$S$7:$S$360))</f>
        <v>9.4587127901440979</v>
      </c>
      <c r="W317" s="303">
        <f t="shared" si="112"/>
        <v>2.8263450294070696</v>
      </c>
      <c r="X317" s="225">
        <f t="shared" si="98"/>
        <v>16.883638711368956</v>
      </c>
      <c r="Y317" s="225">
        <f t="shared" si="109"/>
        <v>16.883638711368956</v>
      </c>
      <c r="Z317" s="226"/>
      <c r="AA317" s="226"/>
      <c r="AB317" s="227"/>
      <c r="AC317" s="244" t="s">
        <v>1772</v>
      </c>
      <c r="AD317" s="247">
        <v>0.81399999999999995</v>
      </c>
      <c r="AE317" s="244" t="s">
        <v>1859</v>
      </c>
      <c r="AG317" s="248"/>
      <c r="AI317" s="244"/>
    </row>
    <row r="318" spans="1:35" s="183" customFormat="1" ht="15.75" customHeight="1" x14ac:dyDescent="0.25">
      <c r="A318" s="183" t="s">
        <v>1960</v>
      </c>
      <c r="B318" s="183" t="s">
        <v>1526</v>
      </c>
      <c r="C318" s="183">
        <v>2017</v>
      </c>
      <c r="D318" s="183" t="s">
        <v>1527</v>
      </c>
      <c r="E318" s="183" t="s">
        <v>1961</v>
      </c>
      <c r="F318" s="180" t="s">
        <v>344</v>
      </c>
      <c r="G318" s="183" t="s">
        <v>1303</v>
      </c>
      <c r="H318" s="183" t="s">
        <v>264</v>
      </c>
      <c r="I318" s="183" t="s">
        <v>256</v>
      </c>
      <c r="J318" s="183" t="s">
        <v>49</v>
      </c>
      <c r="K318" s="183">
        <v>2</v>
      </c>
      <c r="L318" s="227">
        <v>17</v>
      </c>
      <c r="M318" s="227">
        <v>70.5</v>
      </c>
      <c r="N318" s="183">
        <v>8.5399999999999991</v>
      </c>
      <c r="O318" s="183">
        <v>9</v>
      </c>
      <c r="P318" s="239">
        <f t="shared" si="96"/>
        <v>2.8332133440562162</v>
      </c>
      <c r="Q318" s="178" t="str">
        <f t="shared" si="110"/>
        <v>R. sub - DeForest</v>
      </c>
      <c r="R318" s="302">
        <f t="shared" si="111"/>
        <v>-6.9278800633367297</v>
      </c>
      <c r="S318" s="220">
        <f t="shared" si="100"/>
        <v>9.761093407392945</v>
      </c>
      <c r="T318" s="236">
        <f t="shared" si="95"/>
        <v>35</v>
      </c>
      <c r="U318" s="221" t="str">
        <f t="shared" si="108"/>
        <v>35-POP-EC10-EX</v>
      </c>
      <c r="V318" s="222" cm="1">
        <f t="array" ref="V318">GEOMEAN(IF(U318=$U$7:$U$360,$S$7:$S$360))</f>
        <v>9.4587127901440979</v>
      </c>
      <c r="W318" s="303">
        <f t="shared" si="112"/>
        <v>2.8263450294070696</v>
      </c>
      <c r="X318" s="225">
        <f t="shared" si="98"/>
        <v>16.883638711368956</v>
      </c>
      <c r="Y318" s="225">
        <f t="shared" si="109"/>
        <v>16.883638711368956</v>
      </c>
      <c r="Z318" s="226"/>
      <c r="AA318" s="226"/>
      <c r="AB318" s="227"/>
      <c r="AC318" s="244" t="s">
        <v>1772</v>
      </c>
      <c r="AD318" s="247">
        <v>0.81399999999999995</v>
      </c>
      <c r="AE318" s="244" t="s">
        <v>1859</v>
      </c>
      <c r="AG318" s="248"/>
      <c r="AI318" s="244"/>
    </row>
    <row r="319" spans="1:35" s="183" customFormat="1" ht="15.75" customHeight="1" x14ac:dyDescent="0.25">
      <c r="A319" s="183" t="s">
        <v>1962</v>
      </c>
      <c r="B319" s="183" t="s">
        <v>1526</v>
      </c>
      <c r="C319" s="183">
        <v>2017</v>
      </c>
      <c r="D319" s="183" t="s">
        <v>1527</v>
      </c>
      <c r="E319" s="183" t="s">
        <v>1961</v>
      </c>
      <c r="F319" s="180" t="s">
        <v>344</v>
      </c>
      <c r="G319" s="183" t="s">
        <v>1303</v>
      </c>
      <c r="H319" s="183" t="s">
        <v>264</v>
      </c>
      <c r="I319" s="183" t="s">
        <v>256</v>
      </c>
      <c r="J319" s="183" t="s">
        <v>49</v>
      </c>
      <c r="K319" s="183">
        <v>3</v>
      </c>
      <c r="L319" s="227">
        <v>14</v>
      </c>
      <c r="M319" s="227">
        <v>70.5</v>
      </c>
      <c r="N319" s="183">
        <v>8.5399999999999991</v>
      </c>
      <c r="O319" s="183">
        <v>9</v>
      </c>
      <c r="P319" s="239">
        <f t="shared" si="96"/>
        <v>2.6390573296152584</v>
      </c>
      <c r="Q319" s="178" t="str">
        <f t="shared" si="110"/>
        <v>R. sub - DeForest</v>
      </c>
      <c r="R319" s="302">
        <f t="shared" si="111"/>
        <v>-6.9278800633367297</v>
      </c>
      <c r="S319" s="220">
        <f t="shared" si="100"/>
        <v>9.5669373929519885</v>
      </c>
      <c r="T319" s="236">
        <f t="shared" si="95"/>
        <v>35</v>
      </c>
      <c r="U319" s="221" t="str">
        <f t="shared" si="108"/>
        <v>35-POP-EC10-EX</v>
      </c>
      <c r="V319" s="222" cm="1">
        <f t="array" ref="V319">GEOMEAN(IF(U319=$U$7:$U$360,$S$7:$S$360))</f>
        <v>9.4587127901440979</v>
      </c>
      <c r="W319" s="303">
        <f t="shared" si="112"/>
        <v>2.8263450294070696</v>
      </c>
      <c r="X319" s="225">
        <f t="shared" si="98"/>
        <v>16.883638711368956</v>
      </c>
      <c r="Y319" s="225">
        <f t="shared" si="109"/>
        <v>16.883638711368956</v>
      </c>
      <c r="Z319" s="226"/>
      <c r="AA319" s="226"/>
      <c r="AB319" s="227"/>
      <c r="AC319" s="244" t="s">
        <v>1772</v>
      </c>
      <c r="AD319" s="247">
        <v>0.81399999999999995</v>
      </c>
      <c r="AE319" s="244" t="s">
        <v>1859</v>
      </c>
      <c r="AG319" s="248"/>
      <c r="AI319" s="244"/>
    </row>
    <row r="320" spans="1:35" s="183" customFormat="1" ht="15.75" customHeight="1" x14ac:dyDescent="0.25">
      <c r="A320" s="183" t="s">
        <v>1963</v>
      </c>
      <c r="B320" s="183" t="s">
        <v>1526</v>
      </c>
      <c r="C320" s="183">
        <v>2017</v>
      </c>
      <c r="D320" s="183" t="s">
        <v>1527</v>
      </c>
      <c r="E320" s="183" t="s">
        <v>1964</v>
      </c>
      <c r="F320" s="180" t="s">
        <v>344</v>
      </c>
      <c r="G320" s="183" t="s">
        <v>1303</v>
      </c>
      <c r="H320" s="183" t="s">
        <v>264</v>
      </c>
      <c r="I320" s="183" t="s">
        <v>256</v>
      </c>
      <c r="J320" s="183" t="s">
        <v>49</v>
      </c>
      <c r="K320" s="183">
        <v>2</v>
      </c>
      <c r="L320" s="183">
        <v>89</v>
      </c>
      <c r="M320" s="183">
        <v>22.7</v>
      </c>
      <c r="N320" s="183">
        <v>6.16</v>
      </c>
      <c r="O320" s="183">
        <v>11.3</v>
      </c>
      <c r="P320" s="239">
        <f t="shared" si="96"/>
        <v>4.4886363697321396</v>
      </c>
      <c r="Q320" s="178" t="str">
        <f t="shared" si="110"/>
        <v>R. sub - DeForest</v>
      </c>
      <c r="R320" s="302">
        <f t="shared" si="111"/>
        <v>-4.8216162303248762</v>
      </c>
      <c r="S320" s="220">
        <f t="shared" si="100"/>
        <v>9.3102526000570158</v>
      </c>
      <c r="T320" s="236">
        <f t="shared" si="95"/>
        <v>35</v>
      </c>
      <c r="U320" s="221" t="str">
        <f t="shared" si="108"/>
        <v>35-POP-EC10-EX</v>
      </c>
      <c r="V320" s="222" cm="1">
        <f t="array" ref="V320">GEOMEAN(IF(U320=$U$7:$U$360,$S$7:$S$360))</f>
        <v>9.4587127901440979</v>
      </c>
      <c r="W320" s="303">
        <f t="shared" si="112"/>
        <v>2.8263450294070696</v>
      </c>
      <c r="X320" s="225">
        <f t="shared" si="98"/>
        <v>16.883638711368956</v>
      </c>
      <c r="Y320" s="225">
        <f t="shared" si="109"/>
        <v>16.883638711368956</v>
      </c>
      <c r="Z320" s="226"/>
      <c r="AA320" s="226"/>
      <c r="AB320" s="227"/>
      <c r="AC320" s="244" t="s">
        <v>1772</v>
      </c>
      <c r="AD320" s="247">
        <v>0.81399999999999995</v>
      </c>
      <c r="AE320" s="244" t="s">
        <v>1859</v>
      </c>
      <c r="AG320" s="248"/>
      <c r="AI320" s="244"/>
    </row>
    <row r="321" spans="1:38" s="183" customFormat="1" ht="15.75" customHeight="1" x14ac:dyDescent="0.25">
      <c r="A321" s="183" t="s">
        <v>1965</v>
      </c>
      <c r="B321" s="183" t="s">
        <v>1526</v>
      </c>
      <c r="C321" s="183">
        <v>2017</v>
      </c>
      <c r="D321" s="183" t="s">
        <v>1527</v>
      </c>
      <c r="E321" s="183" t="s">
        <v>1958</v>
      </c>
      <c r="F321" s="180" t="s">
        <v>344</v>
      </c>
      <c r="G321" s="183" t="s">
        <v>1303</v>
      </c>
      <c r="H321" s="183" t="s">
        <v>264</v>
      </c>
      <c r="I321" s="183" t="s">
        <v>256</v>
      </c>
      <c r="J321" s="183" t="s">
        <v>49</v>
      </c>
      <c r="K321" s="183">
        <v>2</v>
      </c>
      <c r="L321" s="183">
        <v>51</v>
      </c>
      <c r="M321" s="183">
        <v>47.8</v>
      </c>
      <c r="N321" s="183">
        <v>7.13</v>
      </c>
      <c r="O321" s="183">
        <v>9.9</v>
      </c>
      <c r="P321" s="239">
        <f t="shared" si="96"/>
        <v>3.9318256327243257</v>
      </c>
      <c r="Q321" s="178" t="str">
        <f t="shared" si="110"/>
        <v>R. sub - DeForest</v>
      </c>
      <c r="R321" s="302">
        <f t="shared" si="111"/>
        <v>-5.6883102357576263</v>
      </c>
      <c r="S321" s="220">
        <f t="shared" si="100"/>
        <v>9.6201358684819525</v>
      </c>
      <c r="T321" s="236">
        <f t="shared" si="95"/>
        <v>35</v>
      </c>
      <c r="U321" s="221" t="str">
        <f t="shared" si="108"/>
        <v>35-POP-EC10-EX</v>
      </c>
      <c r="V321" s="222" cm="1">
        <f t="array" ref="V321">GEOMEAN(IF(U321=$U$7:$U$360,$S$7:$S$360))</f>
        <v>9.4587127901440979</v>
      </c>
      <c r="W321" s="303">
        <f t="shared" si="112"/>
        <v>2.8263450294070696</v>
      </c>
      <c r="X321" s="225">
        <f t="shared" si="98"/>
        <v>16.883638711368956</v>
      </c>
      <c r="Y321" s="225">
        <f t="shared" si="109"/>
        <v>16.883638711368956</v>
      </c>
      <c r="Z321" s="226"/>
      <c r="AA321" s="226"/>
      <c r="AB321" s="227"/>
      <c r="AC321" s="244" t="s">
        <v>1772</v>
      </c>
      <c r="AD321" s="247">
        <v>0.81399999999999995</v>
      </c>
      <c r="AE321" s="244" t="s">
        <v>1859</v>
      </c>
      <c r="AG321" s="248"/>
      <c r="AH321" s="182"/>
      <c r="AI321" s="244"/>
      <c r="AJ321" s="182"/>
      <c r="AK321" s="182"/>
    </row>
    <row r="322" spans="1:38" s="183" customFormat="1" ht="15.75" customHeight="1" x14ac:dyDescent="0.25">
      <c r="A322" s="183" t="s">
        <v>1966</v>
      </c>
      <c r="B322" s="183" t="s">
        <v>1526</v>
      </c>
      <c r="C322" s="183">
        <v>2017</v>
      </c>
      <c r="D322" s="183" t="s">
        <v>1527</v>
      </c>
      <c r="E322" s="183" t="s">
        <v>1958</v>
      </c>
      <c r="F322" s="180" t="s">
        <v>344</v>
      </c>
      <c r="G322" s="183" t="s">
        <v>1303</v>
      </c>
      <c r="H322" s="183" t="s">
        <v>264</v>
      </c>
      <c r="I322" s="183" t="s">
        <v>256</v>
      </c>
      <c r="J322" s="183" t="s">
        <v>49</v>
      </c>
      <c r="K322" s="183">
        <v>3</v>
      </c>
      <c r="L322" s="183">
        <v>55</v>
      </c>
      <c r="M322" s="183">
        <v>47.8</v>
      </c>
      <c r="N322" s="183">
        <v>7.15</v>
      </c>
      <c r="O322" s="183">
        <v>9.9</v>
      </c>
      <c r="P322" s="239">
        <f t="shared" si="96"/>
        <v>4.0073331852324712</v>
      </c>
      <c r="Q322" s="178" t="str">
        <f t="shared" si="110"/>
        <v>R. sub - DeForest</v>
      </c>
      <c r="R322" s="302">
        <f t="shared" si="111"/>
        <v>-5.7056102357576268</v>
      </c>
      <c r="S322" s="220">
        <f t="shared" si="100"/>
        <v>9.7129434209900971</v>
      </c>
      <c r="T322" s="236">
        <f t="shared" si="95"/>
        <v>35</v>
      </c>
      <c r="U322" s="221" t="str">
        <f t="shared" si="108"/>
        <v>35-POP-EC10-EX</v>
      </c>
      <c r="V322" s="222" cm="1">
        <f t="array" ref="V322">GEOMEAN(IF(U322=$U$7:$U$360,$S$7:$S$360))</f>
        <v>9.4587127901440979</v>
      </c>
      <c r="W322" s="303">
        <f t="shared" si="112"/>
        <v>2.8263450294070696</v>
      </c>
      <c r="X322" s="225">
        <f t="shared" si="98"/>
        <v>16.883638711368956</v>
      </c>
      <c r="Y322" s="225">
        <f t="shared" si="109"/>
        <v>16.883638711368956</v>
      </c>
      <c r="Z322" s="226"/>
      <c r="AA322" s="226"/>
      <c r="AB322" s="227"/>
      <c r="AC322" s="244" t="s">
        <v>1772</v>
      </c>
      <c r="AD322" s="247">
        <v>0.81399999999999995</v>
      </c>
      <c r="AE322" s="244" t="s">
        <v>1859</v>
      </c>
      <c r="AG322" s="248"/>
      <c r="AH322" s="182"/>
      <c r="AI322" s="244"/>
      <c r="AJ322" s="182"/>
      <c r="AK322" s="182"/>
    </row>
    <row r="323" spans="1:38" s="183" customFormat="1" ht="15.75" customHeight="1" x14ac:dyDescent="0.25">
      <c r="A323" s="183" t="s">
        <v>1967</v>
      </c>
      <c r="B323" s="183" t="s">
        <v>1526</v>
      </c>
      <c r="C323" s="183">
        <v>2017</v>
      </c>
      <c r="D323" s="183" t="s">
        <v>1527</v>
      </c>
      <c r="E323" s="183" t="s">
        <v>1968</v>
      </c>
      <c r="F323" s="180" t="s">
        <v>344</v>
      </c>
      <c r="G323" s="183" t="s">
        <v>1303</v>
      </c>
      <c r="H323" s="183" t="s">
        <v>264</v>
      </c>
      <c r="I323" s="183" t="s">
        <v>256</v>
      </c>
      <c r="J323" s="183" t="s">
        <v>49</v>
      </c>
      <c r="K323" s="183">
        <v>2</v>
      </c>
      <c r="L323" s="183">
        <v>6</v>
      </c>
      <c r="M323" s="183">
        <v>46.7</v>
      </c>
      <c r="N323" s="183">
        <v>8.27</v>
      </c>
      <c r="O323" s="183">
        <v>4.5</v>
      </c>
      <c r="P323" s="239">
        <f t="shared" si="96"/>
        <v>1.791759469228055</v>
      </c>
      <c r="Q323" s="178" t="str">
        <f t="shared" si="110"/>
        <v>R. sub - DeForest</v>
      </c>
      <c r="R323" s="302">
        <f t="shared" si="111"/>
        <v>-6.8391978240737581</v>
      </c>
      <c r="S323" s="220">
        <f t="shared" si="100"/>
        <v>8.6309572933018135</v>
      </c>
      <c r="T323" s="236">
        <f t="shared" si="95"/>
        <v>35</v>
      </c>
      <c r="U323" s="221" t="str">
        <f t="shared" si="108"/>
        <v>35-POP-EC10-EX</v>
      </c>
      <c r="V323" s="222" cm="1">
        <f t="array" ref="V323">GEOMEAN(IF(U323=$U$7:$U$360,$S$7:$S$360))</f>
        <v>9.4587127901440979</v>
      </c>
      <c r="W323" s="303">
        <f t="shared" si="112"/>
        <v>2.8263450294070696</v>
      </c>
      <c r="X323" s="225">
        <f t="shared" si="98"/>
        <v>16.883638711368956</v>
      </c>
      <c r="Y323" s="225">
        <f t="shared" si="109"/>
        <v>16.883638711368956</v>
      </c>
      <c r="Z323" s="226"/>
      <c r="AA323" s="226"/>
      <c r="AB323" s="227"/>
      <c r="AC323" s="244" t="s">
        <v>1772</v>
      </c>
      <c r="AD323" s="247">
        <v>0.81399999999999995</v>
      </c>
      <c r="AE323" s="244" t="s">
        <v>1859</v>
      </c>
      <c r="AG323" s="248"/>
      <c r="AH323" s="182"/>
      <c r="AI323" s="244"/>
      <c r="AJ323" s="182"/>
      <c r="AK323" s="182"/>
      <c r="AL323" s="182"/>
    </row>
    <row r="324" spans="1:38" s="183" customFormat="1" ht="15.75" customHeight="1" x14ac:dyDescent="0.25">
      <c r="A324" s="183" t="s">
        <v>1969</v>
      </c>
      <c r="B324" s="183" t="s">
        <v>1526</v>
      </c>
      <c r="C324" s="183">
        <v>2017</v>
      </c>
      <c r="D324" s="183" t="s">
        <v>1527</v>
      </c>
      <c r="E324" s="183" t="s">
        <v>1968</v>
      </c>
      <c r="F324" s="180" t="s">
        <v>344</v>
      </c>
      <c r="G324" s="183" t="s">
        <v>1303</v>
      </c>
      <c r="H324" s="183" t="s">
        <v>264</v>
      </c>
      <c r="I324" s="183" t="s">
        <v>256</v>
      </c>
      <c r="J324" s="183" t="s">
        <v>49</v>
      </c>
      <c r="K324" s="183">
        <v>3</v>
      </c>
      <c r="L324" s="183">
        <v>10</v>
      </c>
      <c r="M324" s="183">
        <v>46.7</v>
      </c>
      <c r="N324" s="183">
        <v>8.32</v>
      </c>
      <c r="O324" s="183">
        <v>4.5</v>
      </c>
      <c r="P324" s="239">
        <f t="shared" si="96"/>
        <v>2.3025850929940459</v>
      </c>
      <c r="Q324" s="178" t="str">
        <f t="shared" si="110"/>
        <v>R. sub - DeForest</v>
      </c>
      <c r="R324" s="302">
        <f t="shared" si="111"/>
        <v>-6.8824478240737594</v>
      </c>
      <c r="S324" s="220">
        <f t="shared" si="100"/>
        <v>9.1850329170678044</v>
      </c>
      <c r="T324" s="236">
        <f t="shared" si="95"/>
        <v>35</v>
      </c>
      <c r="U324" s="221" t="str">
        <f t="shared" si="108"/>
        <v>35-POP-EC10-EX</v>
      </c>
      <c r="V324" s="222" cm="1">
        <f t="array" ref="V324">GEOMEAN(IF(U324=$U$7:$U$360,$S$7:$S$360))</f>
        <v>9.4587127901440979</v>
      </c>
      <c r="W324" s="303">
        <f t="shared" si="112"/>
        <v>2.8263450294070696</v>
      </c>
      <c r="X324" s="225">
        <f t="shared" si="98"/>
        <v>16.883638711368956</v>
      </c>
      <c r="Y324" s="225">
        <f t="shared" si="109"/>
        <v>16.883638711368956</v>
      </c>
      <c r="Z324" s="226"/>
      <c r="AA324" s="226"/>
      <c r="AB324" s="227"/>
      <c r="AC324" s="244" t="s">
        <v>1772</v>
      </c>
      <c r="AD324" s="247">
        <v>0.81399999999999995</v>
      </c>
      <c r="AE324" s="244" t="s">
        <v>1859</v>
      </c>
      <c r="AG324" s="248"/>
      <c r="AH324" s="182"/>
      <c r="AI324" s="244"/>
      <c r="AJ324" s="182"/>
      <c r="AK324" s="182"/>
      <c r="AL324" s="182"/>
    </row>
    <row r="325" spans="1:38" s="183" customFormat="1" ht="15.75" customHeight="1" x14ac:dyDescent="0.25">
      <c r="A325" s="183" t="s">
        <v>1970</v>
      </c>
      <c r="B325" s="183" t="s">
        <v>1526</v>
      </c>
      <c r="C325" s="183">
        <v>2017</v>
      </c>
      <c r="D325" s="183" t="s">
        <v>1527</v>
      </c>
      <c r="E325" s="183" t="s">
        <v>1971</v>
      </c>
      <c r="F325" s="180" t="s">
        <v>344</v>
      </c>
      <c r="G325" s="183" t="s">
        <v>1303</v>
      </c>
      <c r="H325" s="183" t="s">
        <v>264</v>
      </c>
      <c r="I325" s="183" t="s">
        <v>256</v>
      </c>
      <c r="J325" s="183" t="s">
        <v>49</v>
      </c>
      <c r="K325" s="183">
        <v>2</v>
      </c>
      <c r="L325" s="183">
        <v>16</v>
      </c>
      <c r="M325" s="183">
        <v>46.2</v>
      </c>
      <c r="N325" s="183">
        <v>8.51</v>
      </c>
      <c r="O325" s="183">
        <v>4.8</v>
      </c>
      <c r="P325" s="239">
        <f t="shared" si="96"/>
        <v>2.7725887222397811</v>
      </c>
      <c r="Q325" s="178" t="str">
        <f t="shared" si="110"/>
        <v>R. sub - DeForest</v>
      </c>
      <c r="R325" s="302">
        <f t="shared" si="111"/>
        <v>-7.0333092731560054</v>
      </c>
      <c r="S325" s="220">
        <f t="shared" si="100"/>
        <v>9.805897995395787</v>
      </c>
      <c r="T325" s="236">
        <f t="shared" si="95"/>
        <v>35</v>
      </c>
      <c r="U325" s="221" t="str">
        <f t="shared" si="108"/>
        <v>35-POP-EC10-EX</v>
      </c>
      <c r="V325" s="222" cm="1">
        <f t="array" ref="V325">GEOMEAN(IF(U325=$U$7:$U$360,$S$7:$S$360))</f>
        <v>9.4587127901440979</v>
      </c>
      <c r="W325" s="303">
        <f t="shared" si="112"/>
        <v>2.8263450294070696</v>
      </c>
      <c r="X325" s="225">
        <f t="shared" si="98"/>
        <v>16.883638711368956</v>
      </c>
      <c r="Y325" s="225">
        <f t="shared" si="109"/>
        <v>16.883638711368956</v>
      </c>
      <c r="Z325" s="226"/>
      <c r="AA325" s="226"/>
      <c r="AB325" s="227"/>
      <c r="AC325" s="244" t="s">
        <v>1772</v>
      </c>
      <c r="AD325" s="247">
        <v>0.81399999999999995</v>
      </c>
      <c r="AE325" s="244" t="s">
        <v>1859</v>
      </c>
      <c r="AG325" s="248"/>
      <c r="AH325" s="182"/>
      <c r="AI325" s="244"/>
      <c r="AJ325" s="182"/>
      <c r="AK325" s="182"/>
      <c r="AL325" s="182"/>
    </row>
    <row r="326" spans="1:38" s="183" customFormat="1" ht="15.75" customHeight="1" x14ac:dyDescent="0.25">
      <c r="A326" s="183" t="s">
        <v>1972</v>
      </c>
      <c r="B326" s="183" t="s">
        <v>1526</v>
      </c>
      <c r="C326" s="183">
        <v>2017</v>
      </c>
      <c r="D326" s="183" t="s">
        <v>1527</v>
      </c>
      <c r="E326" s="183" t="s">
        <v>1971</v>
      </c>
      <c r="F326" s="180" t="s">
        <v>344</v>
      </c>
      <c r="G326" s="183" t="s">
        <v>1303</v>
      </c>
      <c r="H326" s="183" t="s">
        <v>264</v>
      </c>
      <c r="I326" s="183" t="s">
        <v>256</v>
      </c>
      <c r="J326" s="183" t="s">
        <v>49</v>
      </c>
      <c r="K326" s="183">
        <v>3</v>
      </c>
      <c r="L326" s="183">
        <v>16</v>
      </c>
      <c r="M326" s="183">
        <v>46.2</v>
      </c>
      <c r="N326" s="183">
        <v>8.5299999999999994</v>
      </c>
      <c r="O326" s="183">
        <v>4.8</v>
      </c>
      <c r="P326" s="239">
        <f t="shared" si="96"/>
        <v>2.7725887222397811</v>
      </c>
      <c r="Q326" s="178" t="str">
        <f t="shared" si="110"/>
        <v>R. sub - DeForest</v>
      </c>
      <c r="R326" s="302">
        <f t="shared" si="111"/>
        <v>-7.0506092731560051</v>
      </c>
      <c r="S326" s="220">
        <f t="shared" si="100"/>
        <v>9.8231979953957858</v>
      </c>
      <c r="T326" s="236">
        <f t="shared" si="95"/>
        <v>35</v>
      </c>
      <c r="U326" s="221" t="str">
        <f t="shared" si="108"/>
        <v>35-POP-EC10-EX</v>
      </c>
      <c r="V326" s="222" cm="1">
        <f t="array" ref="V326">GEOMEAN(IF(U326=$U$7:$U$360,$S$7:$S$360))</f>
        <v>9.4587127901440979</v>
      </c>
      <c r="W326" s="303">
        <f t="shared" si="112"/>
        <v>2.8263450294070696</v>
      </c>
      <c r="X326" s="225">
        <f t="shared" si="98"/>
        <v>16.883638711368956</v>
      </c>
      <c r="Y326" s="225">
        <f t="shared" si="109"/>
        <v>16.883638711368956</v>
      </c>
      <c r="Z326" s="226"/>
      <c r="AA326" s="226"/>
      <c r="AB326" s="227"/>
      <c r="AC326" s="244" t="s">
        <v>1772</v>
      </c>
      <c r="AD326" s="247">
        <v>0.81399999999999995</v>
      </c>
      <c r="AE326" s="244" t="s">
        <v>1859</v>
      </c>
      <c r="AG326" s="248"/>
      <c r="AH326" s="182"/>
      <c r="AI326" s="244"/>
      <c r="AJ326" s="182"/>
      <c r="AK326" s="182"/>
      <c r="AL326" s="182"/>
    </row>
    <row r="327" spans="1:38" s="183" customFormat="1" ht="15.75" customHeight="1" x14ac:dyDescent="0.25">
      <c r="A327" s="183" t="s">
        <v>1973</v>
      </c>
      <c r="B327" s="183" t="s">
        <v>1526</v>
      </c>
      <c r="C327" s="183">
        <v>2017</v>
      </c>
      <c r="D327" s="183" t="s">
        <v>1527</v>
      </c>
      <c r="E327" s="183" t="s">
        <v>1964</v>
      </c>
      <c r="F327" s="180" t="s">
        <v>344</v>
      </c>
      <c r="G327" s="183" t="s">
        <v>1303</v>
      </c>
      <c r="H327" s="183" t="s">
        <v>264</v>
      </c>
      <c r="I327" s="183" t="s">
        <v>256</v>
      </c>
      <c r="J327" s="183" t="s">
        <v>49</v>
      </c>
      <c r="K327" s="183">
        <v>2</v>
      </c>
      <c r="L327" s="183">
        <v>80</v>
      </c>
      <c r="M327" s="183">
        <v>19.100000000000001</v>
      </c>
      <c r="N327" s="183">
        <v>6.23</v>
      </c>
      <c r="O327" s="183">
        <v>9.3000000000000007</v>
      </c>
      <c r="P327" s="239">
        <f t="shared" si="96"/>
        <v>4.3820266346738812</v>
      </c>
      <c r="Q327" s="178" t="str">
        <f t="shared" si="110"/>
        <v>R. sub - DeForest</v>
      </c>
      <c r="R327" s="302">
        <f t="shared" si="111"/>
        <v>-4.9228769903667251</v>
      </c>
      <c r="S327" s="220">
        <f t="shared" si="100"/>
        <v>9.3049036250406054</v>
      </c>
      <c r="T327" s="236">
        <f t="shared" si="95"/>
        <v>35</v>
      </c>
      <c r="U327" s="221" t="str">
        <f t="shared" si="108"/>
        <v>35-POP-EC10-EX</v>
      </c>
      <c r="V327" s="222" cm="1">
        <f t="array" ref="V327">GEOMEAN(IF(U327=$U$7:$U$360,$S$7:$S$360))</f>
        <v>9.4587127901440979</v>
      </c>
      <c r="W327" s="303">
        <f t="shared" si="112"/>
        <v>2.8263450294070696</v>
      </c>
      <c r="X327" s="225">
        <f t="shared" si="98"/>
        <v>16.883638711368956</v>
      </c>
      <c r="Y327" s="225">
        <f t="shared" si="109"/>
        <v>16.883638711368956</v>
      </c>
      <c r="Z327" s="226"/>
      <c r="AA327" s="226"/>
      <c r="AB327" s="227"/>
      <c r="AC327" s="244" t="s">
        <v>1772</v>
      </c>
      <c r="AD327" s="247">
        <v>0.81399999999999995</v>
      </c>
      <c r="AE327" s="244" t="s">
        <v>1859</v>
      </c>
      <c r="AG327" s="248"/>
      <c r="AH327" s="182"/>
      <c r="AI327" s="244"/>
      <c r="AJ327" s="182"/>
      <c r="AK327" s="182"/>
      <c r="AL327" s="182"/>
    </row>
    <row r="328" spans="1:38" s="183" customFormat="1" ht="15.75" customHeight="1" x14ac:dyDescent="0.25">
      <c r="A328" s="183" t="s">
        <v>1974</v>
      </c>
      <c r="B328" s="183" t="s">
        <v>1526</v>
      </c>
      <c r="C328" s="183">
        <v>2017</v>
      </c>
      <c r="D328" s="183" t="s">
        <v>1527</v>
      </c>
      <c r="E328" s="183" t="s">
        <v>1964</v>
      </c>
      <c r="F328" s="180" t="s">
        <v>344</v>
      </c>
      <c r="G328" s="183" t="s">
        <v>1303</v>
      </c>
      <c r="H328" s="183" t="s">
        <v>264</v>
      </c>
      <c r="I328" s="183" t="s">
        <v>256</v>
      </c>
      <c r="J328" s="183" t="s">
        <v>49</v>
      </c>
      <c r="K328" s="183">
        <v>3</v>
      </c>
      <c r="L328" s="183">
        <v>131</v>
      </c>
      <c r="M328" s="183">
        <v>19.100000000000001</v>
      </c>
      <c r="N328" s="183">
        <v>6.23</v>
      </c>
      <c r="O328" s="183">
        <v>9.3000000000000007</v>
      </c>
      <c r="P328" s="239">
        <f t="shared" si="96"/>
        <v>4.8751973232011512</v>
      </c>
      <c r="Q328" s="178" t="str">
        <f t="shared" si="110"/>
        <v>R. sub - DeForest</v>
      </c>
      <c r="R328" s="302">
        <f t="shared" si="111"/>
        <v>-4.9228769903667251</v>
      </c>
      <c r="S328" s="220">
        <f t="shared" si="100"/>
        <v>9.7980743135678772</v>
      </c>
      <c r="T328" s="236">
        <f t="shared" si="95"/>
        <v>35</v>
      </c>
      <c r="U328" s="221" t="str">
        <f t="shared" si="108"/>
        <v>35-POP-EC10-EX</v>
      </c>
      <c r="V328" s="222" cm="1">
        <f t="array" ref="V328">GEOMEAN(IF(U328=$U$7:$U$360,$S$7:$S$360))</f>
        <v>9.4587127901440979</v>
      </c>
      <c r="W328" s="303">
        <f t="shared" si="112"/>
        <v>2.8263450294070696</v>
      </c>
      <c r="X328" s="225">
        <f t="shared" si="98"/>
        <v>16.883638711368956</v>
      </c>
      <c r="Y328" s="225">
        <f t="shared" si="109"/>
        <v>16.883638711368956</v>
      </c>
      <c r="Z328" s="226"/>
      <c r="AA328" s="226"/>
      <c r="AB328" s="227"/>
      <c r="AC328" s="244" t="s">
        <v>1772</v>
      </c>
      <c r="AD328" s="247">
        <v>0.81399999999999995</v>
      </c>
      <c r="AE328" s="244" t="s">
        <v>1859</v>
      </c>
      <c r="AG328" s="248"/>
      <c r="AH328" s="182"/>
      <c r="AI328" s="244"/>
      <c r="AJ328" s="182"/>
      <c r="AK328" s="182"/>
      <c r="AL328" s="182"/>
    </row>
    <row r="329" spans="1:38" s="182" customFormat="1" ht="15.75" customHeight="1" x14ac:dyDescent="0.25">
      <c r="A329" s="183" t="s">
        <v>1975</v>
      </c>
      <c r="B329" s="183" t="s">
        <v>1526</v>
      </c>
      <c r="C329" s="183">
        <v>2017</v>
      </c>
      <c r="D329" s="183" t="s">
        <v>1527</v>
      </c>
      <c r="E329" s="183" t="s">
        <v>1976</v>
      </c>
      <c r="F329" s="180" t="s">
        <v>344</v>
      </c>
      <c r="G329" s="183" t="s">
        <v>1303</v>
      </c>
      <c r="H329" s="183" t="s">
        <v>264</v>
      </c>
      <c r="I329" s="183" t="s">
        <v>256</v>
      </c>
      <c r="J329" s="183" t="s">
        <v>49</v>
      </c>
      <c r="K329" s="183">
        <v>2</v>
      </c>
      <c r="L329" s="183">
        <v>34</v>
      </c>
      <c r="M329" s="183">
        <v>513.4</v>
      </c>
      <c r="N329" s="183">
        <v>8.32</v>
      </c>
      <c r="O329" s="183">
        <v>7</v>
      </c>
      <c r="P329" s="239">
        <f t="shared" si="96"/>
        <v>3.5263605246161616</v>
      </c>
      <c r="Q329" s="178" t="str">
        <f t="shared" si="110"/>
        <v>R. sub - DeForest</v>
      </c>
      <c r="R329" s="302">
        <f t="shared" si="111"/>
        <v>-6.7901047788474402</v>
      </c>
      <c r="S329" s="220">
        <f t="shared" si="100"/>
        <v>10.316465303463602</v>
      </c>
      <c r="T329" s="236">
        <f t="shared" ref="T329:T346" si="113">IF(F329=F328,T328,T328+1)</f>
        <v>35</v>
      </c>
      <c r="U329" s="221" t="str">
        <f t="shared" si="108"/>
        <v>35-POP-EC10-EX</v>
      </c>
      <c r="V329" s="222" cm="1">
        <f t="array" ref="V329">GEOMEAN(IF(U329=$U$7:$U$360,$S$7:$S$360))</f>
        <v>9.4587127901440979</v>
      </c>
      <c r="W329" s="303">
        <f t="shared" si="112"/>
        <v>2.8263450294070696</v>
      </c>
      <c r="X329" s="225">
        <f t="shared" si="98"/>
        <v>16.883638711368956</v>
      </c>
      <c r="Y329" s="225">
        <f t="shared" si="109"/>
        <v>16.883638711368956</v>
      </c>
      <c r="Z329" s="226"/>
      <c r="AA329" s="226"/>
      <c r="AB329" s="227"/>
      <c r="AC329" s="244" t="s">
        <v>1772</v>
      </c>
      <c r="AD329" s="247">
        <v>0.81399999999999995</v>
      </c>
      <c r="AE329" s="244" t="s">
        <v>1859</v>
      </c>
      <c r="AG329" s="248"/>
      <c r="AI329" s="244"/>
    </row>
    <row r="330" spans="1:38" s="182" customFormat="1" ht="15.75" customHeight="1" x14ac:dyDescent="0.25">
      <c r="A330" s="183" t="s">
        <v>1977</v>
      </c>
      <c r="B330" s="183" t="s">
        <v>1526</v>
      </c>
      <c r="C330" s="183">
        <v>2017</v>
      </c>
      <c r="D330" s="183" t="s">
        <v>1527</v>
      </c>
      <c r="E330" s="183" t="s">
        <v>1978</v>
      </c>
      <c r="F330" s="180" t="s">
        <v>344</v>
      </c>
      <c r="G330" s="183" t="s">
        <v>1303</v>
      </c>
      <c r="H330" s="183" t="s">
        <v>264</v>
      </c>
      <c r="I330" s="183" t="s">
        <v>256</v>
      </c>
      <c r="J330" s="183" t="s">
        <v>49</v>
      </c>
      <c r="K330" s="183">
        <v>2</v>
      </c>
      <c r="L330" s="183">
        <v>65</v>
      </c>
      <c r="M330" s="183">
        <v>14.4</v>
      </c>
      <c r="N330" s="183">
        <v>6.67</v>
      </c>
      <c r="O330" s="183">
        <v>2.2999999999999998</v>
      </c>
      <c r="P330" s="239">
        <f t="shared" si="96"/>
        <v>4.1743872698956368</v>
      </c>
      <c r="Q330" s="178" t="str">
        <f t="shared" si="110"/>
        <v>R. sub - DeForest</v>
      </c>
      <c r="R330" s="302">
        <f t="shared" si="111"/>
        <v>-5.5954719933065631</v>
      </c>
      <c r="S330" s="220">
        <f t="shared" si="100"/>
        <v>9.7698592632021999</v>
      </c>
      <c r="T330" s="236">
        <f t="shared" si="113"/>
        <v>35</v>
      </c>
      <c r="U330" s="221" t="str">
        <f t="shared" si="108"/>
        <v>35-POP-EC10-EX</v>
      </c>
      <c r="V330" s="222" cm="1">
        <f t="array" ref="V330">GEOMEAN(IF(U330=$U$7:$U$360,$S$7:$S$360))</f>
        <v>9.4587127901440979</v>
      </c>
      <c r="W330" s="303">
        <f t="shared" si="112"/>
        <v>2.8263450294070696</v>
      </c>
      <c r="X330" s="225">
        <f t="shared" si="98"/>
        <v>16.883638711368956</v>
      </c>
      <c r="Y330" s="225">
        <f t="shared" si="109"/>
        <v>16.883638711368956</v>
      </c>
      <c r="Z330" s="226"/>
      <c r="AA330" s="226"/>
      <c r="AB330" s="227"/>
      <c r="AC330" s="244" t="s">
        <v>1772</v>
      </c>
      <c r="AD330" s="247">
        <v>0.81399999999999995</v>
      </c>
      <c r="AE330" s="244" t="s">
        <v>1859</v>
      </c>
      <c r="AG330" s="248"/>
      <c r="AI330" s="244"/>
    </row>
    <row r="331" spans="1:38" s="182" customFormat="1" ht="15.75" customHeight="1" x14ac:dyDescent="0.25">
      <c r="A331" s="183" t="s">
        <v>1979</v>
      </c>
      <c r="B331" s="183" t="s">
        <v>1526</v>
      </c>
      <c r="C331" s="183">
        <v>2017</v>
      </c>
      <c r="D331" s="183" t="s">
        <v>1527</v>
      </c>
      <c r="E331" s="183" t="s">
        <v>1980</v>
      </c>
      <c r="F331" s="180" t="s">
        <v>344</v>
      </c>
      <c r="G331" s="183" t="s">
        <v>1303</v>
      </c>
      <c r="H331" s="183" t="s">
        <v>264</v>
      </c>
      <c r="I331" s="183" t="s">
        <v>256</v>
      </c>
      <c r="J331" s="183" t="s">
        <v>49</v>
      </c>
      <c r="K331" s="183">
        <v>2</v>
      </c>
      <c r="L331" s="183">
        <v>68</v>
      </c>
      <c r="M331" s="183">
        <v>13.8</v>
      </c>
      <c r="N331" s="183">
        <v>6.72</v>
      </c>
      <c r="O331" s="183">
        <v>3.7</v>
      </c>
      <c r="P331" s="239">
        <f t="shared" si="96"/>
        <v>4.219507705176107</v>
      </c>
      <c r="Q331" s="178" t="str">
        <f t="shared" si="110"/>
        <v>R. sub - DeForest</v>
      </c>
      <c r="R331" s="302">
        <f t="shared" si="111"/>
        <v>-5.5393584406931122</v>
      </c>
      <c r="S331" s="220">
        <f t="shared" si="100"/>
        <v>9.7588661458692201</v>
      </c>
      <c r="T331" s="236">
        <f t="shared" si="113"/>
        <v>35</v>
      </c>
      <c r="U331" s="221" t="str">
        <f t="shared" si="108"/>
        <v>35-POP-EC10-EX</v>
      </c>
      <c r="V331" s="222" cm="1">
        <f t="array" ref="V331">GEOMEAN(IF(U331=$U$7:$U$360,$S$7:$S$360))</f>
        <v>9.4587127901440979</v>
      </c>
      <c r="W331" s="303">
        <f t="shared" si="112"/>
        <v>2.8263450294070696</v>
      </c>
      <c r="X331" s="225">
        <f t="shared" si="98"/>
        <v>16.883638711368956</v>
      </c>
      <c r="Y331" s="225">
        <f t="shared" si="109"/>
        <v>16.883638711368956</v>
      </c>
      <c r="Z331" s="226"/>
      <c r="AA331" s="226"/>
      <c r="AB331" s="227"/>
      <c r="AC331" s="244" t="s">
        <v>1772</v>
      </c>
      <c r="AD331" s="247">
        <v>0.81399999999999995</v>
      </c>
      <c r="AE331" s="244" t="s">
        <v>1859</v>
      </c>
      <c r="AG331" s="248"/>
      <c r="AI331" s="244"/>
    </row>
    <row r="332" spans="1:38" s="182" customFormat="1" ht="15.75" customHeight="1" x14ac:dyDescent="0.25">
      <c r="A332" s="183" t="s">
        <v>1981</v>
      </c>
      <c r="B332" s="183" t="s">
        <v>1529</v>
      </c>
      <c r="C332" s="183">
        <v>2017</v>
      </c>
      <c r="D332" s="183" t="s">
        <v>1527</v>
      </c>
      <c r="E332" s="183" t="s">
        <v>1982</v>
      </c>
      <c r="F332" s="180" t="s">
        <v>344</v>
      </c>
      <c r="G332" s="183" t="s">
        <v>1303</v>
      </c>
      <c r="H332" s="183" t="s">
        <v>264</v>
      </c>
      <c r="I332" s="183" t="s">
        <v>256</v>
      </c>
      <c r="J332" s="183" t="s">
        <v>49</v>
      </c>
      <c r="K332" s="183">
        <v>2</v>
      </c>
      <c r="L332" s="183">
        <v>62</v>
      </c>
      <c r="M332" s="183">
        <v>19.3</v>
      </c>
      <c r="N332" s="183">
        <v>5.85</v>
      </c>
      <c r="O332" s="183">
        <v>2.9</v>
      </c>
      <c r="P332" s="239">
        <f>LN(L332)</f>
        <v>4.1271343850450917</v>
      </c>
      <c r="Q332" s="178" t="str">
        <f t="shared" si="110"/>
        <v>R. sub - DeForest</v>
      </c>
      <c r="R332" s="302">
        <f>$AI$10*N332+$AH$10*LN(M332)+$AJ$10*LN(O332)</f>
        <v>-4.8377254559685827</v>
      </c>
      <c r="S332" s="220">
        <f>P332-R332</f>
        <v>8.9648598410136735</v>
      </c>
      <c r="T332" s="236">
        <f t="shared" si="113"/>
        <v>35</v>
      </c>
      <c r="U332" s="221" t="str">
        <f t="shared" si="108"/>
        <v>35-POP-EC10-EX</v>
      </c>
      <c r="V332" s="222" cm="1">
        <f t="array" ref="V332">GEOMEAN(IF(U332=$U$7:$U$360,$S$7:$S$360))</f>
        <v>9.4587127901440979</v>
      </c>
      <c r="W332" s="303">
        <f>V332+$AI$10*$AI$5+$AH$10*LN($AH$5)+$AJ$10*LN($AJ$5)</f>
        <v>2.8263450294070696</v>
      </c>
      <c r="X332" s="225">
        <f>EXP(W332)</f>
        <v>16.883638711368956</v>
      </c>
      <c r="Y332" s="225">
        <f t="shared" si="109"/>
        <v>16.883638711368956</v>
      </c>
      <c r="Z332" s="226"/>
      <c r="AA332" s="226"/>
      <c r="AB332" s="227"/>
      <c r="AC332" s="244" t="s">
        <v>1772</v>
      </c>
      <c r="AD332" s="247">
        <v>0.81399999999999995</v>
      </c>
      <c r="AE332" s="244" t="s">
        <v>1859</v>
      </c>
      <c r="AG332" s="248"/>
      <c r="AI332" s="244"/>
    </row>
    <row r="333" spans="1:38" s="182" customFormat="1" ht="15.75" customHeight="1" x14ac:dyDescent="0.25">
      <c r="A333" s="183" t="s">
        <v>1983</v>
      </c>
      <c r="B333" s="183" t="s">
        <v>1529</v>
      </c>
      <c r="C333" s="183">
        <v>2017</v>
      </c>
      <c r="D333" s="183" t="s">
        <v>1527</v>
      </c>
      <c r="E333" s="183"/>
      <c r="F333" s="180" t="s">
        <v>344</v>
      </c>
      <c r="G333" s="183" t="s">
        <v>1303</v>
      </c>
      <c r="H333" s="183" t="s">
        <v>264</v>
      </c>
      <c r="I333" s="183" t="s">
        <v>256</v>
      </c>
      <c r="J333" s="183" t="s">
        <v>49</v>
      </c>
      <c r="K333" s="183">
        <v>3</v>
      </c>
      <c r="L333" s="183">
        <v>22</v>
      </c>
      <c r="M333" s="183">
        <v>8.6</v>
      </c>
      <c r="N333" s="183">
        <v>6.08</v>
      </c>
      <c r="O333" s="183">
        <v>4.5</v>
      </c>
      <c r="P333" s="239">
        <f t="shared" ref="P333:P346" si="114">LN(L333)</f>
        <v>3.0910424533583161</v>
      </c>
      <c r="Q333" s="178" t="str">
        <f t="shared" si="110"/>
        <v>R. sub - DeForest</v>
      </c>
      <c r="R333" s="302">
        <f t="shared" ref="R333:R346" si="115">$AI$10*N333+$AH$10*LN(M333)+$AJ$10*LN(O333)</f>
        <v>-4.9448478240737588</v>
      </c>
      <c r="S333" s="220">
        <f t="shared" ref="S333:S346" si="116">P333-R333</f>
        <v>8.035890277432074</v>
      </c>
      <c r="T333" s="236">
        <f t="shared" si="113"/>
        <v>35</v>
      </c>
      <c r="U333" s="221" t="str">
        <f t="shared" si="108"/>
        <v>35-POP-EC10-EX</v>
      </c>
      <c r="V333" s="222" cm="1">
        <f t="array" ref="V333">GEOMEAN(IF(U333=$U$7:$U$360,$S$7:$S$360))</f>
        <v>9.4587127901440979</v>
      </c>
      <c r="W333" s="303">
        <f t="shared" ref="W333:W343" si="117">V333+$AI$10*$AI$5+$AH$10*LN($AH$5)+$AJ$10*LN($AJ$5)</f>
        <v>2.8263450294070696</v>
      </c>
      <c r="X333" s="225">
        <f t="shared" ref="X333:X346" si="118">EXP(W333)</f>
        <v>16.883638711368956</v>
      </c>
      <c r="Y333" s="225">
        <f t="shared" si="109"/>
        <v>16.883638711368956</v>
      </c>
      <c r="Z333" s="226"/>
      <c r="AA333" s="226"/>
      <c r="AB333" s="227"/>
      <c r="AC333" s="244" t="s">
        <v>1772</v>
      </c>
      <c r="AD333" s="247">
        <v>0.81399999999999995</v>
      </c>
      <c r="AE333" s="244" t="s">
        <v>1859</v>
      </c>
      <c r="AG333" s="248"/>
      <c r="AI333" s="244"/>
    </row>
    <row r="334" spans="1:38" s="182" customFormat="1" ht="15.75" customHeight="1" x14ac:dyDescent="0.25">
      <c r="A334" s="183" t="s">
        <v>1984</v>
      </c>
      <c r="B334" s="183" t="s">
        <v>1529</v>
      </c>
      <c r="C334" s="183">
        <v>2017</v>
      </c>
      <c r="D334" s="183" t="s">
        <v>1527</v>
      </c>
      <c r="E334" s="183"/>
      <c r="F334" s="180" t="s">
        <v>344</v>
      </c>
      <c r="G334" s="183" t="s">
        <v>1303</v>
      </c>
      <c r="H334" s="183" t="s">
        <v>264</v>
      </c>
      <c r="I334" s="183" t="s">
        <v>256</v>
      </c>
      <c r="J334" s="183" t="s">
        <v>49</v>
      </c>
      <c r="K334" s="183">
        <v>3</v>
      </c>
      <c r="L334" s="183">
        <v>32</v>
      </c>
      <c r="M334" s="183">
        <v>8.9</v>
      </c>
      <c r="N334" s="183">
        <v>6.01</v>
      </c>
      <c r="O334" s="183">
        <v>4.4000000000000004</v>
      </c>
      <c r="P334" s="239">
        <f t="shared" si="114"/>
        <v>3.4657359027997265</v>
      </c>
      <c r="Q334" s="178" t="str">
        <f t="shared" si="110"/>
        <v>R. sub - DeForest</v>
      </c>
      <c r="R334" s="302">
        <f t="shared" si="115"/>
        <v>-4.8889946509468389</v>
      </c>
      <c r="S334" s="220">
        <f t="shared" si="116"/>
        <v>8.354730553746565</v>
      </c>
      <c r="T334" s="236">
        <f t="shared" si="113"/>
        <v>35</v>
      </c>
      <c r="U334" s="221" t="str">
        <f t="shared" si="108"/>
        <v>35-POP-EC10-EX</v>
      </c>
      <c r="V334" s="222" cm="1">
        <f t="array" ref="V334">GEOMEAN(IF(U334=$U$7:$U$360,$S$7:$S$360))</f>
        <v>9.4587127901440979</v>
      </c>
      <c r="W334" s="303">
        <f t="shared" si="117"/>
        <v>2.8263450294070696</v>
      </c>
      <c r="X334" s="225">
        <f t="shared" si="118"/>
        <v>16.883638711368956</v>
      </c>
      <c r="Y334" s="225">
        <f t="shared" si="109"/>
        <v>16.883638711368956</v>
      </c>
      <c r="Z334" s="226"/>
      <c r="AA334" s="226"/>
      <c r="AB334" s="227"/>
      <c r="AC334" s="244" t="s">
        <v>1772</v>
      </c>
      <c r="AD334" s="247">
        <v>0.81399999999999995</v>
      </c>
      <c r="AE334" s="244" t="s">
        <v>1859</v>
      </c>
      <c r="AG334" s="248"/>
      <c r="AI334" s="244"/>
    </row>
    <row r="335" spans="1:38" s="182" customFormat="1" ht="15.75" customHeight="1" x14ac:dyDescent="0.25">
      <c r="B335" s="180"/>
      <c r="C335" s="217">
        <v>2022</v>
      </c>
      <c r="D335" s="180" t="s">
        <v>1654</v>
      </c>
      <c r="E335" s="180" t="s">
        <v>1311</v>
      </c>
      <c r="F335" s="180" t="s">
        <v>344</v>
      </c>
      <c r="G335" s="180" t="s">
        <v>1303</v>
      </c>
      <c r="H335" s="183" t="s">
        <v>264</v>
      </c>
      <c r="I335" s="183" t="s">
        <v>256</v>
      </c>
      <c r="J335" s="180" t="s">
        <v>49</v>
      </c>
      <c r="K335" s="180">
        <v>3</v>
      </c>
      <c r="L335" s="180">
        <v>21</v>
      </c>
      <c r="M335" s="180">
        <v>18</v>
      </c>
      <c r="N335" s="180">
        <v>7.4</v>
      </c>
      <c r="O335" s="94">
        <v>0.5</v>
      </c>
      <c r="P335" s="239">
        <f t="shared" si="114"/>
        <v>3.044522437723423</v>
      </c>
      <c r="Q335" s="178" t="str">
        <f t="shared" si="110"/>
        <v>R. sub - DeForest</v>
      </c>
      <c r="R335" s="302">
        <f t="shared" si="115"/>
        <v>-6.5458677607370284</v>
      </c>
      <c r="S335" s="220">
        <f t="shared" si="116"/>
        <v>9.5903901984604509</v>
      </c>
      <c r="T335" s="236">
        <f t="shared" si="113"/>
        <v>35</v>
      </c>
      <c r="U335" s="221" t="str">
        <f t="shared" si="108"/>
        <v>35-POP-EC10-EX</v>
      </c>
      <c r="V335" s="222" cm="1">
        <f t="array" ref="V335">GEOMEAN(IF(U335=$U$7:$U$360,$S$7:$S$360))</f>
        <v>9.4587127901440979</v>
      </c>
      <c r="W335" s="303">
        <f t="shared" si="117"/>
        <v>2.8263450294070696</v>
      </c>
      <c r="X335" s="225">
        <f t="shared" si="118"/>
        <v>16.883638711368956</v>
      </c>
      <c r="Y335" s="225">
        <f t="shared" si="109"/>
        <v>16.883638711368956</v>
      </c>
      <c r="Z335" s="226"/>
      <c r="AA335" s="226"/>
      <c r="AB335" s="227"/>
      <c r="AC335" s="244" t="s">
        <v>1772</v>
      </c>
      <c r="AD335" s="247">
        <v>0.94799999999999995</v>
      </c>
      <c r="AE335" s="244" t="s">
        <v>2001</v>
      </c>
      <c r="AG335" s="248"/>
      <c r="AI335" s="244"/>
    </row>
    <row r="336" spans="1:38" s="182" customFormat="1" ht="15.75" customHeight="1" x14ac:dyDescent="0.25">
      <c r="B336" s="180"/>
      <c r="C336" s="217">
        <v>2022</v>
      </c>
      <c r="D336" s="180" t="s">
        <v>1654</v>
      </c>
      <c r="E336" s="180" t="s">
        <v>1678</v>
      </c>
      <c r="F336" s="180" t="s">
        <v>344</v>
      </c>
      <c r="G336" s="180" t="s">
        <v>1303</v>
      </c>
      <c r="H336" s="183" t="s">
        <v>264</v>
      </c>
      <c r="I336" s="183" t="s">
        <v>256</v>
      </c>
      <c r="J336" s="180" t="s">
        <v>49</v>
      </c>
      <c r="K336" s="180">
        <v>3</v>
      </c>
      <c r="L336" s="180">
        <v>6.3</v>
      </c>
      <c r="M336" s="180">
        <v>39</v>
      </c>
      <c r="N336" s="180">
        <v>7.9</v>
      </c>
      <c r="O336" s="94">
        <v>0.5</v>
      </c>
      <c r="P336" s="239">
        <f t="shared" si="114"/>
        <v>1.8405496333974869</v>
      </c>
      <c r="Q336" s="178" t="str">
        <f t="shared" si="110"/>
        <v>R. sub - DeForest</v>
      </c>
      <c r="R336" s="302">
        <f t="shared" si="115"/>
        <v>-6.9783677607370285</v>
      </c>
      <c r="S336" s="220">
        <f t="shared" si="116"/>
        <v>8.818917394134516</v>
      </c>
      <c r="T336" s="236">
        <f t="shared" si="113"/>
        <v>35</v>
      </c>
      <c r="U336" s="221" t="str">
        <f t="shared" si="108"/>
        <v>35-POP-EC10-EX</v>
      </c>
      <c r="V336" s="222" cm="1">
        <f t="array" ref="V336">GEOMEAN(IF(U336=$U$7:$U$360,$S$7:$S$360))</f>
        <v>9.4587127901440979</v>
      </c>
      <c r="W336" s="303">
        <f t="shared" si="117"/>
        <v>2.8263450294070696</v>
      </c>
      <c r="X336" s="225">
        <f t="shared" si="118"/>
        <v>16.883638711368956</v>
      </c>
      <c r="Y336" s="225">
        <f t="shared" si="109"/>
        <v>16.883638711368956</v>
      </c>
      <c r="Z336" s="226"/>
      <c r="AA336" s="226"/>
      <c r="AB336" s="227"/>
      <c r="AC336" s="244" t="s">
        <v>1772</v>
      </c>
      <c r="AD336" s="247">
        <v>0.94799999999999995</v>
      </c>
      <c r="AE336" s="244" t="s">
        <v>2001</v>
      </c>
      <c r="AG336" s="248"/>
      <c r="AI336" s="244"/>
    </row>
    <row r="337" spans="2:38" s="182" customFormat="1" ht="15.75" customHeight="1" x14ac:dyDescent="0.25">
      <c r="B337" s="180"/>
      <c r="C337" s="217">
        <v>2022</v>
      </c>
      <c r="D337" s="180" t="s">
        <v>1654</v>
      </c>
      <c r="E337" s="180" t="s">
        <v>1679</v>
      </c>
      <c r="F337" s="180" t="s">
        <v>344</v>
      </c>
      <c r="G337" s="180" t="s">
        <v>1303</v>
      </c>
      <c r="H337" s="183" t="s">
        <v>264</v>
      </c>
      <c r="I337" s="183" t="s">
        <v>256</v>
      </c>
      <c r="J337" s="180" t="s">
        <v>49</v>
      </c>
      <c r="K337" s="180">
        <v>3</v>
      </c>
      <c r="L337" s="180">
        <v>7.7</v>
      </c>
      <c r="M337" s="180">
        <v>50</v>
      </c>
      <c r="N337" s="180">
        <v>8</v>
      </c>
      <c r="O337" s="94">
        <v>0.4</v>
      </c>
      <c r="P337" s="239">
        <f t="shared" si="114"/>
        <v>2.0412203288596382</v>
      </c>
      <c r="Q337" s="178" t="str">
        <f t="shared" si="110"/>
        <v>R. sub - DeForest</v>
      </c>
      <c r="R337" s="302">
        <f t="shared" si="115"/>
        <v>-7.1115047629616983</v>
      </c>
      <c r="S337" s="220">
        <f t="shared" si="116"/>
        <v>9.1527250918213365</v>
      </c>
      <c r="T337" s="236">
        <f t="shared" si="113"/>
        <v>35</v>
      </c>
      <c r="U337" s="221" t="str">
        <f t="shared" si="108"/>
        <v>35-POP-EC10-EX</v>
      </c>
      <c r="V337" s="222" cm="1">
        <f t="array" ref="V337">GEOMEAN(IF(U337=$U$7:$U$360,$S$7:$S$360))</f>
        <v>9.4587127901440979</v>
      </c>
      <c r="W337" s="303">
        <f t="shared" si="117"/>
        <v>2.8263450294070696</v>
      </c>
      <c r="X337" s="225">
        <f t="shared" si="118"/>
        <v>16.883638711368956</v>
      </c>
      <c r="Y337" s="225">
        <f t="shared" si="109"/>
        <v>16.883638711368956</v>
      </c>
      <c r="Z337" s="226"/>
      <c r="AA337" s="226"/>
      <c r="AB337" s="227"/>
      <c r="AC337" s="244" t="s">
        <v>1772</v>
      </c>
      <c r="AD337" s="247">
        <v>0.94799999999999995</v>
      </c>
      <c r="AE337" s="244" t="s">
        <v>2001</v>
      </c>
      <c r="AG337" s="248"/>
      <c r="AI337" s="244"/>
    </row>
    <row r="338" spans="2:38" s="182" customFormat="1" ht="15.75" customHeight="1" x14ac:dyDescent="0.25">
      <c r="B338" s="180"/>
      <c r="C338" s="217">
        <v>2022</v>
      </c>
      <c r="D338" s="180" t="s">
        <v>1654</v>
      </c>
      <c r="E338" s="180" t="s">
        <v>1680</v>
      </c>
      <c r="F338" s="180" t="s">
        <v>344</v>
      </c>
      <c r="G338" s="180" t="s">
        <v>1303</v>
      </c>
      <c r="H338" s="183" t="s">
        <v>264</v>
      </c>
      <c r="I338" s="183" t="s">
        <v>256</v>
      </c>
      <c r="J338" s="180" t="s">
        <v>49</v>
      </c>
      <c r="K338" s="180">
        <v>3</v>
      </c>
      <c r="L338" s="180">
        <v>20</v>
      </c>
      <c r="M338" s="180">
        <v>110</v>
      </c>
      <c r="N338" s="180">
        <v>8.1999999999999993</v>
      </c>
      <c r="O338" s="94">
        <v>2.4</v>
      </c>
      <c r="P338" s="239">
        <f t="shared" si="114"/>
        <v>2.9957322735539909</v>
      </c>
      <c r="Q338" s="178" t="str">
        <f t="shared" si="110"/>
        <v>R. sub - DeForest</v>
      </c>
      <c r="R338" s="302">
        <f t="shared" si="115"/>
        <v>-6.9100270338930336</v>
      </c>
      <c r="S338" s="220">
        <f t="shared" si="116"/>
        <v>9.905759307447024</v>
      </c>
      <c r="T338" s="236">
        <f t="shared" si="113"/>
        <v>35</v>
      </c>
      <c r="U338" s="221" t="str">
        <f t="shared" si="108"/>
        <v>35-POP-EC10-EX</v>
      </c>
      <c r="V338" s="222" cm="1">
        <f t="array" ref="V338">GEOMEAN(IF(U338=$U$7:$U$360,$S$7:$S$360))</f>
        <v>9.4587127901440979</v>
      </c>
      <c r="W338" s="303">
        <f t="shared" si="117"/>
        <v>2.8263450294070696</v>
      </c>
      <c r="X338" s="225">
        <f t="shared" si="118"/>
        <v>16.883638711368956</v>
      </c>
      <c r="Y338" s="225">
        <f t="shared" si="109"/>
        <v>16.883638711368956</v>
      </c>
      <c r="Z338" s="226"/>
      <c r="AA338" s="226"/>
      <c r="AB338" s="227"/>
      <c r="AC338" s="244" t="s">
        <v>1772</v>
      </c>
      <c r="AD338" s="247">
        <v>0.94799999999999995</v>
      </c>
      <c r="AE338" s="244" t="s">
        <v>2001</v>
      </c>
      <c r="AG338" s="248"/>
      <c r="AI338" s="244"/>
    </row>
    <row r="339" spans="2:38" s="182" customFormat="1" ht="15.75" customHeight="1" x14ac:dyDescent="0.25">
      <c r="B339" s="180"/>
      <c r="C339" s="217">
        <v>2022</v>
      </c>
      <c r="D339" s="180" t="s">
        <v>1654</v>
      </c>
      <c r="E339" s="180" t="s">
        <v>1681</v>
      </c>
      <c r="F339" s="180" t="s">
        <v>344</v>
      </c>
      <c r="G339" s="180" t="s">
        <v>1303</v>
      </c>
      <c r="H339" s="183" t="s">
        <v>264</v>
      </c>
      <c r="I339" s="183" t="s">
        <v>256</v>
      </c>
      <c r="J339" s="180" t="s">
        <v>49</v>
      </c>
      <c r="K339" s="180">
        <v>3</v>
      </c>
      <c r="L339" s="180">
        <v>43</v>
      </c>
      <c r="M339" s="180">
        <v>25.6</v>
      </c>
      <c r="N339" s="180">
        <v>7.2</v>
      </c>
      <c r="O339" s="94">
        <v>7.3</v>
      </c>
      <c r="P339" s="239">
        <f t="shared" si="114"/>
        <v>3.7612001156935624</v>
      </c>
      <c r="Q339" s="178" t="str">
        <f t="shared" si="110"/>
        <v>R. sub - DeForest</v>
      </c>
      <c r="R339" s="302">
        <f t="shared" si="115"/>
        <v>-5.8125342612357418</v>
      </c>
      <c r="S339" s="220">
        <f t="shared" si="116"/>
        <v>9.5737343769293037</v>
      </c>
      <c r="T339" s="236">
        <f t="shared" si="113"/>
        <v>35</v>
      </c>
      <c r="U339" s="221" t="str">
        <f t="shared" si="108"/>
        <v>35-POP-EC10-EX</v>
      </c>
      <c r="V339" s="222" cm="1">
        <f t="array" ref="V339">GEOMEAN(IF(U339=$U$7:$U$360,$S$7:$S$360))</f>
        <v>9.4587127901440979</v>
      </c>
      <c r="W339" s="303">
        <f t="shared" si="117"/>
        <v>2.8263450294070696</v>
      </c>
      <c r="X339" s="225">
        <f t="shared" si="118"/>
        <v>16.883638711368956</v>
      </c>
      <c r="Y339" s="225">
        <f t="shared" si="109"/>
        <v>16.883638711368956</v>
      </c>
      <c r="Z339" s="226"/>
      <c r="AA339" s="226"/>
      <c r="AB339" s="227"/>
      <c r="AC339" s="244" t="s">
        <v>1772</v>
      </c>
      <c r="AD339" s="247">
        <v>0.94799999999999995</v>
      </c>
      <c r="AE339" s="244" t="s">
        <v>2001</v>
      </c>
      <c r="AG339" s="248"/>
      <c r="AI339" s="244"/>
    </row>
    <row r="340" spans="2:38" s="182" customFormat="1" ht="15.75" customHeight="1" x14ac:dyDescent="0.25">
      <c r="B340" s="180"/>
      <c r="C340" s="217">
        <v>2022</v>
      </c>
      <c r="D340" s="180" t="s">
        <v>1654</v>
      </c>
      <c r="E340" s="180" t="s">
        <v>1682</v>
      </c>
      <c r="F340" s="180" t="s">
        <v>344</v>
      </c>
      <c r="G340" s="180" t="s">
        <v>1303</v>
      </c>
      <c r="H340" s="183" t="s">
        <v>264</v>
      </c>
      <c r="I340" s="183" t="s">
        <v>256</v>
      </c>
      <c r="J340" s="180" t="s">
        <v>49</v>
      </c>
      <c r="K340" s="180">
        <v>3</v>
      </c>
      <c r="L340" s="180">
        <v>6.9</v>
      </c>
      <c r="M340" s="180">
        <v>72.3</v>
      </c>
      <c r="N340" s="180">
        <v>7.6</v>
      </c>
      <c r="O340" s="94">
        <v>4.5999999999999996</v>
      </c>
      <c r="P340" s="239">
        <f t="shared" si="114"/>
        <v>1.9315214116032138</v>
      </c>
      <c r="Q340" s="178" t="str">
        <f t="shared" si="110"/>
        <v>R. sub - DeForest</v>
      </c>
      <c r="R340" s="302">
        <f t="shared" si="115"/>
        <v>-6.2550542325695346</v>
      </c>
      <c r="S340" s="220">
        <f t="shared" si="116"/>
        <v>8.1865756441727484</v>
      </c>
      <c r="T340" s="236">
        <f t="shared" si="113"/>
        <v>35</v>
      </c>
      <c r="U340" s="221" t="str">
        <f t="shared" si="108"/>
        <v>35-POP-EC10-EX</v>
      </c>
      <c r="V340" s="222" cm="1">
        <f t="array" ref="V340">GEOMEAN(IF(U340=$U$7:$U$360,$S$7:$S$360))</f>
        <v>9.4587127901440979</v>
      </c>
      <c r="W340" s="303">
        <f t="shared" si="117"/>
        <v>2.8263450294070696</v>
      </c>
      <c r="X340" s="225">
        <f t="shared" si="118"/>
        <v>16.883638711368956</v>
      </c>
      <c r="Y340" s="225">
        <f t="shared" si="109"/>
        <v>16.883638711368956</v>
      </c>
      <c r="Z340" s="226"/>
      <c r="AA340" s="226"/>
      <c r="AB340" s="227"/>
      <c r="AC340" s="244" t="s">
        <v>1772</v>
      </c>
      <c r="AD340" s="247">
        <v>0.94799999999999995</v>
      </c>
      <c r="AE340" s="244" t="s">
        <v>2001</v>
      </c>
      <c r="AG340" s="248"/>
      <c r="AI340" s="244"/>
    </row>
    <row r="341" spans="2:38" s="182" customFormat="1" ht="15.75" customHeight="1" x14ac:dyDescent="0.25">
      <c r="B341" s="180"/>
      <c r="C341" s="217">
        <v>2022</v>
      </c>
      <c r="D341" s="180" t="s">
        <v>1654</v>
      </c>
      <c r="E341" s="180" t="s">
        <v>1311</v>
      </c>
      <c r="F341" s="180" t="s">
        <v>344</v>
      </c>
      <c r="G341" s="180" t="s">
        <v>1303</v>
      </c>
      <c r="H341" s="183" t="s">
        <v>264</v>
      </c>
      <c r="I341" s="183" t="s">
        <v>256</v>
      </c>
      <c r="J341" s="180" t="s">
        <v>927</v>
      </c>
      <c r="K341" s="180">
        <v>3</v>
      </c>
      <c r="L341" s="180">
        <v>39</v>
      </c>
      <c r="M341" s="180">
        <v>18</v>
      </c>
      <c r="N341" s="180">
        <v>7.4</v>
      </c>
      <c r="O341" s="94">
        <v>0.5</v>
      </c>
      <c r="P341" s="239">
        <f t="shared" si="114"/>
        <v>3.6635616461296463</v>
      </c>
      <c r="Q341" s="178" t="str">
        <f t="shared" si="110"/>
        <v>R. sub - DeForest</v>
      </c>
      <c r="R341" s="302">
        <f t="shared" si="115"/>
        <v>-6.5458677607370284</v>
      </c>
      <c r="S341" s="220">
        <f t="shared" si="116"/>
        <v>10.209429406866676</v>
      </c>
      <c r="T341" s="236">
        <f t="shared" si="113"/>
        <v>35</v>
      </c>
      <c r="U341" s="221" t="str">
        <f t="shared" si="108"/>
        <v>35-POP-EC20-EX</v>
      </c>
      <c r="V341" s="222" cm="1">
        <f t="array" ref="V341">GEOMEAN(IF(U341=$U$7:$U$360,$S$7:$S$360))</f>
        <v>9.9287428066666941</v>
      </c>
      <c r="W341" s="303">
        <f t="shared" si="117"/>
        <v>3.2963750459296657</v>
      </c>
      <c r="X341" s="225">
        <f t="shared" si="118"/>
        <v>27.014534768793663</v>
      </c>
      <c r="Y341" s="225"/>
      <c r="Z341" s="226" t="s">
        <v>1467</v>
      </c>
      <c r="AA341" s="226"/>
      <c r="AB341" s="227"/>
      <c r="AC341" s="244" t="s">
        <v>1772</v>
      </c>
      <c r="AD341" s="247">
        <v>0.94799999999999995</v>
      </c>
      <c r="AE341" s="244" t="s">
        <v>2001</v>
      </c>
      <c r="AG341" s="248"/>
      <c r="AH341" s="248"/>
      <c r="AI341" s="244"/>
      <c r="AJ341" s="248"/>
      <c r="AK341" s="248"/>
    </row>
    <row r="342" spans="2:38" s="182" customFormat="1" ht="15.75" customHeight="1" x14ac:dyDescent="0.25">
      <c r="B342" s="180"/>
      <c r="C342" s="217">
        <v>2022</v>
      </c>
      <c r="D342" s="180" t="s">
        <v>1654</v>
      </c>
      <c r="E342" s="180" t="s">
        <v>1678</v>
      </c>
      <c r="F342" s="180" t="s">
        <v>344</v>
      </c>
      <c r="G342" s="180" t="s">
        <v>1303</v>
      </c>
      <c r="H342" s="183" t="s">
        <v>264</v>
      </c>
      <c r="I342" s="183" t="s">
        <v>256</v>
      </c>
      <c r="J342" s="180" t="s">
        <v>927</v>
      </c>
      <c r="K342" s="180">
        <v>3</v>
      </c>
      <c r="L342" s="180">
        <v>16</v>
      </c>
      <c r="M342" s="180">
        <v>39</v>
      </c>
      <c r="N342" s="180">
        <v>7.9</v>
      </c>
      <c r="O342" s="94">
        <v>0.5</v>
      </c>
      <c r="P342" s="239">
        <f t="shared" si="114"/>
        <v>2.7725887222397811</v>
      </c>
      <c r="Q342" s="178" t="str">
        <f t="shared" si="110"/>
        <v>R. sub - DeForest</v>
      </c>
      <c r="R342" s="302">
        <f t="shared" si="115"/>
        <v>-6.9783677607370285</v>
      </c>
      <c r="S342" s="220">
        <f t="shared" si="116"/>
        <v>9.7509564829768092</v>
      </c>
      <c r="T342" s="236">
        <f t="shared" si="113"/>
        <v>35</v>
      </c>
      <c r="U342" s="221" t="str">
        <f t="shared" si="108"/>
        <v>35-POP-EC20-EX</v>
      </c>
      <c r="V342" s="222" cm="1">
        <f t="array" ref="V342">GEOMEAN(IF(U342=$U$7:$U$360,$S$7:$S$360))</f>
        <v>9.9287428066666941</v>
      </c>
      <c r="W342" s="303">
        <f t="shared" si="117"/>
        <v>3.2963750459296657</v>
      </c>
      <c r="X342" s="225">
        <f t="shared" si="118"/>
        <v>27.014534768793663</v>
      </c>
      <c r="Y342" s="225"/>
      <c r="Z342" s="226" t="s">
        <v>1467</v>
      </c>
      <c r="AA342" s="226"/>
      <c r="AB342" s="254"/>
      <c r="AC342" s="244" t="s">
        <v>1772</v>
      </c>
      <c r="AD342" s="247">
        <v>0.94799999999999995</v>
      </c>
      <c r="AE342" s="244" t="s">
        <v>2001</v>
      </c>
      <c r="AG342" s="248"/>
      <c r="AH342" s="248"/>
      <c r="AI342" s="244"/>
      <c r="AJ342" s="248"/>
      <c r="AK342" s="248"/>
    </row>
    <row r="343" spans="2:38" s="182" customFormat="1" ht="15.75" customHeight="1" x14ac:dyDescent="0.25">
      <c r="B343" s="180"/>
      <c r="C343" s="217">
        <v>2022</v>
      </c>
      <c r="D343" s="180" t="s">
        <v>1654</v>
      </c>
      <c r="E343" s="180" t="s">
        <v>1679</v>
      </c>
      <c r="F343" s="180" t="s">
        <v>344</v>
      </c>
      <c r="G343" s="180" t="s">
        <v>1303</v>
      </c>
      <c r="H343" s="183" t="s">
        <v>264</v>
      </c>
      <c r="I343" s="183" t="s">
        <v>256</v>
      </c>
      <c r="J343" s="180" t="s">
        <v>927</v>
      </c>
      <c r="K343" s="180">
        <v>3</v>
      </c>
      <c r="L343" s="180">
        <v>18</v>
      </c>
      <c r="M343" s="180">
        <v>50</v>
      </c>
      <c r="N343" s="180">
        <v>8</v>
      </c>
      <c r="O343" s="94">
        <v>0.4</v>
      </c>
      <c r="P343" s="239">
        <f t="shared" si="114"/>
        <v>2.8903717578961645</v>
      </c>
      <c r="Q343" s="178" t="str">
        <f t="shared" si="110"/>
        <v>R. sub - DeForest</v>
      </c>
      <c r="R343" s="302">
        <f t="shared" si="115"/>
        <v>-7.1115047629616983</v>
      </c>
      <c r="S343" s="220">
        <f t="shared" si="116"/>
        <v>10.001876520857863</v>
      </c>
      <c r="T343" s="236">
        <f t="shared" si="113"/>
        <v>35</v>
      </c>
      <c r="U343" s="221" t="str">
        <f t="shared" si="108"/>
        <v>35-POP-EC20-EX</v>
      </c>
      <c r="V343" s="222" cm="1">
        <f t="array" ref="V343">GEOMEAN(IF(U343=$U$7:$U$360,$S$7:$S$360))</f>
        <v>9.9287428066666941</v>
      </c>
      <c r="W343" s="303">
        <f t="shared" si="117"/>
        <v>3.2963750459296657</v>
      </c>
      <c r="X343" s="225">
        <f t="shared" si="118"/>
        <v>27.014534768793663</v>
      </c>
      <c r="Y343" s="225"/>
      <c r="Z343" s="226" t="s">
        <v>1467</v>
      </c>
      <c r="AA343" s="226"/>
      <c r="AB343" s="254"/>
      <c r="AC343" s="244" t="s">
        <v>1772</v>
      </c>
      <c r="AD343" s="247">
        <v>0.94799999999999995</v>
      </c>
      <c r="AE343" s="244" t="s">
        <v>2001</v>
      </c>
      <c r="AG343" s="248"/>
      <c r="AH343" s="248"/>
      <c r="AI343" s="244"/>
      <c r="AJ343" s="248"/>
      <c r="AK343" s="248"/>
      <c r="AL343" s="248"/>
    </row>
    <row r="344" spans="2:38" s="182" customFormat="1" ht="15.75" customHeight="1" x14ac:dyDescent="0.25">
      <c r="B344" s="180"/>
      <c r="C344" s="217">
        <v>2022</v>
      </c>
      <c r="D344" s="180" t="s">
        <v>1654</v>
      </c>
      <c r="E344" s="180" t="s">
        <v>1680</v>
      </c>
      <c r="F344" s="180" t="s">
        <v>344</v>
      </c>
      <c r="G344" s="180" t="s">
        <v>1303</v>
      </c>
      <c r="H344" s="183" t="s">
        <v>264</v>
      </c>
      <c r="I344" s="183" t="s">
        <v>256</v>
      </c>
      <c r="J344" s="180" t="s">
        <v>927</v>
      </c>
      <c r="K344" s="180">
        <v>3</v>
      </c>
      <c r="L344" s="180">
        <v>41</v>
      </c>
      <c r="M344" s="180">
        <v>110</v>
      </c>
      <c r="N344" s="180">
        <v>8.1999999999999993</v>
      </c>
      <c r="O344" s="94">
        <v>2.4</v>
      </c>
      <c r="P344" s="239">
        <f t="shared" si="114"/>
        <v>3.713572066704308</v>
      </c>
      <c r="Q344" s="178" t="str">
        <f t="shared" si="110"/>
        <v>R. sub - DeForest</v>
      </c>
      <c r="R344" s="302">
        <f t="shared" si="115"/>
        <v>-6.9100270338930336</v>
      </c>
      <c r="S344" s="220">
        <f t="shared" si="116"/>
        <v>10.623599100597342</v>
      </c>
      <c r="T344" s="236">
        <f t="shared" si="113"/>
        <v>35</v>
      </c>
      <c r="U344" s="221" t="str">
        <f t="shared" si="108"/>
        <v>35-POP-EC20-EX</v>
      </c>
      <c r="V344" s="222" cm="1">
        <f t="array" ref="V344">GEOMEAN(IF(U344=$U$7:$U$360,$S$7:$S$360))</f>
        <v>9.9287428066666941</v>
      </c>
      <c r="W344" s="303">
        <f>V344+$AI$10*$AI$5+$AH$10*LN($AH$5)+$AJ$10*LN($AJ$5)</f>
        <v>3.2963750459296657</v>
      </c>
      <c r="X344" s="225">
        <f t="shared" si="118"/>
        <v>27.014534768793663</v>
      </c>
      <c r="Y344" s="225"/>
      <c r="Z344" s="226" t="s">
        <v>1467</v>
      </c>
      <c r="AA344" s="226"/>
      <c r="AB344" s="254"/>
      <c r="AC344" s="244" t="s">
        <v>1772</v>
      </c>
      <c r="AD344" s="247">
        <v>0.94799999999999995</v>
      </c>
      <c r="AE344" s="244" t="s">
        <v>2001</v>
      </c>
      <c r="AG344" s="248"/>
      <c r="AH344" s="248"/>
      <c r="AI344" s="244"/>
      <c r="AJ344" s="248"/>
      <c r="AK344" s="248"/>
      <c r="AL344" s="248"/>
    </row>
    <row r="345" spans="2:38" s="182" customFormat="1" ht="15.75" customHeight="1" x14ac:dyDescent="0.25">
      <c r="B345" s="180"/>
      <c r="C345" s="217">
        <v>2022</v>
      </c>
      <c r="D345" s="180" t="s">
        <v>1654</v>
      </c>
      <c r="E345" s="180" t="s">
        <v>1681</v>
      </c>
      <c r="F345" s="180" t="s">
        <v>344</v>
      </c>
      <c r="G345" s="180" t="s">
        <v>1303</v>
      </c>
      <c r="H345" s="183" t="s">
        <v>264</v>
      </c>
      <c r="I345" s="183" t="s">
        <v>256</v>
      </c>
      <c r="J345" s="180" t="s">
        <v>927</v>
      </c>
      <c r="K345" s="180">
        <v>3</v>
      </c>
      <c r="L345" s="180">
        <v>68</v>
      </c>
      <c r="M345" s="180">
        <v>25.6</v>
      </c>
      <c r="N345" s="180">
        <v>7.2</v>
      </c>
      <c r="O345" s="94">
        <v>7.3</v>
      </c>
      <c r="P345" s="239">
        <f t="shared" si="114"/>
        <v>4.219507705176107</v>
      </c>
      <c r="Q345" s="178" t="str">
        <f t="shared" si="110"/>
        <v>R. sub - DeForest</v>
      </c>
      <c r="R345" s="302">
        <f t="shared" si="115"/>
        <v>-5.8125342612357418</v>
      </c>
      <c r="S345" s="220">
        <f t="shared" si="116"/>
        <v>10.03204196641185</v>
      </c>
      <c r="T345" s="236">
        <f t="shared" si="113"/>
        <v>35</v>
      </c>
      <c r="U345" s="221" t="str">
        <f t="shared" si="108"/>
        <v>35-POP-EC20-EX</v>
      </c>
      <c r="V345" s="222" cm="1">
        <f t="array" ref="V345">GEOMEAN(IF(U345=$U$7:$U$360,$S$7:$S$360))</f>
        <v>9.9287428066666941</v>
      </c>
      <c r="W345" s="303">
        <f t="shared" ref="W345:W346" si="119">V345+$AI$10*$AI$5+$AH$10*LN($AH$5)+$AJ$10*LN($AJ$5)</f>
        <v>3.2963750459296657</v>
      </c>
      <c r="X345" s="225">
        <f t="shared" si="118"/>
        <v>27.014534768793663</v>
      </c>
      <c r="Y345" s="225"/>
      <c r="Z345" s="226" t="s">
        <v>1467</v>
      </c>
      <c r="AA345" s="226"/>
      <c r="AB345" s="254"/>
      <c r="AC345" s="244" t="s">
        <v>1772</v>
      </c>
      <c r="AD345" s="247">
        <v>0.94799999999999995</v>
      </c>
      <c r="AE345" s="244" t="s">
        <v>2001</v>
      </c>
      <c r="AG345" s="248"/>
      <c r="AH345" s="248"/>
      <c r="AI345" s="244"/>
      <c r="AJ345" s="248"/>
      <c r="AK345" s="248"/>
      <c r="AL345" s="248"/>
    </row>
    <row r="346" spans="2:38" s="182" customFormat="1" ht="15.75" customHeight="1" x14ac:dyDescent="0.25">
      <c r="B346" s="180"/>
      <c r="C346" s="217">
        <v>2022</v>
      </c>
      <c r="D346" s="180" t="s">
        <v>1654</v>
      </c>
      <c r="E346" s="180" t="s">
        <v>1682</v>
      </c>
      <c r="F346" s="180" t="s">
        <v>344</v>
      </c>
      <c r="G346" s="180" t="s">
        <v>1303</v>
      </c>
      <c r="H346" s="183" t="s">
        <v>264</v>
      </c>
      <c r="I346" s="183" t="s">
        <v>256</v>
      </c>
      <c r="J346" s="180" t="s">
        <v>927</v>
      </c>
      <c r="K346" s="180">
        <v>3</v>
      </c>
      <c r="L346" s="180">
        <v>16</v>
      </c>
      <c r="M346" s="180">
        <v>72.3</v>
      </c>
      <c r="N346" s="180">
        <v>7.6</v>
      </c>
      <c r="O346" s="94">
        <v>4.5999999999999996</v>
      </c>
      <c r="P346" s="239">
        <f t="shared" si="114"/>
        <v>2.7725887222397811</v>
      </c>
      <c r="Q346" s="178" t="str">
        <f t="shared" si="110"/>
        <v>R. sub - DeForest</v>
      </c>
      <c r="R346" s="302">
        <f t="shared" si="115"/>
        <v>-6.2550542325695346</v>
      </c>
      <c r="S346" s="220">
        <f t="shared" si="116"/>
        <v>9.0276429548093162</v>
      </c>
      <c r="T346" s="236">
        <f t="shared" si="113"/>
        <v>35</v>
      </c>
      <c r="U346" s="221" t="str">
        <f t="shared" si="108"/>
        <v>35-POP-EC20-EX</v>
      </c>
      <c r="V346" s="222" cm="1">
        <f t="array" ref="V346">GEOMEAN(IF(U346=$U$7:$U$360,$S$7:$S$360))</f>
        <v>9.9287428066666941</v>
      </c>
      <c r="W346" s="303">
        <f t="shared" si="119"/>
        <v>3.2963750459296657</v>
      </c>
      <c r="X346" s="225">
        <f t="shared" si="118"/>
        <v>27.014534768793663</v>
      </c>
      <c r="Y346" s="225"/>
      <c r="Z346" s="226" t="s">
        <v>1467</v>
      </c>
      <c r="AA346" s="226"/>
      <c r="AB346" s="254"/>
      <c r="AC346" s="244" t="s">
        <v>1772</v>
      </c>
      <c r="AD346" s="247">
        <v>0.94799999999999995</v>
      </c>
      <c r="AE346" s="244" t="s">
        <v>2001</v>
      </c>
      <c r="AG346" s="248"/>
      <c r="AH346" s="248"/>
      <c r="AI346" s="244"/>
      <c r="AJ346" s="248"/>
      <c r="AK346" s="248"/>
      <c r="AL346" s="248"/>
    </row>
    <row r="347" spans="2:38" x14ac:dyDescent="0.25">
      <c r="AB347" s="254"/>
      <c r="AC347" s="228"/>
      <c r="AD347" s="228"/>
      <c r="AE347" s="228"/>
      <c r="AG347" s="248"/>
    </row>
    <row r="348" spans="2:38" x14ac:dyDescent="0.25">
      <c r="AB348" s="254"/>
      <c r="AC348" s="228"/>
      <c r="AD348" s="228"/>
      <c r="AE348" s="228"/>
      <c r="AG348" s="248"/>
    </row>
    <row r="349" spans="2:38" x14ac:dyDescent="0.25">
      <c r="AB349" s="254"/>
      <c r="AC349" s="228"/>
      <c r="AD349" s="228"/>
      <c r="AE349" s="228"/>
      <c r="AG349" s="248"/>
    </row>
    <row r="350" spans="2:38" x14ac:dyDescent="0.25">
      <c r="AB350" s="254"/>
      <c r="AC350" s="228"/>
      <c r="AD350" s="228"/>
      <c r="AE350" s="228"/>
      <c r="AG350" s="248"/>
    </row>
    <row r="351" spans="2:38" x14ac:dyDescent="0.25">
      <c r="AB351" s="254"/>
      <c r="AC351" s="228"/>
      <c r="AD351" s="228"/>
      <c r="AE351" s="228"/>
      <c r="AG351" s="248"/>
    </row>
    <row r="352" spans="2:38" x14ac:dyDescent="0.25">
      <c r="AB352" s="254"/>
      <c r="AC352" s="228"/>
      <c r="AD352" s="228"/>
      <c r="AE352" s="228"/>
      <c r="AG352" s="248"/>
    </row>
    <row r="353" spans="28:33" x14ac:dyDescent="0.25">
      <c r="AB353" s="254"/>
      <c r="AC353" s="228"/>
      <c r="AD353" s="228"/>
      <c r="AE353" s="228"/>
      <c r="AG353" s="248"/>
    </row>
  </sheetData>
  <autoFilter ref="A6:BE346" xr:uid="{AA7F5568-B76C-4ECF-A916-D0607C60E1BD}"/>
  <conditionalFormatting sqref="T7:U346">
    <cfRule type="containsBlanks" dxfId="44" priority="21">
      <formula>LEN(TRIM(T7))=0</formula>
    </cfRule>
    <cfRule type="cellIs" dxfId="43" priority="22" operator="equal">
      <formula>""</formula>
    </cfRule>
  </conditionalFormatting>
  <conditionalFormatting sqref="AA287">
    <cfRule type="containsBlanks" dxfId="42" priority="7">
      <formula>LEN(TRIM(AA287))=0</formula>
    </cfRule>
    <cfRule type="cellIs" dxfId="41" priority="8" operator="equal">
      <formula>""</formula>
    </cfRule>
  </conditionalFormatting>
  <conditionalFormatting sqref="AA289">
    <cfRule type="containsBlanks" dxfId="40" priority="5">
      <formula>LEN(TRIM(AA289))=0</formula>
    </cfRule>
    <cfRule type="cellIs" dxfId="39" priority="6" operator="equal">
      <formula>""</formula>
    </cfRule>
  </conditionalFormatting>
  <conditionalFormatting sqref="AA291">
    <cfRule type="containsBlanks" dxfId="38" priority="3">
      <formula>LEN(TRIM(AA291))=0</formula>
    </cfRule>
    <cfRule type="cellIs" dxfId="37" priority="4" operator="equal">
      <formula>""</formula>
    </cfRule>
  </conditionalFormatting>
  <conditionalFormatting sqref="AA293">
    <cfRule type="containsBlanks" dxfId="36" priority="1">
      <formula>LEN(TRIM(AA293))=0</formula>
    </cfRule>
    <cfRule type="cellIs" dxfId="35" priority="2" operator="equal">
      <formula>""</formula>
    </cfRule>
  </conditionalFormatting>
  <conditionalFormatting sqref="AA297">
    <cfRule type="containsBlanks" dxfId="34" priority="9">
      <formula>LEN(TRIM(AA297))=0</formula>
    </cfRule>
    <cfRule type="cellIs" dxfId="33" priority="10" operator="equal">
      <formula>""</formula>
    </cfRule>
  </conditionalFormatting>
  <conditionalFormatting sqref="AA299">
    <cfRule type="containsBlanks" dxfId="32" priority="11">
      <formula>LEN(TRIM(AA299))=0</formula>
    </cfRule>
    <cfRule type="cellIs" dxfId="31" priority="12" operator="equal">
      <formula>""</formula>
    </cfRule>
  </conditionalFormatting>
  <conditionalFormatting sqref="AA303">
    <cfRule type="containsBlanks" dxfId="30" priority="13">
      <formula>LEN(TRIM(AA303))=0</formula>
    </cfRule>
    <cfRule type="cellIs" dxfId="29" priority="14" operator="equal">
      <formula>""</formula>
    </cfRule>
  </conditionalFormatting>
  <conditionalFormatting sqref="AA305">
    <cfRule type="containsBlanks" dxfId="28" priority="15">
      <formula>LEN(TRIM(AA305))=0</formula>
    </cfRule>
    <cfRule type="cellIs" dxfId="27" priority="16" operator="equal">
      <formula>""</formula>
    </cfRule>
  </conditionalFormatting>
  <conditionalFormatting sqref="AA307">
    <cfRule type="containsBlanks" dxfId="26" priority="17">
      <formula>LEN(TRIM(AA307))=0</formula>
    </cfRule>
    <cfRule type="cellIs" dxfId="25" priority="18" operator="equal">
      <formula>""</formula>
    </cfRule>
  </conditionalFormatting>
  <conditionalFormatting sqref="AA309">
    <cfRule type="containsBlanks" dxfId="24" priority="19">
      <formula>LEN(TRIM(AA309))=0</formula>
    </cfRule>
    <cfRule type="cellIs" dxfId="23" priority="20" operator="equal">
      <formula>""</formula>
    </cfRule>
  </conditionalFormatting>
  <conditionalFormatting sqref="AH5">
    <cfRule type="dataBar" priority="2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{A62F65D3-B747-4098-B963-F7FCABD11DBE}</x14:id>
        </ext>
      </extLst>
    </cfRule>
  </conditionalFormatting>
  <hyperlinks>
    <hyperlink ref="A268" location="'FW metal plant_WS'!D36" display="'FW metal plant_WS'!D36" xr:uid="{98241D99-A345-4547-B444-65164C9DBE65}"/>
    <hyperlink ref="A269" location="'FW metal plant_WS'!D39" display="'FW metal plant_WS'!D39" xr:uid="{36F40D11-FAAE-4C1E-93AE-068CF17F03BD}"/>
    <hyperlink ref="A270" location="'FW metal plant_WS'!D42" display="'FW metal plant_WS'!D42" xr:uid="{35F4E6F6-FEA8-4FD9-884F-DB6EF54FB423}"/>
    <hyperlink ref="A271" location="'FW metal plant_WS'!D45" display="'FW metal plant_WS'!D45" xr:uid="{F0568DA8-9BCE-48AB-BC75-2565AD2A9413}"/>
    <hyperlink ref="A272" location="'FW metal plant_WS'!D48" display="'FW metal plant_WS'!D48" xr:uid="{657FD8BE-3DD8-4F6A-AD46-21832C796A1A}"/>
  </hyperlinks>
  <pageMargins left="0.7" right="0.7" top="0.75" bottom="0.75" header="0.3" footer="0.3"/>
  <pageSetup orientation="portrait"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62F65D3-B747-4098-B963-F7FCABD11DB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AH5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DC228-1EBD-44E3-958A-CA9D2845C403}">
  <sheetPr codeName="Sheet8">
    <tabColor theme="9" tint="0.79998168889431442"/>
  </sheetPr>
  <dimension ref="A1:AQ172"/>
  <sheetViews>
    <sheetView workbookViewId="0"/>
  </sheetViews>
  <sheetFormatPr defaultColWidth="8" defaultRowHeight="15" x14ac:dyDescent="0.25"/>
  <cols>
    <col min="1" max="1" width="11.28515625" style="248" customWidth="1"/>
    <col min="2" max="3" width="8" style="248"/>
    <col min="4" max="4" width="10.7109375" style="248" customWidth="1"/>
    <col min="5" max="5" width="18.140625" style="248" customWidth="1"/>
    <col min="6" max="6" width="18.42578125" style="248" customWidth="1"/>
    <col min="7" max="7" width="8" style="248"/>
    <col min="8" max="8" width="13.42578125" style="248" customWidth="1"/>
    <col min="9" max="15" width="8" style="248"/>
    <col min="16" max="16" width="6.42578125" style="248" customWidth="1"/>
    <col min="17" max="17" width="11.85546875" style="248" customWidth="1"/>
    <col min="18" max="18" width="10.42578125" style="248" customWidth="1"/>
    <col min="19" max="19" width="8" style="248"/>
    <col min="20" max="20" width="8" style="244"/>
    <col min="21" max="21" width="28.42578125" style="244" customWidth="1"/>
    <col min="22" max="23" width="8" style="248"/>
    <col min="24" max="25" width="9.28515625" style="248" customWidth="1"/>
    <col min="26" max="26" width="8.42578125" style="248" customWidth="1"/>
    <col min="27" max="27" width="24.140625" style="248" customWidth="1"/>
    <col min="28" max="28" width="12.140625" style="244" customWidth="1"/>
    <col min="29" max="31" width="5.7109375" style="244" customWidth="1"/>
    <col min="32" max="32" width="8" style="248"/>
    <col min="33" max="33" width="30" style="304" bestFit="1" customWidth="1"/>
    <col min="34" max="34" width="21.42578125" style="248" bestFit="1" customWidth="1"/>
    <col min="35" max="35" width="8" style="248"/>
    <col min="36" max="36" width="27" style="248" bestFit="1" customWidth="1"/>
    <col min="37" max="37" width="19.28515625" style="248" bestFit="1" customWidth="1"/>
    <col min="38" max="41" width="8" style="248"/>
    <col min="42" max="42" width="23.28515625" style="248" bestFit="1" customWidth="1"/>
    <col min="43" max="43" width="19.28515625" style="248" bestFit="1" customWidth="1"/>
    <col min="44" max="16384" width="8" style="248"/>
  </cols>
  <sheetData>
    <row r="1" spans="1:43" s="183" customFormat="1" ht="15.75" customHeight="1" x14ac:dyDescent="0.2">
      <c r="B1" s="184"/>
      <c r="C1" s="185"/>
      <c r="D1" s="185"/>
      <c r="E1" s="186" t="s">
        <v>1</v>
      </c>
      <c r="F1" s="186"/>
      <c r="G1" s="186"/>
      <c r="H1" s="186"/>
      <c r="I1" s="187" t="s">
        <v>2</v>
      </c>
      <c r="J1" s="187"/>
      <c r="K1" s="187"/>
      <c r="L1" s="188"/>
      <c r="M1" s="189"/>
      <c r="N1" s="189"/>
      <c r="O1" s="189"/>
      <c r="P1" s="190"/>
      <c r="Q1" s="191"/>
      <c r="R1" s="190"/>
      <c r="S1" s="192"/>
      <c r="T1" s="162" t="s">
        <v>1538</v>
      </c>
      <c r="U1" s="162"/>
      <c r="V1" s="192"/>
      <c r="W1" s="192"/>
      <c r="X1" s="193" t="s">
        <v>1833</v>
      </c>
      <c r="Y1" s="193" t="s">
        <v>1833</v>
      </c>
      <c r="Z1" s="194"/>
      <c r="AA1" s="194"/>
      <c r="AB1" s="195"/>
      <c r="AC1" s="195" t="s">
        <v>1536</v>
      </c>
      <c r="AD1" s="196"/>
      <c r="AE1" s="196"/>
      <c r="AF1" s="197" t="s">
        <v>1834</v>
      </c>
      <c r="AG1" s="194"/>
      <c r="AH1" s="198" t="s">
        <v>1537</v>
      </c>
      <c r="AI1" s="199" t="s">
        <v>23</v>
      </c>
      <c r="AJ1" s="200" t="s">
        <v>1796</v>
      </c>
    </row>
    <row r="2" spans="1:43" s="183" customFormat="1" ht="15.75" customHeight="1" x14ac:dyDescent="0.25">
      <c r="B2" s="184"/>
      <c r="C2" s="185"/>
      <c r="D2" s="185"/>
      <c r="E2" s="186"/>
      <c r="F2" s="186"/>
      <c r="G2" s="186"/>
      <c r="H2" s="186"/>
      <c r="I2" s="187"/>
      <c r="J2" s="187"/>
      <c r="K2" s="187"/>
      <c r="L2" s="188"/>
      <c r="M2" s="189"/>
      <c r="N2" s="189"/>
      <c r="O2" s="189"/>
      <c r="P2" s="201"/>
      <c r="Q2" s="191"/>
      <c r="R2" s="191"/>
      <c r="S2" s="192"/>
      <c r="T2" s="202"/>
      <c r="U2" s="202"/>
      <c r="V2" s="192"/>
      <c r="W2" s="193">
        <f>COUNT(W4:W176)</f>
        <v>152</v>
      </c>
      <c r="X2" s="193" t="s">
        <v>1835</v>
      </c>
      <c r="Y2" s="193" t="s">
        <v>1835</v>
      </c>
      <c r="Z2" s="203"/>
      <c r="AA2" s="78"/>
      <c r="AB2" s="196"/>
      <c r="AC2" s="196"/>
      <c r="AD2" s="196"/>
      <c r="AE2" s="196"/>
      <c r="AG2" s="194"/>
      <c r="AH2" s="204">
        <v>30</v>
      </c>
      <c r="AI2" s="204">
        <v>7.5</v>
      </c>
      <c r="AJ2" s="204">
        <v>0.5</v>
      </c>
      <c r="AN2" s="183" t="s">
        <v>1836</v>
      </c>
    </row>
    <row r="3" spans="1:43" s="183" customFormat="1" ht="52.5" customHeight="1" x14ac:dyDescent="0.25">
      <c r="A3" s="183" t="s">
        <v>1837</v>
      </c>
      <c r="B3" s="4" t="s">
        <v>8</v>
      </c>
      <c r="C3" s="4" t="s">
        <v>1323</v>
      </c>
      <c r="D3" s="4" t="s">
        <v>1696</v>
      </c>
      <c r="E3" s="5" t="s">
        <v>10</v>
      </c>
      <c r="F3" s="5" t="s">
        <v>11</v>
      </c>
      <c r="G3" s="5" t="s">
        <v>152</v>
      </c>
      <c r="H3" s="5" t="s">
        <v>15</v>
      </c>
      <c r="I3" s="6" t="s">
        <v>17</v>
      </c>
      <c r="J3" s="6" t="s">
        <v>19</v>
      </c>
      <c r="K3" s="6" t="s">
        <v>1702</v>
      </c>
      <c r="L3" s="8" t="s">
        <v>30</v>
      </c>
      <c r="M3" s="7" t="s">
        <v>1812</v>
      </c>
      <c r="N3" s="7" t="s">
        <v>23</v>
      </c>
      <c r="O3" s="165" t="s">
        <v>1796</v>
      </c>
      <c r="P3" s="8" t="s">
        <v>1838</v>
      </c>
      <c r="Q3" s="163" t="s">
        <v>1799</v>
      </c>
      <c r="R3" s="205" t="s">
        <v>1839</v>
      </c>
      <c r="S3" s="206" t="s">
        <v>1840</v>
      </c>
      <c r="T3" s="164" t="s">
        <v>1287</v>
      </c>
      <c r="U3" s="164" t="s">
        <v>1841</v>
      </c>
      <c r="V3" s="206" t="s">
        <v>1842</v>
      </c>
      <c r="W3" s="206" t="s">
        <v>1843</v>
      </c>
      <c r="X3" s="206" t="s">
        <v>1844</v>
      </c>
      <c r="Y3" s="206" t="s">
        <v>1845</v>
      </c>
      <c r="Z3" s="91" t="s">
        <v>1286</v>
      </c>
      <c r="AA3" s="86" t="s">
        <v>211</v>
      </c>
      <c r="AB3" s="207" t="s">
        <v>1700</v>
      </c>
      <c r="AC3" s="208" t="s">
        <v>1701</v>
      </c>
      <c r="AD3" s="209" t="s">
        <v>1283</v>
      </c>
      <c r="AE3" s="210" t="s">
        <v>1284</v>
      </c>
      <c r="AG3" s="211" t="s">
        <v>1703</v>
      </c>
      <c r="AH3" s="198" t="s">
        <v>1537</v>
      </c>
      <c r="AI3" s="199" t="s">
        <v>23</v>
      </c>
      <c r="AJ3" s="200" t="s">
        <v>1796</v>
      </c>
      <c r="AK3" s="212" t="s">
        <v>1704</v>
      </c>
      <c r="AN3" s="213" t="s">
        <v>1703</v>
      </c>
      <c r="AO3" s="214" t="s">
        <v>1537</v>
      </c>
      <c r="AP3" s="215" t="s">
        <v>23</v>
      </c>
      <c r="AQ3" s="216" t="s">
        <v>1796</v>
      </c>
    </row>
    <row r="4" spans="1:43" s="183" customFormat="1" ht="15.75" customHeight="1" x14ac:dyDescent="0.2">
      <c r="B4" s="241">
        <v>84053</v>
      </c>
      <c r="C4" s="217">
        <v>2005</v>
      </c>
      <c r="D4" s="180" t="s">
        <v>863</v>
      </c>
      <c r="E4" s="180" t="s">
        <v>41</v>
      </c>
      <c r="F4" s="180" t="s">
        <v>574</v>
      </c>
      <c r="G4" s="180" t="s">
        <v>82</v>
      </c>
      <c r="H4" s="180" t="s">
        <v>235</v>
      </c>
      <c r="I4" s="180" t="s">
        <v>156</v>
      </c>
      <c r="J4" s="180" t="s">
        <v>49</v>
      </c>
      <c r="K4" s="217" t="s">
        <v>78</v>
      </c>
      <c r="L4" s="217">
        <v>155.69999999999999</v>
      </c>
      <c r="M4" s="180">
        <v>154</v>
      </c>
      <c r="N4" s="181">
        <v>7.5</v>
      </c>
      <c r="O4" s="242">
        <v>1.9</v>
      </c>
      <c r="P4" s="239">
        <f t="shared" ref="P4:P65" si="0">LN(L4)</f>
        <v>5.0479310788399525</v>
      </c>
      <c r="Q4" s="179" t="str">
        <f t="shared" ref="Q4:Q23" si="1">$AG$4</f>
        <v>CCME Fish</v>
      </c>
      <c r="R4" s="219">
        <f t="shared" ref="R4:R23" si="2">$AI$4*N4+$AH$4*LN(M4)+$AJ$4*LN(O4)</f>
        <v>-1.08704803881768</v>
      </c>
      <c r="S4" s="220">
        <f t="shared" ref="S4:S65" si="3">P4-R4</f>
        <v>6.1349791176576325</v>
      </c>
      <c r="T4" s="236">
        <v>1</v>
      </c>
      <c r="U4" s="221" t="str">
        <f t="shared" ref="U4:U13" si="4">CONCATENATE(T4,"-",I4,"-",J4,"-",H4)</f>
        <v>1-Mortality-EC10-NR</v>
      </c>
      <c r="V4" s="222" cm="1">
        <f t="array" ref="V4">GEOMEAN(IF(U4=$U$4:$U$176,$S$4:$S$176))</f>
        <v>6.1349791176576325</v>
      </c>
      <c r="W4" s="223">
        <f>V4+$AI$4*$AI$2+$AH$4*LN($AH$2)+$AJ$4*LN($AJ$2)</f>
        <v>2.9675404602288356</v>
      </c>
      <c r="X4" s="225">
        <f t="shared" ref="X4:X65" si="5">EXP(W4)</f>
        <v>19.44403735284704</v>
      </c>
      <c r="Y4" s="225">
        <f t="shared" ref="Y4:Y13" si="6">X4</f>
        <v>19.44403735284704</v>
      </c>
      <c r="Z4" s="194"/>
      <c r="AA4" s="226" t="s">
        <v>1596</v>
      </c>
      <c r="AB4" s="227" t="s">
        <v>1846</v>
      </c>
      <c r="AC4" s="228" t="s">
        <v>1798</v>
      </c>
      <c r="AD4" s="229" t="s">
        <v>1596</v>
      </c>
      <c r="AE4" s="229" t="s">
        <v>1584</v>
      </c>
      <c r="AG4" s="230" t="s">
        <v>1847</v>
      </c>
      <c r="AH4" s="231">
        <v>0.94699999999999995</v>
      </c>
      <c r="AI4" s="232">
        <v>-0.81499999999999995</v>
      </c>
      <c r="AJ4" s="233">
        <v>0.39800000000000002</v>
      </c>
    </row>
    <row r="5" spans="1:43" s="183" customFormat="1" ht="26.25" customHeight="1" x14ac:dyDescent="0.2">
      <c r="A5" s="182"/>
      <c r="B5" s="180"/>
      <c r="C5" s="217">
        <v>1982</v>
      </c>
      <c r="D5" s="180" t="s">
        <v>1613</v>
      </c>
      <c r="E5" s="180" t="s">
        <v>41</v>
      </c>
      <c r="F5" s="180" t="s">
        <v>89</v>
      </c>
      <c r="G5" s="180" t="s">
        <v>82</v>
      </c>
      <c r="H5" s="180" t="s">
        <v>1615</v>
      </c>
      <c r="I5" s="180" t="s">
        <v>237</v>
      </c>
      <c r="J5" s="180" t="s">
        <v>174</v>
      </c>
      <c r="K5" s="180">
        <v>72</v>
      </c>
      <c r="L5" s="180">
        <v>458</v>
      </c>
      <c r="M5" s="180">
        <v>25</v>
      </c>
      <c r="N5" s="180">
        <v>7</v>
      </c>
      <c r="O5" s="94">
        <v>1.6</v>
      </c>
      <c r="P5" s="239">
        <f t="shared" si="0"/>
        <v>6.1268691841141854</v>
      </c>
      <c r="Q5" s="179" t="str">
        <f t="shared" si="1"/>
        <v>CCME Fish</v>
      </c>
      <c r="R5" s="219">
        <f t="shared" si="2"/>
        <v>-2.4696631494100116</v>
      </c>
      <c r="S5" s="220">
        <f t="shared" si="3"/>
        <v>8.5965323335241965</v>
      </c>
      <c r="T5" s="236">
        <f>IF(F5=T4,T4, T4+1)</f>
        <v>2</v>
      </c>
      <c r="U5" s="221" t="str">
        <f t="shared" si="4"/>
        <v>2-MOR-LC10-Embryo</v>
      </c>
      <c r="V5" s="222" cm="1">
        <f t="array" ref="V5">GEOMEAN(IF(U5=$U$4:$U$176,$S$4:$S$176))</f>
        <v>8.5965323335241965</v>
      </c>
      <c r="W5" s="223">
        <f t="shared" ref="W5:W23" si="7">V5+$AI$4*$AI$2+$AH$4*LN($AH$2)+$AJ$4*LN($AJ$2)</f>
        <v>5.4290936760953992</v>
      </c>
      <c r="X5" s="225">
        <f t="shared" si="5"/>
        <v>227.94256198427851</v>
      </c>
      <c r="Y5" s="225">
        <f t="shared" si="6"/>
        <v>227.94256198427851</v>
      </c>
      <c r="Z5" s="226"/>
      <c r="AA5" s="226" t="s">
        <v>1614</v>
      </c>
      <c r="AB5" s="227" t="s">
        <v>1846</v>
      </c>
      <c r="AC5" s="228" t="s">
        <v>1861</v>
      </c>
      <c r="AD5" s="243"/>
      <c r="AE5" s="229" t="s">
        <v>1584</v>
      </c>
      <c r="AG5" s="230" t="s">
        <v>1848</v>
      </c>
      <c r="AH5" s="231">
        <v>0.31</v>
      </c>
      <c r="AI5" s="232">
        <v>-0.52</v>
      </c>
      <c r="AJ5" s="237">
        <v>-1.4</v>
      </c>
      <c r="AK5" s="183">
        <v>0.24</v>
      </c>
      <c r="AL5" s="244"/>
      <c r="AP5" s="244"/>
      <c r="AQ5" s="244"/>
    </row>
    <row r="6" spans="1:43" s="183" customFormat="1" ht="15.75" customHeight="1" x14ac:dyDescent="0.2">
      <c r="A6" s="182"/>
      <c r="B6" s="180">
        <v>84051</v>
      </c>
      <c r="C6" s="217">
        <v>2004</v>
      </c>
      <c r="D6" s="180" t="s">
        <v>711</v>
      </c>
      <c r="E6" s="180" t="s">
        <v>41</v>
      </c>
      <c r="F6" s="180" t="s">
        <v>89</v>
      </c>
      <c r="G6" s="180" t="s">
        <v>82</v>
      </c>
      <c r="H6" s="180" t="s">
        <v>160</v>
      </c>
      <c r="I6" s="180" t="s">
        <v>237</v>
      </c>
      <c r="J6" s="180" t="s">
        <v>174</v>
      </c>
      <c r="K6" s="180" t="s">
        <v>78</v>
      </c>
      <c r="L6" s="180">
        <v>99.1</v>
      </c>
      <c r="M6" s="250">
        <v>28.722304178000002</v>
      </c>
      <c r="N6" s="181">
        <v>6.7</v>
      </c>
      <c r="O6" s="94">
        <v>0.3</v>
      </c>
      <c r="P6" s="239">
        <f t="shared" si="0"/>
        <v>4.5961294413359424</v>
      </c>
      <c r="Q6" s="179" t="str">
        <f t="shared" si="1"/>
        <v>CCME Fish</v>
      </c>
      <c r="R6" s="219">
        <f t="shared" si="2"/>
        <v>-2.7599639265309239</v>
      </c>
      <c r="S6" s="220">
        <f t="shared" si="3"/>
        <v>7.3560933678668663</v>
      </c>
      <c r="T6" s="236">
        <f>IF(F6=T5,T5, T5+1)</f>
        <v>3</v>
      </c>
      <c r="U6" s="221" t="str">
        <f t="shared" si="4"/>
        <v>3-MOR-LC10-Juvenile</v>
      </c>
      <c r="V6" s="222" cm="1">
        <f t="array" ref="V6">GEOMEAN(IF(U6=$U$4:$U$176,$S$4:$S$176))</f>
        <v>7.3117177830372153</v>
      </c>
      <c r="W6" s="223">
        <f t="shared" si="7"/>
        <v>4.1442791256084179</v>
      </c>
      <c r="X6" s="225">
        <f t="shared" si="5"/>
        <v>63.072138420366656</v>
      </c>
      <c r="Y6" s="225">
        <f t="shared" si="6"/>
        <v>63.072138420366656</v>
      </c>
      <c r="Z6" s="226" t="s">
        <v>1592</v>
      </c>
      <c r="AA6" s="226"/>
      <c r="AB6" s="227" t="s">
        <v>1846</v>
      </c>
      <c r="AC6" s="228" t="s">
        <v>1798</v>
      </c>
      <c r="AD6" s="243"/>
      <c r="AE6" s="229" t="s">
        <v>1584</v>
      </c>
      <c r="AG6" s="238" t="s">
        <v>1811</v>
      </c>
      <c r="AH6" s="231">
        <v>0.67300000000000004</v>
      </c>
      <c r="AI6" s="232">
        <v>-0.35899999999999999</v>
      </c>
      <c r="AJ6" s="233">
        <v>0.35099999999999998</v>
      </c>
      <c r="AL6" s="244"/>
      <c r="AP6" s="244"/>
      <c r="AQ6" s="244"/>
    </row>
    <row r="7" spans="1:43" s="182" customFormat="1" ht="15.75" customHeight="1" x14ac:dyDescent="0.2">
      <c r="B7" s="180">
        <v>84051</v>
      </c>
      <c r="C7" s="217">
        <v>2004</v>
      </c>
      <c r="D7" s="180" t="s">
        <v>711</v>
      </c>
      <c r="E7" s="180" t="s">
        <v>41</v>
      </c>
      <c r="F7" s="180" t="s">
        <v>89</v>
      </c>
      <c r="G7" s="180" t="s">
        <v>82</v>
      </c>
      <c r="H7" s="180" t="s">
        <v>160</v>
      </c>
      <c r="I7" s="180" t="s">
        <v>237</v>
      </c>
      <c r="J7" s="180" t="s">
        <v>174</v>
      </c>
      <c r="K7" s="180" t="s">
        <v>78</v>
      </c>
      <c r="L7" s="180">
        <v>38.4</v>
      </c>
      <c r="M7" s="250">
        <v>29.623122536</v>
      </c>
      <c r="N7" s="181">
        <v>7.45</v>
      </c>
      <c r="O7" s="94">
        <v>0.3</v>
      </c>
      <c r="P7" s="239">
        <f t="shared" si="0"/>
        <v>3.648057459593681</v>
      </c>
      <c r="Q7" s="179" t="str">
        <f t="shared" si="1"/>
        <v>CCME Fish</v>
      </c>
      <c r="R7" s="219">
        <f t="shared" si="2"/>
        <v>-3.3419693798130456</v>
      </c>
      <c r="S7" s="220">
        <f t="shared" si="3"/>
        <v>6.9900268394067266</v>
      </c>
      <c r="T7" s="236">
        <f t="shared" ref="T7:T67" si="8">IF(F7=F6,T6,T6+1)</f>
        <v>3</v>
      </c>
      <c r="U7" s="221" t="str">
        <f t="shared" si="4"/>
        <v>3-MOR-LC10-Juvenile</v>
      </c>
      <c r="V7" s="222" cm="1">
        <f t="array" ref="V7">GEOMEAN(IF(U7=$U$4:$U$176,$S$4:$S$176))</f>
        <v>7.3117177830372153</v>
      </c>
      <c r="W7" s="223">
        <f t="shared" si="7"/>
        <v>4.1442791256084179</v>
      </c>
      <c r="X7" s="225">
        <f t="shared" si="5"/>
        <v>63.072138420366656</v>
      </c>
      <c r="Y7" s="225">
        <f t="shared" si="6"/>
        <v>63.072138420366656</v>
      </c>
      <c r="Z7" s="226" t="s">
        <v>1592</v>
      </c>
      <c r="AA7" s="226"/>
      <c r="AB7" s="227" t="s">
        <v>1846</v>
      </c>
      <c r="AC7" s="228" t="s">
        <v>1798</v>
      </c>
      <c r="AD7" s="243"/>
      <c r="AE7" s="229" t="s">
        <v>1584</v>
      </c>
      <c r="AG7" s="230" t="s">
        <v>1852</v>
      </c>
      <c r="AH7" s="231"/>
      <c r="AI7" s="232">
        <v>-0.86499999999999999</v>
      </c>
      <c r="AJ7" s="233">
        <v>0.20899999999999999</v>
      </c>
      <c r="AK7" s="227"/>
      <c r="AL7" s="244"/>
      <c r="AP7" s="244"/>
      <c r="AQ7" s="244"/>
    </row>
    <row r="8" spans="1:43" s="182" customFormat="1" ht="15.75" customHeight="1" x14ac:dyDescent="0.25">
      <c r="B8" s="180">
        <v>84051</v>
      </c>
      <c r="C8" s="217">
        <v>2004</v>
      </c>
      <c r="D8" s="180" t="s">
        <v>711</v>
      </c>
      <c r="E8" s="180" t="s">
        <v>41</v>
      </c>
      <c r="F8" s="180" t="s">
        <v>89</v>
      </c>
      <c r="G8" s="180" t="s">
        <v>82</v>
      </c>
      <c r="H8" s="180" t="s">
        <v>160</v>
      </c>
      <c r="I8" s="180" t="s">
        <v>237</v>
      </c>
      <c r="J8" s="180" t="s">
        <v>174</v>
      </c>
      <c r="K8" s="180" t="s">
        <v>78</v>
      </c>
      <c r="L8" s="180">
        <v>73.599999999999994</v>
      </c>
      <c r="M8" s="250">
        <v>28.422066655999998</v>
      </c>
      <c r="N8" s="181">
        <v>7.58</v>
      </c>
      <c r="O8" s="94">
        <v>0.3</v>
      </c>
      <c r="P8" s="239">
        <f t="shared" si="0"/>
        <v>4.2986450257348308</v>
      </c>
      <c r="Q8" s="179" t="str">
        <f t="shared" si="1"/>
        <v>CCME Fish</v>
      </c>
      <c r="R8" s="219">
        <f t="shared" si="2"/>
        <v>-3.4871151271640732</v>
      </c>
      <c r="S8" s="220">
        <f t="shared" si="3"/>
        <v>7.785760152898904</v>
      </c>
      <c r="T8" s="236">
        <f t="shared" si="8"/>
        <v>3</v>
      </c>
      <c r="U8" s="221" t="str">
        <f t="shared" si="4"/>
        <v>3-MOR-LC10-Juvenile</v>
      </c>
      <c r="V8" s="222" cm="1">
        <f t="array" ref="V8">GEOMEAN(IF(U8=$U$4:$U$176,$S$4:$S$176))</f>
        <v>7.3117177830372153</v>
      </c>
      <c r="W8" s="223">
        <f t="shared" si="7"/>
        <v>4.1442791256084179</v>
      </c>
      <c r="X8" s="225">
        <f t="shared" si="5"/>
        <v>63.072138420366656</v>
      </c>
      <c r="Y8" s="225">
        <f t="shared" si="6"/>
        <v>63.072138420366656</v>
      </c>
      <c r="AA8" s="226"/>
      <c r="AB8" s="252" t="s">
        <v>1846</v>
      </c>
      <c r="AC8" s="228" t="s">
        <v>1798</v>
      </c>
      <c r="AD8" s="243"/>
      <c r="AE8" s="229" t="s">
        <v>1584</v>
      </c>
      <c r="AG8" s="244"/>
      <c r="AH8" s="244"/>
      <c r="AI8" s="244"/>
      <c r="AJ8" s="248"/>
      <c r="AK8" s="248"/>
      <c r="AL8" s="244"/>
      <c r="AP8" s="244"/>
      <c r="AQ8" s="244"/>
    </row>
    <row r="9" spans="1:43" s="182" customFormat="1" ht="15.75" customHeight="1" x14ac:dyDescent="0.25">
      <c r="B9" s="180">
        <v>84051</v>
      </c>
      <c r="C9" s="217">
        <v>2004</v>
      </c>
      <c r="D9" s="180" t="s">
        <v>711</v>
      </c>
      <c r="E9" s="180" t="s">
        <v>41</v>
      </c>
      <c r="F9" s="180" t="s">
        <v>89</v>
      </c>
      <c r="G9" s="180" t="s">
        <v>82</v>
      </c>
      <c r="H9" s="180" t="s">
        <v>160</v>
      </c>
      <c r="I9" s="180" t="s">
        <v>237</v>
      </c>
      <c r="J9" s="180" t="s">
        <v>174</v>
      </c>
      <c r="K9" s="180" t="s">
        <v>78</v>
      </c>
      <c r="L9" s="180">
        <v>171</v>
      </c>
      <c r="M9" s="250">
        <v>102.17723531799999</v>
      </c>
      <c r="N9" s="181">
        <v>7.58</v>
      </c>
      <c r="O9" s="94">
        <v>0.3</v>
      </c>
      <c r="P9" s="239">
        <f t="shared" si="0"/>
        <v>5.1416635565026603</v>
      </c>
      <c r="Q9" s="179" t="str">
        <f t="shared" si="1"/>
        <v>CCME Fish</v>
      </c>
      <c r="R9" s="219">
        <f t="shared" si="2"/>
        <v>-2.2753878416106121</v>
      </c>
      <c r="S9" s="220">
        <f t="shared" si="3"/>
        <v>7.4170513981132729</v>
      </c>
      <c r="T9" s="236">
        <f t="shared" si="8"/>
        <v>3</v>
      </c>
      <c r="U9" s="221" t="str">
        <f t="shared" si="4"/>
        <v>3-MOR-LC10-Juvenile</v>
      </c>
      <c r="V9" s="222" cm="1">
        <f t="array" ref="V9">GEOMEAN(IF(U9=$U$4:$U$176,$S$4:$S$176))</f>
        <v>7.3117177830372153</v>
      </c>
      <c r="W9" s="223">
        <f t="shared" si="7"/>
        <v>4.1442791256084179</v>
      </c>
      <c r="X9" s="225">
        <f t="shared" si="5"/>
        <v>63.072138420366656</v>
      </c>
      <c r="Y9" s="225">
        <f t="shared" si="6"/>
        <v>63.072138420366656</v>
      </c>
      <c r="AA9" s="226"/>
      <c r="AB9" s="227" t="s">
        <v>1846</v>
      </c>
      <c r="AC9" s="228" t="s">
        <v>1798</v>
      </c>
      <c r="AD9" s="243"/>
      <c r="AE9" s="229" t="s">
        <v>1584</v>
      </c>
      <c r="AG9" s="244"/>
      <c r="AH9" s="244"/>
      <c r="AI9" s="244"/>
      <c r="AJ9" s="248"/>
      <c r="AK9" s="248"/>
      <c r="AP9" s="244"/>
      <c r="AQ9" s="244"/>
    </row>
    <row r="10" spans="1:43" s="182" customFormat="1" x14ac:dyDescent="0.25">
      <c r="B10" s="180">
        <v>84051</v>
      </c>
      <c r="C10" s="217">
        <v>2004</v>
      </c>
      <c r="D10" s="180" t="s">
        <v>711</v>
      </c>
      <c r="E10" s="180" t="s">
        <v>41</v>
      </c>
      <c r="F10" s="180" t="s">
        <v>89</v>
      </c>
      <c r="G10" s="180" t="s">
        <v>82</v>
      </c>
      <c r="H10" s="180" t="s">
        <v>160</v>
      </c>
      <c r="I10" s="180" t="s">
        <v>237</v>
      </c>
      <c r="J10" s="180" t="s">
        <v>174</v>
      </c>
      <c r="K10" s="180" t="s">
        <v>78</v>
      </c>
      <c r="L10" s="180">
        <v>34.5</v>
      </c>
      <c r="M10" s="250">
        <v>29.122590018000004</v>
      </c>
      <c r="N10" s="181">
        <v>7.61</v>
      </c>
      <c r="O10" s="94">
        <v>0.3</v>
      </c>
      <c r="P10" s="239">
        <f t="shared" si="0"/>
        <v>3.5409593240373143</v>
      </c>
      <c r="Q10" s="179" t="str">
        <f t="shared" si="1"/>
        <v>CCME Fish</v>
      </c>
      <c r="R10" s="219">
        <f t="shared" si="2"/>
        <v>-3.4885072644244537</v>
      </c>
      <c r="S10" s="220">
        <f t="shared" si="3"/>
        <v>7.0294665884617675</v>
      </c>
      <c r="T10" s="236">
        <f t="shared" si="8"/>
        <v>3</v>
      </c>
      <c r="U10" s="221" t="str">
        <f t="shared" si="4"/>
        <v>3-MOR-LC10-Juvenile</v>
      </c>
      <c r="V10" s="222" cm="1">
        <f t="array" ref="V10">GEOMEAN(IF(U10=$U$4:$U$176,$S$4:$S$176))</f>
        <v>7.3117177830372153</v>
      </c>
      <c r="W10" s="223">
        <f t="shared" si="7"/>
        <v>4.1442791256084179</v>
      </c>
      <c r="X10" s="225">
        <f t="shared" si="5"/>
        <v>63.072138420366656</v>
      </c>
      <c r="Y10" s="225">
        <f t="shared" si="6"/>
        <v>63.072138420366656</v>
      </c>
      <c r="AA10" s="226"/>
      <c r="AB10" s="227" t="s">
        <v>1846</v>
      </c>
      <c r="AC10" s="228" t="s">
        <v>1798</v>
      </c>
      <c r="AD10" s="243"/>
      <c r="AE10" s="229" t="s">
        <v>1584</v>
      </c>
      <c r="AG10" s="312" t="s">
        <v>1539</v>
      </c>
      <c r="AH10" t="s">
        <v>1856</v>
      </c>
      <c r="AI10" s="244"/>
      <c r="AJ10" s="244" t="s">
        <v>1539</v>
      </c>
      <c r="AK10" s="244" t="s">
        <v>1856</v>
      </c>
      <c r="AP10" s="244"/>
      <c r="AQ10" s="244"/>
    </row>
    <row r="11" spans="1:43" s="182" customFormat="1" x14ac:dyDescent="0.25">
      <c r="B11" s="180">
        <v>84051</v>
      </c>
      <c r="C11" s="217">
        <v>2004</v>
      </c>
      <c r="D11" s="180" t="s">
        <v>711</v>
      </c>
      <c r="E11" s="180" t="s">
        <v>41</v>
      </c>
      <c r="F11" s="180" t="s">
        <v>89</v>
      </c>
      <c r="G11" s="180" t="s">
        <v>82</v>
      </c>
      <c r="H11" s="180" t="s">
        <v>160</v>
      </c>
      <c r="I11" s="180" t="s">
        <v>237</v>
      </c>
      <c r="J11" s="180" t="s">
        <v>174</v>
      </c>
      <c r="K11" s="180" t="s">
        <v>78</v>
      </c>
      <c r="L11" s="180">
        <v>46.1</v>
      </c>
      <c r="M11" s="250">
        <v>29.222863144000002</v>
      </c>
      <c r="N11" s="181">
        <v>7.65</v>
      </c>
      <c r="O11" s="94">
        <v>0.3</v>
      </c>
      <c r="P11" s="239">
        <f t="shared" si="0"/>
        <v>3.8308129500026027</v>
      </c>
      <c r="Q11" s="179" t="str">
        <f t="shared" si="1"/>
        <v>CCME Fish</v>
      </c>
      <c r="R11" s="219">
        <f t="shared" si="2"/>
        <v>-3.517852212362413</v>
      </c>
      <c r="S11" s="220">
        <f t="shared" si="3"/>
        <v>7.3486651623650161</v>
      </c>
      <c r="T11" s="236">
        <f t="shared" si="8"/>
        <v>3</v>
      </c>
      <c r="U11" s="221" t="str">
        <f t="shared" si="4"/>
        <v>3-MOR-LC10-Juvenile</v>
      </c>
      <c r="V11" s="222" cm="1">
        <f t="array" ref="V11">GEOMEAN(IF(U11=$U$4:$U$176,$S$4:$S$176))</f>
        <v>7.3117177830372153</v>
      </c>
      <c r="W11" s="223">
        <f t="shared" si="7"/>
        <v>4.1442791256084179</v>
      </c>
      <c r="X11" s="225">
        <f t="shared" si="5"/>
        <v>63.072138420366656</v>
      </c>
      <c r="Y11" s="225">
        <f t="shared" si="6"/>
        <v>63.072138420366656</v>
      </c>
      <c r="AA11" s="226"/>
      <c r="AB11" s="227" t="s">
        <v>1846</v>
      </c>
      <c r="AC11" s="228" t="s">
        <v>1798</v>
      </c>
      <c r="AD11" s="243"/>
      <c r="AE11" s="229" t="s">
        <v>1584</v>
      </c>
      <c r="AG11" s="313" t="s">
        <v>1786</v>
      </c>
      <c r="AH11" s="314">
        <v>14.044289755578918</v>
      </c>
      <c r="AI11" s="244"/>
      <c r="AJ11" s="249" t="s">
        <v>260</v>
      </c>
      <c r="AK11" s="244"/>
      <c r="AP11" s="244"/>
      <c r="AQ11" s="244"/>
    </row>
    <row r="12" spans="1:43" s="182" customFormat="1" x14ac:dyDescent="0.25">
      <c r="B12" s="180">
        <v>84051</v>
      </c>
      <c r="C12" s="217">
        <v>2004</v>
      </c>
      <c r="D12" s="180" t="s">
        <v>711</v>
      </c>
      <c r="E12" s="180" t="s">
        <v>41</v>
      </c>
      <c r="F12" s="180" t="s">
        <v>89</v>
      </c>
      <c r="G12" s="180" t="s">
        <v>82</v>
      </c>
      <c r="H12" s="180" t="s">
        <v>160</v>
      </c>
      <c r="I12" s="180" t="s">
        <v>237</v>
      </c>
      <c r="J12" s="180" t="s">
        <v>174</v>
      </c>
      <c r="K12" s="180" t="s">
        <v>78</v>
      </c>
      <c r="L12" s="180">
        <v>337</v>
      </c>
      <c r="M12" s="250">
        <v>395.79661198600002</v>
      </c>
      <c r="N12" s="181">
        <v>7.68</v>
      </c>
      <c r="O12" s="94">
        <v>0.3</v>
      </c>
      <c r="P12" s="239">
        <f t="shared" si="0"/>
        <v>5.8200829303523616</v>
      </c>
      <c r="Q12" s="179" t="str">
        <f t="shared" si="1"/>
        <v>CCME Fish</v>
      </c>
      <c r="R12" s="219">
        <f t="shared" si="2"/>
        <v>-1.0744684279845305</v>
      </c>
      <c r="S12" s="220">
        <f t="shared" si="3"/>
        <v>6.8945513583368925</v>
      </c>
      <c r="T12" s="236">
        <f t="shared" si="8"/>
        <v>3</v>
      </c>
      <c r="U12" s="221" t="str">
        <f t="shared" si="4"/>
        <v>3-MOR-LC10-Juvenile</v>
      </c>
      <c r="V12" s="222" cm="1">
        <f t="array" ref="V12">GEOMEAN(IF(U12=$U$4:$U$176,$S$4:$S$176))</f>
        <v>7.3117177830372153</v>
      </c>
      <c r="W12" s="223">
        <f t="shared" si="7"/>
        <v>4.1442791256084179</v>
      </c>
      <c r="X12" s="225">
        <f t="shared" si="5"/>
        <v>63.072138420366656</v>
      </c>
      <c r="Y12" s="225">
        <f t="shared" si="6"/>
        <v>63.072138420366656</v>
      </c>
      <c r="AA12" s="226"/>
      <c r="AB12" s="227" t="s">
        <v>1846</v>
      </c>
      <c r="AC12" s="228" t="s">
        <v>1798</v>
      </c>
      <c r="AD12" s="243"/>
      <c r="AE12" s="229" t="s">
        <v>1584</v>
      </c>
      <c r="AG12" s="313" t="s">
        <v>1567</v>
      </c>
      <c r="AH12" s="314">
        <v>82.935518498179519</v>
      </c>
      <c r="AI12" s="244"/>
      <c r="AJ12" s="305" t="s">
        <v>63</v>
      </c>
      <c r="AK12" s="220">
        <v>16.330414534816853</v>
      </c>
      <c r="AP12" s="244"/>
      <c r="AQ12" s="244"/>
    </row>
    <row r="13" spans="1:43" s="182" customFormat="1" x14ac:dyDescent="0.25">
      <c r="B13" s="180">
        <v>84051</v>
      </c>
      <c r="C13" s="217">
        <v>2004</v>
      </c>
      <c r="D13" s="180" t="s">
        <v>711</v>
      </c>
      <c r="E13" s="180" t="s">
        <v>41</v>
      </c>
      <c r="F13" s="180" t="s">
        <v>89</v>
      </c>
      <c r="G13" s="180" t="s">
        <v>82</v>
      </c>
      <c r="H13" s="180" t="s">
        <v>160</v>
      </c>
      <c r="I13" s="180" t="s">
        <v>237</v>
      </c>
      <c r="J13" s="180" t="s">
        <v>174</v>
      </c>
      <c r="K13" s="180" t="s">
        <v>78</v>
      </c>
      <c r="L13" s="180">
        <v>290</v>
      </c>
      <c r="M13" s="250">
        <v>190.24288393400002</v>
      </c>
      <c r="N13" s="181">
        <v>7.87</v>
      </c>
      <c r="O13" s="94">
        <v>0.3</v>
      </c>
      <c r="P13" s="239">
        <f t="shared" si="0"/>
        <v>5.6698809229805196</v>
      </c>
      <c r="Q13" s="179" t="str">
        <f t="shared" si="1"/>
        <v>CCME Fish</v>
      </c>
      <c r="R13" s="219">
        <f t="shared" si="2"/>
        <v>-1.9230895682337095</v>
      </c>
      <c r="S13" s="220">
        <f t="shared" si="3"/>
        <v>7.5929704912142295</v>
      </c>
      <c r="T13" s="236">
        <f t="shared" si="8"/>
        <v>3</v>
      </c>
      <c r="U13" s="221" t="str">
        <f t="shared" si="4"/>
        <v>3-MOR-LC10-Juvenile</v>
      </c>
      <c r="V13" s="222" cm="1">
        <f t="array" ref="V13">GEOMEAN(IF(U13=$U$4:$U$176,$S$4:$S$176))</f>
        <v>7.3117177830372153</v>
      </c>
      <c r="W13" s="223">
        <f t="shared" si="7"/>
        <v>4.1442791256084179</v>
      </c>
      <c r="X13" s="225">
        <f t="shared" si="5"/>
        <v>63.072138420366656</v>
      </c>
      <c r="Y13" s="225">
        <f t="shared" si="6"/>
        <v>63.072138420366656</v>
      </c>
      <c r="AA13" s="226"/>
      <c r="AB13" s="227" t="s">
        <v>1846</v>
      </c>
      <c r="AC13" s="228" t="s">
        <v>1798</v>
      </c>
      <c r="AD13" s="243"/>
      <c r="AE13" s="229" t="s">
        <v>1584</v>
      </c>
      <c r="AG13" s="313" t="s">
        <v>63</v>
      </c>
      <c r="AH13" s="314">
        <v>16.330414534816853</v>
      </c>
      <c r="AI13" s="244"/>
      <c r="AJ13" s="305" t="s">
        <v>87</v>
      </c>
      <c r="AK13" s="220">
        <v>42.314541000879686</v>
      </c>
      <c r="AP13" s="244"/>
      <c r="AQ13" s="244"/>
    </row>
    <row r="14" spans="1:43" s="182" customFormat="1" x14ac:dyDescent="0.25">
      <c r="B14" s="180">
        <v>84052</v>
      </c>
      <c r="C14" s="217">
        <v>2005</v>
      </c>
      <c r="D14" s="180" t="s">
        <v>785</v>
      </c>
      <c r="E14" s="180" t="s">
        <v>41</v>
      </c>
      <c r="F14" s="180" t="s">
        <v>89</v>
      </c>
      <c r="G14" s="180" t="s">
        <v>82</v>
      </c>
      <c r="H14" s="180" t="s">
        <v>160</v>
      </c>
      <c r="I14" s="180" t="s">
        <v>237</v>
      </c>
      <c r="J14" s="180" t="s">
        <v>174</v>
      </c>
      <c r="K14" s="180" t="s">
        <v>78</v>
      </c>
      <c r="L14" s="180">
        <v>259</v>
      </c>
      <c r="M14" s="250">
        <v>23.386569999999999</v>
      </c>
      <c r="N14" s="180">
        <v>6.15</v>
      </c>
      <c r="O14" s="94">
        <v>4.25</v>
      </c>
      <c r="P14" s="239">
        <f t="shared" si="0"/>
        <v>5.5568280616995374</v>
      </c>
      <c r="Q14" s="179" t="str">
        <f t="shared" si="1"/>
        <v>CCME Fish</v>
      </c>
      <c r="R14" s="219">
        <f t="shared" si="2"/>
        <v>-1.4512789008902471</v>
      </c>
      <c r="S14" s="220">
        <f t="shared" si="3"/>
        <v>7.0081069625897845</v>
      </c>
      <c r="T14" s="236">
        <f t="shared" si="8"/>
        <v>3</v>
      </c>
      <c r="U14" s="221"/>
      <c r="V14" s="222" t="e" cm="1">
        <f t="array" ref="V14">GEOMEAN(IF(U14=$U$4:$U$176,$S$4:$S$176))</f>
        <v>#NUM!</v>
      </c>
      <c r="W14" s="223" t="e">
        <f t="shared" si="7"/>
        <v>#NUM!</v>
      </c>
      <c r="X14" s="225" t="e">
        <f t="shared" si="5"/>
        <v>#NUM!</v>
      </c>
      <c r="Y14" s="225"/>
      <c r="Z14" s="226"/>
      <c r="AA14" s="226" t="s">
        <v>1862</v>
      </c>
      <c r="AB14" s="227" t="s">
        <v>1846</v>
      </c>
      <c r="AC14" s="228" t="s">
        <v>1861</v>
      </c>
      <c r="AD14" s="243"/>
      <c r="AE14" s="229" t="s">
        <v>1584</v>
      </c>
      <c r="AG14" s="313" t="s">
        <v>567</v>
      </c>
      <c r="AH14" s="314">
        <v>0.90625925119845641</v>
      </c>
      <c r="AI14" s="244"/>
      <c r="AJ14" s="305" t="s">
        <v>1657</v>
      </c>
      <c r="AK14" s="220">
        <v>21.544082508738349</v>
      </c>
      <c r="AP14" s="244"/>
      <c r="AQ14" s="244"/>
    </row>
    <row r="15" spans="1:43" s="182" customFormat="1" x14ac:dyDescent="0.25">
      <c r="B15" s="180">
        <v>84052</v>
      </c>
      <c r="C15" s="217">
        <v>2005</v>
      </c>
      <c r="D15" s="180" t="s">
        <v>785</v>
      </c>
      <c r="E15" s="180" t="s">
        <v>41</v>
      </c>
      <c r="F15" s="180" t="s">
        <v>89</v>
      </c>
      <c r="G15" s="180" t="s">
        <v>82</v>
      </c>
      <c r="H15" s="180" t="s">
        <v>160</v>
      </c>
      <c r="I15" s="180" t="s">
        <v>237</v>
      </c>
      <c r="J15" s="180" t="s">
        <v>174</v>
      </c>
      <c r="K15" s="180" t="s">
        <v>78</v>
      </c>
      <c r="L15" s="180">
        <v>902</v>
      </c>
      <c r="M15" s="250">
        <v>103.66486</v>
      </c>
      <c r="N15" s="180">
        <v>7.76</v>
      </c>
      <c r="O15" s="94">
        <v>22.9</v>
      </c>
      <c r="P15" s="239">
        <f t="shared" si="0"/>
        <v>6.804614520062624</v>
      </c>
      <c r="Q15" s="179" t="str">
        <f t="shared" si="1"/>
        <v>CCME Fish</v>
      </c>
      <c r="R15" s="219">
        <f t="shared" si="2"/>
        <v>-0.6830259632629605</v>
      </c>
      <c r="S15" s="220">
        <f t="shared" si="3"/>
        <v>7.4876404833255847</v>
      </c>
      <c r="T15" s="236">
        <f t="shared" si="8"/>
        <v>3</v>
      </c>
      <c r="U15" s="221" t="str">
        <f t="shared" ref="U15:U24" si="9">CONCATENATE(T15,"-",I15,"-",J15,"-",H15)</f>
        <v>3-MOR-LC10-Juvenile</v>
      </c>
      <c r="V15" s="222" cm="1">
        <f t="array" ref="V15">GEOMEAN(IF(U15=$U$4:$U$176,$S$4:$S$176))</f>
        <v>7.3117177830372153</v>
      </c>
      <c r="W15" s="223">
        <f t="shared" si="7"/>
        <v>4.1442791256084179</v>
      </c>
      <c r="X15" s="225">
        <f t="shared" si="5"/>
        <v>63.072138420366656</v>
      </c>
      <c r="Y15" s="225">
        <f t="shared" ref="Y15:Y18" si="10">X15</f>
        <v>63.072138420366656</v>
      </c>
      <c r="Z15" s="226"/>
      <c r="AA15" s="226"/>
      <c r="AB15" s="227" t="s">
        <v>1846</v>
      </c>
      <c r="AC15" s="228" t="s">
        <v>1861</v>
      </c>
      <c r="AD15" s="243"/>
      <c r="AE15" s="229" t="s">
        <v>1584</v>
      </c>
      <c r="AG15" s="313" t="s">
        <v>1724</v>
      </c>
      <c r="AH15" s="314">
        <v>569.9745755015324</v>
      </c>
      <c r="AI15" s="244"/>
      <c r="AJ15" s="305" t="s">
        <v>146</v>
      </c>
      <c r="AK15" s="220">
        <v>5533.2436974696711</v>
      </c>
      <c r="AP15" s="244"/>
      <c r="AQ15" s="244"/>
    </row>
    <row r="16" spans="1:43" s="182" customFormat="1" x14ac:dyDescent="0.25">
      <c r="B16" s="180">
        <v>84052</v>
      </c>
      <c r="C16" s="217">
        <v>2005</v>
      </c>
      <c r="D16" s="180" t="s">
        <v>785</v>
      </c>
      <c r="E16" s="180" t="s">
        <v>41</v>
      </c>
      <c r="F16" s="180" t="s">
        <v>89</v>
      </c>
      <c r="G16" s="180" t="s">
        <v>82</v>
      </c>
      <c r="H16" s="180" t="s">
        <v>160</v>
      </c>
      <c r="I16" s="180" t="s">
        <v>237</v>
      </c>
      <c r="J16" s="180" t="s">
        <v>174</v>
      </c>
      <c r="K16" s="180" t="s">
        <v>78</v>
      </c>
      <c r="L16" s="180">
        <v>578</v>
      </c>
      <c r="M16" s="250">
        <v>176.2988</v>
      </c>
      <c r="N16" s="180">
        <v>8.1300000000000008</v>
      </c>
      <c r="O16" s="94">
        <v>6.22</v>
      </c>
      <c r="P16" s="239">
        <f t="shared" si="0"/>
        <v>6.3595738686723777</v>
      </c>
      <c r="Q16" s="179" t="str">
        <f t="shared" si="1"/>
        <v>CCME Fish</v>
      </c>
      <c r="R16" s="219">
        <f t="shared" si="2"/>
        <v>-1.000442849300553</v>
      </c>
      <c r="S16" s="220">
        <f t="shared" si="3"/>
        <v>7.3600167179729308</v>
      </c>
      <c r="T16" s="236">
        <f t="shared" si="8"/>
        <v>3</v>
      </c>
      <c r="U16" s="221" t="str">
        <f t="shared" si="9"/>
        <v>3-MOR-LC10-Juvenile</v>
      </c>
      <c r="V16" s="222" cm="1">
        <f t="array" ref="V16">GEOMEAN(IF(U16=$U$4:$U$176,$S$4:$S$176))</f>
        <v>7.3117177830372153</v>
      </c>
      <c r="W16" s="223">
        <f t="shared" si="7"/>
        <v>4.1442791256084179</v>
      </c>
      <c r="X16" s="225">
        <f t="shared" si="5"/>
        <v>63.072138420366656</v>
      </c>
      <c r="Y16" s="225">
        <f t="shared" si="10"/>
        <v>63.072138420366656</v>
      </c>
      <c r="Z16" s="226"/>
      <c r="AA16" s="226"/>
      <c r="AB16" s="227" t="s">
        <v>1846</v>
      </c>
      <c r="AC16" s="228" t="s">
        <v>1861</v>
      </c>
      <c r="AD16" s="243"/>
      <c r="AE16" s="229" t="s">
        <v>1584</v>
      </c>
      <c r="AG16" s="313" t="s">
        <v>574</v>
      </c>
      <c r="AH16" s="314">
        <v>19.44403735284704</v>
      </c>
      <c r="AI16" s="244"/>
      <c r="AJ16" s="249" t="s">
        <v>82</v>
      </c>
      <c r="AK16" s="244"/>
    </row>
    <row r="17" spans="1:38" s="182" customFormat="1" x14ac:dyDescent="0.25">
      <c r="B17" s="180">
        <v>84052</v>
      </c>
      <c r="C17" s="217">
        <v>2005</v>
      </c>
      <c r="D17" s="180" t="s">
        <v>785</v>
      </c>
      <c r="E17" s="180" t="s">
        <v>41</v>
      </c>
      <c r="F17" s="180" t="s">
        <v>89</v>
      </c>
      <c r="G17" s="180" t="s">
        <v>82</v>
      </c>
      <c r="H17" s="180" t="s">
        <v>160</v>
      </c>
      <c r="I17" s="180" t="s">
        <v>237</v>
      </c>
      <c r="J17" s="180" t="s">
        <v>174</v>
      </c>
      <c r="K17" s="180" t="s">
        <v>78</v>
      </c>
      <c r="L17" s="180">
        <v>185</v>
      </c>
      <c r="M17" s="250">
        <v>28.186459999999997</v>
      </c>
      <c r="N17" s="180">
        <v>6.8</v>
      </c>
      <c r="O17" s="94">
        <v>3.92</v>
      </c>
      <c r="P17" s="239">
        <f t="shared" si="0"/>
        <v>5.2203558250783244</v>
      </c>
      <c r="Q17" s="179" t="str">
        <f t="shared" si="1"/>
        <v>CCME Fish</v>
      </c>
      <c r="R17" s="219">
        <f t="shared" si="2"/>
        <v>-1.8364124121937051</v>
      </c>
      <c r="S17" s="220">
        <f t="shared" si="3"/>
        <v>7.0567682372720295</v>
      </c>
      <c r="T17" s="236">
        <f t="shared" si="8"/>
        <v>3</v>
      </c>
      <c r="U17" s="221" t="str">
        <f t="shared" si="9"/>
        <v>3-MOR-LC10-Juvenile</v>
      </c>
      <c r="V17" s="222" cm="1">
        <f t="array" ref="V17">GEOMEAN(IF(U17=$U$4:$U$176,$S$4:$S$176))</f>
        <v>7.3117177830372153</v>
      </c>
      <c r="W17" s="223">
        <f t="shared" si="7"/>
        <v>4.1442791256084179</v>
      </c>
      <c r="X17" s="225">
        <f t="shared" si="5"/>
        <v>63.072138420366656</v>
      </c>
      <c r="Y17" s="225">
        <f t="shared" si="10"/>
        <v>63.072138420366656</v>
      </c>
      <c r="Z17" s="226"/>
      <c r="AA17" s="226"/>
      <c r="AB17" s="227" t="s">
        <v>1846</v>
      </c>
      <c r="AC17" s="228" t="s">
        <v>1861</v>
      </c>
      <c r="AD17" s="243"/>
      <c r="AE17" s="229" t="s">
        <v>1584</v>
      </c>
      <c r="AG17" s="313" t="s">
        <v>1790</v>
      </c>
      <c r="AH17" s="314">
        <v>8.4265738533473513</v>
      </c>
      <c r="AI17" s="244"/>
      <c r="AJ17" s="305" t="s">
        <v>574</v>
      </c>
      <c r="AK17" s="220">
        <v>19.44403735284704</v>
      </c>
    </row>
    <row r="18" spans="1:38" s="182" customFormat="1" x14ac:dyDescent="0.25">
      <c r="B18" s="180">
        <v>84052</v>
      </c>
      <c r="C18" s="217">
        <v>2005</v>
      </c>
      <c r="D18" s="180" t="s">
        <v>785</v>
      </c>
      <c r="E18" s="180" t="s">
        <v>41</v>
      </c>
      <c r="F18" s="180" t="s">
        <v>89</v>
      </c>
      <c r="G18" s="180" t="s">
        <v>82</v>
      </c>
      <c r="H18" s="180" t="s">
        <v>160</v>
      </c>
      <c r="I18" s="180" t="s">
        <v>237</v>
      </c>
      <c r="J18" s="180" t="s">
        <v>174</v>
      </c>
      <c r="K18" s="180" t="s">
        <v>78</v>
      </c>
      <c r="L18" s="180">
        <v>219</v>
      </c>
      <c r="M18" s="250">
        <v>31.507710000000003</v>
      </c>
      <c r="N18" s="180">
        <v>7.08</v>
      </c>
      <c r="O18" s="94">
        <v>2.84</v>
      </c>
      <c r="P18" s="239">
        <f t="shared" si="0"/>
        <v>5.389071729816501</v>
      </c>
      <c r="Q18" s="179" t="str">
        <f t="shared" si="1"/>
        <v>CCME Fish</v>
      </c>
      <c r="R18" s="219">
        <f t="shared" si="2"/>
        <v>-2.0873960201707726</v>
      </c>
      <c r="S18" s="220">
        <f t="shared" si="3"/>
        <v>7.4764677499872736</v>
      </c>
      <c r="T18" s="236">
        <f t="shared" si="8"/>
        <v>3</v>
      </c>
      <c r="U18" s="221" t="str">
        <f t="shared" si="9"/>
        <v>3-MOR-LC10-Juvenile</v>
      </c>
      <c r="V18" s="222" cm="1">
        <f t="array" ref="V18">GEOMEAN(IF(U18=$U$4:$U$176,$S$4:$S$176))</f>
        <v>7.3117177830372153</v>
      </c>
      <c r="W18" s="223">
        <f t="shared" si="7"/>
        <v>4.1442791256084179</v>
      </c>
      <c r="X18" s="225">
        <f t="shared" si="5"/>
        <v>63.072138420366656</v>
      </c>
      <c r="Y18" s="225">
        <f t="shared" si="10"/>
        <v>63.072138420366656</v>
      </c>
      <c r="Z18" s="226"/>
      <c r="AA18" s="226"/>
      <c r="AB18" s="227" t="s">
        <v>1846</v>
      </c>
      <c r="AC18" s="228" t="s">
        <v>1861</v>
      </c>
      <c r="AD18" s="243"/>
      <c r="AE18" s="229" t="s">
        <v>1584</v>
      </c>
      <c r="AG18" s="313" t="s">
        <v>87</v>
      </c>
      <c r="AH18" s="314">
        <v>42.314541000879686</v>
      </c>
      <c r="AI18" s="244"/>
      <c r="AJ18" s="305" t="s">
        <v>1080</v>
      </c>
      <c r="AK18" s="220">
        <v>181.01359178086321</v>
      </c>
    </row>
    <row r="19" spans="1:38" s="182" customFormat="1" x14ac:dyDescent="0.25">
      <c r="B19" s="180">
        <v>111766</v>
      </c>
      <c r="C19" s="217">
        <v>2008</v>
      </c>
      <c r="D19" s="180" t="s">
        <v>920</v>
      </c>
      <c r="E19" s="180" t="s">
        <v>41</v>
      </c>
      <c r="F19" s="180" t="s">
        <v>89</v>
      </c>
      <c r="G19" s="180" t="s">
        <v>82</v>
      </c>
      <c r="H19" s="180" t="s">
        <v>1046</v>
      </c>
      <c r="I19" s="180" t="s">
        <v>81</v>
      </c>
      <c r="J19" s="180" t="s">
        <v>49</v>
      </c>
      <c r="K19" s="180" t="s">
        <v>1020</v>
      </c>
      <c r="L19" s="180">
        <v>199</v>
      </c>
      <c r="M19" s="180">
        <v>19.7</v>
      </c>
      <c r="N19" s="181">
        <v>6.75</v>
      </c>
      <c r="O19" s="94">
        <v>0.5</v>
      </c>
      <c r="P19" s="239">
        <f t="shared" si="0"/>
        <v>5.2933048247244923</v>
      </c>
      <c r="Q19" s="179" t="str">
        <f t="shared" si="1"/>
        <v>CCME Fish</v>
      </c>
      <c r="R19" s="219">
        <f t="shared" si="2"/>
        <v>-2.9544767298133445</v>
      </c>
      <c r="S19" s="220">
        <f t="shared" si="3"/>
        <v>8.2477815545378377</v>
      </c>
      <c r="T19" s="236">
        <f t="shared" si="8"/>
        <v>3</v>
      </c>
      <c r="U19" s="221" t="str">
        <f t="shared" si="9"/>
        <v>3-GRO-EC10-EY</v>
      </c>
      <c r="V19" s="222" cm="1">
        <f t="array" ref="V19">GEOMEAN(IF(U19=$U$4:$U$176,$S$4:$S$176))</f>
        <v>8.4505284190416976</v>
      </c>
      <c r="W19" s="223">
        <f t="shared" si="7"/>
        <v>5.2830897616129002</v>
      </c>
      <c r="X19" s="225">
        <f t="shared" si="5"/>
        <v>196.97754975567682</v>
      </c>
      <c r="Y19" s="225"/>
      <c r="Z19" s="246"/>
      <c r="AA19" s="246"/>
      <c r="AB19" s="227" t="s">
        <v>1846</v>
      </c>
      <c r="AC19" s="243" t="s">
        <v>1798</v>
      </c>
      <c r="AD19" s="243"/>
      <c r="AE19" s="229" t="s">
        <v>1584</v>
      </c>
      <c r="AG19" s="313" t="s">
        <v>1657</v>
      </c>
      <c r="AH19" s="314">
        <v>21.544082508738349</v>
      </c>
      <c r="AI19" s="244"/>
      <c r="AJ19" s="305" t="s">
        <v>89</v>
      </c>
      <c r="AK19" s="220">
        <v>63.072138420366656</v>
      </c>
    </row>
    <row r="20" spans="1:38" s="182" customFormat="1" x14ac:dyDescent="0.25">
      <c r="B20" s="180">
        <v>111766</v>
      </c>
      <c r="C20" s="217">
        <v>2008</v>
      </c>
      <c r="D20" s="180" t="s">
        <v>920</v>
      </c>
      <c r="E20" s="180" t="s">
        <v>41</v>
      </c>
      <c r="F20" s="180" t="s">
        <v>89</v>
      </c>
      <c r="G20" s="180" t="s">
        <v>82</v>
      </c>
      <c r="H20" s="180" t="s">
        <v>1046</v>
      </c>
      <c r="I20" s="180" t="s">
        <v>81</v>
      </c>
      <c r="J20" s="180" t="s">
        <v>49</v>
      </c>
      <c r="K20" s="180" t="s">
        <v>1020</v>
      </c>
      <c r="L20" s="180">
        <v>300</v>
      </c>
      <c r="M20" s="180">
        <v>19.7</v>
      </c>
      <c r="N20" s="181">
        <v>6.75</v>
      </c>
      <c r="O20" s="94">
        <v>0.5</v>
      </c>
      <c r="P20" s="239">
        <f t="shared" si="0"/>
        <v>5.7037824746562009</v>
      </c>
      <c r="Q20" s="179" t="str">
        <f t="shared" si="1"/>
        <v>CCME Fish</v>
      </c>
      <c r="R20" s="219">
        <f t="shared" si="2"/>
        <v>-2.9544767298133445</v>
      </c>
      <c r="S20" s="220">
        <f t="shared" si="3"/>
        <v>8.6582592044695446</v>
      </c>
      <c r="T20" s="236">
        <f t="shared" si="8"/>
        <v>3</v>
      </c>
      <c r="U20" s="221" t="str">
        <f t="shared" si="9"/>
        <v>3-GRO-EC10-EY</v>
      </c>
      <c r="V20" s="222" cm="1">
        <f t="array" ref="V20">GEOMEAN(IF(U20=$U$4:$U$176,$S$4:$S$176))</f>
        <v>8.4505284190416976</v>
      </c>
      <c r="W20" s="223">
        <f t="shared" si="7"/>
        <v>5.2830897616129002</v>
      </c>
      <c r="X20" s="225">
        <f t="shared" si="5"/>
        <v>196.97754975567682</v>
      </c>
      <c r="Y20" s="225"/>
      <c r="Z20" s="226"/>
      <c r="AA20" s="226"/>
      <c r="AB20" s="227" t="s">
        <v>1846</v>
      </c>
      <c r="AC20" s="243" t="s">
        <v>1798</v>
      </c>
      <c r="AD20" s="243"/>
      <c r="AE20" s="229" t="s">
        <v>1584</v>
      </c>
      <c r="AG20" s="313" t="s">
        <v>149</v>
      </c>
      <c r="AH20" s="314">
        <v>94.999872907632408</v>
      </c>
      <c r="AI20" s="244"/>
      <c r="AJ20" s="305" t="s">
        <v>84</v>
      </c>
      <c r="AK20" s="220">
        <v>42.61584562542928</v>
      </c>
    </row>
    <row r="21" spans="1:38" s="182" customFormat="1" x14ac:dyDescent="0.25">
      <c r="B21" s="180">
        <v>111766</v>
      </c>
      <c r="C21" s="217">
        <v>2008</v>
      </c>
      <c r="D21" s="180" t="s">
        <v>920</v>
      </c>
      <c r="E21" s="180" t="s">
        <v>41</v>
      </c>
      <c r="F21" s="180" t="s">
        <v>89</v>
      </c>
      <c r="G21" s="180" t="s">
        <v>82</v>
      </c>
      <c r="H21" s="180" t="s">
        <v>1046</v>
      </c>
      <c r="I21" s="180" t="s">
        <v>237</v>
      </c>
      <c r="J21" s="180" t="s">
        <v>49</v>
      </c>
      <c r="K21" s="180" t="s">
        <v>1020</v>
      </c>
      <c r="L21" s="180">
        <v>88</v>
      </c>
      <c r="M21" s="180">
        <v>19.7</v>
      </c>
      <c r="N21" s="181">
        <v>6.75</v>
      </c>
      <c r="O21" s="94">
        <v>0.5</v>
      </c>
      <c r="P21" s="239">
        <f t="shared" si="0"/>
        <v>4.4773368144782069</v>
      </c>
      <c r="Q21" s="179" t="str">
        <f t="shared" si="1"/>
        <v>CCME Fish</v>
      </c>
      <c r="R21" s="219">
        <f t="shared" si="2"/>
        <v>-2.9544767298133445</v>
      </c>
      <c r="S21" s="220">
        <f t="shared" si="3"/>
        <v>7.4318135442915514</v>
      </c>
      <c r="T21" s="236">
        <f t="shared" si="8"/>
        <v>3</v>
      </c>
      <c r="U21" s="221" t="str">
        <f t="shared" si="9"/>
        <v>3-MOR-EC10-EY</v>
      </c>
      <c r="V21" s="222" cm="1">
        <f t="array" ref="V21">GEOMEAN(IF(U21=$U$4:$U$176,$S$4:$S$176))</f>
        <v>7.4318135442915514</v>
      </c>
      <c r="W21" s="223">
        <f t="shared" si="7"/>
        <v>4.264374886862754</v>
      </c>
      <c r="X21" s="225">
        <f t="shared" si="5"/>
        <v>71.12044774854273</v>
      </c>
      <c r="Y21" s="225"/>
      <c r="Z21" s="226"/>
      <c r="AA21" s="226"/>
      <c r="AB21" s="227" t="s">
        <v>1846</v>
      </c>
      <c r="AC21" s="243" t="s">
        <v>1798</v>
      </c>
      <c r="AD21" s="243"/>
      <c r="AE21" s="229" t="s">
        <v>1584</v>
      </c>
      <c r="AG21" s="313" t="s">
        <v>1791</v>
      </c>
      <c r="AH21" s="314">
        <v>8.7275229195383233</v>
      </c>
      <c r="AI21" s="244"/>
      <c r="AJ21" s="305" t="s">
        <v>1094</v>
      </c>
      <c r="AK21" s="220">
        <v>81.887918768257578</v>
      </c>
    </row>
    <row r="22" spans="1:38" s="182" customFormat="1" x14ac:dyDescent="0.25">
      <c r="B22" s="241"/>
      <c r="C22" s="217">
        <v>1985</v>
      </c>
      <c r="D22" s="180" t="s">
        <v>1233</v>
      </c>
      <c r="E22" s="180" t="s">
        <v>41</v>
      </c>
      <c r="F22" s="180" t="s">
        <v>84</v>
      </c>
      <c r="G22" s="180" t="s">
        <v>82</v>
      </c>
      <c r="H22" s="180" t="s">
        <v>1252</v>
      </c>
      <c r="I22" s="180" t="s">
        <v>81</v>
      </c>
      <c r="J22" s="180" t="s">
        <v>1062</v>
      </c>
      <c r="K22" s="217">
        <v>7</v>
      </c>
      <c r="L22" s="217">
        <v>83.9</v>
      </c>
      <c r="M22" s="180">
        <v>48</v>
      </c>
      <c r="N22" s="181">
        <v>7.6</v>
      </c>
      <c r="O22" s="94">
        <v>1.1000000000000001</v>
      </c>
      <c r="P22" s="239">
        <f t="shared" si="0"/>
        <v>4.4296256134731609</v>
      </c>
      <c r="Q22" s="179" t="str">
        <f t="shared" si="1"/>
        <v>CCME Fish</v>
      </c>
      <c r="R22" s="219">
        <f t="shared" si="2"/>
        <v>-2.4900391911081052</v>
      </c>
      <c r="S22" s="220">
        <f t="shared" si="3"/>
        <v>6.9196648045812665</v>
      </c>
      <c r="T22" s="236">
        <f t="shared" si="8"/>
        <v>4</v>
      </c>
      <c r="U22" s="221" t="str">
        <f t="shared" si="9"/>
        <v>4-GRO-IC10-Larval (&lt;24h old)</v>
      </c>
      <c r="V22" s="222" cm="1">
        <f t="array" ref="V22">GEOMEAN(IF(U22=$U$4:$U$176,$S$4:$S$176))</f>
        <v>6.9196648045812665</v>
      </c>
      <c r="W22" s="223">
        <f t="shared" si="7"/>
        <v>3.7522261471524696</v>
      </c>
      <c r="X22" s="225">
        <f t="shared" si="5"/>
        <v>42.61584562542928</v>
      </c>
      <c r="Y22" s="225">
        <f t="shared" ref="Y22:Y24" si="11">X22</f>
        <v>42.61584562542928</v>
      </c>
      <c r="Z22" s="226"/>
      <c r="AA22" s="180"/>
      <c r="AB22" s="227" t="s">
        <v>1846</v>
      </c>
      <c r="AC22" s="228" t="s">
        <v>1863</v>
      </c>
      <c r="AD22" s="228"/>
      <c r="AE22" s="229" t="s">
        <v>1584</v>
      </c>
      <c r="AG22" s="313" t="s">
        <v>1792</v>
      </c>
      <c r="AH22" s="314">
        <v>10.031635539699227</v>
      </c>
      <c r="AI22" s="244"/>
      <c r="AJ22" s="249" t="s">
        <v>1303</v>
      </c>
      <c r="AK22" s="244"/>
    </row>
    <row r="23" spans="1:38" s="182" customFormat="1" x14ac:dyDescent="0.25">
      <c r="B23" s="180">
        <v>117718</v>
      </c>
      <c r="C23" s="217">
        <v>2008</v>
      </c>
      <c r="D23" s="180" t="s">
        <v>1093</v>
      </c>
      <c r="E23" s="180" t="s">
        <v>41</v>
      </c>
      <c r="F23" s="180" t="s">
        <v>1094</v>
      </c>
      <c r="G23" s="180" t="s">
        <v>82</v>
      </c>
      <c r="H23" s="257" t="s">
        <v>1590</v>
      </c>
      <c r="I23" s="180" t="s">
        <v>81</v>
      </c>
      <c r="J23" s="180" t="s">
        <v>1062</v>
      </c>
      <c r="K23" s="180" t="s">
        <v>557</v>
      </c>
      <c r="L23" s="180">
        <v>380</v>
      </c>
      <c r="M23" s="180">
        <v>47.8</v>
      </c>
      <c r="N23" s="181">
        <v>6.81</v>
      </c>
      <c r="O23" s="94">
        <v>1.9</v>
      </c>
      <c r="P23" s="239">
        <f t="shared" si="0"/>
        <v>5.9401712527204316</v>
      </c>
      <c r="Q23" s="179" t="str">
        <f t="shared" si="1"/>
        <v>CCME Fish</v>
      </c>
      <c r="R23" s="219">
        <f t="shared" si="2"/>
        <v>-1.6326188726993394</v>
      </c>
      <c r="S23" s="220">
        <f t="shared" si="3"/>
        <v>7.5727901254197709</v>
      </c>
      <c r="T23" s="236">
        <f t="shared" si="8"/>
        <v>5</v>
      </c>
      <c r="U23" s="221" t="str">
        <f t="shared" si="9"/>
        <v>5-GRO-IC10-Eyed egg to fry</v>
      </c>
      <c r="V23" s="222" cm="1">
        <f t="array" ref="V23">GEOMEAN(IF(U23=$U$4:$U$176,$S$4:$S$176))</f>
        <v>7.5727901254197709</v>
      </c>
      <c r="W23" s="223">
        <f t="shared" si="7"/>
        <v>4.4053514679909735</v>
      </c>
      <c r="X23" s="225">
        <f t="shared" si="5"/>
        <v>81.887918768257578</v>
      </c>
      <c r="Y23" s="225">
        <f t="shared" si="11"/>
        <v>81.887918768257578</v>
      </c>
      <c r="Z23" s="226"/>
      <c r="AA23" s="226"/>
      <c r="AB23" s="227" t="s">
        <v>1846</v>
      </c>
      <c r="AC23" s="243" t="s">
        <v>1798</v>
      </c>
      <c r="AD23" s="243"/>
      <c r="AE23" s="229" t="s">
        <v>1584</v>
      </c>
      <c r="AG23" s="313" t="s">
        <v>1793</v>
      </c>
      <c r="AH23" s="314">
        <v>11.034799093669148</v>
      </c>
      <c r="AI23" s="244"/>
      <c r="AJ23" s="305" t="s">
        <v>567</v>
      </c>
      <c r="AK23" s="220">
        <v>0.90625925119845641</v>
      </c>
    </row>
    <row r="24" spans="1:38" s="182" customFormat="1" x14ac:dyDescent="0.25">
      <c r="B24" s="267"/>
      <c r="C24" s="217">
        <v>2015</v>
      </c>
      <c r="D24" s="180" t="s">
        <v>1491</v>
      </c>
      <c r="E24" s="180" t="s">
        <v>41</v>
      </c>
      <c r="F24" s="180" t="s">
        <v>63</v>
      </c>
      <c r="G24" s="180" t="s">
        <v>260</v>
      </c>
      <c r="H24" s="180" t="s">
        <v>67</v>
      </c>
      <c r="I24" s="180" t="s">
        <v>68</v>
      </c>
      <c r="J24" s="180" t="s">
        <v>49</v>
      </c>
      <c r="K24" s="180" t="s">
        <v>70</v>
      </c>
      <c r="L24" s="180">
        <v>46.6</v>
      </c>
      <c r="M24" s="180">
        <v>40</v>
      </c>
      <c r="N24" s="180">
        <v>7.5</v>
      </c>
      <c r="O24" s="94">
        <v>0.5</v>
      </c>
      <c r="P24" s="239">
        <f t="shared" si="0"/>
        <v>3.8416005411316001</v>
      </c>
      <c r="Q24" s="262" t="str">
        <f t="shared" ref="Q24:Q55" si="12">$AG$5</f>
        <v>Gadd Daph</v>
      </c>
      <c r="R24" s="263">
        <f t="shared" ref="R24:R55" si="13">$AI$5*N24+$AH$5*LN(M24)+$AJ$5*LN(O24)+$AK$5*LN(O24)*N24</f>
        <v>-3.033706241448658</v>
      </c>
      <c r="S24" s="220">
        <f t="shared" si="3"/>
        <v>6.8753067825802585</v>
      </c>
      <c r="T24" s="236">
        <f t="shared" si="8"/>
        <v>6</v>
      </c>
      <c r="U24" s="221" t="str">
        <f t="shared" si="9"/>
        <v>6-Survival &amp; reproduction-EC10-Neonates, &lt;24-h old</v>
      </c>
      <c r="V24" s="222" cm="1">
        <f t="array" ref="V24">GEOMEAN(IF(U24=$U$4:$U$176,$S$4:$S$176))</f>
        <v>6.8753067825802585</v>
      </c>
      <c r="W24" s="264">
        <f t="shared" ref="W24:W55" si="14">V24+$AI$5*$AI$2+$AH$5*LN($AH$2)+$AJ$5*LN($AJ$2)+$AK$5*LN($AJ$2)*$AI$2</f>
        <v>3.7524190986715484</v>
      </c>
      <c r="X24" s="225">
        <f t="shared" si="5"/>
        <v>42.624069210930678</v>
      </c>
      <c r="Y24" s="225">
        <f t="shared" si="11"/>
        <v>42.624069210930678</v>
      </c>
      <c r="Z24" s="268"/>
      <c r="AA24" s="268"/>
      <c r="AB24" s="246"/>
      <c r="AC24" s="269" t="s">
        <v>1772</v>
      </c>
      <c r="AD24" s="270">
        <v>0.84</v>
      </c>
      <c r="AE24" s="269" t="s">
        <v>1859</v>
      </c>
      <c r="AG24" s="313" t="s">
        <v>1380</v>
      </c>
      <c r="AH24" s="314">
        <v>40.488598573045472</v>
      </c>
      <c r="AI24" s="244"/>
      <c r="AJ24" s="305" t="s">
        <v>1724</v>
      </c>
      <c r="AK24" s="220">
        <v>569.9745755015324</v>
      </c>
    </row>
    <row r="25" spans="1:38" s="182" customFormat="1" x14ac:dyDescent="0.25">
      <c r="B25" s="180"/>
      <c r="C25" s="217">
        <v>2022</v>
      </c>
      <c r="D25" s="180" t="s">
        <v>1654</v>
      </c>
      <c r="E25" s="180" t="s">
        <v>1673</v>
      </c>
      <c r="F25" s="180" t="s">
        <v>63</v>
      </c>
      <c r="G25" s="180" t="s">
        <v>260</v>
      </c>
      <c r="H25" s="180" t="s">
        <v>67</v>
      </c>
      <c r="I25" s="180" t="s">
        <v>76</v>
      </c>
      <c r="J25" s="180" t="s">
        <v>49</v>
      </c>
      <c r="K25" s="180">
        <v>7</v>
      </c>
      <c r="L25" s="180">
        <v>52</v>
      </c>
      <c r="M25" s="180">
        <v>18</v>
      </c>
      <c r="N25" s="180">
        <v>7.2</v>
      </c>
      <c r="O25" s="94">
        <v>5</v>
      </c>
      <c r="P25" s="239">
        <f t="shared" si="0"/>
        <v>3.9512437185814275</v>
      </c>
      <c r="Q25" s="262" t="str">
        <f t="shared" si="12"/>
        <v>Gadd Daph</v>
      </c>
      <c r="R25" s="263">
        <f t="shared" si="13"/>
        <v>-2.3200891197738041</v>
      </c>
      <c r="S25" s="220">
        <f t="shared" si="3"/>
        <v>6.2713328383552316</v>
      </c>
      <c r="T25" s="236">
        <f t="shared" si="8"/>
        <v>6</v>
      </c>
      <c r="U25" s="221"/>
      <c r="V25" s="222" t="e" cm="1">
        <f t="array" ref="V25">GEOMEAN(IF(U25=$U$4:$U$176,$S$4:$S$176))</f>
        <v>#NUM!</v>
      </c>
      <c r="W25" s="264" t="e">
        <f t="shared" si="14"/>
        <v>#NUM!</v>
      </c>
      <c r="X25" s="225" t="e">
        <f t="shared" si="5"/>
        <v>#NUM!</v>
      </c>
      <c r="Y25" s="225"/>
      <c r="Z25" s="226"/>
      <c r="AA25" s="194" t="s">
        <v>1874</v>
      </c>
      <c r="AB25" s="246"/>
      <c r="AC25" s="243" t="s">
        <v>1772</v>
      </c>
      <c r="AD25" s="251">
        <v>0.87</v>
      </c>
      <c r="AE25" s="243" t="s">
        <v>1859</v>
      </c>
      <c r="AG25" s="313" t="s">
        <v>1549</v>
      </c>
      <c r="AH25" s="314">
        <v>171.05747623683536</v>
      </c>
      <c r="AI25" s="244"/>
      <c r="AJ25" s="305" t="s">
        <v>344</v>
      </c>
      <c r="AK25" s="220">
        <v>16.883638711368956</v>
      </c>
    </row>
    <row r="26" spans="1:38" s="182" customFormat="1" x14ac:dyDescent="0.25">
      <c r="B26" s="180"/>
      <c r="C26" s="217">
        <v>2022</v>
      </c>
      <c r="D26" s="180" t="s">
        <v>1654</v>
      </c>
      <c r="E26" s="180" t="s">
        <v>1674</v>
      </c>
      <c r="F26" s="180" t="s">
        <v>63</v>
      </c>
      <c r="G26" s="180" t="s">
        <v>260</v>
      </c>
      <c r="H26" s="180" t="s">
        <v>67</v>
      </c>
      <c r="I26" s="180" t="s">
        <v>76</v>
      </c>
      <c r="J26" s="180" t="s">
        <v>49</v>
      </c>
      <c r="K26" s="180">
        <v>7</v>
      </c>
      <c r="L26" s="180">
        <v>83</v>
      </c>
      <c r="M26" s="180">
        <v>23</v>
      </c>
      <c r="N26" s="180">
        <v>7.68</v>
      </c>
      <c r="O26" s="94">
        <v>2</v>
      </c>
      <c r="P26" s="239">
        <f t="shared" si="0"/>
        <v>4.4188406077965983</v>
      </c>
      <c r="Q26" s="262" t="str">
        <f t="shared" si="12"/>
        <v>Gadd Daph</v>
      </c>
      <c r="R26" s="263">
        <f t="shared" si="13"/>
        <v>-2.714393962637796</v>
      </c>
      <c r="S26" s="220">
        <f t="shared" si="3"/>
        <v>7.1332345704343947</v>
      </c>
      <c r="T26" s="236">
        <f t="shared" si="8"/>
        <v>6</v>
      </c>
      <c r="U26" s="221" t="str">
        <f t="shared" ref="U26:U35" si="15">CONCATENATE(T26,"-",I26,"-",J26,"-",H26)</f>
        <v>6-REP-EC10-Neonates, &lt;24-h old</v>
      </c>
      <c r="V26" s="222" cm="1">
        <f t="array" ref="V26">GEOMEAN(IF(U26=$U$4:$U$176,$S$4:$S$176))</f>
        <v>5.9159169754321423</v>
      </c>
      <c r="W26" s="264">
        <f t="shared" si="14"/>
        <v>2.7930292915234323</v>
      </c>
      <c r="X26" s="225">
        <f t="shared" si="5"/>
        <v>16.330414534816853</v>
      </c>
      <c r="Y26" s="225">
        <f t="shared" ref="Y26" si="16">X26</f>
        <v>16.330414534816853</v>
      </c>
      <c r="Z26" s="226"/>
      <c r="AA26" s="226"/>
      <c r="AB26" s="246"/>
      <c r="AC26" s="243" t="s">
        <v>1772</v>
      </c>
      <c r="AD26" s="251">
        <v>0.87</v>
      </c>
      <c r="AE26" s="243" t="s">
        <v>1859</v>
      </c>
      <c r="AG26" s="313" t="s">
        <v>89</v>
      </c>
      <c r="AH26" s="314">
        <v>63.072138420366656</v>
      </c>
      <c r="AI26" s="244"/>
      <c r="AJ26" s="249" t="s">
        <v>153</v>
      </c>
      <c r="AK26" s="244"/>
    </row>
    <row r="27" spans="1:38" s="182" customFormat="1" x14ac:dyDescent="0.25">
      <c r="A27" s="182" t="s">
        <v>1879</v>
      </c>
      <c r="B27" s="180"/>
      <c r="C27" s="217">
        <v>2017</v>
      </c>
      <c r="D27" s="180" t="s">
        <v>1685</v>
      </c>
      <c r="E27" s="180" t="s">
        <v>1687</v>
      </c>
      <c r="F27" s="180" t="s">
        <v>63</v>
      </c>
      <c r="G27" s="180" t="s">
        <v>260</v>
      </c>
      <c r="H27" s="180" t="s">
        <v>67</v>
      </c>
      <c r="I27" s="180" t="s">
        <v>76</v>
      </c>
      <c r="J27" s="180" t="s">
        <v>49</v>
      </c>
      <c r="K27" s="180">
        <v>7</v>
      </c>
      <c r="L27" s="180">
        <v>73</v>
      </c>
      <c r="M27" s="250">
        <v>213.11359999999996</v>
      </c>
      <c r="N27" s="180">
        <v>8.3000000000000007</v>
      </c>
      <c r="O27" s="94">
        <v>16.399999999999999</v>
      </c>
      <c r="P27" s="239">
        <f t="shared" si="0"/>
        <v>4.290459441148391</v>
      </c>
      <c r="Q27" s="262" t="str">
        <f t="shared" si="12"/>
        <v>Gadd Daph</v>
      </c>
      <c r="R27" s="263">
        <f t="shared" si="13"/>
        <v>-0.99784358915051374</v>
      </c>
      <c r="S27" s="220">
        <f t="shared" si="3"/>
        <v>5.2883030302989047</v>
      </c>
      <c r="T27" s="236">
        <f t="shared" si="8"/>
        <v>6</v>
      </c>
      <c r="U27" s="221" t="str">
        <f t="shared" si="15"/>
        <v>6-REP-EC10-Neonates, &lt;24-h old</v>
      </c>
      <c r="V27" s="222" cm="1">
        <f t="array" ref="V27">GEOMEAN(IF(U27=$U$4:$U$176,$S$4:$S$176))</f>
        <v>5.9159169754321423</v>
      </c>
      <c r="W27" s="264">
        <f t="shared" si="14"/>
        <v>2.7930292915234323</v>
      </c>
      <c r="X27" s="225">
        <f t="shared" si="5"/>
        <v>16.330414534816853</v>
      </c>
      <c r="Y27" s="225">
        <f>X27</f>
        <v>16.330414534816853</v>
      </c>
      <c r="Z27" s="226"/>
      <c r="AA27" s="226"/>
      <c r="AB27" s="254"/>
      <c r="AC27" s="243" t="s">
        <v>1772</v>
      </c>
      <c r="AD27" s="251">
        <v>0.84</v>
      </c>
      <c r="AE27" s="243" t="s">
        <v>1859</v>
      </c>
      <c r="AG27" s="313" t="s">
        <v>146</v>
      </c>
      <c r="AH27" s="314">
        <v>5533.2436974696711</v>
      </c>
      <c r="AI27" s="244"/>
      <c r="AJ27" s="305" t="s">
        <v>981</v>
      </c>
      <c r="AK27" s="220">
        <v>2205.4795080758822</v>
      </c>
    </row>
    <row r="28" spans="1:38" s="182" customFormat="1" x14ac:dyDescent="0.25">
      <c r="A28" s="182" t="s">
        <v>1880</v>
      </c>
      <c r="B28" s="180"/>
      <c r="C28" s="217">
        <v>2017</v>
      </c>
      <c r="D28" s="180" t="s">
        <v>1685</v>
      </c>
      <c r="E28" s="180" t="s">
        <v>1688</v>
      </c>
      <c r="F28" s="180" t="s">
        <v>63</v>
      </c>
      <c r="G28" s="180" t="s">
        <v>260</v>
      </c>
      <c r="H28" s="180" t="s">
        <v>67</v>
      </c>
      <c r="I28" s="180" t="s">
        <v>76</v>
      </c>
      <c r="J28" s="180" t="s">
        <v>49</v>
      </c>
      <c r="K28" s="180">
        <v>7</v>
      </c>
      <c r="L28" s="180">
        <v>111</v>
      </c>
      <c r="M28" s="250">
        <v>225.565</v>
      </c>
      <c r="N28" s="180">
        <v>8.1</v>
      </c>
      <c r="O28" s="94">
        <v>9.5</v>
      </c>
      <c r="P28" s="239">
        <f t="shared" si="0"/>
        <v>4.7095302013123339</v>
      </c>
      <c r="Q28" s="262" t="str">
        <f t="shared" si="12"/>
        <v>Gadd Daph</v>
      </c>
      <c r="R28" s="263">
        <f t="shared" si="13"/>
        <v>-1.3075286681773663</v>
      </c>
      <c r="S28" s="220">
        <f t="shared" si="3"/>
        <v>6.0170588694897003</v>
      </c>
      <c r="T28" s="236">
        <f t="shared" si="8"/>
        <v>6</v>
      </c>
      <c r="U28" s="221" t="str">
        <f t="shared" si="15"/>
        <v>6-REP-EC10-Neonates, &lt;24-h old</v>
      </c>
      <c r="V28" s="222" cm="1">
        <f t="array" ref="V28">GEOMEAN(IF(U28=$U$4:$U$176,$S$4:$S$176))</f>
        <v>5.9159169754321423</v>
      </c>
      <c r="W28" s="264">
        <f t="shared" si="14"/>
        <v>2.7930292915234323</v>
      </c>
      <c r="X28" s="225">
        <f t="shared" si="5"/>
        <v>16.330414534816853</v>
      </c>
      <c r="Y28" s="225">
        <f t="shared" ref="Y28:Y35" si="17">X28</f>
        <v>16.330414534816853</v>
      </c>
      <c r="Z28" s="226"/>
      <c r="AA28" s="226"/>
      <c r="AB28" s="272"/>
      <c r="AC28" s="243" t="s">
        <v>1772</v>
      </c>
      <c r="AD28" s="251">
        <v>0.84</v>
      </c>
      <c r="AE28" s="243" t="s">
        <v>1859</v>
      </c>
      <c r="AG28" s="313" t="s">
        <v>84</v>
      </c>
      <c r="AH28" s="314">
        <v>42.61584562542928</v>
      </c>
      <c r="AJ28" s="249" t="s">
        <v>183</v>
      </c>
      <c r="AK28" s="244"/>
    </row>
    <row r="29" spans="1:38" s="182" customFormat="1" x14ac:dyDescent="0.25">
      <c r="A29" s="182" t="s">
        <v>1881</v>
      </c>
      <c r="B29" s="180"/>
      <c r="C29" s="217">
        <v>2017</v>
      </c>
      <c r="D29" s="180" t="s">
        <v>1685</v>
      </c>
      <c r="E29" s="180" t="s">
        <v>1689</v>
      </c>
      <c r="F29" s="180" t="s">
        <v>63</v>
      </c>
      <c r="G29" s="180" t="s">
        <v>260</v>
      </c>
      <c r="H29" s="180" t="s">
        <v>67</v>
      </c>
      <c r="I29" s="180" t="s">
        <v>76</v>
      </c>
      <c r="J29" s="180" t="s">
        <v>49</v>
      </c>
      <c r="K29" s="180">
        <v>7</v>
      </c>
      <c r="L29" s="180">
        <v>64</v>
      </c>
      <c r="M29" s="250">
        <v>80.413200000000003</v>
      </c>
      <c r="N29" s="180">
        <v>8</v>
      </c>
      <c r="O29" s="94">
        <v>13.1</v>
      </c>
      <c r="P29" s="239">
        <f t="shared" si="0"/>
        <v>4.1588830833596715</v>
      </c>
      <c r="Q29" s="262" t="str">
        <f t="shared" si="12"/>
        <v>Gadd Daph</v>
      </c>
      <c r="R29" s="263">
        <f t="shared" si="13"/>
        <v>-1.462216354330125</v>
      </c>
      <c r="S29" s="220">
        <f t="shared" si="3"/>
        <v>5.6210994376897965</v>
      </c>
      <c r="T29" s="236">
        <f t="shared" si="8"/>
        <v>6</v>
      </c>
      <c r="U29" s="221" t="str">
        <f t="shared" si="15"/>
        <v>6-REP-EC10-Neonates, &lt;24-h old</v>
      </c>
      <c r="V29" s="222" cm="1">
        <f t="array" ref="V29">GEOMEAN(IF(U29=$U$4:$U$176,$S$4:$S$176))</f>
        <v>5.9159169754321423</v>
      </c>
      <c r="W29" s="264">
        <f t="shared" si="14"/>
        <v>2.7930292915234323</v>
      </c>
      <c r="X29" s="225">
        <f t="shared" si="5"/>
        <v>16.330414534816853</v>
      </c>
      <c r="Y29" s="225">
        <f t="shared" si="17"/>
        <v>16.330414534816853</v>
      </c>
      <c r="Z29" s="226"/>
      <c r="AA29" s="226"/>
      <c r="AB29" s="254"/>
      <c r="AC29" s="243" t="s">
        <v>1772</v>
      </c>
      <c r="AD29" s="251">
        <v>0.84</v>
      </c>
      <c r="AE29" s="243" t="s">
        <v>1859</v>
      </c>
      <c r="AG29" s="313" t="s">
        <v>1094</v>
      </c>
      <c r="AH29" s="314">
        <v>81.887918768257578</v>
      </c>
      <c r="AJ29" s="305" t="s">
        <v>1786</v>
      </c>
      <c r="AK29" s="220">
        <v>14.044289755578918</v>
      </c>
    </row>
    <row r="30" spans="1:38" s="182" customFormat="1" x14ac:dyDescent="0.25">
      <c r="A30" s="182" t="s">
        <v>1882</v>
      </c>
      <c r="B30" s="180"/>
      <c r="C30" s="217">
        <v>2017</v>
      </c>
      <c r="D30" s="180" t="s">
        <v>1685</v>
      </c>
      <c r="E30" s="180" t="s">
        <v>1690</v>
      </c>
      <c r="F30" s="180" t="s">
        <v>63</v>
      </c>
      <c r="G30" s="180" t="s">
        <v>260</v>
      </c>
      <c r="H30" s="180" t="s">
        <v>67</v>
      </c>
      <c r="I30" s="180" t="s">
        <v>76</v>
      </c>
      <c r="J30" s="180" t="s">
        <v>49</v>
      </c>
      <c r="K30" s="180">
        <v>7</v>
      </c>
      <c r="L30" s="180">
        <v>89</v>
      </c>
      <c r="M30" s="250">
        <v>45.998000000000005</v>
      </c>
      <c r="N30" s="180">
        <v>7.2</v>
      </c>
      <c r="O30" s="94">
        <v>4.9000000000000004</v>
      </c>
      <c r="P30" s="239">
        <f t="shared" si="0"/>
        <v>4.4886363697321396</v>
      </c>
      <c r="Q30" s="262" t="str">
        <f t="shared" si="12"/>
        <v>Gadd Daph</v>
      </c>
      <c r="R30" s="263">
        <f t="shared" si="13"/>
        <v>-2.0358654983640263</v>
      </c>
      <c r="S30" s="220">
        <f t="shared" si="3"/>
        <v>6.5245018680961664</v>
      </c>
      <c r="T30" s="236">
        <f t="shared" si="8"/>
        <v>6</v>
      </c>
      <c r="U30" s="221" t="str">
        <f t="shared" si="15"/>
        <v>6-REP-EC10-Neonates, &lt;24-h old</v>
      </c>
      <c r="V30" s="222" cm="1">
        <f t="array" ref="V30">GEOMEAN(IF(U30=$U$4:$U$176,$S$4:$S$176))</f>
        <v>5.9159169754321423</v>
      </c>
      <c r="W30" s="264">
        <f t="shared" si="14"/>
        <v>2.7930292915234323</v>
      </c>
      <c r="X30" s="225">
        <f t="shared" si="5"/>
        <v>16.330414534816853</v>
      </c>
      <c r="Y30" s="225">
        <f t="shared" si="17"/>
        <v>16.330414534816853</v>
      </c>
      <c r="Z30" s="226"/>
      <c r="AA30" s="226"/>
      <c r="AB30" s="272"/>
      <c r="AC30" s="243" t="s">
        <v>1772</v>
      </c>
      <c r="AD30" s="251">
        <v>0.84</v>
      </c>
      <c r="AE30" s="243" t="s">
        <v>1859</v>
      </c>
      <c r="AG30" s="313" t="s">
        <v>344</v>
      </c>
      <c r="AH30" s="314">
        <v>16.883638711368956</v>
      </c>
      <c r="AI30" s="183"/>
      <c r="AJ30" s="305" t="s">
        <v>1790</v>
      </c>
      <c r="AK30" s="220">
        <v>8.4265738533473513</v>
      </c>
    </row>
    <row r="31" spans="1:38" s="182" customFormat="1" x14ac:dyDescent="0.25">
      <c r="A31" s="182" t="s">
        <v>1883</v>
      </c>
      <c r="B31" s="180"/>
      <c r="C31" s="217">
        <v>2017</v>
      </c>
      <c r="D31" s="180" t="s">
        <v>1685</v>
      </c>
      <c r="E31" s="180" t="s">
        <v>1692</v>
      </c>
      <c r="F31" s="180" t="s">
        <v>63</v>
      </c>
      <c r="G31" s="180" t="s">
        <v>260</v>
      </c>
      <c r="H31" s="180" t="s">
        <v>67</v>
      </c>
      <c r="I31" s="180" t="s">
        <v>76</v>
      </c>
      <c r="J31" s="180" t="s">
        <v>49</v>
      </c>
      <c r="K31" s="180">
        <v>7</v>
      </c>
      <c r="L31" s="180">
        <v>98</v>
      </c>
      <c r="M31" s="250">
        <v>103.429</v>
      </c>
      <c r="N31" s="180">
        <v>7.2</v>
      </c>
      <c r="O31" s="94">
        <v>4.8</v>
      </c>
      <c r="P31" s="239">
        <f t="shared" si="0"/>
        <v>4.5849674786705723</v>
      </c>
      <c r="Q31" s="262" t="str">
        <f t="shared" si="12"/>
        <v>Gadd Daph</v>
      </c>
      <c r="R31" s="263">
        <f t="shared" si="13"/>
        <v>-1.7914395089641086</v>
      </c>
      <c r="S31" s="220">
        <f t="shared" si="3"/>
        <v>6.3764069876346809</v>
      </c>
      <c r="T31" s="236">
        <f t="shared" si="8"/>
        <v>6</v>
      </c>
      <c r="U31" s="221" t="str">
        <f t="shared" si="15"/>
        <v>6-REP-EC10-Neonates, &lt;24-h old</v>
      </c>
      <c r="V31" s="222" cm="1">
        <f t="array" ref="V31">GEOMEAN(IF(U31=$U$4:$U$176,$S$4:$S$176))</f>
        <v>5.9159169754321423</v>
      </c>
      <c r="W31" s="264">
        <f t="shared" si="14"/>
        <v>2.7930292915234323</v>
      </c>
      <c r="X31" s="225">
        <f t="shared" si="5"/>
        <v>16.330414534816853</v>
      </c>
      <c r="Y31" s="225">
        <f t="shared" si="17"/>
        <v>16.330414534816853</v>
      </c>
      <c r="Z31" s="226"/>
      <c r="AA31" s="226"/>
      <c r="AB31" s="254"/>
      <c r="AC31" s="243" t="s">
        <v>1772</v>
      </c>
      <c r="AD31" s="251">
        <v>0.84</v>
      </c>
      <c r="AE31" s="243" t="s">
        <v>1859</v>
      </c>
      <c r="AG31" s="313" t="s">
        <v>981</v>
      </c>
      <c r="AH31" s="314">
        <v>2205.4795080758822</v>
      </c>
      <c r="AI31" s="183"/>
      <c r="AJ31" s="305" t="s">
        <v>149</v>
      </c>
      <c r="AK31" s="220">
        <v>94.999872907632408</v>
      </c>
      <c r="AL31" s="183"/>
    </row>
    <row r="32" spans="1:38" s="182" customFormat="1" x14ac:dyDescent="0.25">
      <c r="A32" s="182" t="s">
        <v>1884</v>
      </c>
      <c r="B32" s="180"/>
      <c r="C32" s="217">
        <v>2017</v>
      </c>
      <c r="D32" s="180" t="s">
        <v>1685</v>
      </c>
      <c r="E32" s="180" t="s">
        <v>1693</v>
      </c>
      <c r="F32" s="180" t="s">
        <v>63</v>
      </c>
      <c r="G32" s="180" t="s">
        <v>260</v>
      </c>
      <c r="H32" s="180" t="s">
        <v>67</v>
      </c>
      <c r="I32" s="180" t="s">
        <v>76</v>
      </c>
      <c r="J32" s="180" t="s">
        <v>49</v>
      </c>
      <c r="K32" s="180">
        <v>7</v>
      </c>
      <c r="L32" s="180">
        <v>14</v>
      </c>
      <c r="M32" s="250">
        <v>45.998000000000005</v>
      </c>
      <c r="N32" s="180">
        <v>7.8</v>
      </c>
      <c r="O32" s="94">
        <v>4.7</v>
      </c>
      <c r="P32" s="239">
        <f t="shared" si="0"/>
        <v>2.6390573296152584</v>
      </c>
      <c r="Q32" s="262" t="str">
        <f t="shared" si="12"/>
        <v>Gadd Daph</v>
      </c>
      <c r="R32" s="263">
        <f t="shared" si="13"/>
        <v>-2.1386851415283061</v>
      </c>
      <c r="S32" s="220">
        <f t="shared" si="3"/>
        <v>4.777742471143565</v>
      </c>
      <c r="T32" s="236">
        <f t="shared" si="8"/>
        <v>6</v>
      </c>
      <c r="U32" s="221" t="str">
        <f t="shared" si="15"/>
        <v>6-REP-EC10-Neonates, &lt;24-h old</v>
      </c>
      <c r="V32" s="222" cm="1">
        <f t="array" ref="V32">GEOMEAN(IF(U32=$U$4:$U$176,$S$4:$S$176))</f>
        <v>5.9159169754321423</v>
      </c>
      <c r="W32" s="264">
        <f t="shared" si="14"/>
        <v>2.7930292915234323</v>
      </c>
      <c r="X32" s="225">
        <f t="shared" si="5"/>
        <v>16.330414534816853</v>
      </c>
      <c r="Y32" s="225">
        <f t="shared" si="17"/>
        <v>16.330414534816853</v>
      </c>
      <c r="Z32" s="226"/>
      <c r="AA32" s="226"/>
      <c r="AB32" s="272"/>
      <c r="AC32" s="243" t="s">
        <v>1772</v>
      </c>
      <c r="AD32" s="251">
        <v>0.84</v>
      </c>
      <c r="AE32" s="243" t="s">
        <v>1859</v>
      </c>
      <c r="AG32" s="313" t="s">
        <v>140</v>
      </c>
      <c r="AH32" s="314">
        <v>15.047453309548844</v>
      </c>
      <c r="AI32" s="183"/>
      <c r="AJ32" s="305" t="s">
        <v>1791</v>
      </c>
      <c r="AK32" s="220">
        <v>8.7275229195383233</v>
      </c>
      <c r="AL32" s="183"/>
    </row>
    <row r="33" spans="1:38" s="182" customFormat="1" x14ac:dyDescent="0.25">
      <c r="A33" s="183"/>
      <c r="B33" s="241"/>
      <c r="C33" s="217">
        <v>1991</v>
      </c>
      <c r="D33" s="180" t="s">
        <v>1605</v>
      </c>
      <c r="E33" s="180" t="s">
        <v>41</v>
      </c>
      <c r="F33" s="180" t="s">
        <v>87</v>
      </c>
      <c r="G33" s="180" t="s">
        <v>260</v>
      </c>
      <c r="H33" s="180" t="s">
        <v>1606</v>
      </c>
      <c r="I33" s="180" t="s">
        <v>76</v>
      </c>
      <c r="J33" s="180" t="s">
        <v>1062</v>
      </c>
      <c r="K33" s="217">
        <v>21</v>
      </c>
      <c r="L33" s="217">
        <v>67.599999999999994</v>
      </c>
      <c r="M33" s="180">
        <v>64.900000000000006</v>
      </c>
      <c r="N33" s="180">
        <v>7.7</v>
      </c>
      <c r="O33" s="94">
        <v>0.5</v>
      </c>
      <c r="P33" s="239">
        <f t="shared" si="0"/>
        <v>4.2136079830489184</v>
      </c>
      <c r="Q33" s="262" t="str">
        <f t="shared" si="12"/>
        <v>Gadd Daph</v>
      </c>
      <c r="R33" s="263">
        <f t="shared" si="13"/>
        <v>-3.0209471735407423</v>
      </c>
      <c r="S33" s="220">
        <f t="shared" si="3"/>
        <v>7.2345551565896606</v>
      </c>
      <c r="T33" s="236">
        <f t="shared" si="8"/>
        <v>7</v>
      </c>
      <c r="U33" s="221" t="str">
        <f t="shared" si="15"/>
        <v>7-REP-IC10-&lt; 48 hrs old</v>
      </c>
      <c r="V33" s="222" cm="1">
        <f t="array" ref="V33">GEOMEAN(IF(U33=$U$4:$U$176,$S$4:$S$176))</f>
        <v>7.2345551565896606</v>
      </c>
      <c r="W33" s="264">
        <f t="shared" si="14"/>
        <v>4.111667472680951</v>
      </c>
      <c r="X33" s="225">
        <f t="shared" si="5"/>
        <v>61.048429333389734</v>
      </c>
      <c r="Y33" s="225">
        <f t="shared" si="17"/>
        <v>61.048429333389734</v>
      </c>
      <c r="Z33" s="226"/>
      <c r="AA33" s="180" t="s">
        <v>1607</v>
      </c>
      <c r="AB33" s="227" t="s">
        <v>1846</v>
      </c>
      <c r="AC33" s="243" t="s">
        <v>1861</v>
      </c>
      <c r="AD33" s="243"/>
      <c r="AE33" s="229" t="s">
        <v>1584</v>
      </c>
      <c r="AG33" s="313" t="s">
        <v>2006</v>
      </c>
      <c r="AH33" s="314"/>
      <c r="AI33" s="183"/>
      <c r="AJ33" s="305" t="s">
        <v>1792</v>
      </c>
      <c r="AK33" s="220">
        <v>10.031635539699227</v>
      </c>
      <c r="AL33" s="183"/>
    </row>
    <row r="34" spans="1:38" s="182" customFormat="1" x14ac:dyDescent="0.25">
      <c r="A34" s="183"/>
      <c r="B34" s="180">
        <v>71981</v>
      </c>
      <c r="C34" s="217">
        <v>2003</v>
      </c>
      <c r="D34" s="180" t="s">
        <v>602</v>
      </c>
      <c r="E34" s="180" t="s">
        <v>41</v>
      </c>
      <c r="F34" s="180" t="s">
        <v>87</v>
      </c>
      <c r="G34" s="180" t="s">
        <v>260</v>
      </c>
      <c r="H34" s="180" t="s">
        <v>1738</v>
      </c>
      <c r="I34" s="180" t="s">
        <v>76</v>
      </c>
      <c r="J34" s="180" t="s">
        <v>49</v>
      </c>
      <c r="K34" s="180" t="s">
        <v>94</v>
      </c>
      <c r="L34" s="180">
        <v>90</v>
      </c>
      <c r="M34" s="180">
        <v>370</v>
      </c>
      <c r="N34" s="180">
        <v>8</v>
      </c>
      <c r="O34" s="94">
        <v>9.6999999999999993</v>
      </c>
      <c r="P34" s="239">
        <f t="shared" si="0"/>
        <v>4.499809670330265</v>
      </c>
      <c r="Q34" s="262" t="str">
        <f t="shared" si="12"/>
        <v>Gadd Daph</v>
      </c>
      <c r="R34" s="263">
        <f t="shared" si="13"/>
        <v>-1.1453086077872809</v>
      </c>
      <c r="S34" s="220">
        <f t="shared" si="3"/>
        <v>5.645118278117546</v>
      </c>
      <c r="T34" s="236">
        <f t="shared" si="8"/>
        <v>7</v>
      </c>
      <c r="U34" s="221" t="str">
        <f t="shared" si="15"/>
        <v>7-REP-EC10-Neonates</v>
      </c>
      <c r="V34" s="222" cm="1">
        <f t="array" ref="V34">GEOMEAN(IF(U34=$U$4:$U$176,$S$4:$S$176))</f>
        <v>6.8680184697754383</v>
      </c>
      <c r="W34" s="264">
        <f t="shared" si="14"/>
        <v>3.7451307858667282</v>
      </c>
      <c r="X34" s="225">
        <f t="shared" si="5"/>
        <v>42.314541000879686</v>
      </c>
      <c r="Y34" s="225">
        <f t="shared" si="17"/>
        <v>42.314541000879686</v>
      </c>
      <c r="Z34" s="226"/>
      <c r="AA34" s="226"/>
      <c r="AB34" s="227" t="s">
        <v>1846</v>
      </c>
      <c r="AC34" s="243" t="s">
        <v>1798</v>
      </c>
      <c r="AD34" s="243"/>
      <c r="AE34" s="229" t="s">
        <v>1584</v>
      </c>
      <c r="AG34" s="313" t="s">
        <v>1540</v>
      </c>
      <c r="AH34">
        <v>0.90625925119845641</v>
      </c>
      <c r="AI34" s="183"/>
      <c r="AJ34" s="305" t="s">
        <v>1793</v>
      </c>
      <c r="AK34" s="220">
        <v>11.034799093669148</v>
      </c>
      <c r="AL34" s="183"/>
    </row>
    <row r="35" spans="1:38" s="183" customFormat="1" ht="12.75" x14ac:dyDescent="0.2">
      <c r="B35" s="180">
        <v>71981</v>
      </c>
      <c r="C35" s="217">
        <v>2003</v>
      </c>
      <c r="D35" s="180" t="s">
        <v>602</v>
      </c>
      <c r="E35" s="180" t="s">
        <v>41</v>
      </c>
      <c r="F35" s="180" t="s">
        <v>87</v>
      </c>
      <c r="G35" s="180" t="s">
        <v>260</v>
      </c>
      <c r="H35" s="180" t="s">
        <v>1738</v>
      </c>
      <c r="I35" s="180" t="s">
        <v>76</v>
      </c>
      <c r="J35" s="180" t="s">
        <v>49</v>
      </c>
      <c r="K35" s="180" t="s">
        <v>94</v>
      </c>
      <c r="L35" s="180">
        <v>634</v>
      </c>
      <c r="M35" s="180">
        <v>240</v>
      </c>
      <c r="N35" s="180">
        <v>8.5</v>
      </c>
      <c r="O35" s="94">
        <v>21</v>
      </c>
      <c r="P35" s="239">
        <f t="shared" si="0"/>
        <v>6.4520489544372257</v>
      </c>
      <c r="Q35" s="262" t="str">
        <f t="shared" si="12"/>
        <v>Gadd Daph</v>
      </c>
      <c r="R35" s="263">
        <f t="shared" si="13"/>
        <v>-0.77250757362099165</v>
      </c>
      <c r="S35" s="220">
        <f t="shared" si="3"/>
        <v>7.2245565280582174</v>
      </c>
      <c r="T35" s="236">
        <f t="shared" si="8"/>
        <v>7</v>
      </c>
      <c r="U35" s="221" t="str">
        <f t="shared" si="15"/>
        <v>7-REP-EC10-Neonates</v>
      </c>
      <c r="V35" s="222" cm="1">
        <f t="array" ref="V35">GEOMEAN(IF(U35=$U$4:$U$176,$S$4:$S$176))</f>
        <v>6.8680184697754383</v>
      </c>
      <c r="W35" s="264">
        <f t="shared" si="14"/>
        <v>3.7451307858667282</v>
      </c>
      <c r="X35" s="225">
        <f t="shared" si="5"/>
        <v>42.314541000879686</v>
      </c>
      <c r="Y35" s="225">
        <f t="shared" si="17"/>
        <v>42.314541000879686</v>
      </c>
      <c r="Z35" s="226"/>
      <c r="AA35" s="226"/>
      <c r="AB35" s="227" t="s">
        <v>1846</v>
      </c>
      <c r="AC35" s="243" t="s">
        <v>1798</v>
      </c>
      <c r="AD35" s="243"/>
      <c r="AE35" s="229" t="s">
        <v>1584</v>
      </c>
      <c r="AG35" s="244"/>
      <c r="AH35" s="244"/>
      <c r="AJ35" s="305" t="s">
        <v>1380</v>
      </c>
      <c r="AK35" s="220">
        <v>40.488598573045472</v>
      </c>
    </row>
    <row r="36" spans="1:38" s="183" customFormat="1" ht="12.75" x14ac:dyDescent="0.2">
      <c r="B36" s="180">
        <v>71981</v>
      </c>
      <c r="C36" s="217">
        <v>2003</v>
      </c>
      <c r="D36" s="180" t="s">
        <v>602</v>
      </c>
      <c r="E36" s="180" t="s">
        <v>41</v>
      </c>
      <c r="F36" s="180" t="s">
        <v>87</v>
      </c>
      <c r="G36" s="180" t="s">
        <v>260</v>
      </c>
      <c r="H36" s="180" t="s">
        <v>1738</v>
      </c>
      <c r="I36" s="180" t="s">
        <v>76</v>
      </c>
      <c r="J36" s="180" t="s">
        <v>49</v>
      </c>
      <c r="K36" s="180" t="s">
        <v>94</v>
      </c>
      <c r="L36" s="180">
        <v>308</v>
      </c>
      <c r="M36" s="180">
        <v>445</v>
      </c>
      <c r="N36" s="180">
        <v>7.25</v>
      </c>
      <c r="O36" s="94">
        <v>21</v>
      </c>
      <c r="P36" s="239">
        <f t="shared" si="0"/>
        <v>5.730099782973574</v>
      </c>
      <c r="Q36" s="262" t="str">
        <f t="shared" si="12"/>
        <v>Gadd Daph</v>
      </c>
      <c r="R36" s="263">
        <f t="shared" si="13"/>
        <v>-0.84445934370250164</v>
      </c>
      <c r="S36" s="220">
        <f t="shared" si="3"/>
        <v>6.5745591266760757</v>
      </c>
      <c r="T36" s="236">
        <f t="shared" si="8"/>
        <v>7</v>
      </c>
      <c r="U36" s="221"/>
      <c r="V36" s="222" t="e" cm="1">
        <f t="array" ref="V36">GEOMEAN(IF(U36=$U$4:$U$176,$S$4:$S$176))</f>
        <v>#NUM!</v>
      </c>
      <c r="W36" s="264" t="e">
        <f t="shared" si="14"/>
        <v>#NUM!</v>
      </c>
      <c r="X36" s="225" t="e">
        <f t="shared" si="5"/>
        <v>#NUM!</v>
      </c>
      <c r="Y36" s="225"/>
      <c r="Z36" s="226"/>
      <c r="AA36" s="226" t="s">
        <v>1890</v>
      </c>
      <c r="AB36" s="227" t="s">
        <v>1846</v>
      </c>
      <c r="AC36" s="243" t="s">
        <v>1798</v>
      </c>
      <c r="AD36" s="243"/>
      <c r="AE36" s="229" t="s">
        <v>1584</v>
      </c>
      <c r="AG36" s="244"/>
      <c r="AH36" s="244"/>
      <c r="AJ36" s="305" t="s">
        <v>1549</v>
      </c>
      <c r="AK36" s="220">
        <v>171.05747623683536</v>
      </c>
    </row>
    <row r="37" spans="1:38" s="183" customFormat="1" ht="12.75" x14ac:dyDescent="0.2">
      <c r="B37" s="180">
        <v>71981</v>
      </c>
      <c r="C37" s="217">
        <v>2003</v>
      </c>
      <c r="D37" s="180" t="s">
        <v>602</v>
      </c>
      <c r="E37" s="180" t="s">
        <v>41</v>
      </c>
      <c r="F37" s="180" t="s">
        <v>87</v>
      </c>
      <c r="G37" s="180" t="s">
        <v>260</v>
      </c>
      <c r="H37" s="180" t="s">
        <v>1738</v>
      </c>
      <c r="I37" s="180" t="s">
        <v>76</v>
      </c>
      <c r="J37" s="180" t="s">
        <v>49</v>
      </c>
      <c r="K37" s="180" t="s">
        <v>94</v>
      </c>
      <c r="L37" s="180">
        <v>341</v>
      </c>
      <c r="M37" s="180">
        <v>370</v>
      </c>
      <c r="N37" s="180">
        <v>6.5</v>
      </c>
      <c r="O37" s="94">
        <v>32.299999999999997</v>
      </c>
      <c r="P37" s="239">
        <f t="shared" si="0"/>
        <v>5.8318824772835169</v>
      </c>
      <c r="Q37" s="262" t="str">
        <f t="shared" si="12"/>
        <v>Gadd Daph</v>
      </c>
      <c r="R37" s="263">
        <f t="shared" si="13"/>
        <v>-0.99080331141555789</v>
      </c>
      <c r="S37" s="220">
        <f t="shared" si="3"/>
        <v>6.8226857886990748</v>
      </c>
      <c r="T37" s="236">
        <f t="shared" si="8"/>
        <v>7</v>
      </c>
      <c r="U37" s="221" t="str">
        <f t="shared" ref="U37:U59" si="18">CONCATENATE(T37,"-",I37,"-",J37,"-",H37)</f>
        <v>7-REP-EC10-Neonates</v>
      </c>
      <c r="V37" s="222" cm="1">
        <f t="array" ref="V37">GEOMEAN(IF(U37=$U$4:$U$176,$S$4:$S$176))</f>
        <v>6.8680184697754383</v>
      </c>
      <c r="W37" s="264">
        <f t="shared" si="14"/>
        <v>3.7451307858667282</v>
      </c>
      <c r="X37" s="225">
        <f t="shared" si="5"/>
        <v>42.314541000879686</v>
      </c>
      <c r="Y37" s="225">
        <f t="shared" ref="Y37:Y59" si="19">X37</f>
        <v>42.314541000879686</v>
      </c>
      <c r="Z37" s="226"/>
      <c r="AA37" s="194"/>
      <c r="AB37" s="227" t="s">
        <v>1846</v>
      </c>
      <c r="AC37" s="243" t="s">
        <v>1798</v>
      </c>
      <c r="AD37" s="243"/>
      <c r="AE37" s="229" t="s">
        <v>1584</v>
      </c>
      <c r="AG37" s="244"/>
      <c r="AH37" s="244"/>
      <c r="AJ37" s="305" t="s">
        <v>140</v>
      </c>
      <c r="AK37" s="220">
        <v>15.047453309548844</v>
      </c>
    </row>
    <row r="38" spans="1:38" s="183" customFormat="1" ht="12.75" x14ac:dyDescent="0.2">
      <c r="B38" s="180">
        <v>71981</v>
      </c>
      <c r="C38" s="217">
        <v>2003</v>
      </c>
      <c r="D38" s="180" t="s">
        <v>602</v>
      </c>
      <c r="E38" s="180" t="s">
        <v>41</v>
      </c>
      <c r="F38" s="180" t="s">
        <v>87</v>
      </c>
      <c r="G38" s="180" t="s">
        <v>260</v>
      </c>
      <c r="H38" s="180" t="s">
        <v>1738</v>
      </c>
      <c r="I38" s="180" t="s">
        <v>76</v>
      </c>
      <c r="J38" s="180" t="s">
        <v>49</v>
      </c>
      <c r="K38" s="180" t="s">
        <v>94</v>
      </c>
      <c r="L38" s="180">
        <v>331</v>
      </c>
      <c r="M38" s="180">
        <v>240</v>
      </c>
      <c r="N38" s="180">
        <v>7.25</v>
      </c>
      <c r="O38" s="94">
        <v>21</v>
      </c>
      <c r="P38" s="239">
        <f t="shared" si="0"/>
        <v>5.8021183753770629</v>
      </c>
      <c r="Q38" s="262" t="str">
        <f t="shared" si="12"/>
        <v>Gadd Daph</v>
      </c>
      <c r="R38" s="263">
        <f t="shared" si="13"/>
        <v>-1.0358643049380181</v>
      </c>
      <c r="S38" s="220">
        <f t="shared" si="3"/>
        <v>6.8379826803150809</v>
      </c>
      <c r="T38" s="236">
        <f t="shared" si="8"/>
        <v>7</v>
      </c>
      <c r="U38" s="221" t="str">
        <f t="shared" si="18"/>
        <v>7-REP-EC10-Neonates</v>
      </c>
      <c r="V38" s="222" cm="1">
        <f t="array" ref="V38">GEOMEAN(IF(U38=$U$4:$U$176,$S$4:$S$176))</f>
        <v>6.8680184697754383</v>
      </c>
      <c r="W38" s="264">
        <f t="shared" si="14"/>
        <v>3.7451307858667282</v>
      </c>
      <c r="X38" s="225">
        <f t="shared" si="5"/>
        <v>42.314541000879686</v>
      </c>
      <c r="Y38" s="225">
        <f t="shared" si="19"/>
        <v>42.314541000879686</v>
      </c>
      <c r="Z38" s="226"/>
      <c r="AA38" s="226"/>
      <c r="AB38" s="227" t="s">
        <v>1846</v>
      </c>
      <c r="AC38" s="243" t="s">
        <v>1798</v>
      </c>
      <c r="AD38" s="243"/>
      <c r="AE38" s="229" t="s">
        <v>1584</v>
      </c>
      <c r="AG38" s="244"/>
      <c r="AH38" s="244"/>
      <c r="AJ38" s="249" t="s">
        <v>1403</v>
      </c>
      <c r="AK38" s="244"/>
    </row>
    <row r="39" spans="1:38" s="183" customFormat="1" ht="12.75" x14ac:dyDescent="0.2">
      <c r="B39" s="180">
        <v>71981</v>
      </c>
      <c r="C39" s="217">
        <v>2003</v>
      </c>
      <c r="D39" s="180" t="s">
        <v>602</v>
      </c>
      <c r="E39" s="180" t="s">
        <v>41</v>
      </c>
      <c r="F39" s="180" t="s">
        <v>87</v>
      </c>
      <c r="G39" s="180" t="s">
        <v>260</v>
      </c>
      <c r="H39" s="180" t="s">
        <v>1738</v>
      </c>
      <c r="I39" s="180" t="s">
        <v>76</v>
      </c>
      <c r="J39" s="180" t="s">
        <v>49</v>
      </c>
      <c r="K39" s="180" t="s">
        <v>94</v>
      </c>
      <c r="L39" s="180">
        <v>328</v>
      </c>
      <c r="M39" s="180">
        <v>35</v>
      </c>
      <c r="N39" s="180">
        <v>7.25</v>
      </c>
      <c r="O39" s="94">
        <v>21</v>
      </c>
      <c r="P39" s="239">
        <f t="shared" si="0"/>
        <v>5.7930136083841441</v>
      </c>
      <c r="Q39" s="262" t="str">
        <f t="shared" si="12"/>
        <v>Gadd Daph</v>
      </c>
      <c r="R39" s="263">
        <f t="shared" si="13"/>
        <v>-1.6327044721123176</v>
      </c>
      <c r="S39" s="220">
        <f t="shared" si="3"/>
        <v>7.4257180804964618</v>
      </c>
      <c r="T39" s="236">
        <f t="shared" si="8"/>
        <v>7</v>
      </c>
      <c r="U39" s="221" t="str">
        <f t="shared" si="18"/>
        <v>7-REP-EC10-Neonates</v>
      </c>
      <c r="V39" s="222" cm="1">
        <f t="array" ref="V39">GEOMEAN(IF(U39=$U$4:$U$176,$S$4:$S$176))</f>
        <v>6.8680184697754383</v>
      </c>
      <c r="W39" s="264">
        <f t="shared" si="14"/>
        <v>3.7451307858667282</v>
      </c>
      <c r="X39" s="225">
        <f t="shared" si="5"/>
        <v>42.314541000879686</v>
      </c>
      <c r="Y39" s="225">
        <f t="shared" si="19"/>
        <v>42.314541000879686</v>
      </c>
      <c r="Z39" s="226"/>
      <c r="AA39" s="226"/>
      <c r="AB39" s="227" t="s">
        <v>1846</v>
      </c>
      <c r="AC39" s="243" t="s">
        <v>1798</v>
      </c>
      <c r="AD39" s="243"/>
      <c r="AE39" s="229" t="s">
        <v>1584</v>
      </c>
      <c r="AG39" s="244"/>
      <c r="AH39" s="244"/>
      <c r="AI39" s="182"/>
      <c r="AJ39" s="305" t="s">
        <v>1567</v>
      </c>
      <c r="AK39" s="220">
        <v>82.935518498179519</v>
      </c>
    </row>
    <row r="40" spans="1:38" s="183" customFormat="1" ht="15.75" customHeight="1" x14ac:dyDescent="0.2">
      <c r="B40" s="180">
        <v>71981</v>
      </c>
      <c r="C40" s="217">
        <v>2003</v>
      </c>
      <c r="D40" s="180" t="s">
        <v>602</v>
      </c>
      <c r="E40" s="180" t="s">
        <v>41</v>
      </c>
      <c r="F40" s="180" t="s">
        <v>87</v>
      </c>
      <c r="G40" s="180" t="s">
        <v>260</v>
      </c>
      <c r="H40" s="180" t="s">
        <v>1738</v>
      </c>
      <c r="I40" s="180" t="s">
        <v>76</v>
      </c>
      <c r="J40" s="180" t="s">
        <v>49</v>
      </c>
      <c r="K40" s="180" t="s">
        <v>94</v>
      </c>
      <c r="L40" s="180">
        <v>502</v>
      </c>
      <c r="M40" s="180">
        <v>240</v>
      </c>
      <c r="N40" s="180">
        <v>7.25</v>
      </c>
      <c r="O40" s="94">
        <v>21</v>
      </c>
      <c r="P40" s="239">
        <f t="shared" si="0"/>
        <v>6.2186001196917289</v>
      </c>
      <c r="Q40" s="262" t="str">
        <f t="shared" si="12"/>
        <v>Gadd Daph</v>
      </c>
      <c r="R40" s="263">
        <f t="shared" si="13"/>
        <v>-1.0358643049380181</v>
      </c>
      <c r="S40" s="220">
        <f t="shared" si="3"/>
        <v>7.2544644246297469</v>
      </c>
      <c r="T40" s="236">
        <f t="shared" si="8"/>
        <v>7</v>
      </c>
      <c r="U40" s="221" t="str">
        <f t="shared" si="18"/>
        <v>7-REP-EC10-Neonates</v>
      </c>
      <c r="V40" s="222" cm="1">
        <f t="array" ref="V40">GEOMEAN(IF(U40=$U$4:$U$176,$S$4:$S$176))</f>
        <v>6.8680184697754383</v>
      </c>
      <c r="W40" s="264">
        <f t="shared" si="14"/>
        <v>3.7451307858667282</v>
      </c>
      <c r="X40" s="225">
        <f t="shared" si="5"/>
        <v>42.314541000879686</v>
      </c>
      <c r="Y40" s="225">
        <f t="shared" si="19"/>
        <v>42.314541000879686</v>
      </c>
      <c r="Z40" s="226"/>
      <c r="AA40" s="226"/>
      <c r="AB40" s="227" t="s">
        <v>1846</v>
      </c>
      <c r="AC40" s="243" t="s">
        <v>1798</v>
      </c>
      <c r="AD40" s="243"/>
      <c r="AE40" s="229" t="s">
        <v>1584</v>
      </c>
      <c r="AG40" s="244"/>
      <c r="AH40" s="244"/>
      <c r="AI40" s="182"/>
      <c r="AJ40" s="182"/>
      <c r="AK40" s="182"/>
    </row>
    <row r="41" spans="1:38" s="183" customFormat="1" ht="15.75" customHeight="1" x14ac:dyDescent="0.2">
      <c r="A41" s="180" t="s">
        <v>1891</v>
      </c>
      <c r="B41" s="180">
        <v>71981</v>
      </c>
      <c r="C41" s="217">
        <v>2003</v>
      </c>
      <c r="D41" s="180" t="s">
        <v>602</v>
      </c>
      <c r="E41" s="180" t="s">
        <v>41</v>
      </c>
      <c r="F41" s="180" t="s">
        <v>87</v>
      </c>
      <c r="G41" s="180" t="s">
        <v>260</v>
      </c>
      <c r="H41" s="180" t="s">
        <v>1738</v>
      </c>
      <c r="I41" s="180" t="s">
        <v>76</v>
      </c>
      <c r="J41" s="180" t="s">
        <v>49</v>
      </c>
      <c r="K41" s="180" t="s">
        <v>94</v>
      </c>
      <c r="L41" s="180">
        <v>423</v>
      </c>
      <c r="M41" s="180">
        <v>240</v>
      </c>
      <c r="N41" s="180">
        <v>6</v>
      </c>
      <c r="O41" s="94">
        <v>21</v>
      </c>
      <c r="P41" s="239">
        <f t="shared" si="0"/>
        <v>6.0473721790462776</v>
      </c>
      <c r="Q41" s="262" t="str">
        <f t="shared" si="12"/>
        <v>Gadd Daph</v>
      </c>
      <c r="R41" s="263">
        <f t="shared" si="13"/>
        <v>-1.2992210362550454</v>
      </c>
      <c r="S41" s="220">
        <f t="shared" si="3"/>
        <v>7.3465932153013229</v>
      </c>
      <c r="T41" s="236">
        <f t="shared" si="8"/>
        <v>7</v>
      </c>
      <c r="U41" s="221" t="str">
        <f t="shared" si="18"/>
        <v>7-REP-EC10-Neonates</v>
      </c>
      <c r="V41" s="222" cm="1">
        <f t="array" ref="V41">GEOMEAN(IF(U41=$U$4:$U$176,$S$4:$S$176))</f>
        <v>6.8680184697754383</v>
      </c>
      <c r="W41" s="264">
        <f t="shared" si="14"/>
        <v>3.7451307858667282</v>
      </c>
      <c r="X41" s="225">
        <f t="shared" si="5"/>
        <v>42.314541000879686</v>
      </c>
      <c r="Y41" s="225">
        <f t="shared" si="19"/>
        <v>42.314541000879686</v>
      </c>
      <c r="Z41" s="226"/>
      <c r="AA41" s="226"/>
      <c r="AB41" s="252" t="s">
        <v>1892</v>
      </c>
      <c r="AC41" s="243" t="s">
        <v>1858</v>
      </c>
      <c r="AD41" s="251">
        <v>0.76</v>
      </c>
      <c r="AE41" s="243" t="s">
        <v>1859</v>
      </c>
      <c r="AG41" s="244"/>
      <c r="AH41" s="244"/>
      <c r="AI41" s="182"/>
      <c r="AJ41" s="182"/>
      <c r="AK41" s="182"/>
      <c r="AL41" s="182"/>
    </row>
    <row r="42" spans="1:38" s="183" customFormat="1" ht="15.75" customHeight="1" x14ac:dyDescent="0.2">
      <c r="A42" s="182"/>
      <c r="B42" s="180">
        <v>71981</v>
      </c>
      <c r="C42" s="217">
        <v>2003</v>
      </c>
      <c r="D42" s="180" t="s">
        <v>602</v>
      </c>
      <c r="E42" s="180" t="s">
        <v>41</v>
      </c>
      <c r="F42" s="180" t="s">
        <v>87</v>
      </c>
      <c r="G42" s="180" t="s">
        <v>260</v>
      </c>
      <c r="H42" s="180" t="s">
        <v>1738</v>
      </c>
      <c r="I42" s="180" t="s">
        <v>76</v>
      </c>
      <c r="J42" s="180" t="s">
        <v>49</v>
      </c>
      <c r="K42" s="180" t="s">
        <v>94</v>
      </c>
      <c r="L42" s="180">
        <v>394</v>
      </c>
      <c r="M42" s="180">
        <v>240</v>
      </c>
      <c r="N42" s="180">
        <v>7.25</v>
      </c>
      <c r="O42" s="94">
        <v>21</v>
      </c>
      <c r="P42" s="239">
        <f t="shared" si="0"/>
        <v>5.9763509092979339</v>
      </c>
      <c r="Q42" s="262" t="str">
        <f t="shared" si="12"/>
        <v>Gadd Daph</v>
      </c>
      <c r="R42" s="263">
        <f t="shared" si="13"/>
        <v>-1.0358643049380181</v>
      </c>
      <c r="S42" s="220">
        <f t="shared" si="3"/>
        <v>7.012215214235952</v>
      </c>
      <c r="T42" s="236">
        <f t="shared" si="8"/>
        <v>7</v>
      </c>
      <c r="U42" s="221" t="str">
        <f t="shared" si="18"/>
        <v>7-REP-EC10-Neonates</v>
      </c>
      <c r="V42" s="222" cm="1">
        <f t="array" ref="V42">GEOMEAN(IF(U42=$U$4:$U$176,$S$4:$S$176))</f>
        <v>6.8680184697754383</v>
      </c>
      <c r="W42" s="264">
        <f t="shared" si="14"/>
        <v>3.7451307858667282</v>
      </c>
      <c r="X42" s="225">
        <f t="shared" si="5"/>
        <v>42.314541000879686</v>
      </c>
      <c r="Y42" s="225">
        <f t="shared" si="19"/>
        <v>42.314541000879686</v>
      </c>
      <c r="Z42" s="226"/>
      <c r="AA42" s="226"/>
      <c r="AB42" s="227" t="s">
        <v>1846</v>
      </c>
      <c r="AC42" s="243" t="s">
        <v>1798</v>
      </c>
      <c r="AD42" s="243"/>
      <c r="AE42" s="229" t="s">
        <v>1584</v>
      </c>
      <c r="AG42" s="244"/>
      <c r="AH42" s="244"/>
      <c r="AI42" s="182"/>
      <c r="AJ42" s="182"/>
      <c r="AK42" s="182"/>
      <c r="AL42" s="182"/>
    </row>
    <row r="43" spans="1:38" s="183" customFormat="1" ht="15.75" customHeight="1" x14ac:dyDescent="0.2">
      <c r="A43" s="182"/>
      <c r="B43" s="180">
        <v>71981</v>
      </c>
      <c r="C43" s="217">
        <v>2003</v>
      </c>
      <c r="D43" s="180" t="s">
        <v>602</v>
      </c>
      <c r="E43" s="180" t="s">
        <v>41</v>
      </c>
      <c r="F43" s="180" t="s">
        <v>87</v>
      </c>
      <c r="G43" s="180" t="s">
        <v>260</v>
      </c>
      <c r="H43" s="180" t="s">
        <v>1738</v>
      </c>
      <c r="I43" s="180" t="s">
        <v>76</v>
      </c>
      <c r="J43" s="180" t="s">
        <v>49</v>
      </c>
      <c r="K43" s="180" t="s">
        <v>94</v>
      </c>
      <c r="L43" s="180">
        <v>179</v>
      </c>
      <c r="M43" s="180">
        <v>240</v>
      </c>
      <c r="N43" s="181">
        <v>7.25</v>
      </c>
      <c r="O43" s="94">
        <v>2</v>
      </c>
      <c r="P43" s="239">
        <f t="shared" si="0"/>
        <v>5.1873858058407549</v>
      </c>
      <c r="Q43" s="262" t="str">
        <f t="shared" si="12"/>
        <v>Gadd Daph</v>
      </c>
      <c r="R43" s="263">
        <f t="shared" si="13"/>
        <v>-1.8353318923736013</v>
      </c>
      <c r="S43" s="220">
        <f t="shared" si="3"/>
        <v>7.0227176982143558</v>
      </c>
      <c r="T43" s="236">
        <f t="shared" si="8"/>
        <v>7</v>
      </c>
      <c r="U43" s="221" t="str">
        <f t="shared" si="18"/>
        <v>7-REP-EC10-Neonates</v>
      </c>
      <c r="V43" s="222" cm="1">
        <f t="array" ref="V43">GEOMEAN(IF(U43=$U$4:$U$176,$S$4:$S$176))</f>
        <v>6.8680184697754383</v>
      </c>
      <c r="W43" s="264">
        <f t="shared" si="14"/>
        <v>3.7451307858667282</v>
      </c>
      <c r="X43" s="225">
        <f t="shared" si="5"/>
        <v>42.314541000879686</v>
      </c>
      <c r="Y43" s="225">
        <f t="shared" si="19"/>
        <v>42.314541000879686</v>
      </c>
      <c r="Z43" s="226"/>
      <c r="AA43" s="226"/>
      <c r="AB43" s="227" t="s">
        <v>1846</v>
      </c>
      <c r="AC43" s="243" t="s">
        <v>1798</v>
      </c>
      <c r="AD43" s="243"/>
      <c r="AE43" s="229" t="s">
        <v>1584</v>
      </c>
      <c r="AG43" s="244"/>
      <c r="AH43" s="244"/>
      <c r="AI43" s="182"/>
      <c r="AJ43" s="182"/>
      <c r="AK43" s="182"/>
      <c r="AL43" s="182"/>
    </row>
    <row r="44" spans="1:38" s="183" customFormat="1" ht="15.75" customHeight="1" x14ac:dyDescent="0.2">
      <c r="A44" s="182"/>
      <c r="B44" s="180">
        <v>71981</v>
      </c>
      <c r="C44" s="217">
        <v>2003</v>
      </c>
      <c r="D44" s="180" t="s">
        <v>602</v>
      </c>
      <c r="E44" s="180" t="s">
        <v>41</v>
      </c>
      <c r="F44" s="180" t="s">
        <v>87</v>
      </c>
      <c r="G44" s="180" t="s">
        <v>260</v>
      </c>
      <c r="H44" s="180" t="s">
        <v>1738</v>
      </c>
      <c r="I44" s="180" t="s">
        <v>76</v>
      </c>
      <c r="J44" s="180" t="s">
        <v>49</v>
      </c>
      <c r="K44" s="180" t="s">
        <v>94</v>
      </c>
      <c r="L44" s="180">
        <v>600</v>
      </c>
      <c r="M44" s="180">
        <v>370</v>
      </c>
      <c r="N44" s="180">
        <v>8</v>
      </c>
      <c r="O44" s="94">
        <v>32.299999999999997</v>
      </c>
      <c r="P44" s="239">
        <f t="shared" si="0"/>
        <v>6.3969296552161463</v>
      </c>
      <c r="Q44" s="262" t="str">
        <f t="shared" si="12"/>
        <v>Gadd Daph</v>
      </c>
      <c r="R44" s="263">
        <f t="shared" si="13"/>
        <v>-0.51977910853325948</v>
      </c>
      <c r="S44" s="220">
        <f t="shared" si="3"/>
        <v>6.9167087637494058</v>
      </c>
      <c r="T44" s="236">
        <f t="shared" si="8"/>
        <v>7</v>
      </c>
      <c r="U44" s="221" t="str">
        <f t="shared" si="18"/>
        <v>7-REP-EC10-Neonates</v>
      </c>
      <c r="V44" s="222" cm="1">
        <f t="array" ref="V44">GEOMEAN(IF(U44=$U$4:$U$176,$S$4:$S$176))</f>
        <v>6.8680184697754383</v>
      </c>
      <c r="W44" s="264">
        <f t="shared" si="14"/>
        <v>3.7451307858667282</v>
      </c>
      <c r="X44" s="225">
        <f t="shared" si="5"/>
        <v>42.314541000879686</v>
      </c>
      <c r="Y44" s="225">
        <f t="shared" si="19"/>
        <v>42.314541000879686</v>
      </c>
      <c r="Z44" s="226"/>
      <c r="AA44" s="226"/>
      <c r="AB44" s="227" t="s">
        <v>1846</v>
      </c>
      <c r="AC44" s="243" t="s">
        <v>1798</v>
      </c>
      <c r="AD44" s="251"/>
      <c r="AE44" s="229" t="s">
        <v>1584</v>
      </c>
      <c r="AG44" s="244"/>
      <c r="AH44" s="244"/>
      <c r="AI44" s="182"/>
      <c r="AJ44" s="182"/>
      <c r="AK44" s="182"/>
      <c r="AL44" s="182"/>
    </row>
    <row r="45" spans="1:38" s="182" customFormat="1" ht="15.75" customHeight="1" x14ac:dyDescent="0.25">
      <c r="B45" s="180">
        <v>71981</v>
      </c>
      <c r="C45" s="217">
        <v>2003</v>
      </c>
      <c r="D45" s="180" t="s">
        <v>602</v>
      </c>
      <c r="E45" s="180" t="s">
        <v>41</v>
      </c>
      <c r="F45" s="180" t="s">
        <v>87</v>
      </c>
      <c r="G45" s="180" t="s">
        <v>260</v>
      </c>
      <c r="H45" s="180" t="s">
        <v>1738</v>
      </c>
      <c r="I45" s="180" t="s">
        <v>76</v>
      </c>
      <c r="J45" s="180" t="s">
        <v>49</v>
      </c>
      <c r="K45" s="180" t="s">
        <v>94</v>
      </c>
      <c r="L45" s="180">
        <v>233</v>
      </c>
      <c r="M45" s="180">
        <v>110</v>
      </c>
      <c r="N45" s="180">
        <v>8</v>
      </c>
      <c r="O45" s="94">
        <v>9.6999999999999993</v>
      </c>
      <c r="P45" s="239">
        <f t="shared" si="0"/>
        <v>5.4510384535657002</v>
      </c>
      <c r="Q45" s="262" t="str">
        <f t="shared" si="12"/>
        <v>Gadd Daph</v>
      </c>
      <c r="R45" s="263">
        <f t="shared" si="13"/>
        <v>-1.521345626139496</v>
      </c>
      <c r="S45" s="220">
        <f t="shared" si="3"/>
        <v>6.9723840797051961</v>
      </c>
      <c r="T45" s="236">
        <f t="shared" si="8"/>
        <v>7</v>
      </c>
      <c r="U45" s="221" t="str">
        <f t="shared" si="18"/>
        <v>7-REP-EC10-Neonates</v>
      </c>
      <c r="V45" s="222" cm="1">
        <f t="array" ref="V45">GEOMEAN(IF(U45=$U$4:$U$176,$S$4:$S$176))</f>
        <v>6.8680184697754383</v>
      </c>
      <c r="W45" s="264">
        <f t="shared" si="14"/>
        <v>3.7451307858667282</v>
      </c>
      <c r="X45" s="225">
        <f t="shared" si="5"/>
        <v>42.314541000879686</v>
      </c>
      <c r="Y45" s="225">
        <f t="shared" si="19"/>
        <v>42.314541000879686</v>
      </c>
      <c r="Z45" s="226"/>
      <c r="AA45" s="226"/>
      <c r="AB45" s="227" t="s">
        <v>1846</v>
      </c>
      <c r="AC45" s="243" t="s">
        <v>1798</v>
      </c>
      <c r="AD45" s="228"/>
      <c r="AE45" s="229" t="s">
        <v>1584</v>
      </c>
      <c r="AG45" s="248"/>
    </row>
    <row r="46" spans="1:38" s="182" customFormat="1" ht="15.75" customHeight="1" x14ac:dyDescent="0.25">
      <c r="B46" s="180">
        <v>71981</v>
      </c>
      <c r="C46" s="217">
        <v>2003</v>
      </c>
      <c r="D46" s="180" t="s">
        <v>602</v>
      </c>
      <c r="E46" s="180" t="s">
        <v>41</v>
      </c>
      <c r="F46" s="180" t="s">
        <v>87</v>
      </c>
      <c r="G46" s="180" t="s">
        <v>260</v>
      </c>
      <c r="H46" s="180" t="s">
        <v>1738</v>
      </c>
      <c r="I46" s="180" t="s">
        <v>76</v>
      </c>
      <c r="J46" s="180" t="s">
        <v>49</v>
      </c>
      <c r="K46" s="180" t="s">
        <v>94</v>
      </c>
      <c r="L46" s="180">
        <v>313</v>
      </c>
      <c r="M46" s="180">
        <v>110</v>
      </c>
      <c r="N46" s="180">
        <v>6.5</v>
      </c>
      <c r="O46" s="94">
        <v>32.299999999999997</v>
      </c>
      <c r="P46" s="239">
        <f t="shared" si="0"/>
        <v>5.7462031905401529</v>
      </c>
      <c r="Q46" s="262" t="str">
        <f t="shared" si="12"/>
        <v>Gadd Daph</v>
      </c>
      <c r="R46" s="263">
        <f t="shared" si="13"/>
        <v>-1.3668403297677729</v>
      </c>
      <c r="S46" s="220">
        <f t="shared" si="3"/>
        <v>7.1130435203079259</v>
      </c>
      <c r="T46" s="236">
        <f t="shared" si="8"/>
        <v>7</v>
      </c>
      <c r="U46" s="221" t="str">
        <f t="shared" si="18"/>
        <v>7-REP-EC10-Neonates</v>
      </c>
      <c r="V46" s="222" cm="1">
        <f t="array" ref="V46">GEOMEAN(IF(U46=$U$4:$U$176,$S$4:$S$176))</f>
        <v>6.8680184697754383</v>
      </c>
      <c r="W46" s="264">
        <f t="shared" si="14"/>
        <v>3.7451307858667282</v>
      </c>
      <c r="X46" s="225">
        <f t="shared" si="5"/>
        <v>42.314541000879686</v>
      </c>
      <c r="Y46" s="225">
        <f t="shared" si="19"/>
        <v>42.314541000879686</v>
      </c>
      <c r="Z46" s="226"/>
      <c r="AA46" s="226"/>
      <c r="AB46" s="227" t="s">
        <v>1846</v>
      </c>
      <c r="AC46" s="243" t="s">
        <v>1798</v>
      </c>
      <c r="AD46" s="228"/>
      <c r="AE46" s="229" t="s">
        <v>1584</v>
      </c>
      <c r="AG46" s="248"/>
    </row>
    <row r="47" spans="1:38" s="182" customFormat="1" ht="15.75" customHeight="1" x14ac:dyDescent="0.25">
      <c r="B47" s="180">
        <v>71981</v>
      </c>
      <c r="C47" s="217">
        <v>2003</v>
      </c>
      <c r="D47" s="180" t="s">
        <v>602</v>
      </c>
      <c r="E47" s="180" t="s">
        <v>41</v>
      </c>
      <c r="F47" s="180" t="s">
        <v>87</v>
      </c>
      <c r="G47" s="180" t="s">
        <v>260</v>
      </c>
      <c r="H47" s="180" t="s">
        <v>1738</v>
      </c>
      <c r="I47" s="180" t="s">
        <v>76</v>
      </c>
      <c r="J47" s="180" t="s">
        <v>49</v>
      </c>
      <c r="K47" s="180" t="s">
        <v>94</v>
      </c>
      <c r="L47" s="180">
        <v>911</v>
      </c>
      <c r="M47" s="180">
        <v>240</v>
      </c>
      <c r="N47" s="180">
        <v>7.25</v>
      </c>
      <c r="O47" s="94">
        <v>40</v>
      </c>
      <c r="P47" s="239">
        <f t="shared" si="0"/>
        <v>6.8145428972599582</v>
      </c>
      <c r="Q47" s="262" t="str">
        <f t="shared" si="12"/>
        <v>Gadd Daph</v>
      </c>
      <c r="R47" s="263">
        <f t="shared" si="13"/>
        <v>-0.81678291936524339</v>
      </c>
      <c r="S47" s="220">
        <f t="shared" si="3"/>
        <v>7.6313258166252016</v>
      </c>
      <c r="T47" s="236">
        <f t="shared" si="8"/>
        <v>7</v>
      </c>
      <c r="U47" s="221" t="str">
        <f t="shared" si="18"/>
        <v>7-REP-EC10-Neonates</v>
      </c>
      <c r="V47" s="222" cm="1">
        <f t="array" ref="V47">GEOMEAN(IF(U47=$U$4:$U$176,$S$4:$S$176))</f>
        <v>6.8680184697754383</v>
      </c>
      <c r="W47" s="264">
        <f t="shared" si="14"/>
        <v>3.7451307858667282</v>
      </c>
      <c r="X47" s="225">
        <f t="shared" si="5"/>
        <v>42.314541000879686</v>
      </c>
      <c r="Y47" s="225">
        <f t="shared" si="19"/>
        <v>42.314541000879686</v>
      </c>
      <c r="Z47" s="226"/>
      <c r="AA47" s="226"/>
      <c r="AB47" s="227" t="s">
        <v>1846</v>
      </c>
      <c r="AC47" s="243" t="s">
        <v>1798</v>
      </c>
      <c r="AD47" s="228"/>
      <c r="AE47" s="229" t="s">
        <v>1584</v>
      </c>
      <c r="AG47" s="248"/>
    </row>
    <row r="48" spans="1:38" s="182" customFormat="1" ht="15.75" customHeight="1" x14ac:dyDescent="0.25">
      <c r="B48" s="180">
        <v>71981</v>
      </c>
      <c r="C48" s="217">
        <v>2003</v>
      </c>
      <c r="D48" s="180" t="s">
        <v>602</v>
      </c>
      <c r="E48" s="180" t="s">
        <v>41</v>
      </c>
      <c r="F48" s="180" t="s">
        <v>87</v>
      </c>
      <c r="G48" s="180" t="s">
        <v>260</v>
      </c>
      <c r="H48" s="180" t="s">
        <v>1738</v>
      </c>
      <c r="I48" s="180" t="s">
        <v>76</v>
      </c>
      <c r="J48" s="180" t="s">
        <v>49</v>
      </c>
      <c r="K48" s="180" t="s">
        <v>94</v>
      </c>
      <c r="L48" s="180">
        <v>114</v>
      </c>
      <c r="M48" s="180">
        <v>370</v>
      </c>
      <c r="N48" s="180">
        <v>6.5</v>
      </c>
      <c r="O48" s="94">
        <v>9.6999999999999993</v>
      </c>
      <c r="P48" s="239">
        <f t="shared" si="0"/>
        <v>4.7361984483944957</v>
      </c>
      <c r="Q48" s="262" t="str">
        <f t="shared" si="12"/>
        <v>Gadd Daph</v>
      </c>
      <c r="R48" s="263">
        <f t="shared" si="13"/>
        <v>-1.1832739265706422</v>
      </c>
      <c r="S48" s="220">
        <f t="shared" si="3"/>
        <v>5.9194723749651379</v>
      </c>
      <c r="T48" s="236">
        <f t="shared" si="8"/>
        <v>7</v>
      </c>
      <c r="U48" s="221" t="str">
        <f t="shared" si="18"/>
        <v>7-REP-EC10-Neonates</v>
      </c>
      <c r="V48" s="222" cm="1">
        <f t="array" ref="V48">GEOMEAN(IF(U48=$U$4:$U$176,$S$4:$S$176))</f>
        <v>6.8680184697754383</v>
      </c>
      <c r="W48" s="264">
        <f t="shared" si="14"/>
        <v>3.7451307858667282</v>
      </c>
      <c r="X48" s="225">
        <f t="shared" si="5"/>
        <v>42.314541000879686</v>
      </c>
      <c r="Y48" s="225">
        <f t="shared" si="19"/>
        <v>42.314541000879686</v>
      </c>
      <c r="Z48" s="226"/>
      <c r="AA48" s="226"/>
      <c r="AB48" s="227" t="s">
        <v>1846</v>
      </c>
      <c r="AC48" s="243" t="s">
        <v>1798</v>
      </c>
      <c r="AD48" s="251"/>
      <c r="AE48" s="229" t="s">
        <v>1584</v>
      </c>
      <c r="AG48" s="248"/>
    </row>
    <row r="49" spans="1:33" s="182" customFormat="1" ht="15.75" customHeight="1" x14ac:dyDescent="0.25">
      <c r="B49" s="180">
        <v>71981</v>
      </c>
      <c r="C49" s="217">
        <v>2003</v>
      </c>
      <c r="D49" s="180" t="s">
        <v>602</v>
      </c>
      <c r="E49" s="180" t="s">
        <v>41</v>
      </c>
      <c r="F49" s="180" t="s">
        <v>87</v>
      </c>
      <c r="G49" s="180" t="s">
        <v>260</v>
      </c>
      <c r="H49" s="180" t="s">
        <v>1738</v>
      </c>
      <c r="I49" s="180" t="s">
        <v>76</v>
      </c>
      <c r="J49" s="180" t="s">
        <v>49</v>
      </c>
      <c r="K49" s="180" t="s">
        <v>94</v>
      </c>
      <c r="L49" s="180">
        <v>277</v>
      </c>
      <c r="M49" s="180">
        <v>110</v>
      </c>
      <c r="N49" s="180">
        <v>6.5</v>
      </c>
      <c r="O49" s="94">
        <v>9.6999999999999993</v>
      </c>
      <c r="P49" s="239">
        <f t="shared" si="0"/>
        <v>5.6240175061873385</v>
      </c>
      <c r="Q49" s="262" t="str">
        <f t="shared" si="12"/>
        <v>Gadd Daph</v>
      </c>
      <c r="R49" s="263">
        <f t="shared" si="13"/>
        <v>-1.5593109449228564</v>
      </c>
      <c r="S49" s="220">
        <f t="shared" si="3"/>
        <v>7.1833284511101949</v>
      </c>
      <c r="T49" s="236">
        <f t="shared" si="8"/>
        <v>7</v>
      </c>
      <c r="U49" s="221" t="str">
        <f t="shared" si="18"/>
        <v>7-REP-EC10-Neonates</v>
      </c>
      <c r="V49" s="222" cm="1">
        <f t="array" ref="V49">GEOMEAN(IF(U49=$U$4:$U$176,$S$4:$S$176))</f>
        <v>6.8680184697754383</v>
      </c>
      <c r="W49" s="264">
        <f t="shared" si="14"/>
        <v>3.7451307858667282</v>
      </c>
      <c r="X49" s="225">
        <f t="shared" si="5"/>
        <v>42.314541000879686</v>
      </c>
      <c r="Y49" s="225">
        <f t="shared" si="19"/>
        <v>42.314541000879686</v>
      </c>
      <c r="Z49" s="226"/>
      <c r="AA49" s="226"/>
      <c r="AB49" s="227" t="s">
        <v>1846</v>
      </c>
      <c r="AC49" s="243" t="s">
        <v>1798</v>
      </c>
      <c r="AD49" s="243"/>
      <c r="AE49" s="229" t="s">
        <v>1584</v>
      </c>
      <c r="AG49" s="248"/>
    </row>
    <row r="50" spans="1:33" s="182" customFormat="1" ht="15.75" customHeight="1" x14ac:dyDescent="0.25">
      <c r="B50" s="180">
        <v>71981</v>
      </c>
      <c r="C50" s="217">
        <v>2003</v>
      </c>
      <c r="D50" s="180" t="s">
        <v>602</v>
      </c>
      <c r="E50" s="180" t="s">
        <v>41</v>
      </c>
      <c r="F50" s="180" t="s">
        <v>87</v>
      </c>
      <c r="G50" s="180" t="s">
        <v>260</v>
      </c>
      <c r="H50" s="180" t="s">
        <v>1738</v>
      </c>
      <c r="I50" s="180" t="s">
        <v>76</v>
      </c>
      <c r="J50" s="180" t="s">
        <v>49</v>
      </c>
      <c r="K50" s="180" t="s">
        <v>94</v>
      </c>
      <c r="L50" s="180">
        <v>557</v>
      </c>
      <c r="M50" s="180">
        <v>110</v>
      </c>
      <c r="N50" s="180">
        <v>8</v>
      </c>
      <c r="O50" s="94">
        <v>32.299999999999997</v>
      </c>
      <c r="P50" s="239">
        <f t="shared" si="0"/>
        <v>6.3225652399272843</v>
      </c>
      <c r="Q50" s="262" t="str">
        <f t="shared" si="12"/>
        <v>Gadd Daph</v>
      </c>
      <c r="R50" s="263">
        <f t="shared" si="13"/>
        <v>-0.89581612688547363</v>
      </c>
      <c r="S50" s="220">
        <f t="shared" si="3"/>
        <v>7.2183813668127579</v>
      </c>
      <c r="T50" s="236">
        <f t="shared" si="8"/>
        <v>7</v>
      </c>
      <c r="U50" s="221" t="str">
        <f t="shared" si="18"/>
        <v>7-REP-EC10-Neonates</v>
      </c>
      <c r="V50" s="222" cm="1">
        <f t="array" ref="V50">GEOMEAN(IF(U50=$U$4:$U$176,$S$4:$S$176))</f>
        <v>6.8680184697754383</v>
      </c>
      <c r="W50" s="264">
        <f t="shared" si="14"/>
        <v>3.7451307858667282</v>
      </c>
      <c r="X50" s="225">
        <f t="shared" si="5"/>
        <v>42.314541000879686</v>
      </c>
      <c r="Y50" s="225">
        <f t="shared" si="19"/>
        <v>42.314541000879686</v>
      </c>
      <c r="Z50" s="226"/>
      <c r="AA50" s="226"/>
      <c r="AB50" s="227" t="s">
        <v>1846</v>
      </c>
      <c r="AC50" s="243" t="s">
        <v>1798</v>
      </c>
      <c r="AD50" s="251"/>
      <c r="AE50" s="229" t="s">
        <v>1584</v>
      </c>
      <c r="AG50" s="248"/>
    </row>
    <row r="51" spans="1:33" s="182" customFormat="1" ht="15.75" customHeight="1" x14ac:dyDescent="0.25">
      <c r="B51" s="180">
        <v>84052</v>
      </c>
      <c r="C51" s="217">
        <v>2005</v>
      </c>
      <c r="D51" s="180" t="s">
        <v>785</v>
      </c>
      <c r="E51" s="180" t="s">
        <v>41</v>
      </c>
      <c r="F51" s="180" t="s">
        <v>87</v>
      </c>
      <c r="G51" s="180" t="s">
        <v>260</v>
      </c>
      <c r="H51" s="180" t="s">
        <v>1738</v>
      </c>
      <c r="I51" s="180" t="s">
        <v>76</v>
      </c>
      <c r="J51" s="180" t="s">
        <v>49</v>
      </c>
      <c r="K51" s="180" t="s">
        <v>94</v>
      </c>
      <c r="L51" s="180">
        <v>59.2</v>
      </c>
      <c r="M51" s="224">
        <v>121.87649999999999</v>
      </c>
      <c r="N51" s="180">
        <v>8.4</v>
      </c>
      <c r="O51" s="94">
        <v>4.17</v>
      </c>
      <c r="P51" s="239">
        <f t="shared" si="0"/>
        <v>4.0809215418899605</v>
      </c>
      <c r="Q51" s="262" t="str">
        <f t="shared" si="12"/>
        <v>Gadd Daph</v>
      </c>
      <c r="R51" s="263">
        <f t="shared" si="13"/>
        <v>-1.9994711684908824</v>
      </c>
      <c r="S51" s="220">
        <f t="shared" si="3"/>
        <v>6.0803927103808428</v>
      </c>
      <c r="T51" s="236">
        <f t="shared" si="8"/>
        <v>7</v>
      </c>
      <c r="U51" s="221" t="str">
        <f t="shared" si="18"/>
        <v>7-REP-EC10-Neonates</v>
      </c>
      <c r="V51" s="222" cm="1">
        <f t="array" ref="V51">GEOMEAN(IF(U51=$U$4:$U$176,$S$4:$S$176))</f>
        <v>6.8680184697754383</v>
      </c>
      <c r="W51" s="264">
        <f t="shared" si="14"/>
        <v>3.7451307858667282</v>
      </c>
      <c r="X51" s="225">
        <f t="shared" si="5"/>
        <v>42.314541000879686</v>
      </c>
      <c r="Y51" s="225">
        <f t="shared" si="19"/>
        <v>42.314541000879686</v>
      </c>
      <c r="Z51" s="226"/>
      <c r="AA51" s="226"/>
      <c r="AB51" s="227" t="s">
        <v>1846</v>
      </c>
      <c r="AC51" s="228" t="s">
        <v>1861</v>
      </c>
      <c r="AD51" s="228"/>
      <c r="AE51" s="229" t="s">
        <v>1584</v>
      </c>
      <c r="AG51" s="248"/>
    </row>
    <row r="52" spans="1:33" s="182" customFormat="1" ht="15.75" customHeight="1" x14ac:dyDescent="0.25">
      <c r="B52" s="180">
        <v>84052</v>
      </c>
      <c r="C52" s="217">
        <v>2005</v>
      </c>
      <c r="D52" s="180" t="s">
        <v>785</v>
      </c>
      <c r="E52" s="180" t="s">
        <v>41</v>
      </c>
      <c r="F52" s="180" t="s">
        <v>87</v>
      </c>
      <c r="G52" s="180" t="s">
        <v>260</v>
      </c>
      <c r="H52" s="180" t="s">
        <v>1738</v>
      </c>
      <c r="I52" s="180" t="s">
        <v>76</v>
      </c>
      <c r="J52" s="180" t="s">
        <v>49</v>
      </c>
      <c r="K52" s="180" t="s">
        <v>94</v>
      </c>
      <c r="L52" s="180">
        <v>387</v>
      </c>
      <c r="M52" s="224">
        <v>122.40209999999999</v>
      </c>
      <c r="N52" s="180">
        <v>6.8</v>
      </c>
      <c r="O52" s="94">
        <v>17.3</v>
      </c>
      <c r="P52" s="239">
        <f t="shared" si="0"/>
        <v>5.9584246930297819</v>
      </c>
      <c r="Q52" s="262" t="str">
        <f t="shared" si="12"/>
        <v>Gadd Daph</v>
      </c>
      <c r="R52" s="263">
        <f t="shared" si="13"/>
        <v>-1.3843695183450579</v>
      </c>
      <c r="S52" s="220">
        <f t="shared" si="3"/>
        <v>7.3427942113748399</v>
      </c>
      <c r="T52" s="236">
        <f t="shared" si="8"/>
        <v>7</v>
      </c>
      <c r="U52" s="221" t="str">
        <f t="shared" si="18"/>
        <v>7-REP-EC10-Neonates</v>
      </c>
      <c r="V52" s="222" cm="1">
        <f t="array" ref="V52">GEOMEAN(IF(U52=$U$4:$U$176,$S$4:$S$176))</f>
        <v>6.8680184697754383</v>
      </c>
      <c r="W52" s="264">
        <f t="shared" si="14"/>
        <v>3.7451307858667282</v>
      </c>
      <c r="X52" s="225">
        <f t="shared" si="5"/>
        <v>42.314541000879686</v>
      </c>
      <c r="Y52" s="225">
        <f t="shared" si="19"/>
        <v>42.314541000879686</v>
      </c>
      <c r="Z52" s="226"/>
      <c r="AA52" s="226"/>
      <c r="AB52" s="227" t="s">
        <v>1846</v>
      </c>
      <c r="AC52" s="228" t="s">
        <v>1861</v>
      </c>
      <c r="AD52" s="228"/>
      <c r="AE52" s="229" t="s">
        <v>1584</v>
      </c>
      <c r="AG52" s="248"/>
    </row>
    <row r="53" spans="1:33" s="182" customFormat="1" ht="15.75" customHeight="1" x14ac:dyDescent="0.25">
      <c r="B53" s="180">
        <v>84052</v>
      </c>
      <c r="C53" s="217">
        <v>2005</v>
      </c>
      <c r="D53" s="180" t="s">
        <v>785</v>
      </c>
      <c r="E53" s="180" t="s">
        <v>41</v>
      </c>
      <c r="F53" s="180" t="s">
        <v>87</v>
      </c>
      <c r="G53" s="180" t="s">
        <v>260</v>
      </c>
      <c r="H53" s="180" t="s">
        <v>1738</v>
      </c>
      <c r="I53" s="180" t="s">
        <v>76</v>
      </c>
      <c r="J53" s="180" t="s">
        <v>49</v>
      </c>
      <c r="K53" s="180" t="s">
        <v>94</v>
      </c>
      <c r="L53" s="180">
        <v>126</v>
      </c>
      <c r="M53" s="224">
        <v>196.37960000000001</v>
      </c>
      <c r="N53" s="180">
        <v>8.1999999999999993</v>
      </c>
      <c r="O53" s="94">
        <v>2.2999999999999998</v>
      </c>
      <c r="P53" s="239">
        <f t="shared" si="0"/>
        <v>4.836281906951478</v>
      </c>
      <c r="Q53" s="262" t="str">
        <f t="shared" si="12"/>
        <v>Gadd Daph</v>
      </c>
      <c r="R53" s="263">
        <f t="shared" si="13"/>
        <v>-2.1540922667026114</v>
      </c>
      <c r="S53" s="220">
        <f t="shared" si="3"/>
        <v>6.9903741736540894</v>
      </c>
      <c r="T53" s="236">
        <f t="shared" si="8"/>
        <v>7</v>
      </c>
      <c r="U53" s="221" t="str">
        <f t="shared" si="18"/>
        <v>7-REP-EC10-Neonates</v>
      </c>
      <c r="V53" s="222" cm="1">
        <f t="array" ref="V53">GEOMEAN(IF(U53=$U$4:$U$176,$S$4:$S$176))</f>
        <v>6.8680184697754383</v>
      </c>
      <c r="W53" s="264">
        <f t="shared" si="14"/>
        <v>3.7451307858667282</v>
      </c>
      <c r="X53" s="225">
        <f t="shared" si="5"/>
        <v>42.314541000879686</v>
      </c>
      <c r="Y53" s="225">
        <f t="shared" si="19"/>
        <v>42.314541000879686</v>
      </c>
      <c r="Z53" s="226"/>
      <c r="AA53" s="226"/>
      <c r="AB53" s="227" t="s">
        <v>1846</v>
      </c>
      <c r="AC53" s="228" t="s">
        <v>1861</v>
      </c>
      <c r="AD53" s="228"/>
      <c r="AE53" s="229" t="s">
        <v>1584</v>
      </c>
      <c r="AG53" s="248"/>
    </row>
    <row r="54" spans="1:33" s="182" customFormat="1" ht="15.75" customHeight="1" x14ac:dyDescent="0.25">
      <c r="B54" s="180">
        <v>84052</v>
      </c>
      <c r="C54" s="217">
        <v>2005</v>
      </c>
      <c r="D54" s="180" t="s">
        <v>785</v>
      </c>
      <c r="E54" s="180" t="s">
        <v>41</v>
      </c>
      <c r="F54" s="180" t="s">
        <v>87</v>
      </c>
      <c r="G54" s="180" t="s">
        <v>260</v>
      </c>
      <c r="H54" s="180" t="s">
        <v>1738</v>
      </c>
      <c r="I54" s="180" t="s">
        <v>76</v>
      </c>
      <c r="J54" s="180" t="s">
        <v>49</v>
      </c>
      <c r="K54" s="180" t="s">
        <v>94</v>
      </c>
      <c r="L54" s="180">
        <v>171</v>
      </c>
      <c r="M54" s="224">
        <v>189.2439</v>
      </c>
      <c r="N54" s="180">
        <v>8</v>
      </c>
      <c r="O54" s="94">
        <v>7.49</v>
      </c>
      <c r="P54" s="239">
        <f t="shared" si="0"/>
        <v>5.1416635565026603</v>
      </c>
      <c r="Q54" s="262" t="str">
        <f t="shared" si="12"/>
        <v>Gadd Daph</v>
      </c>
      <c r="R54" s="263">
        <f t="shared" si="13"/>
        <v>-1.4876028609014247</v>
      </c>
      <c r="S54" s="220">
        <f t="shared" si="3"/>
        <v>6.629266417404085</v>
      </c>
      <c r="T54" s="236">
        <f t="shared" si="8"/>
        <v>7</v>
      </c>
      <c r="U54" s="221" t="str">
        <f t="shared" si="18"/>
        <v>7-REP-EC10-Neonates</v>
      </c>
      <c r="V54" s="222" cm="1">
        <f t="array" ref="V54">GEOMEAN(IF(U54=$U$4:$U$176,$S$4:$S$176))</f>
        <v>6.8680184697754383</v>
      </c>
      <c r="W54" s="264">
        <f t="shared" si="14"/>
        <v>3.7451307858667282</v>
      </c>
      <c r="X54" s="225">
        <f t="shared" si="5"/>
        <v>42.314541000879686</v>
      </c>
      <c r="Y54" s="225">
        <f t="shared" si="19"/>
        <v>42.314541000879686</v>
      </c>
      <c r="Z54" s="226"/>
      <c r="AA54" s="226"/>
      <c r="AB54" s="227" t="s">
        <v>1846</v>
      </c>
      <c r="AC54" s="228" t="s">
        <v>1861</v>
      </c>
      <c r="AD54" s="228"/>
      <c r="AE54" s="229" t="s">
        <v>1584</v>
      </c>
      <c r="AG54" s="248"/>
    </row>
    <row r="55" spans="1:33" s="182" customFormat="1" ht="15.75" customHeight="1" x14ac:dyDescent="0.25">
      <c r="B55" s="180">
        <v>84052</v>
      </c>
      <c r="C55" s="217">
        <v>2005</v>
      </c>
      <c r="D55" s="180" t="s">
        <v>785</v>
      </c>
      <c r="E55" s="180" t="s">
        <v>41</v>
      </c>
      <c r="F55" s="180" t="s">
        <v>87</v>
      </c>
      <c r="G55" s="180" t="s">
        <v>260</v>
      </c>
      <c r="H55" s="180" t="s">
        <v>1738</v>
      </c>
      <c r="I55" s="180" t="s">
        <v>76</v>
      </c>
      <c r="J55" s="180" t="s">
        <v>49</v>
      </c>
      <c r="K55" s="180" t="s">
        <v>94</v>
      </c>
      <c r="L55" s="180">
        <v>92.7</v>
      </c>
      <c r="M55" s="224">
        <v>26.4862</v>
      </c>
      <c r="N55" s="180">
        <v>7.3</v>
      </c>
      <c r="O55" s="94">
        <v>2.5299999999999998</v>
      </c>
      <c r="P55" s="239">
        <f t="shared" si="0"/>
        <v>4.5293684725718091</v>
      </c>
      <c r="Q55" s="262" t="str">
        <f t="shared" si="12"/>
        <v>Gadd Daph</v>
      </c>
      <c r="R55" s="263">
        <f t="shared" si="13"/>
        <v>-2.453513414218758</v>
      </c>
      <c r="S55" s="220">
        <f t="shared" si="3"/>
        <v>6.9828818867905671</v>
      </c>
      <c r="T55" s="236">
        <f t="shared" si="8"/>
        <v>7</v>
      </c>
      <c r="U55" s="221" t="str">
        <f t="shared" si="18"/>
        <v>7-REP-EC10-Neonates</v>
      </c>
      <c r="V55" s="222" cm="1">
        <f t="array" ref="V55">GEOMEAN(IF(U55=$U$4:$U$176,$S$4:$S$176))</f>
        <v>6.8680184697754383</v>
      </c>
      <c r="W55" s="264">
        <f t="shared" si="14"/>
        <v>3.7451307858667282</v>
      </c>
      <c r="X55" s="225">
        <f t="shared" si="5"/>
        <v>42.314541000879686</v>
      </c>
      <c r="Y55" s="225">
        <f t="shared" si="19"/>
        <v>42.314541000879686</v>
      </c>
      <c r="Z55" s="226"/>
      <c r="AA55" s="226"/>
      <c r="AB55" s="227" t="s">
        <v>1846</v>
      </c>
      <c r="AC55" s="228" t="s">
        <v>1861</v>
      </c>
      <c r="AD55" s="228"/>
      <c r="AE55" s="229" t="s">
        <v>1584</v>
      </c>
      <c r="AG55" s="248"/>
    </row>
    <row r="56" spans="1:33" s="182" customFormat="1" ht="15.75" customHeight="1" x14ac:dyDescent="0.25">
      <c r="B56" s="180">
        <v>84052</v>
      </c>
      <c r="C56" s="217">
        <v>2005</v>
      </c>
      <c r="D56" s="180" t="s">
        <v>785</v>
      </c>
      <c r="E56" s="180" t="s">
        <v>41</v>
      </c>
      <c r="F56" s="180" t="s">
        <v>87</v>
      </c>
      <c r="G56" s="180" t="s">
        <v>260</v>
      </c>
      <c r="H56" s="180" t="s">
        <v>1738</v>
      </c>
      <c r="I56" s="180" t="s">
        <v>76</v>
      </c>
      <c r="J56" s="180" t="s">
        <v>49</v>
      </c>
      <c r="K56" s="180" t="s">
        <v>94</v>
      </c>
      <c r="L56" s="180">
        <v>265</v>
      </c>
      <c r="M56" s="224">
        <v>183.01369999999997</v>
      </c>
      <c r="N56" s="180">
        <v>8</v>
      </c>
      <c r="O56" s="94">
        <v>9.8699999999999992</v>
      </c>
      <c r="P56" s="239">
        <f t="shared" si="0"/>
        <v>5.579729825986222</v>
      </c>
      <c r="Q56" s="262" t="str">
        <f t="shared" ref="Q56:Q91" si="20">$AG$5</f>
        <v>Gadd Daph</v>
      </c>
      <c r="R56" s="263">
        <f t="shared" ref="R56:R91" si="21">$AI$5*N56+$AH$5*LN(M56)+$AJ$5*LN(O56)+$AK$5*LN(O56)*N56</f>
        <v>-1.3544961620459413</v>
      </c>
      <c r="S56" s="220">
        <f t="shared" si="3"/>
        <v>6.9342259880321633</v>
      </c>
      <c r="T56" s="236">
        <f t="shared" si="8"/>
        <v>7</v>
      </c>
      <c r="U56" s="221" t="str">
        <f t="shared" si="18"/>
        <v>7-REP-EC10-Neonates</v>
      </c>
      <c r="V56" s="222" cm="1">
        <f t="array" ref="V56">GEOMEAN(IF(U56=$U$4:$U$176,$S$4:$S$176))</f>
        <v>6.8680184697754383</v>
      </c>
      <c r="W56" s="264">
        <f t="shared" ref="W56:W87" si="22">V56+$AI$5*$AI$2+$AH$5*LN($AH$2)+$AJ$5*LN($AJ$2)+$AK$5*LN($AJ$2)*$AI$2</f>
        <v>3.7451307858667282</v>
      </c>
      <c r="X56" s="225">
        <f t="shared" si="5"/>
        <v>42.314541000879686</v>
      </c>
      <c r="Y56" s="225">
        <f t="shared" si="19"/>
        <v>42.314541000879686</v>
      </c>
      <c r="Z56" s="226"/>
      <c r="AA56" s="226"/>
      <c r="AB56" s="227" t="s">
        <v>1846</v>
      </c>
      <c r="AC56" s="228" t="s">
        <v>1861</v>
      </c>
      <c r="AD56" s="228"/>
      <c r="AE56" s="229" t="s">
        <v>1584</v>
      </c>
      <c r="AG56" s="248"/>
    </row>
    <row r="57" spans="1:33" s="182" customFormat="1" ht="15.75" customHeight="1" x14ac:dyDescent="0.25">
      <c r="B57" s="180">
        <v>84052</v>
      </c>
      <c r="C57" s="217">
        <v>2005</v>
      </c>
      <c r="D57" s="180" t="s">
        <v>785</v>
      </c>
      <c r="E57" s="180" t="s">
        <v>41</v>
      </c>
      <c r="F57" s="180" t="s">
        <v>87</v>
      </c>
      <c r="G57" s="180" t="s">
        <v>260</v>
      </c>
      <c r="H57" s="180" t="s">
        <v>1738</v>
      </c>
      <c r="I57" s="180" t="s">
        <v>76</v>
      </c>
      <c r="J57" s="180" t="s">
        <v>49</v>
      </c>
      <c r="K57" s="180" t="s">
        <v>94</v>
      </c>
      <c r="L57" s="180">
        <v>196</v>
      </c>
      <c r="M57" s="224">
        <v>250.499</v>
      </c>
      <c r="N57" s="181">
        <v>7.2</v>
      </c>
      <c r="O57" s="94">
        <v>0.3</v>
      </c>
      <c r="P57" s="239">
        <f t="shared" si="0"/>
        <v>5.2781146592305168</v>
      </c>
      <c r="Q57" s="262" t="str">
        <f t="shared" si="20"/>
        <v>Gadd Daph</v>
      </c>
      <c r="R57" s="263">
        <f t="shared" si="21"/>
        <v>-2.4266320519836029</v>
      </c>
      <c r="S57" s="220">
        <f t="shared" si="3"/>
        <v>7.7047467112141197</v>
      </c>
      <c r="T57" s="236">
        <f t="shared" si="8"/>
        <v>7</v>
      </c>
      <c r="U57" s="221" t="str">
        <f t="shared" si="18"/>
        <v>7-REP-EC10-Neonates</v>
      </c>
      <c r="V57" s="222" cm="1">
        <f t="array" ref="V57">GEOMEAN(IF(U57=$U$4:$U$176,$S$4:$S$176))</f>
        <v>6.8680184697754383</v>
      </c>
      <c r="W57" s="264">
        <f t="shared" si="22"/>
        <v>3.7451307858667282</v>
      </c>
      <c r="X57" s="225">
        <f t="shared" si="5"/>
        <v>42.314541000879686</v>
      </c>
      <c r="Y57" s="225">
        <f t="shared" si="19"/>
        <v>42.314541000879686</v>
      </c>
      <c r="Z57" s="226"/>
      <c r="AA57" s="226"/>
      <c r="AB57" s="227" t="s">
        <v>1846</v>
      </c>
      <c r="AC57" s="228" t="s">
        <v>1861</v>
      </c>
      <c r="AD57" s="228"/>
      <c r="AE57" s="229" t="s">
        <v>1584</v>
      </c>
      <c r="AG57" s="248"/>
    </row>
    <row r="58" spans="1:33" s="182" customFormat="1" ht="15.75" customHeight="1" x14ac:dyDescent="0.25">
      <c r="A58" s="180" t="s">
        <v>1893</v>
      </c>
      <c r="B58" s="180">
        <v>101832</v>
      </c>
      <c r="C58" s="217">
        <v>2007</v>
      </c>
      <c r="D58" s="180" t="s">
        <v>512</v>
      </c>
      <c r="E58" s="180" t="s">
        <v>41</v>
      </c>
      <c r="F58" s="180" t="s">
        <v>87</v>
      </c>
      <c r="G58" s="180" t="s">
        <v>260</v>
      </c>
      <c r="H58" s="180" t="s">
        <v>1738</v>
      </c>
      <c r="I58" s="180" t="s">
        <v>76</v>
      </c>
      <c r="J58" s="180" t="s">
        <v>49</v>
      </c>
      <c r="K58" s="180" t="s">
        <v>253</v>
      </c>
      <c r="L58" s="180">
        <v>84</v>
      </c>
      <c r="M58" s="180">
        <v>250</v>
      </c>
      <c r="N58" s="180">
        <v>7.6</v>
      </c>
      <c r="O58" s="94">
        <v>4</v>
      </c>
      <c r="P58" s="239">
        <f t="shared" si="0"/>
        <v>4.4308167988433134</v>
      </c>
      <c r="Q58" s="262" t="str">
        <f t="shared" si="20"/>
        <v>Gadd Daph</v>
      </c>
      <c r="R58" s="263">
        <f t="shared" si="21"/>
        <v>-1.6525583063478702</v>
      </c>
      <c r="S58" s="220">
        <f t="shared" si="3"/>
        <v>6.083375105191184</v>
      </c>
      <c r="T58" s="236">
        <f t="shared" si="8"/>
        <v>7</v>
      </c>
      <c r="U58" s="221" t="str">
        <f t="shared" si="18"/>
        <v>7-REP-EC10-Neonates</v>
      </c>
      <c r="V58" s="222" cm="1">
        <f t="array" ref="V58">GEOMEAN(IF(U58=$U$4:$U$176,$S$4:$S$176))</f>
        <v>6.8680184697754383</v>
      </c>
      <c r="W58" s="264">
        <f t="shared" si="22"/>
        <v>3.7451307858667282</v>
      </c>
      <c r="X58" s="225">
        <f t="shared" si="5"/>
        <v>42.314541000879686</v>
      </c>
      <c r="Y58" s="225">
        <f t="shared" si="19"/>
        <v>42.314541000879686</v>
      </c>
      <c r="Z58" s="226"/>
      <c r="AA58" s="226"/>
      <c r="AB58" s="246"/>
      <c r="AC58" s="228" t="s">
        <v>1858</v>
      </c>
      <c r="AD58" s="276">
        <v>0.72</v>
      </c>
      <c r="AE58" s="228" t="s">
        <v>1859</v>
      </c>
      <c r="AG58" s="248"/>
    </row>
    <row r="59" spans="1:33" s="182" customFormat="1" ht="15.75" customHeight="1" x14ac:dyDescent="0.25">
      <c r="A59" s="180" t="s">
        <v>1894</v>
      </c>
      <c r="B59" s="180">
        <v>101832</v>
      </c>
      <c r="C59" s="217">
        <v>2007</v>
      </c>
      <c r="D59" s="180" t="s">
        <v>512</v>
      </c>
      <c r="E59" s="180" t="s">
        <v>41</v>
      </c>
      <c r="F59" s="180" t="s">
        <v>87</v>
      </c>
      <c r="G59" s="180" t="s">
        <v>260</v>
      </c>
      <c r="H59" s="180" t="s">
        <v>1738</v>
      </c>
      <c r="I59" s="180" t="s">
        <v>76</v>
      </c>
      <c r="J59" s="180" t="s">
        <v>49</v>
      </c>
      <c r="K59" s="180">
        <v>21</v>
      </c>
      <c r="L59" s="180">
        <v>85</v>
      </c>
      <c r="M59" s="180">
        <v>250</v>
      </c>
      <c r="N59" s="180">
        <v>7.6</v>
      </c>
      <c r="O59" s="94">
        <v>4</v>
      </c>
      <c r="P59" s="239">
        <f t="shared" si="0"/>
        <v>4.4426512564903167</v>
      </c>
      <c r="Q59" s="262" t="str">
        <f t="shared" si="20"/>
        <v>Gadd Daph</v>
      </c>
      <c r="R59" s="263">
        <f t="shared" si="21"/>
        <v>-1.6525583063478702</v>
      </c>
      <c r="S59" s="220">
        <f t="shared" si="3"/>
        <v>6.0952095628381873</v>
      </c>
      <c r="T59" s="236">
        <f t="shared" si="8"/>
        <v>7</v>
      </c>
      <c r="U59" s="221" t="str">
        <f t="shared" si="18"/>
        <v>7-REP-EC10-Neonates</v>
      </c>
      <c r="V59" s="222" cm="1">
        <f t="array" ref="V59">GEOMEAN(IF(U59=$U$4:$U$176,$S$4:$S$176))</f>
        <v>6.8680184697754383</v>
      </c>
      <c r="W59" s="264">
        <f t="shared" si="22"/>
        <v>3.7451307858667282</v>
      </c>
      <c r="X59" s="225">
        <f t="shared" si="5"/>
        <v>42.314541000879686</v>
      </c>
      <c r="Y59" s="225">
        <f t="shared" si="19"/>
        <v>42.314541000879686</v>
      </c>
      <c r="Z59" s="226"/>
      <c r="AA59" s="226"/>
      <c r="AB59" s="246"/>
      <c r="AC59" s="228" t="s">
        <v>1858</v>
      </c>
      <c r="AD59" s="276">
        <v>0.72</v>
      </c>
      <c r="AE59" s="228" t="s">
        <v>1859</v>
      </c>
      <c r="AG59" s="248"/>
    </row>
    <row r="60" spans="1:33" s="182" customFormat="1" ht="15.75" customHeight="1" x14ac:dyDescent="0.25">
      <c r="A60" s="182" t="s">
        <v>1825</v>
      </c>
      <c r="B60" s="183">
        <v>2017</v>
      </c>
      <c r="C60" s="183">
        <v>2017</v>
      </c>
      <c r="D60" s="183" t="s">
        <v>1530</v>
      </c>
      <c r="E60" s="183" t="s">
        <v>1829</v>
      </c>
      <c r="F60" s="180" t="s">
        <v>87</v>
      </c>
      <c r="G60" s="180" t="s">
        <v>260</v>
      </c>
      <c r="H60" s="180" t="s">
        <v>1738</v>
      </c>
      <c r="I60" s="183" t="s">
        <v>76</v>
      </c>
      <c r="J60" s="183" t="s">
        <v>49</v>
      </c>
      <c r="K60" s="183">
        <v>21</v>
      </c>
      <c r="L60" s="183">
        <v>165</v>
      </c>
      <c r="M60" s="183">
        <v>607.6</v>
      </c>
      <c r="N60" s="183">
        <v>8.1999999999999993</v>
      </c>
      <c r="O60" s="183">
        <v>3.93</v>
      </c>
      <c r="P60" s="239">
        <f t="shared" si="0"/>
        <v>5.1059454739005803</v>
      </c>
      <c r="Q60" s="262" t="str">
        <f t="shared" si="20"/>
        <v>Gadd Daph</v>
      </c>
      <c r="R60" s="263">
        <f t="shared" si="21"/>
        <v>-1.499662607175793</v>
      </c>
      <c r="S60" s="220">
        <f t="shared" si="3"/>
        <v>6.6056080810763733</v>
      </c>
      <c r="T60" s="236">
        <f t="shared" si="8"/>
        <v>7</v>
      </c>
      <c r="U60" s="221"/>
      <c r="V60" s="222" t="e" cm="1">
        <f t="array" ref="V60">GEOMEAN(IF(U60=$U$4:$U$176,$S$4:$S$176))</f>
        <v>#NUM!</v>
      </c>
      <c r="W60" s="264" t="e">
        <f t="shared" si="22"/>
        <v>#NUM!</v>
      </c>
      <c r="X60" s="225" t="e">
        <f t="shared" si="5"/>
        <v>#NUM!</v>
      </c>
      <c r="Y60" s="225"/>
      <c r="Z60" s="226"/>
      <c r="AA60" s="226" t="s">
        <v>1890</v>
      </c>
      <c r="AB60" s="246"/>
      <c r="AC60" s="228" t="s">
        <v>1772</v>
      </c>
      <c r="AD60" s="276">
        <v>0.8</v>
      </c>
      <c r="AE60" s="228" t="s">
        <v>1859</v>
      </c>
      <c r="AG60" s="248"/>
    </row>
    <row r="61" spans="1:33" s="182" customFormat="1" ht="15.75" customHeight="1" x14ac:dyDescent="0.25">
      <c r="A61" s="182" t="s">
        <v>1826</v>
      </c>
      <c r="B61" s="183">
        <v>2017</v>
      </c>
      <c r="C61" s="183">
        <v>2017</v>
      </c>
      <c r="D61" s="183" t="s">
        <v>1530</v>
      </c>
      <c r="E61" s="183" t="s">
        <v>1830</v>
      </c>
      <c r="F61" s="180" t="s">
        <v>87</v>
      </c>
      <c r="G61" s="180" t="s">
        <v>260</v>
      </c>
      <c r="H61" s="180" t="s">
        <v>1738</v>
      </c>
      <c r="I61" s="183" t="s">
        <v>76</v>
      </c>
      <c r="J61" s="183" t="s">
        <v>49</v>
      </c>
      <c r="K61" s="183">
        <v>21</v>
      </c>
      <c r="L61" s="183">
        <v>203</v>
      </c>
      <c r="M61" s="183">
        <v>494.2</v>
      </c>
      <c r="N61" s="183">
        <v>8.07</v>
      </c>
      <c r="O61" s="183">
        <v>3.13</v>
      </c>
      <c r="P61" s="239">
        <f t="shared" si="0"/>
        <v>5.3132059790417872</v>
      </c>
      <c r="Q61" s="262" t="str">
        <f t="shared" si="20"/>
        <v>Gadd Daph</v>
      </c>
      <c r="R61" s="263">
        <f t="shared" si="21"/>
        <v>-1.6609819921545559</v>
      </c>
      <c r="S61" s="220">
        <f t="shared" si="3"/>
        <v>6.9741879711963435</v>
      </c>
      <c r="T61" s="236">
        <f t="shared" si="8"/>
        <v>7</v>
      </c>
      <c r="U61" s="221"/>
      <c r="V61" s="222" t="e" cm="1">
        <f t="array" ref="V61">GEOMEAN(IF(U61=$U$4:$U$176,$S$4:$S$176))</f>
        <v>#NUM!</v>
      </c>
      <c r="W61" s="264" t="e">
        <f t="shared" si="22"/>
        <v>#NUM!</v>
      </c>
      <c r="X61" s="225" t="e">
        <f t="shared" si="5"/>
        <v>#NUM!</v>
      </c>
      <c r="Y61" s="225"/>
      <c r="Z61" s="226"/>
      <c r="AA61" s="226" t="s">
        <v>1890</v>
      </c>
      <c r="AB61" s="246"/>
      <c r="AC61" s="228" t="s">
        <v>1772</v>
      </c>
      <c r="AD61" s="276">
        <v>0.8</v>
      </c>
      <c r="AE61" s="228" t="s">
        <v>1859</v>
      </c>
      <c r="AG61" s="248"/>
    </row>
    <row r="62" spans="1:33" s="182" customFormat="1" ht="15.75" customHeight="1" x14ac:dyDescent="0.25">
      <c r="A62" s="182" t="s">
        <v>1827</v>
      </c>
      <c r="B62" s="183">
        <v>2017</v>
      </c>
      <c r="C62" s="183">
        <v>2017</v>
      </c>
      <c r="D62" s="183" t="s">
        <v>1530</v>
      </c>
      <c r="E62" s="183" t="s">
        <v>1831</v>
      </c>
      <c r="F62" s="180" t="s">
        <v>87</v>
      </c>
      <c r="G62" s="180" t="s">
        <v>260</v>
      </c>
      <c r="H62" s="180" t="s">
        <v>1738</v>
      </c>
      <c r="I62" s="183" t="s">
        <v>76</v>
      </c>
      <c r="J62" s="183" t="s">
        <v>49</v>
      </c>
      <c r="K62" s="183">
        <v>21</v>
      </c>
      <c r="L62" s="183">
        <v>109</v>
      </c>
      <c r="M62" s="183">
        <v>91.1</v>
      </c>
      <c r="N62" s="183">
        <v>8.07</v>
      </c>
      <c r="O62" s="183">
        <v>4.26</v>
      </c>
      <c r="P62" s="239">
        <f t="shared" si="0"/>
        <v>4.6913478822291435</v>
      </c>
      <c r="Q62" s="262" t="str">
        <f t="shared" si="20"/>
        <v>Gadd Daph</v>
      </c>
      <c r="R62" s="263">
        <f t="shared" si="21"/>
        <v>-2.0197253954385768</v>
      </c>
      <c r="S62" s="220">
        <f t="shared" si="3"/>
        <v>6.7110732776677207</v>
      </c>
      <c r="T62" s="236">
        <f t="shared" si="8"/>
        <v>7</v>
      </c>
      <c r="U62" s="221" t="str">
        <f t="shared" ref="U62" si="23">CONCATENATE(T62,"-",I62,"-",J62,"-",H62)</f>
        <v>7-REP-EC10-Neonates</v>
      </c>
      <c r="V62" s="222" cm="1">
        <f t="array" ref="V62">GEOMEAN(IF(U62=$U$4:$U$176,$S$4:$S$176))</f>
        <v>6.8680184697754383</v>
      </c>
      <c r="W62" s="264">
        <f t="shared" si="22"/>
        <v>3.7451307858667282</v>
      </c>
      <c r="X62" s="225">
        <f t="shared" si="5"/>
        <v>42.314541000879686</v>
      </c>
      <c r="Y62" s="225">
        <f t="shared" ref="Y62" si="24">X62</f>
        <v>42.314541000879686</v>
      </c>
      <c r="Z62" s="226"/>
      <c r="AA62" s="226"/>
      <c r="AB62" s="246"/>
      <c r="AC62" s="228" t="s">
        <v>1772</v>
      </c>
      <c r="AD62" s="276">
        <v>0.8</v>
      </c>
      <c r="AE62" s="228" t="s">
        <v>1859</v>
      </c>
      <c r="AG62" s="248"/>
    </row>
    <row r="63" spans="1:33" s="182" customFormat="1" ht="15.75" customHeight="1" x14ac:dyDescent="0.25">
      <c r="A63" s="182" t="s">
        <v>1828</v>
      </c>
      <c r="B63" s="183">
        <v>2017</v>
      </c>
      <c r="C63" s="183">
        <v>2017</v>
      </c>
      <c r="D63" s="183" t="s">
        <v>1530</v>
      </c>
      <c r="E63" s="183" t="s">
        <v>1832</v>
      </c>
      <c r="F63" s="180" t="s">
        <v>87</v>
      </c>
      <c r="G63" s="180" t="s">
        <v>260</v>
      </c>
      <c r="H63" s="180" t="s">
        <v>1738</v>
      </c>
      <c r="I63" s="183" t="s">
        <v>76</v>
      </c>
      <c r="J63" s="183" t="s">
        <v>49</v>
      </c>
      <c r="K63" s="183">
        <v>21</v>
      </c>
      <c r="L63" s="183">
        <v>58</v>
      </c>
      <c r="M63" s="183">
        <v>17.3</v>
      </c>
      <c r="N63" s="183">
        <v>7.15</v>
      </c>
      <c r="O63" s="183">
        <v>5.13</v>
      </c>
      <c r="P63" s="239">
        <f t="shared" si="0"/>
        <v>4.0604430105464191</v>
      </c>
      <c r="Q63" s="262" t="str">
        <f t="shared" si="20"/>
        <v>Gadd Daph</v>
      </c>
      <c r="R63" s="263">
        <f t="shared" si="21"/>
        <v>-2.3175875962321166</v>
      </c>
      <c r="S63" s="220">
        <f t="shared" si="3"/>
        <v>6.3780306067785357</v>
      </c>
      <c r="T63" s="236">
        <f t="shared" si="8"/>
        <v>7</v>
      </c>
      <c r="U63" s="221"/>
      <c r="V63" s="222" t="e" cm="1">
        <f t="array" ref="V63">GEOMEAN(IF(U63=$U$4:$U$176,$S$4:$S$176))</f>
        <v>#NUM!</v>
      </c>
      <c r="W63" s="264" t="e">
        <f t="shared" si="22"/>
        <v>#NUM!</v>
      </c>
      <c r="X63" s="225" t="e">
        <f t="shared" si="5"/>
        <v>#NUM!</v>
      </c>
      <c r="Y63" s="225"/>
      <c r="Z63" s="226" t="s">
        <v>1898</v>
      </c>
      <c r="AA63" s="194" t="s">
        <v>1874</v>
      </c>
      <c r="AB63" s="246"/>
      <c r="AC63" s="228" t="s">
        <v>1772</v>
      </c>
      <c r="AD63" s="276">
        <v>0.8</v>
      </c>
      <c r="AE63" s="228" t="s">
        <v>1859</v>
      </c>
      <c r="AG63" s="248"/>
    </row>
    <row r="64" spans="1:33" s="182" customFormat="1" ht="15.75" customHeight="1" x14ac:dyDescent="0.25">
      <c r="B64" s="180"/>
      <c r="C64" s="217">
        <v>2022</v>
      </c>
      <c r="D64" s="180" t="s">
        <v>1654</v>
      </c>
      <c r="E64" s="180" t="s">
        <v>1679</v>
      </c>
      <c r="F64" s="180" t="s">
        <v>1657</v>
      </c>
      <c r="G64" s="180" t="s">
        <v>260</v>
      </c>
      <c r="H64" s="180" t="s">
        <v>1738</v>
      </c>
      <c r="I64" s="180" t="s">
        <v>76</v>
      </c>
      <c r="J64" s="180" t="s">
        <v>49</v>
      </c>
      <c r="K64" s="180">
        <v>21</v>
      </c>
      <c r="L64" s="180">
        <v>55</v>
      </c>
      <c r="M64" s="180">
        <v>32.700000000000003</v>
      </c>
      <c r="N64" s="180">
        <v>8.1</v>
      </c>
      <c r="O64" s="94">
        <v>0.7</v>
      </c>
      <c r="P64" s="239">
        <f t="shared" si="0"/>
        <v>4.0073331852324712</v>
      </c>
      <c r="Q64" s="262" t="str">
        <f t="shared" si="20"/>
        <v>Gadd Daph</v>
      </c>
      <c r="R64" s="263">
        <f t="shared" si="21"/>
        <v>-3.3249448953526759</v>
      </c>
      <c r="S64" s="220">
        <f t="shared" si="3"/>
        <v>7.3322780805851471</v>
      </c>
      <c r="T64" s="236">
        <f t="shared" si="8"/>
        <v>8</v>
      </c>
      <c r="U64" s="221" t="str">
        <f t="shared" ref="U64:U66" si="25">CONCATENATE(T64,"-",I64,"-",J64,"-",H64)</f>
        <v>8-REP-EC10-Neonates</v>
      </c>
      <c r="V64" s="222" cm="1">
        <f t="array" ref="V64">GEOMEAN(IF(U64=$U$4:$U$176,$S$4:$S$176))</f>
        <v>6.192988869188726</v>
      </c>
      <c r="W64" s="264">
        <f t="shared" si="22"/>
        <v>3.070101185280016</v>
      </c>
      <c r="X64" s="225">
        <f t="shared" si="5"/>
        <v>21.544082508738349</v>
      </c>
      <c r="Y64" s="225">
        <f t="shared" ref="Y64:Y66" si="26">X64</f>
        <v>21.544082508738349</v>
      </c>
      <c r="Z64" s="226"/>
      <c r="AA64" s="226"/>
      <c r="AB64" s="255"/>
      <c r="AC64" s="228"/>
      <c r="AD64" s="228"/>
      <c r="AE64" s="228"/>
      <c r="AG64" s="248"/>
    </row>
    <row r="65" spans="1:38" s="182" customFormat="1" ht="15.75" customHeight="1" x14ac:dyDescent="0.25">
      <c r="B65" s="180"/>
      <c r="C65" s="217">
        <v>2022</v>
      </c>
      <c r="D65" s="180" t="s">
        <v>1654</v>
      </c>
      <c r="E65" s="180" t="s">
        <v>1682</v>
      </c>
      <c r="F65" s="180" t="s">
        <v>1657</v>
      </c>
      <c r="G65" s="180" t="s">
        <v>260</v>
      </c>
      <c r="H65" s="180" t="s">
        <v>1738</v>
      </c>
      <c r="I65" s="180" t="s">
        <v>76</v>
      </c>
      <c r="J65" s="180" t="s">
        <v>49</v>
      </c>
      <c r="K65" s="180">
        <v>21</v>
      </c>
      <c r="L65" s="180">
        <v>36</v>
      </c>
      <c r="M65" s="180">
        <v>61.3</v>
      </c>
      <c r="N65" s="180">
        <v>7.9</v>
      </c>
      <c r="O65" s="94">
        <v>6.6</v>
      </c>
      <c r="P65" s="239">
        <f t="shared" si="0"/>
        <v>3.5835189384561099</v>
      </c>
      <c r="Q65" s="262" t="str">
        <f t="shared" si="20"/>
        <v>Gadd Daph</v>
      </c>
      <c r="R65" s="263">
        <f t="shared" si="21"/>
        <v>-1.8961217027678687</v>
      </c>
      <c r="S65" s="220">
        <f t="shared" si="3"/>
        <v>5.4796406412239786</v>
      </c>
      <c r="T65" s="236">
        <f t="shared" si="8"/>
        <v>8</v>
      </c>
      <c r="U65" s="221" t="str">
        <f t="shared" si="25"/>
        <v>8-REP-EC10-Neonates</v>
      </c>
      <c r="V65" s="222" cm="1">
        <f t="array" ref="V65">GEOMEAN(IF(U65=$U$4:$U$176,$S$4:$S$176))</f>
        <v>6.192988869188726</v>
      </c>
      <c r="W65" s="264">
        <f t="shared" si="22"/>
        <v>3.070101185280016</v>
      </c>
      <c r="X65" s="225">
        <f t="shared" si="5"/>
        <v>21.544082508738349</v>
      </c>
      <c r="Y65" s="225">
        <f t="shared" si="26"/>
        <v>21.544082508738349</v>
      </c>
      <c r="Z65" s="226"/>
      <c r="AA65" s="226"/>
      <c r="AB65" s="255"/>
      <c r="AC65" s="228"/>
      <c r="AD65" s="228"/>
      <c r="AE65" s="228"/>
      <c r="AG65" s="248"/>
    </row>
    <row r="66" spans="1:38" s="182" customFormat="1" ht="15.75" customHeight="1" x14ac:dyDescent="0.25">
      <c r="B66" s="180"/>
      <c r="C66" s="217">
        <v>2022</v>
      </c>
      <c r="D66" s="180" t="s">
        <v>1654</v>
      </c>
      <c r="E66" s="180" t="s">
        <v>1680</v>
      </c>
      <c r="F66" s="180" t="s">
        <v>1657</v>
      </c>
      <c r="G66" s="180" t="s">
        <v>260</v>
      </c>
      <c r="H66" s="180" t="s">
        <v>1738</v>
      </c>
      <c r="I66" s="180" t="s">
        <v>76</v>
      </c>
      <c r="J66" s="180" t="s">
        <v>49</v>
      </c>
      <c r="K66" s="180">
        <v>21</v>
      </c>
      <c r="L66" s="180">
        <v>46</v>
      </c>
      <c r="M66" s="180">
        <v>89.6</v>
      </c>
      <c r="N66" s="180">
        <v>8.1999999999999993</v>
      </c>
      <c r="O66" s="94">
        <v>4</v>
      </c>
      <c r="P66" s="239">
        <f t="shared" ref="P66:P91" si="27">LN(L66)</f>
        <v>3.8286413964890951</v>
      </c>
      <c r="Q66" s="262" t="str">
        <f t="shared" si="20"/>
        <v>Gadd Daph</v>
      </c>
      <c r="R66" s="263">
        <f t="shared" si="21"/>
        <v>-2.0830246536898276</v>
      </c>
      <c r="S66" s="220">
        <f t="shared" ref="S66:S94" si="28">P66-R66</f>
        <v>5.9116660501789227</v>
      </c>
      <c r="T66" s="236">
        <f t="shared" si="8"/>
        <v>8</v>
      </c>
      <c r="U66" s="221" t="str">
        <f t="shared" si="25"/>
        <v>8-REP-EC10-Neonates</v>
      </c>
      <c r="V66" s="222" cm="1">
        <f t="array" ref="V66">GEOMEAN(IF(U66=$U$4:$U$176,$S$4:$S$176))</f>
        <v>6.192988869188726</v>
      </c>
      <c r="W66" s="264">
        <f t="shared" si="22"/>
        <v>3.070101185280016</v>
      </c>
      <c r="X66" s="225">
        <f t="shared" ref="X66:X106" si="29">EXP(W66)</f>
        <v>21.544082508738349</v>
      </c>
      <c r="Y66" s="225">
        <f t="shared" si="26"/>
        <v>21.544082508738349</v>
      </c>
      <c r="Z66" s="226"/>
      <c r="AA66" s="226"/>
      <c r="AB66" s="255"/>
      <c r="AC66" s="228"/>
      <c r="AD66" s="228"/>
      <c r="AE66" s="228"/>
      <c r="AG66" s="248"/>
    </row>
    <row r="67" spans="1:38" s="182" customFormat="1" ht="15.75" customHeight="1" x14ac:dyDescent="0.25">
      <c r="B67" s="180"/>
      <c r="C67" s="217">
        <v>2022</v>
      </c>
      <c r="D67" s="180" t="s">
        <v>1654</v>
      </c>
      <c r="E67" s="180" t="s">
        <v>1681</v>
      </c>
      <c r="F67" s="180" t="s">
        <v>1657</v>
      </c>
      <c r="G67" s="180" t="s">
        <v>260</v>
      </c>
      <c r="H67" s="180" t="s">
        <v>1738</v>
      </c>
      <c r="I67" s="180" t="s">
        <v>76</v>
      </c>
      <c r="J67" s="180" t="s">
        <v>49</v>
      </c>
      <c r="K67" s="180">
        <v>21</v>
      </c>
      <c r="L67" s="180">
        <v>72</v>
      </c>
      <c r="M67" s="180">
        <v>9.1999999999999993</v>
      </c>
      <c r="N67" s="180">
        <v>7.5</v>
      </c>
      <c r="O67" s="94">
        <v>10</v>
      </c>
      <c r="P67" s="239">
        <f t="shared" si="27"/>
        <v>4.2766661190160553</v>
      </c>
      <c r="Q67" s="262" t="str">
        <f t="shared" si="20"/>
        <v>Gadd Daph</v>
      </c>
      <c r="R67" s="263">
        <f t="shared" si="21"/>
        <v>-2.2910128827453331</v>
      </c>
      <c r="S67" s="220">
        <f t="shared" si="28"/>
        <v>6.5676790017613884</v>
      </c>
      <c r="T67" s="236">
        <f t="shared" si="8"/>
        <v>8</v>
      </c>
      <c r="U67" s="221"/>
      <c r="V67" s="222" t="e" cm="1">
        <f t="array" ref="V67">GEOMEAN(IF(U67=$U$4:$U$176,$S$4:$S$176))</f>
        <v>#NUM!</v>
      </c>
      <c r="W67" s="264" t="e">
        <f t="shared" si="22"/>
        <v>#NUM!</v>
      </c>
      <c r="X67" s="225" t="e">
        <f t="shared" si="29"/>
        <v>#NUM!</v>
      </c>
      <c r="Y67" s="225"/>
      <c r="Z67" s="226" t="s">
        <v>1898</v>
      </c>
      <c r="AA67" s="194" t="s">
        <v>1874</v>
      </c>
      <c r="AB67" s="255"/>
      <c r="AC67" s="228"/>
      <c r="AD67" s="228"/>
      <c r="AE67" s="228"/>
      <c r="AG67" s="248"/>
    </row>
    <row r="68" spans="1:38" s="182" customFormat="1" ht="15.75" customHeight="1" x14ac:dyDescent="0.25">
      <c r="A68" s="182" t="s">
        <v>1900</v>
      </c>
      <c r="B68" s="241">
        <v>1975</v>
      </c>
      <c r="C68" s="217">
        <v>1986</v>
      </c>
      <c r="D68" s="180" t="s">
        <v>1635</v>
      </c>
      <c r="E68" s="180" t="s">
        <v>41</v>
      </c>
      <c r="F68" s="180" t="s">
        <v>146</v>
      </c>
      <c r="G68" s="279" t="s">
        <v>260</v>
      </c>
      <c r="H68" s="180" t="s">
        <v>187</v>
      </c>
      <c r="I68" s="180" t="s">
        <v>156</v>
      </c>
      <c r="J68" s="180" t="s">
        <v>174</v>
      </c>
      <c r="K68" s="217">
        <v>14</v>
      </c>
      <c r="L68" s="217">
        <v>9920</v>
      </c>
      <c r="M68" s="180">
        <v>26</v>
      </c>
      <c r="N68" s="180">
        <v>7.1</v>
      </c>
      <c r="O68" s="94">
        <v>1.6</v>
      </c>
      <c r="P68" s="239">
        <f t="shared" si="27"/>
        <v>9.2023082002789192</v>
      </c>
      <c r="Q68" s="262" t="str">
        <f t="shared" si="20"/>
        <v>Gadd Daph</v>
      </c>
      <c r="R68" s="263">
        <f t="shared" si="21"/>
        <v>-2.5391089699226366</v>
      </c>
      <c r="S68" s="220">
        <f t="shared" si="28"/>
        <v>11.741417170201556</v>
      </c>
      <c r="T68" s="236">
        <f t="shared" ref="T68:T131" si="30">IF(F68=F67,T67,T67+1)</f>
        <v>9</v>
      </c>
      <c r="U68" s="221" t="str">
        <f t="shared" ref="U68:U120" si="31">CONCATENATE(T68,"-",I68,"-",J68,"-",H68)</f>
        <v>9-Mortality-LC10-Adult</v>
      </c>
      <c r="V68" s="222" cm="1">
        <f t="array" ref="V68">GEOMEAN(IF(U68=$U$4:$U$176,$S$4:$S$176))</f>
        <v>11.741417170201556</v>
      </c>
      <c r="W68" s="264">
        <f t="shared" si="22"/>
        <v>8.6185294862928465</v>
      </c>
      <c r="X68" s="225">
        <f t="shared" si="29"/>
        <v>5533.2436974696711</v>
      </c>
      <c r="Y68" s="225">
        <f t="shared" ref="Y68:Y106" si="32">X68</f>
        <v>5533.2436974696711</v>
      </c>
      <c r="Z68" s="226" t="s">
        <v>1617</v>
      </c>
      <c r="AA68" s="194"/>
      <c r="AB68" s="254"/>
      <c r="AC68" s="228" t="s">
        <v>1858</v>
      </c>
      <c r="AD68" s="276">
        <v>0.75</v>
      </c>
      <c r="AE68" s="228" t="s">
        <v>1773</v>
      </c>
      <c r="AG68" s="248"/>
    </row>
    <row r="69" spans="1:38" s="182" customFormat="1" ht="15.75" customHeight="1" x14ac:dyDescent="0.25">
      <c r="B69" s="180">
        <v>101773</v>
      </c>
      <c r="C69" s="217">
        <v>2008</v>
      </c>
      <c r="D69" s="180" t="s">
        <v>980</v>
      </c>
      <c r="E69" s="180" t="s">
        <v>41</v>
      </c>
      <c r="F69" s="180" t="s">
        <v>981</v>
      </c>
      <c r="G69" s="226" t="s">
        <v>153</v>
      </c>
      <c r="H69" s="180" t="s">
        <v>982</v>
      </c>
      <c r="I69" s="180" t="s">
        <v>228</v>
      </c>
      <c r="J69" s="180" t="s">
        <v>49</v>
      </c>
      <c r="K69" s="180" t="s">
        <v>126</v>
      </c>
      <c r="L69" s="180">
        <v>2069.1999999999998</v>
      </c>
      <c r="M69" s="180">
        <v>44.4</v>
      </c>
      <c r="N69" s="180">
        <v>7.77</v>
      </c>
      <c r="O69" s="94">
        <v>0.5</v>
      </c>
      <c r="P69" s="239">
        <f t="shared" si="27"/>
        <v>7.6349173381293598</v>
      </c>
      <c r="Q69" s="262" t="str">
        <f t="shared" si="20"/>
        <v>Gadd Daph</v>
      </c>
      <c r="R69" s="263">
        <f t="shared" si="21"/>
        <v>-3.1866705739984269</v>
      </c>
      <c r="S69" s="220">
        <f t="shared" si="28"/>
        <v>10.821587912127786</v>
      </c>
      <c r="T69" s="236">
        <f t="shared" si="30"/>
        <v>10</v>
      </c>
      <c r="U69" s="221" t="str">
        <f t="shared" si="31"/>
        <v>10-DVP-EC10-NY</v>
      </c>
      <c r="V69" s="222" cm="1">
        <f t="array" ref="V69">GEOMEAN(IF(U69=$U$4:$U$176,$S$4:$S$176))</f>
        <v>10.821587912127786</v>
      </c>
      <c r="W69" s="264">
        <f t="shared" si="22"/>
        <v>7.6987002282190744</v>
      </c>
      <c r="X69" s="225">
        <f t="shared" si="29"/>
        <v>2205.4795080758822</v>
      </c>
      <c r="Y69" s="225">
        <f t="shared" si="32"/>
        <v>2205.4795080758822</v>
      </c>
      <c r="Z69" s="226" t="s">
        <v>1618</v>
      </c>
      <c r="AA69" s="226"/>
      <c r="AB69" s="252"/>
      <c r="AC69" s="243" t="s">
        <v>1798</v>
      </c>
      <c r="AD69" s="228"/>
      <c r="AE69" s="229" t="s">
        <v>1359</v>
      </c>
      <c r="AG69" s="248"/>
    </row>
    <row r="70" spans="1:38" s="182" customFormat="1" ht="15.75" customHeight="1" x14ac:dyDescent="0.25">
      <c r="A70" s="182" t="s">
        <v>1783</v>
      </c>
      <c r="B70" s="245"/>
      <c r="C70" s="227">
        <v>2017</v>
      </c>
      <c r="D70" s="227" t="s">
        <v>1785</v>
      </c>
      <c r="E70" s="227" t="s">
        <v>1795</v>
      </c>
      <c r="F70" s="245" t="s">
        <v>1786</v>
      </c>
      <c r="G70" s="180" t="s">
        <v>183</v>
      </c>
      <c r="H70" s="227" t="s">
        <v>1251</v>
      </c>
      <c r="I70" s="245" t="s">
        <v>1309</v>
      </c>
      <c r="J70" s="245" t="s">
        <v>52</v>
      </c>
      <c r="K70" s="245">
        <v>3</v>
      </c>
      <c r="L70" s="282">
        <v>14</v>
      </c>
      <c r="M70" s="277">
        <v>42</v>
      </c>
      <c r="N70" s="278">
        <v>7</v>
      </c>
      <c r="O70" s="277">
        <v>0.1</v>
      </c>
      <c r="P70" s="239">
        <f t="shared" si="27"/>
        <v>2.6390573296152584</v>
      </c>
      <c r="Q70" s="262" t="str">
        <f t="shared" si="20"/>
        <v>Gadd Daph</v>
      </c>
      <c r="R70" s="263">
        <f t="shared" si="21"/>
        <v>-3.1260462443704888</v>
      </c>
      <c r="S70" s="220">
        <f t="shared" si="28"/>
        <v>5.7651035739857477</v>
      </c>
      <c r="T70" s="236">
        <f t="shared" si="30"/>
        <v>11</v>
      </c>
      <c r="U70" s="221" t="str">
        <f t="shared" si="31"/>
        <v>11-DEV-NEC-Larvae</v>
      </c>
      <c r="V70" s="222" cm="1">
        <f t="array" ref="V70">GEOMEAN(IF(U70=$U$4:$U$176,$S$4:$S$176))</f>
        <v>5.7651035739857477</v>
      </c>
      <c r="W70" s="264">
        <f t="shared" si="22"/>
        <v>2.6422158900770376</v>
      </c>
      <c r="X70" s="225">
        <f t="shared" si="29"/>
        <v>14.044289755578918</v>
      </c>
      <c r="Y70" s="225">
        <f t="shared" si="32"/>
        <v>14.044289755578918</v>
      </c>
      <c r="Z70" s="226"/>
      <c r="AA70" s="226"/>
      <c r="AB70" s="255"/>
      <c r="AC70" s="228" t="s">
        <v>1772</v>
      </c>
      <c r="AD70" s="276">
        <v>0.83</v>
      </c>
      <c r="AE70" s="228" t="s">
        <v>1773</v>
      </c>
      <c r="AG70" s="248"/>
    </row>
    <row r="71" spans="1:38" s="182" customFormat="1" ht="15.75" customHeight="1" x14ac:dyDescent="0.25">
      <c r="A71" s="182" t="s">
        <v>1910</v>
      </c>
      <c r="B71" s="245"/>
      <c r="C71" s="227">
        <v>2017</v>
      </c>
      <c r="D71" s="227" t="s">
        <v>1785</v>
      </c>
      <c r="E71" s="227" t="s">
        <v>1795</v>
      </c>
      <c r="F71" s="227" t="s">
        <v>1790</v>
      </c>
      <c r="G71" s="180" t="s">
        <v>183</v>
      </c>
      <c r="H71" s="227" t="s">
        <v>1251</v>
      </c>
      <c r="I71" s="245" t="s">
        <v>1309</v>
      </c>
      <c r="J71" s="245" t="s">
        <v>52</v>
      </c>
      <c r="K71" s="245">
        <v>3</v>
      </c>
      <c r="L71" s="283">
        <v>8.4</v>
      </c>
      <c r="M71" s="277">
        <v>42</v>
      </c>
      <c r="N71" s="278">
        <v>7</v>
      </c>
      <c r="O71" s="277">
        <v>0.1</v>
      </c>
      <c r="P71" s="239">
        <f t="shared" si="27"/>
        <v>2.1282317058492679</v>
      </c>
      <c r="Q71" s="262" t="str">
        <f t="shared" si="20"/>
        <v>Gadd Daph</v>
      </c>
      <c r="R71" s="263">
        <f t="shared" si="21"/>
        <v>-3.1260462443704888</v>
      </c>
      <c r="S71" s="220">
        <f t="shared" si="28"/>
        <v>5.2542779502197572</v>
      </c>
      <c r="T71" s="236">
        <f t="shared" si="30"/>
        <v>12</v>
      </c>
      <c r="U71" s="221" t="str">
        <f t="shared" si="31"/>
        <v>12-DEV-NEC-Larvae</v>
      </c>
      <c r="V71" s="222" cm="1">
        <f t="array" ref="V71">GEOMEAN(IF(U71=$U$4:$U$176,$S$4:$S$176))</f>
        <v>5.2542779502197572</v>
      </c>
      <c r="W71" s="264">
        <f t="shared" si="22"/>
        <v>2.1313902663110471</v>
      </c>
      <c r="X71" s="225">
        <f t="shared" si="29"/>
        <v>8.4265738533473513</v>
      </c>
      <c r="Y71" s="225">
        <f t="shared" si="32"/>
        <v>8.4265738533473513</v>
      </c>
      <c r="Z71" s="226"/>
      <c r="AA71" s="226"/>
      <c r="AB71" s="254"/>
      <c r="AC71" s="228" t="s">
        <v>1772</v>
      </c>
      <c r="AD71" s="276">
        <v>0.83</v>
      </c>
      <c r="AE71" s="228" t="s">
        <v>1773</v>
      </c>
      <c r="AG71" s="248"/>
    </row>
    <row r="72" spans="1:38" s="182" customFormat="1" ht="15.75" customHeight="1" x14ac:dyDescent="0.25">
      <c r="B72" s="180">
        <v>14043</v>
      </c>
      <c r="C72" s="217">
        <v>1994</v>
      </c>
      <c r="D72" s="180" t="s">
        <v>293</v>
      </c>
      <c r="E72" s="180" t="s">
        <v>41</v>
      </c>
      <c r="F72" s="180" t="s">
        <v>149</v>
      </c>
      <c r="G72" s="180" t="s">
        <v>183</v>
      </c>
      <c r="H72" s="180" t="s">
        <v>185</v>
      </c>
      <c r="I72" s="180" t="s">
        <v>156</v>
      </c>
      <c r="J72" s="180" t="s">
        <v>174</v>
      </c>
      <c r="K72" s="217">
        <v>70</v>
      </c>
      <c r="L72" s="217">
        <v>517</v>
      </c>
      <c r="M72" s="180">
        <v>267.72000000000003</v>
      </c>
      <c r="N72" s="181">
        <v>7.9</v>
      </c>
      <c r="O72" s="94">
        <v>6.74</v>
      </c>
      <c r="P72" s="239">
        <f t="shared" si="27"/>
        <v>6.2480428745084291</v>
      </c>
      <c r="Q72" s="262" t="str">
        <f t="shared" si="20"/>
        <v>Gadd Daph</v>
      </c>
      <c r="R72" s="263">
        <f t="shared" si="21"/>
        <v>-1.4287203631855316</v>
      </c>
      <c r="S72" s="220">
        <f t="shared" si="28"/>
        <v>7.6767632376939607</v>
      </c>
      <c r="T72" s="236">
        <f t="shared" si="30"/>
        <v>13</v>
      </c>
      <c r="U72" s="221" t="str">
        <f t="shared" si="31"/>
        <v>13-Mortality-LC10-Adult/juvenile</v>
      </c>
      <c r="V72" s="222" cm="1">
        <f t="array" ref="V72">GEOMEAN(IF(U72=$U$4:$U$176,$S$4:$S$176))</f>
        <v>7.6767632376939607</v>
      </c>
      <c r="W72" s="264">
        <f t="shared" si="22"/>
        <v>4.5538755537852502</v>
      </c>
      <c r="X72" s="225">
        <f t="shared" si="29"/>
        <v>94.999872907632408</v>
      </c>
      <c r="Y72" s="225">
        <f t="shared" si="32"/>
        <v>94.999872907632408</v>
      </c>
      <c r="Z72" s="226"/>
      <c r="AA72" s="226" t="s">
        <v>1608</v>
      </c>
      <c r="AB72" s="254"/>
      <c r="AC72" s="243" t="s">
        <v>1858</v>
      </c>
      <c r="AD72" s="251">
        <v>0.72</v>
      </c>
      <c r="AE72" s="243" t="s">
        <v>1773</v>
      </c>
      <c r="AG72" s="248"/>
      <c r="AH72" s="281"/>
      <c r="AI72" s="281"/>
      <c r="AJ72" s="281"/>
      <c r="AK72" s="281"/>
    </row>
    <row r="73" spans="1:38" s="182" customFormat="1" ht="15.75" customHeight="1" x14ac:dyDescent="0.25">
      <c r="A73" s="182" t="s">
        <v>1912</v>
      </c>
      <c r="B73" s="246"/>
      <c r="C73" s="227">
        <v>2017</v>
      </c>
      <c r="D73" s="227" t="s">
        <v>1785</v>
      </c>
      <c r="E73" s="227" t="s">
        <v>1795</v>
      </c>
      <c r="F73" s="227" t="s">
        <v>1791</v>
      </c>
      <c r="G73" s="180" t="s">
        <v>183</v>
      </c>
      <c r="H73" s="227" t="s">
        <v>1251</v>
      </c>
      <c r="I73" s="245" t="s">
        <v>1309</v>
      </c>
      <c r="J73" s="245" t="s">
        <v>52</v>
      </c>
      <c r="K73" s="245">
        <v>3</v>
      </c>
      <c r="L73" s="283">
        <v>8.6999999999999993</v>
      </c>
      <c r="M73" s="277">
        <v>42</v>
      </c>
      <c r="N73" s="278">
        <v>7</v>
      </c>
      <c r="O73" s="277">
        <v>0.1</v>
      </c>
      <c r="P73" s="239">
        <f t="shared" si="27"/>
        <v>2.1633230256605378</v>
      </c>
      <c r="Q73" s="262" t="str">
        <f t="shared" si="20"/>
        <v>Gadd Daph</v>
      </c>
      <c r="R73" s="263">
        <f t="shared" si="21"/>
        <v>-3.1260462443704888</v>
      </c>
      <c r="S73" s="220">
        <f t="shared" si="28"/>
        <v>5.2893692700310266</v>
      </c>
      <c r="T73" s="236">
        <f t="shared" si="30"/>
        <v>14</v>
      </c>
      <c r="U73" s="221" t="str">
        <f t="shared" si="31"/>
        <v>14-DEV-NEC-Larvae</v>
      </c>
      <c r="V73" s="222" cm="1">
        <f t="array" ref="V73">GEOMEAN(IF(U73=$U$4:$U$176,$S$4:$S$176))</f>
        <v>5.2893692700310266</v>
      </c>
      <c r="W73" s="264">
        <f t="shared" si="22"/>
        <v>2.1664815861223166</v>
      </c>
      <c r="X73" s="225">
        <f t="shared" si="29"/>
        <v>8.7275229195383233</v>
      </c>
      <c r="Y73" s="225">
        <f t="shared" si="32"/>
        <v>8.7275229195383233</v>
      </c>
      <c r="Z73" s="226"/>
      <c r="AA73" s="226"/>
      <c r="AB73" s="254"/>
      <c r="AC73" s="228" t="s">
        <v>1772</v>
      </c>
      <c r="AD73" s="276">
        <v>0.83</v>
      </c>
      <c r="AE73" s="228" t="s">
        <v>1773</v>
      </c>
      <c r="AG73" s="248"/>
    </row>
    <row r="74" spans="1:38" s="182" customFormat="1" ht="15.75" customHeight="1" x14ac:dyDescent="0.25">
      <c r="A74" s="182" t="s">
        <v>1913</v>
      </c>
      <c r="B74" s="246"/>
      <c r="C74" s="227">
        <v>2017</v>
      </c>
      <c r="D74" s="227" t="s">
        <v>1785</v>
      </c>
      <c r="E74" s="227" t="s">
        <v>1795</v>
      </c>
      <c r="F74" s="227" t="s">
        <v>1792</v>
      </c>
      <c r="G74" s="180" t="s">
        <v>183</v>
      </c>
      <c r="H74" s="227" t="s">
        <v>1251</v>
      </c>
      <c r="I74" s="245" t="s">
        <v>1309</v>
      </c>
      <c r="J74" s="245" t="s">
        <v>52</v>
      </c>
      <c r="K74" s="245">
        <v>3</v>
      </c>
      <c r="L74" s="282">
        <v>10</v>
      </c>
      <c r="M74" s="277">
        <v>42</v>
      </c>
      <c r="N74" s="278">
        <v>7</v>
      </c>
      <c r="O74" s="277">
        <v>0.1</v>
      </c>
      <c r="P74" s="239">
        <f t="shared" si="27"/>
        <v>2.3025850929940459</v>
      </c>
      <c r="Q74" s="262" t="str">
        <f t="shared" si="20"/>
        <v>Gadd Daph</v>
      </c>
      <c r="R74" s="263">
        <f t="shared" si="21"/>
        <v>-3.1260462443704888</v>
      </c>
      <c r="S74" s="220">
        <f t="shared" si="28"/>
        <v>5.4286313373645347</v>
      </c>
      <c r="T74" s="236">
        <f t="shared" si="30"/>
        <v>15</v>
      </c>
      <c r="U74" s="221" t="str">
        <f t="shared" si="31"/>
        <v>15-DEV-NEC-Larvae</v>
      </c>
      <c r="V74" s="222" cm="1">
        <f t="array" ref="V74">GEOMEAN(IF(U74=$U$4:$U$176,$S$4:$S$176))</f>
        <v>5.4286313373645347</v>
      </c>
      <c r="W74" s="264">
        <f t="shared" si="22"/>
        <v>2.3057436534558247</v>
      </c>
      <c r="X74" s="225">
        <f t="shared" si="29"/>
        <v>10.031635539699227</v>
      </c>
      <c r="Y74" s="225">
        <f t="shared" si="32"/>
        <v>10.031635539699227</v>
      </c>
      <c r="Z74" s="226"/>
      <c r="AA74" s="226"/>
      <c r="AB74" s="254"/>
      <c r="AC74" s="228" t="s">
        <v>1772</v>
      </c>
      <c r="AD74" s="276">
        <v>0.83</v>
      </c>
      <c r="AE74" s="228" t="s">
        <v>1773</v>
      </c>
      <c r="AG74" s="248"/>
    </row>
    <row r="75" spans="1:38" s="182" customFormat="1" ht="15.75" customHeight="1" x14ac:dyDescent="0.25">
      <c r="A75" s="182" t="s">
        <v>1914</v>
      </c>
      <c r="B75" s="246"/>
      <c r="C75" s="227">
        <v>2017</v>
      </c>
      <c r="D75" s="227" t="s">
        <v>1785</v>
      </c>
      <c r="E75" s="227" t="s">
        <v>1795</v>
      </c>
      <c r="F75" s="227" t="s">
        <v>1793</v>
      </c>
      <c r="G75" s="180" t="s">
        <v>183</v>
      </c>
      <c r="H75" s="227" t="s">
        <v>1251</v>
      </c>
      <c r="I75" s="245" t="s">
        <v>1309</v>
      </c>
      <c r="J75" s="245" t="s">
        <v>52</v>
      </c>
      <c r="K75" s="245">
        <v>3</v>
      </c>
      <c r="L75" s="282">
        <v>11</v>
      </c>
      <c r="M75" s="277">
        <v>42</v>
      </c>
      <c r="N75" s="278">
        <v>7</v>
      </c>
      <c r="O75" s="277">
        <v>0.1</v>
      </c>
      <c r="P75" s="239">
        <f t="shared" si="27"/>
        <v>2.3978952727983707</v>
      </c>
      <c r="Q75" s="262" t="str">
        <f t="shared" si="20"/>
        <v>Gadd Daph</v>
      </c>
      <c r="R75" s="263">
        <f t="shared" si="21"/>
        <v>-3.1260462443704888</v>
      </c>
      <c r="S75" s="220">
        <f t="shared" si="28"/>
        <v>5.5239415171688595</v>
      </c>
      <c r="T75" s="236">
        <f t="shared" si="30"/>
        <v>16</v>
      </c>
      <c r="U75" s="221" t="str">
        <f t="shared" si="31"/>
        <v>16-DEV-NEC-Larvae</v>
      </c>
      <c r="V75" s="222" cm="1">
        <f t="array" ref="V75">GEOMEAN(IF(U75=$U$4:$U$176,$S$4:$S$176))</f>
        <v>5.5239415171688595</v>
      </c>
      <c r="W75" s="264">
        <f t="shared" si="22"/>
        <v>2.4010538332601494</v>
      </c>
      <c r="X75" s="225">
        <f t="shared" si="29"/>
        <v>11.034799093669148</v>
      </c>
      <c r="Y75" s="225">
        <f t="shared" si="32"/>
        <v>11.034799093669148</v>
      </c>
      <c r="Z75" s="226"/>
      <c r="AA75" s="226"/>
      <c r="AB75" s="254"/>
      <c r="AC75" s="228" t="s">
        <v>1772</v>
      </c>
      <c r="AD75" s="276">
        <v>0.83</v>
      </c>
      <c r="AE75" s="228" t="s">
        <v>1773</v>
      </c>
      <c r="AG75" s="248"/>
      <c r="AH75" s="281"/>
      <c r="AI75" s="281"/>
      <c r="AJ75" s="281"/>
      <c r="AK75" s="281"/>
      <c r="AL75" s="281"/>
    </row>
    <row r="76" spans="1:38" s="182" customFormat="1" ht="15.75" customHeight="1" x14ac:dyDescent="0.25">
      <c r="A76" s="281"/>
      <c r="B76" s="183"/>
      <c r="C76" s="217">
        <v>2010</v>
      </c>
      <c r="D76" s="261" t="s">
        <v>1378</v>
      </c>
      <c r="E76" s="180" t="s">
        <v>1379</v>
      </c>
      <c r="F76" s="180" t="s">
        <v>1380</v>
      </c>
      <c r="G76" s="180" t="s">
        <v>183</v>
      </c>
      <c r="H76" s="180" t="s">
        <v>1381</v>
      </c>
      <c r="I76" s="180" t="s">
        <v>81</v>
      </c>
      <c r="J76" s="180" t="s">
        <v>1062</v>
      </c>
      <c r="K76" s="180">
        <v>28</v>
      </c>
      <c r="L76" s="183">
        <v>55</v>
      </c>
      <c r="M76" s="180">
        <v>48</v>
      </c>
      <c r="N76" s="181">
        <v>8</v>
      </c>
      <c r="O76" s="94">
        <v>0.5</v>
      </c>
      <c r="P76" s="239">
        <f t="shared" si="27"/>
        <v>4.0073331852324712</v>
      </c>
      <c r="Q76" s="262" t="str">
        <f t="shared" si="20"/>
        <v>Gadd Daph</v>
      </c>
      <c r="R76" s="263">
        <f t="shared" si="21"/>
        <v>-3.3203642205097257</v>
      </c>
      <c r="S76" s="220">
        <f t="shared" si="28"/>
        <v>7.3276974057421969</v>
      </c>
      <c r="T76" s="236">
        <f t="shared" si="30"/>
        <v>17</v>
      </c>
      <c r="U76" s="221" t="str">
        <f t="shared" si="31"/>
        <v>17-GRO-IC10-Juvenile (2-mo)</v>
      </c>
      <c r="V76" s="222" cm="1">
        <f t="array" ref="V76">GEOMEAN(IF(U76=$U$4:$U$176,$S$4:$S$176))</f>
        <v>6.8239081016730081</v>
      </c>
      <c r="W76" s="264">
        <f t="shared" si="22"/>
        <v>3.701020417764298</v>
      </c>
      <c r="X76" s="225">
        <f t="shared" si="29"/>
        <v>40.488598573045472</v>
      </c>
      <c r="Y76" s="225">
        <f t="shared" si="32"/>
        <v>40.488598573045472</v>
      </c>
      <c r="Z76" s="226"/>
      <c r="AA76" s="194"/>
      <c r="AB76" s="227" t="s">
        <v>1846</v>
      </c>
      <c r="AC76" s="243" t="s">
        <v>1798</v>
      </c>
      <c r="AD76" s="228"/>
      <c r="AE76" s="229" t="s">
        <v>1584</v>
      </c>
      <c r="AG76" s="248"/>
    </row>
    <row r="77" spans="1:38" s="182" customFormat="1" ht="15.75" customHeight="1" x14ac:dyDescent="0.25">
      <c r="A77" s="281"/>
      <c r="B77" s="183"/>
      <c r="C77" s="217">
        <v>2010</v>
      </c>
      <c r="D77" s="261" t="s">
        <v>1378</v>
      </c>
      <c r="E77" s="180" t="s">
        <v>1379</v>
      </c>
      <c r="F77" s="180" t="s">
        <v>1380</v>
      </c>
      <c r="G77" s="180" t="s">
        <v>183</v>
      </c>
      <c r="H77" s="180" t="s">
        <v>1381</v>
      </c>
      <c r="I77" s="180" t="s">
        <v>81</v>
      </c>
      <c r="J77" s="180" t="s">
        <v>1062</v>
      </c>
      <c r="K77" s="180">
        <v>28</v>
      </c>
      <c r="L77" s="227">
        <v>24</v>
      </c>
      <c r="M77" s="180">
        <v>49</v>
      </c>
      <c r="N77" s="181">
        <v>7.8</v>
      </c>
      <c r="O77" s="94">
        <v>0.5</v>
      </c>
      <c r="P77" s="239">
        <f t="shared" si="27"/>
        <v>3.1780538303479458</v>
      </c>
      <c r="Q77" s="262" t="str">
        <f t="shared" si="20"/>
        <v>Gadd Daph</v>
      </c>
      <c r="R77" s="263">
        <f t="shared" si="21"/>
        <v>-3.17670117681</v>
      </c>
      <c r="S77" s="220">
        <f t="shared" si="28"/>
        <v>6.3547550071579462</v>
      </c>
      <c r="T77" s="236">
        <f t="shared" si="30"/>
        <v>17</v>
      </c>
      <c r="U77" s="221" t="str">
        <f t="shared" si="31"/>
        <v>17-GRO-IC10-Juvenile (2-mo)</v>
      </c>
      <c r="V77" s="222" cm="1">
        <f t="array" ref="V77">GEOMEAN(IF(U77=$U$4:$U$176,$S$4:$S$176))</f>
        <v>6.8239081016730081</v>
      </c>
      <c r="W77" s="264">
        <f t="shared" si="22"/>
        <v>3.701020417764298</v>
      </c>
      <c r="X77" s="225">
        <f t="shared" si="29"/>
        <v>40.488598573045472</v>
      </c>
      <c r="Y77" s="225">
        <f t="shared" si="32"/>
        <v>40.488598573045472</v>
      </c>
      <c r="Z77" s="226"/>
      <c r="AA77" s="194"/>
      <c r="AB77" s="227" t="s">
        <v>1846</v>
      </c>
      <c r="AC77" s="228" t="s">
        <v>1915</v>
      </c>
      <c r="AD77" s="228"/>
      <c r="AE77" s="229" t="s">
        <v>1584</v>
      </c>
      <c r="AG77" s="248"/>
    </row>
    <row r="78" spans="1:38" s="182" customFormat="1" ht="15.75" customHeight="1" x14ac:dyDescent="0.25">
      <c r="A78" s="281"/>
      <c r="B78" s="183"/>
      <c r="C78" s="217">
        <v>2010</v>
      </c>
      <c r="D78" s="261" t="s">
        <v>1378</v>
      </c>
      <c r="E78" s="180" t="s">
        <v>1379</v>
      </c>
      <c r="F78" s="180" t="s">
        <v>1380</v>
      </c>
      <c r="G78" s="180" t="s">
        <v>183</v>
      </c>
      <c r="H78" s="180" t="s">
        <v>1381</v>
      </c>
      <c r="I78" s="180" t="s">
        <v>237</v>
      </c>
      <c r="J78" s="180" t="s">
        <v>1062</v>
      </c>
      <c r="K78" s="180">
        <v>28</v>
      </c>
      <c r="L78" s="180">
        <v>127</v>
      </c>
      <c r="M78" s="180">
        <v>48</v>
      </c>
      <c r="N78" s="181">
        <v>8</v>
      </c>
      <c r="O78" s="94">
        <v>0.5</v>
      </c>
      <c r="P78" s="239">
        <f t="shared" si="27"/>
        <v>4.8441870864585912</v>
      </c>
      <c r="Q78" s="262" t="str">
        <f t="shared" si="20"/>
        <v>Gadd Daph</v>
      </c>
      <c r="R78" s="263">
        <f t="shared" si="21"/>
        <v>-3.3203642205097257</v>
      </c>
      <c r="S78" s="220">
        <f t="shared" si="28"/>
        <v>8.1645513069683169</v>
      </c>
      <c r="T78" s="236">
        <f t="shared" si="30"/>
        <v>17</v>
      </c>
      <c r="U78" s="221" t="str">
        <f t="shared" si="31"/>
        <v>17-MOR-IC10-Juvenile (2-mo)</v>
      </c>
      <c r="V78" s="222" cm="1">
        <f t="array" ref="V78">GEOMEAN(IF(U78=$U$4:$U$176,$S$4:$S$176))</f>
        <v>8.1645513069683169</v>
      </c>
      <c r="W78" s="264">
        <f t="shared" si="22"/>
        <v>5.0416636230596072</v>
      </c>
      <c r="X78" s="225">
        <f t="shared" si="29"/>
        <v>154.72720878231945</v>
      </c>
      <c r="Y78" s="225">
        <f t="shared" si="32"/>
        <v>154.72720878231945</v>
      </c>
      <c r="Z78" s="226"/>
      <c r="AA78" s="194"/>
      <c r="AB78" s="227" t="s">
        <v>1846</v>
      </c>
      <c r="AC78" s="243" t="s">
        <v>1798</v>
      </c>
      <c r="AD78" s="228"/>
      <c r="AE78" s="229" t="s">
        <v>1584</v>
      </c>
      <c r="AG78" s="248"/>
    </row>
    <row r="79" spans="1:38" s="281" customFormat="1" ht="15.75" customHeight="1" x14ac:dyDescent="0.25">
      <c r="A79" s="182"/>
      <c r="B79" s="183"/>
      <c r="C79" s="217">
        <v>2010</v>
      </c>
      <c r="D79" s="261" t="s">
        <v>1378</v>
      </c>
      <c r="E79" s="180" t="s">
        <v>1379</v>
      </c>
      <c r="F79" s="180" t="s">
        <v>1380</v>
      </c>
      <c r="G79" s="180" t="s">
        <v>183</v>
      </c>
      <c r="H79" s="180" t="s">
        <v>1382</v>
      </c>
      <c r="I79" s="180" t="s">
        <v>237</v>
      </c>
      <c r="J79" s="180" t="s">
        <v>1062</v>
      </c>
      <c r="K79" s="180">
        <v>28</v>
      </c>
      <c r="L79" s="180">
        <v>125</v>
      </c>
      <c r="M79" s="180">
        <v>49</v>
      </c>
      <c r="N79" s="181">
        <v>7.8</v>
      </c>
      <c r="O79" s="94">
        <v>0.5</v>
      </c>
      <c r="P79" s="239">
        <f t="shared" si="27"/>
        <v>4.8283137373023015</v>
      </c>
      <c r="Q79" s="262" t="str">
        <f t="shared" si="20"/>
        <v>Gadd Daph</v>
      </c>
      <c r="R79" s="263">
        <f t="shared" si="21"/>
        <v>-3.17670117681</v>
      </c>
      <c r="S79" s="220">
        <f t="shared" si="28"/>
        <v>8.0050149141123015</v>
      </c>
      <c r="T79" s="236">
        <f t="shared" si="30"/>
        <v>17</v>
      </c>
      <c r="U79" s="221" t="str">
        <f t="shared" si="31"/>
        <v>17-MOR-IC10-Juvenile (4-mo)</v>
      </c>
      <c r="V79" s="222" cm="1">
        <f t="array" ref="V79">GEOMEAN(IF(U79=$U$4:$U$176,$S$4:$S$176))</f>
        <v>8.0050149141123015</v>
      </c>
      <c r="W79" s="264">
        <f t="shared" si="22"/>
        <v>4.8821272302035918</v>
      </c>
      <c r="X79" s="225">
        <f t="shared" si="29"/>
        <v>131.91097064256508</v>
      </c>
      <c r="Y79" s="225">
        <f t="shared" si="32"/>
        <v>131.91097064256508</v>
      </c>
      <c r="Z79" s="226"/>
      <c r="AA79" s="194"/>
      <c r="AB79" s="227" t="s">
        <v>1846</v>
      </c>
      <c r="AC79" s="243" t="s">
        <v>1798</v>
      </c>
      <c r="AD79" s="228"/>
      <c r="AE79" s="229" t="s">
        <v>1584</v>
      </c>
      <c r="AG79" s="248"/>
    </row>
    <row r="80" spans="1:38" s="281" customFormat="1" ht="15.75" customHeight="1" x14ac:dyDescent="0.25">
      <c r="B80" s="183"/>
      <c r="C80" s="289">
        <v>2010</v>
      </c>
      <c r="D80" s="290" t="s">
        <v>1548</v>
      </c>
      <c r="E80" s="291" t="s">
        <v>1551</v>
      </c>
      <c r="F80" s="292" t="s">
        <v>1549</v>
      </c>
      <c r="G80" s="180" t="s">
        <v>183</v>
      </c>
      <c r="H80" s="180" t="s">
        <v>1550</v>
      </c>
      <c r="I80" s="291" t="s">
        <v>81</v>
      </c>
      <c r="J80" s="293" t="s">
        <v>49</v>
      </c>
      <c r="K80" s="293">
        <v>28</v>
      </c>
      <c r="L80" s="294">
        <v>1629</v>
      </c>
      <c r="M80" s="180">
        <v>256</v>
      </c>
      <c r="N80" s="181">
        <v>7.81</v>
      </c>
      <c r="O80" s="94">
        <v>12.7</v>
      </c>
      <c r="P80" s="239">
        <f t="shared" si="27"/>
        <v>7.3957216086020452</v>
      </c>
      <c r="Q80" s="262" t="str">
        <f t="shared" si="20"/>
        <v>Gadd Daph</v>
      </c>
      <c r="R80" s="263">
        <f t="shared" si="21"/>
        <v>-1.1364590065117559</v>
      </c>
      <c r="S80" s="220">
        <f t="shared" si="28"/>
        <v>8.532180615113802</v>
      </c>
      <c r="T80" s="236">
        <f t="shared" si="30"/>
        <v>18</v>
      </c>
      <c r="U80" s="221" t="str">
        <f t="shared" si="31"/>
        <v>18-GRO-EC10-21 days</v>
      </c>
      <c r="V80" s="222" cm="1">
        <f t="array" ref="V80">GEOMEAN(IF(U80=$U$4:$U$176,$S$4:$S$176))</f>
        <v>8.2648873022803198</v>
      </c>
      <c r="W80" s="264">
        <f t="shared" si="22"/>
        <v>5.1419996183716101</v>
      </c>
      <c r="X80" s="225">
        <f t="shared" si="29"/>
        <v>171.05747623683536</v>
      </c>
      <c r="Y80" s="225">
        <f t="shared" si="32"/>
        <v>171.05747623683536</v>
      </c>
      <c r="Z80" s="226"/>
      <c r="AA80" s="194" t="s">
        <v>1558</v>
      </c>
      <c r="AB80" s="227" t="s">
        <v>1846</v>
      </c>
      <c r="AC80" s="243" t="s">
        <v>1798</v>
      </c>
      <c r="AD80" s="228"/>
      <c r="AE80" s="229" t="s">
        <v>1584</v>
      </c>
      <c r="AG80" s="248"/>
    </row>
    <row r="81" spans="1:38" s="281" customFormat="1" ht="15.75" customHeight="1" x14ac:dyDescent="0.25">
      <c r="A81" s="182"/>
      <c r="B81" s="183"/>
      <c r="C81" s="289">
        <v>2010</v>
      </c>
      <c r="D81" s="290" t="s">
        <v>1548</v>
      </c>
      <c r="E81" s="291" t="s">
        <v>1552</v>
      </c>
      <c r="F81" s="292" t="s">
        <v>1549</v>
      </c>
      <c r="G81" s="180" t="s">
        <v>183</v>
      </c>
      <c r="H81" s="180" t="s">
        <v>1550</v>
      </c>
      <c r="I81" s="291" t="s">
        <v>81</v>
      </c>
      <c r="J81" s="293" t="s">
        <v>49</v>
      </c>
      <c r="K81" s="293">
        <v>28</v>
      </c>
      <c r="L81" s="294">
        <v>910</v>
      </c>
      <c r="M81" s="180">
        <v>225</v>
      </c>
      <c r="N81" s="181">
        <v>7.9</v>
      </c>
      <c r="O81" s="94">
        <v>7.82</v>
      </c>
      <c r="P81" s="239">
        <f t="shared" si="27"/>
        <v>6.8134445995108956</v>
      </c>
      <c r="Q81" s="262" t="str">
        <f t="shared" si="20"/>
        <v>Gadd Daph</v>
      </c>
      <c r="R81" s="263">
        <f t="shared" si="21"/>
        <v>-1.4088933362562495</v>
      </c>
      <c r="S81" s="220">
        <f t="shared" si="28"/>
        <v>8.2223379357671451</v>
      </c>
      <c r="T81" s="236">
        <f t="shared" si="30"/>
        <v>18</v>
      </c>
      <c r="U81" s="221" t="str">
        <f t="shared" si="31"/>
        <v>18-GRO-EC10-21 days</v>
      </c>
      <c r="V81" s="222" cm="1">
        <f t="array" ref="V81">GEOMEAN(IF(U81=$U$4:$U$176,$S$4:$S$176))</f>
        <v>8.2648873022803198</v>
      </c>
      <c r="W81" s="264">
        <f t="shared" si="22"/>
        <v>5.1419996183716101</v>
      </c>
      <c r="X81" s="225">
        <f t="shared" si="29"/>
        <v>171.05747623683536</v>
      </c>
      <c r="Y81" s="225">
        <f t="shared" si="32"/>
        <v>171.05747623683536</v>
      </c>
      <c r="Z81" s="226"/>
      <c r="AA81" s="194" t="s">
        <v>1558</v>
      </c>
      <c r="AB81" s="227" t="s">
        <v>1846</v>
      </c>
      <c r="AC81" s="243" t="s">
        <v>1798</v>
      </c>
      <c r="AD81" s="228"/>
      <c r="AE81" s="229" t="s">
        <v>1584</v>
      </c>
      <c r="AG81" s="248"/>
    </row>
    <row r="82" spans="1:38" s="182" customFormat="1" ht="15.75" customHeight="1" x14ac:dyDescent="0.25">
      <c r="A82" s="281"/>
      <c r="B82" s="183"/>
      <c r="C82" s="289">
        <v>2010</v>
      </c>
      <c r="D82" s="290" t="s">
        <v>1548</v>
      </c>
      <c r="E82" s="291" t="s">
        <v>1553</v>
      </c>
      <c r="F82" s="292" t="s">
        <v>1549</v>
      </c>
      <c r="G82" s="180" t="s">
        <v>183</v>
      </c>
      <c r="H82" s="180" t="s">
        <v>1550</v>
      </c>
      <c r="I82" s="291" t="s">
        <v>81</v>
      </c>
      <c r="J82" s="293" t="s">
        <v>49</v>
      </c>
      <c r="K82" s="293">
        <v>28</v>
      </c>
      <c r="L82" s="294">
        <v>200</v>
      </c>
      <c r="M82" s="180">
        <v>37.6</v>
      </c>
      <c r="N82" s="181">
        <v>7.41</v>
      </c>
      <c r="O82" s="94">
        <v>2.85</v>
      </c>
      <c r="P82" s="239">
        <f t="shared" si="27"/>
        <v>5.2983173665480363</v>
      </c>
      <c r="Q82" s="262" t="str">
        <f t="shared" si="20"/>
        <v>Gadd Daph</v>
      </c>
      <c r="R82" s="263">
        <f t="shared" si="21"/>
        <v>-2.3325232369415234</v>
      </c>
      <c r="S82" s="220">
        <f t="shared" si="28"/>
        <v>7.6308406034895597</v>
      </c>
      <c r="T82" s="236">
        <f t="shared" si="30"/>
        <v>18</v>
      </c>
      <c r="U82" s="221" t="str">
        <f t="shared" si="31"/>
        <v>18-GRO-EC10-21 days</v>
      </c>
      <c r="V82" s="222" cm="1">
        <f t="array" ref="V82">GEOMEAN(IF(U82=$U$4:$U$176,$S$4:$S$176))</f>
        <v>8.2648873022803198</v>
      </c>
      <c r="W82" s="264">
        <f t="shared" si="22"/>
        <v>5.1419996183716101</v>
      </c>
      <c r="X82" s="225">
        <f t="shared" si="29"/>
        <v>171.05747623683536</v>
      </c>
      <c r="Y82" s="225">
        <f t="shared" si="32"/>
        <v>171.05747623683536</v>
      </c>
      <c r="Z82" s="226"/>
      <c r="AA82" s="194" t="s">
        <v>1558</v>
      </c>
      <c r="AB82" s="227" t="s">
        <v>1846</v>
      </c>
      <c r="AC82" s="243" t="s">
        <v>1798</v>
      </c>
      <c r="AD82" s="228"/>
      <c r="AE82" s="229" t="s">
        <v>1584</v>
      </c>
      <c r="AG82" s="248"/>
    </row>
    <row r="83" spans="1:38" s="281" customFormat="1" ht="15.75" customHeight="1" x14ac:dyDescent="0.25">
      <c r="A83" s="182"/>
      <c r="B83" s="183"/>
      <c r="C83" s="289">
        <v>2010</v>
      </c>
      <c r="D83" s="290" t="s">
        <v>1548</v>
      </c>
      <c r="E83" s="291" t="s">
        <v>1554</v>
      </c>
      <c r="F83" s="292" t="s">
        <v>1549</v>
      </c>
      <c r="G83" s="180" t="s">
        <v>183</v>
      </c>
      <c r="H83" s="180" t="s">
        <v>1550</v>
      </c>
      <c r="I83" s="291" t="s">
        <v>81</v>
      </c>
      <c r="J83" s="293" t="s">
        <v>49</v>
      </c>
      <c r="K83" s="293">
        <v>28</v>
      </c>
      <c r="L83" s="294">
        <v>244</v>
      </c>
      <c r="M83" s="180">
        <v>40.9</v>
      </c>
      <c r="N83" s="181">
        <v>6.77</v>
      </c>
      <c r="O83" s="94">
        <v>1.5</v>
      </c>
      <c r="P83" s="239">
        <f t="shared" si="27"/>
        <v>5.4971682252932021</v>
      </c>
      <c r="Q83" s="262" t="str">
        <f t="shared" si="20"/>
        <v>Gadd Daph</v>
      </c>
      <c r="R83" s="263">
        <f t="shared" si="21"/>
        <v>-2.27880112415217</v>
      </c>
      <c r="S83" s="220">
        <f t="shared" si="28"/>
        <v>7.7759693494453721</v>
      </c>
      <c r="T83" s="236">
        <f t="shared" si="30"/>
        <v>18</v>
      </c>
      <c r="U83" s="221" t="str">
        <f t="shared" si="31"/>
        <v>18-GRO-EC10-21 days</v>
      </c>
      <c r="V83" s="222" cm="1">
        <f t="array" ref="V83">GEOMEAN(IF(U83=$U$4:$U$176,$S$4:$S$176))</f>
        <v>8.2648873022803198</v>
      </c>
      <c r="W83" s="264">
        <f t="shared" si="22"/>
        <v>5.1419996183716101</v>
      </c>
      <c r="X83" s="225">
        <f t="shared" si="29"/>
        <v>171.05747623683536</v>
      </c>
      <c r="Y83" s="225">
        <f t="shared" si="32"/>
        <v>171.05747623683536</v>
      </c>
      <c r="Z83" s="226"/>
      <c r="AA83" s="194" t="s">
        <v>1558</v>
      </c>
      <c r="AB83" s="227" t="s">
        <v>1846</v>
      </c>
      <c r="AC83" s="243" t="s">
        <v>1798</v>
      </c>
      <c r="AD83" s="228"/>
      <c r="AE83" s="229" t="s">
        <v>1584</v>
      </c>
      <c r="AG83" s="248"/>
    </row>
    <row r="84" spans="1:38" s="182" customFormat="1" ht="15.75" customHeight="1" x14ac:dyDescent="0.25">
      <c r="A84" s="281"/>
      <c r="B84" s="183"/>
      <c r="C84" s="289">
        <v>2010</v>
      </c>
      <c r="D84" s="290" t="s">
        <v>1548</v>
      </c>
      <c r="E84" s="291" t="s">
        <v>1555</v>
      </c>
      <c r="F84" s="292" t="s">
        <v>1549</v>
      </c>
      <c r="G84" s="180" t="s">
        <v>183</v>
      </c>
      <c r="H84" s="180" t="s">
        <v>1550</v>
      </c>
      <c r="I84" s="291" t="s">
        <v>81</v>
      </c>
      <c r="J84" s="293" t="s">
        <v>49</v>
      </c>
      <c r="K84" s="293">
        <v>28</v>
      </c>
      <c r="L84" s="294">
        <v>330</v>
      </c>
      <c r="M84" s="180">
        <v>40.200000000000003</v>
      </c>
      <c r="N84" s="295">
        <v>8.2799999999999994</v>
      </c>
      <c r="O84" s="94">
        <v>1.71</v>
      </c>
      <c r="P84" s="239">
        <f t="shared" si="27"/>
        <v>5.7990926544605257</v>
      </c>
      <c r="Q84" s="262" t="str">
        <f t="shared" si="20"/>
        <v>Gadd Daph</v>
      </c>
      <c r="R84" s="263">
        <f t="shared" si="21"/>
        <v>-2.8454723241901032</v>
      </c>
      <c r="S84" s="220">
        <f t="shared" si="28"/>
        <v>8.644564978650628</v>
      </c>
      <c r="T84" s="236">
        <f t="shared" si="30"/>
        <v>18</v>
      </c>
      <c r="U84" s="221" t="str">
        <f t="shared" si="31"/>
        <v>18-GRO-EC10-21 days</v>
      </c>
      <c r="V84" s="222" cm="1">
        <f t="array" ref="V84">GEOMEAN(IF(U84=$U$4:$U$176,$S$4:$S$176))</f>
        <v>8.2648873022803198</v>
      </c>
      <c r="W84" s="264">
        <f t="shared" si="22"/>
        <v>5.1419996183716101</v>
      </c>
      <c r="X84" s="225">
        <f t="shared" si="29"/>
        <v>171.05747623683536</v>
      </c>
      <c r="Y84" s="225">
        <f t="shared" si="32"/>
        <v>171.05747623683536</v>
      </c>
      <c r="Z84" s="226"/>
      <c r="AA84" s="194" t="s">
        <v>1557</v>
      </c>
      <c r="AB84" s="281" t="s">
        <v>1916</v>
      </c>
      <c r="AC84" s="243" t="s">
        <v>1798</v>
      </c>
      <c r="AD84" s="228"/>
      <c r="AE84" s="229" t="s">
        <v>1584</v>
      </c>
      <c r="AG84" s="248"/>
    </row>
    <row r="85" spans="1:38" s="281" customFormat="1" ht="15.75" customHeight="1" x14ac:dyDescent="0.25">
      <c r="A85" s="182"/>
      <c r="B85" s="183"/>
      <c r="C85" s="289">
        <v>2010</v>
      </c>
      <c r="D85" s="290" t="s">
        <v>1548</v>
      </c>
      <c r="E85" s="291" t="s">
        <v>1556</v>
      </c>
      <c r="F85" s="292" t="s">
        <v>1549</v>
      </c>
      <c r="G85" s="180" t="s">
        <v>183</v>
      </c>
      <c r="H85" s="180" t="s">
        <v>1550</v>
      </c>
      <c r="I85" s="291" t="s">
        <v>81</v>
      </c>
      <c r="J85" s="293" t="s">
        <v>49</v>
      </c>
      <c r="K85" s="293">
        <v>28</v>
      </c>
      <c r="L85" s="294">
        <v>719</v>
      </c>
      <c r="M85" s="180">
        <v>296</v>
      </c>
      <c r="N85" s="295">
        <v>8.25</v>
      </c>
      <c r="O85" s="94">
        <v>1.53</v>
      </c>
      <c r="P85" s="239">
        <f t="shared" si="27"/>
        <v>6.577861357721047</v>
      </c>
      <c r="Q85" s="262" t="str">
        <f t="shared" si="20"/>
        <v>Gadd Daph</v>
      </c>
      <c r="R85" s="263">
        <f t="shared" si="21"/>
        <v>-2.2793332826250219</v>
      </c>
      <c r="S85" s="220">
        <f t="shared" si="28"/>
        <v>8.8571946403460693</v>
      </c>
      <c r="T85" s="236">
        <f t="shared" si="30"/>
        <v>18</v>
      </c>
      <c r="U85" s="221" t="str">
        <f t="shared" si="31"/>
        <v>18-GRO-EC10-21 days</v>
      </c>
      <c r="V85" s="222" cm="1">
        <f t="array" ref="V85">GEOMEAN(IF(U85=$U$4:$U$176,$S$4:$S$176))</f>
        <v>8.2648873022803198</v>
      </c>
      <c r="W85" s="264">
        <f t="shared" si="22"/>
        <v>5.1419996183716101</v>
      </c>
      <c r="X85" s="225">
        <f t="shared" si="29"/>
        <v>171.05747623683536</v>
      </c>
      <c r="Y85" s="225">
        <f t="shared" si="32"/>
        <v>171.05747623683536</v>
      </c>
      <c r="Z85" s="226"/>
      <c r="AA85" s="194" t="s">
        <v>1557</v>
      </c>
      <c r="AB85" s="281" t="s">
        <v>1916</v>
      </c>
      <c r="AC85" s="243" t="s">
        <v>1798</v>
      </c>
      <c r="AD85" s="228"/>
      <c r="AE85" s="229" t="s">
        <v>1584</v>
      </c>
      <c r="AG85" s="248"/>
    </row>
    <row r="86" spans="1:38" s="182" customFormat="1" ht="15.75" customHeight="1" x14ac:dyDescent="0.25">
      <c r="A86" s="182" t="s">
        <v>1917</v>
      </c>
      <c r="B86" s="180"/>
      <c r="C86" s="227">
        <v>2017</v>
      </c>
      <c r="D86" s="227" t="s">
        <v>1785</v>
      </c>
      <c r="E86" s="227" t="s">
        <v>1795</v>
      </c>
      <c r="F86" s="227" t="s">
        <v>140</v>
      </c>
      <c r="G86" s="180" t="s">
        <v>183</v>
      </c>
      <c r="H86" s="227" t="s">
        <v>1251</v>
      </c>
      <c r="I86" s="245" t="s">
        <v>1309</v>
      </c>
      <c r="J86" s="245" t="s">
        <v>52</v>
      </c>
      <c r="K86" s="245">
        <v>3</v>
      </c>
      <c r="L86" s="282">
        <v>15</v>
      </c>
      <c r="M86" s="277">
        <v>42</v>
      </c>
      <c r="N86" s="278">
        <v>7</v>
      </c>
      <c r="O86" s="277">
        <v>0.1</v>
      </c>
      <c r="P86" s="239">
        <f t="shared" si="27"/>
        <v>2.7080502011022101</v>
      </c>
      <c r="Q86" s="262" t="str">
        <f t="shared" si="20"/>
        <v>Gadd Daph</v>
      </c>
      <c r="R86" s="263">
        <f t="shared" si="21"/>
        <v>-3.1260462443704888</v>
      </c>
      <c r="S86" s="220">
        <f t="shared" si="28"/>
        <v>5.8340964454726993</v>
      </c>
      <c r="T86" s="236">
        <f t="shared" si="30"/>
        <v>19</v>
      </c>
      <c r="U86" s="221" t="str">
        <f t="shared" si="31"/>
        <v>19-DEV-NEC-Larvae</v>
      </c>
      <c r="V86" s="222" cm="1">
        <f t="array" ref="V86">GEOMEAN(IF(U86=$U$4:$U$176,$S$4:$S$176))</f>
        <v>5.8340964454726993</v>
      </c>
      <c r="W86" s="264">
        <f t="shared" si="22"/>
        <v>2.7112087615639893</v>
      </c>
      <c r="X86" s="225">
        <f t="shared" si="29"/>
        <v>15.047453309548844</v>
      </c>
      <c r="Y86" s="225">
        <f t="shared" si="32"/>
        <v>15.047453309548844</v>
      </c>
      <c r="Z86" s="226"/>
      <c r="AA86" s="226"/>
      <c r="AB86" s="254"/>
      <c r="AC86" s="228" t="s">
        <v>1772</v>
      </c>
      <c r="AD86" s="276">
        <v>0.83</v>
      </c>
      <c r="AE86" s="228" t="s">
        <v>1773</v>
      </c>
      <c r="AG86" s="248"/>
    </row>
    <row r="87" spans="1:38" s="281" customFormat="1" ht="15.75" customHeight="1" x14ac:dyDescent="0.25">
      <c r="B87" s="290"/>
      <c r="C87" s="289">
        <v>2010</v>
      </c>
      <c r="D87" s="290" t="s">
        <v>1566</v>
      </c>
      <c r="E87" s="290"/>
      <c r="F87" s="290" t="s">
        <v>1567</v>
      </c>
      <c r="G87" s="290" t="s">
        <v>1403</v>
      </c>
      <c r="H87" s="290" t="s">
        <v>1568</v>
      </c>
      <c r="I87" s="290" t="s">
        <v>256</v>
      </c>
      <c r="J87" s="290" t="s">
        <v>49</v>
      </c>
      <c r="K87" s="290">
        <v>2</v>
      </c>
      <c r="L87" s="290">
        <v>550</v>
      </c>
      <c r="M87" s="290">
        <v>255</v>
      </c>
      <c r="N87" s="290">
        <v>7.77</v>
      </c>
      <c r="O87" s="153">
        <v>8.94</v>
      </c>
      <c r="P87" s="239">
        <f t="shared" si="27"/>
        <v>6.3099182782265162</v>
      </c>
      <c r="Q87" s="262" t="str">
        <f t="shared" si="20"/>
        <v>Gadd Daph</v>
      </c>
      <c r="R87" s="263">
        <f t="shared" si="21"/>
        <v>-1.3044473591475043</v>
      </c>
      <c r="S87" s="220">
        <f t="shared" si="28"/>
        <v>7.6143656373740205</v>
      </c>
      <c r="T87" s="236">
        <f t="shared" si="30"/>
        <v>20</v>
      </c>
      <c r="U87" s="221" t="str">
        <f t="shared" si="31"/>
        <v>20-POP-EC10-&lt;2 hour old</v>
      </c>
      <c r="V87" s="222" cm="1">
        <f t="array" ref="V87">GEOMEAN(IF(U87=$U$4:$U$176,$S$4:$S$176))</f>
        <v>7.5409511042092277</v>
      </c>
      <c r="W87" s="264">
        <f t="shared" si="22"/>
        <v>4.418063420300518</v>
      </c>
      <c r="X87" s="225">
        <f t="shared" si="29"/>
        <v>82.935518498179519</v>
      </c>
      <c r="Y87" s="225">
        <f t="shared" si="32"/>
        <v>82.935518498179519</v>
      </c>
      <c r="Z87" s="226"/>
      <c r="AA87" s="226"/>
      <c r="AB87" s="227" t="s">
        <v>1846</v>
      </c>
      <c r="AC87" s="243" t="s">
        <v>1798</v>
      </c>
      <c r="AD87" s="228"/>
      <c r="AE87" s="229" t="s">
        <v>1584</v>
      </c>
      <c r="AG87" s="248"/>
      <c r="AH87" s="182"/>
      <c r="AI87" s="182"/>
      <c r="AJ87" s="182"/>
      <c r="AK87" s="182"/>
    </row>
    <row r="88" spans="1:38" s="182" customFormat="1" ht="15.75" customHeight="1" x14ac:dyDescent="0.25">
      <c r="B88" s="290"/>
      <c r="C88" s="289">
        <v>2010</v>
      </c>
      <c r="D88" s="290" t="s">
        <v>1566</v>
      </c>
      <c r="E88" s="290"/>
      <c r="F88" s="290" t="s">
        <v>1567</v>
      </c>
      <c r="G88" s="290" t="s">
        <v>1403</v>
      </c>
      <c r="H88" s="290" t="s">
        <v>1568</v>
      </c>
      <c r="I88" s="290" t="s">
        <v>256</v>
      </c>
      <c r="J88" s="290" t="s">
        <v>49</v>
      </c>
      <c r="K88" s="290">
        <v>2</v>
      </c>
      <c r="L88" s="290">
        <v>197</v>
      </c>
      <c r="M88" s="290">
        <v>45.7</v>
      </c>
      <c r="N88" s="290">
        <v>7.4</v>
      </c>
      <c r="O88" s="153">
        <v>2.83</v>
      </c>
      <c r="P88" s="239">
        <f t="shared" si="27"/>
        <v>5.2832037287379885</v>
      </c>
      <c r="Q88" s="262" t="str">
        <f t="shared" si="20"/>
        <v>Gadd Daph</v>
      </c>
      <c r="R88" s="263">
        <f t="shared" si="21"/>
        <v>-2.2720054840686155</v>
      </c>
      <c r="S88" s="220">
        <f t="shared" si="28"/>
        <v>7.555209212806604</v>
      </c>
      <c r="T88" s="236">
        <f t="shared" si="30"/>
        <v>20</v>
      </c>
      <c r="U88" s="221" t="str">
        <f t="shared" si="31"/>
        <v>20-POP-EC10-&lt;2 hour old</v>
      </c>
      <c r="V88" s="222" cm="1">
        <f t="array" ref="V88">GEOMEAN(IF(U88=$U$4:$U$176,$S$4:$S$176))</f>
        <v>7.5409511042092277</v>
      </c>
      <c r="W88" s="264">
        <f t="shared" ref="W88:W91" si="33">V88+$AI$5*$AI$2+$AH$5*LN($AH$2)+$AJ$5*LN($AJ$2)+$AK$5*LN($AJ$2)*$AI$2</f>
        <v>4.418063420300518</v>
      </c>
      <c r="X88" s="225">
        <f t="shared" si="29"/>
        <v>82.935518498179519</v>
      </c>
      <c r="Y88" s="225">
        <f t="shared" si="32"/>
        <v>82.935518498179519</v>
      </c>
      <c r="Z88" s="226"/>
      <c r="AA88" s="226"/>
      <c r="AB88" s="227" t="s">
        <v>1846</v>
      </c>
      <c r="AC88" s="243" t="s">
        <v>1798</v>
      </c>
      <c r="AD88" s="228"/>
      <c r="AE88" s="229" t="s">
        <v>1584</v>
      </c>
      <c r="AG88" s="248"/>
    </row>
    <row r="89" spans="1:38" s="182" customFormat="1" ht="15.75" customHeight="1" x14ac:dyDescent="0.25">
      <c r="B89" s="290"/>
      <c r="C89" s="289">
        <v>2010</v>
      </c>
      <c r="D89" s="290" t="s">
        <v>1566</v>
      </c>
      <c r="E89" s="290"/>
      <c r="F89" s="290" t="s">
        <v>1567</v>
      </c>
      <c r="G89" s="290" t="s">
        <v>1403</v>
      </c>
      <c r="H89" s="290" t="s">
        <v>1568</v>
      </c>
      <c r="I89" s="290" t="s">
        <v>256</v>
      </c>
      <c r="J89" s="290" t="s">
        <v>49</v>
      </c>
      <c r="K89" s="290">
        <v>2</v>
      </c>
      <c r="L89" s="290">
        <v>142</v>
      </c>
      <c r="M89" s="290">
        <v>46.9</v>
      </c>
      <c r="N89" s="290">
        <v>6.89</v>
      </c>
      <c r="O89" s="153">
        <v>1.18</v>
      </c>
      <c r="P89" s="239">
        <f t="shared" si="27"/>
        <v>4.9558270576012609</v>
      </c>
      <c r="Q89" s="262" t="str">
        <f t="shared" si="20"/>
        <v>Gadd Daph</v>
      </c>
      <c r="R89" s="263">
        <f t="shared" si="21"/>
        <v>-2.3479400590118948</v>
      </c>
      <c r="S89" s="220">
        <f t="shared" si="28"/>
        <v>7.3037671166131553</v>
      </c>
      <c r="T89" s="236">
        <f t="shared" si="30"/>
        <v>20</v>
      </c>
      <c r="U89" s="221" t="str">
        <f t="shared" si="31"/>
        <v>20-POP-EC10-&lt;2 hour old</v>
      </c>
      <c r="V89" s="222" cm="1">
        <f t="array" ref="V89">GEOMEAN(IF(U89=$U$4:$U$176,$S$4:$S$176))</f>
        <v>7.5409511042092277</v>
      </c>
      <c r="W89" s="264">
        <f t="shared" si="33"/>
        <v>4.418063420300518</v>
      </c>
      <c r="X89" s="225">
        <f t="shared" si="29"/>
        <v>82.935518498179519</v>
      </c>
      <c r="Y89" s="225">
        <f t="shared" si="32"/>
        <v>82.935518498179519</v>
      </c>
      <c r="Z89" s="226"/>
      <c r="AA89" s="226"/>
      <c r="AB89" s="227" t="s">
        <v>1846</v>
      </c>
      <c r="AC89" s="243" t="s">
        <v>1798</v>
      </c>
      <c r="AD89" s="228"/>
      <c r="AE89" s="229" t="s">
        <v>1584</v>
      </c>
      <c r="AG89" s="248"/>
    </row>
    <row r="90" spans="1:38" s="281" customFormat="1" ht="15.75" customHeight="1" x14ac:dyDescent="0.25">
      <c r="A90" s="182"/>
      <c r="B90" s="290"/>
      <c r="C90" s="289">
        <v>2010</v>
      </c>
      <c r="D90" s="290" t="s">
        <v>1566</v>
      </c>
      <c r="E90" s="290"/>
      <c r="F90" s="290" t="s">
        <v>1567</v>
      </c>
      <c r="G90" s="290" t="s">
        <v>1403</v>
      </c>
      <c r="H90" s="290" t="s">
        <v>1568</v>
      </c>
      <c r="I90" s="290" t="s">
        <v>256</v>
      </c>
      <c r="J90" s="290" t="s">
        <v>49</v>
      </c>
      <c r="K90" s="290">
        <v>2</v>
      </c>
      <c r="L90" s="290">
        <v>66</v>
      </c>
      <c r="M90" s="290">
        <v>41.5</v>
      </c>
      <c r="N90" s="290">
        <v>8.09</v>
      </c>
      <c r="O90" s="153">
        <v>1.73</v>
      </c>
      <c r="P90" s="239">
        <f t="shared" si="27"/>
        <v>4.1896547420264252</v>
      </c>
      <c r="Q90" s="262" t="str">
        <f t="shared" si="20"/>
        <v>Gadd Daph</v>
      </c>
      <c r="R90" s="263">
        <f t="shared" si="21"/>
        <v>-2.7549724827077915</v>
      </c>
      <c r="S90" s="220">
        <f t="shared" si="28"/>
        <v>6.9446272247342167</v>
      </c>
      <c r="T90" s="236">
        <f t="shared" si="30"/>
        <v>20</v>
      </c>
      <c r="U90" s="221" t="str">
        <f t="shared" si="31"/>
        <v>20-POP-EC10-&lt;2 hour old</v>
      </c>
      <c r="V90" s="222" cm="1">
        <f t="array" ref="V90">GEOMEAN(IF(U90=$U$4:$U$176,$S$4:$S$176))</f>
        <v>7.5409511042092277</v>
      </c>
      <c r="W90" s="264">
        <f t="shared" si="33"/>
        <v>4.418063420300518</v>
      </c>
      <c r="X90" s="225">
        <f t="shared" si="29"/>
        <v>82.935518498179519</v>
      </c>
      <c r="Y90" s="225">
        <f t="shared" si="32"/>
        <v>82.935518498179519</v>
      </c>
      <c r="Z90" s="226"/>
      <c r="AA90" s="226"/>
      <c r="AB90" s="227" t="s">
        <v>1846</v>
      </c>
      <c r="AC90" s="243" t="s">
        <v>1798</v>
      </c>
      <c r="AD90" s="228"/>
      <c r="AE90" s="229" t="s">
        <v>1584</v>
      </c>
      <c r="AG90" s="248"/>
      <c r="AH90" s="182"/>
      <c r="AI90" s="182"/>
      <c r="AJ90" s="182"/>
      <c r="AK90" s="182"/>
      <c r="AL90" s="182"/>
    </row>
    <row r="91" spans="1:38" s="182" customFormat="1" ht="15.75" customHeight="1" x14ac:dyDescent="0.25">
      <c r="B91" s="290"/>
      <c r="C91" s="289">
        <v>2010</v>
      </c>
      <c r="D91" s="290" t="s">
        <v>1566</v>
      </c>
      <c r="E91" s="290"/>
      <c r="F91" s="290" t="s">
        <v>1567</v>
      </c>
      <c r="G91" s="290" t="s">
        <v>1403</v>
      </c>
      <c r="H91" s="290" t="s">
        <v>1568</v>
      </c>
      <c r="I91" s="290" t="s">
        <v>256</v>
      </c>
      <c r="J91" s="290" t="s">
        <v>49</v>
      </c>
      <c r="K91" s="290">
        <v>2</v>
      </c>
      <c r="L91" s="290">
        <v>453</v>
      </c>
      <c r="M91" s="290">
        <v>311</v>
      </c>
      <c r="N91" s="290">
        <v>8.16</v>
      </c>
      <c r="O91" s="153">
        <v>1.49</v>
      </c>
      <c r="P91" s="239">
        <f t="shared" si="27"/>
        <v>6.1158921254830343</v>
      </c>
      <c r="Q91" s="262" t="str">
        <f t="shared" si="20"/>
        <v>Gadd Daph</v>
      </c>
      <c r="R91" s="263">
        <f t="shared" si="21"/>
        <v>-2.241187611840243</v>
      </c>
      <c r="S91" s="220">
        <f t="shared" si="28"/>
        <v>8.3570797373232768</v>
      </c>
      <c r="T91" s="236">
        <f t="shared" si="30"/>
        <v>20</v>
      </c>
      <c r="U91" s="221" t="str">
        <f t="shared" si="31"/>
        <v>20-POP-EC10-&lt;2 hour old</v>
      </c>
      <c r="V91" s="222" cm="1">
        <f t="array" ref="V91">GEOMEAN(IF(U91=$U$4:$U$176,$S$4:$S$176))</f>
        <v>7.5409511042092277</v>
      </c>
      <c r="W91" s="264">
        <f t="shared" si="33"/>
        <v>4.418063420300518</v>
      </c>
      <c r="X91" s="225">
        <f t="shared" si="29"/>
        <v>82.935518498179519</v>
      </c>
      <c r="Y91" s="225">
        <f t="shared" si="32"/>
        <v>82.935518498179519</v>
      </c>
      <c r="Z91" s="226"/>
      <c r="AA91" s="226"/>
      <c r="AB91" s="227" t="s">
        <v>1846</v>
      </c>
      <c r="AC91" s="243" t="s">
        <v>1798</v>
      </c>
      <c r="AD91" s="228"/>
      <c r="AE91" s="229" t="s">
        <v>1584</v>
      </c>
      <c r="AG91" s="248"/>
    </row>
    <row r="92" spans="1:38" s="182" customFormat="1" ht="15.75" customHeight="1" x14ac:dyDescent="0.25">
      <c r="B92" s="180">
        <v>115303</v>
      </c>
      <c r="C92" s="217">
        <v>2007</v>
      </c>
      <c r="D92" s="180" t="s">
        <v>1061</v>
      </c>
      <c r="E92" s="180" t="s">
        <v>41</v>
      </c>
      <c r="F92" s="180" t="s">
        <v>567</v>
      </c>
      <c r="G92" s="180" t="s">
        <v>1303</v>
      </c>
      <c r="H92" s="180" t="s">
        <v>264</v>
      </c>
      <c r="I92" s="180" t="s">
        <v>256</v>
      </c>
      <c r="J92" s="180" t="s">
        <v>49</v>
      </c>
      <c r="K92" s="180" t="s">
        <v>103</v>
      </c>
      <c r="L92" s="180">
        <v>28</v>
      </c>
      <c r="M92" s="180">
        <v>85</v>
      </c>
      <c r="N92" s="181">
        <v>7.5</v>
      </c>
      <c r="O92" s="94">
        <v>0.5</v>
      </c>
      <c r="P92" s="239">
        <f>LN(L92)</f>
        <v>3.3322045101752038</v>
      </c>
      <c r="Q92" s="296" t="str">
        <f t="shared" ref="Q92:Q132" si="34">$AG$6</f>
        <v>Chlorella</v>
      </c>
      <c r="R92" s="297">
        <f t="shared" ref="R92:R132" si="35">$AI$6*N92+$AH$6*LN(M92)+$AJ$6*LN(O92)</f>
        <v>5.4109635241442411E-2</v>
      </c>
      <c r="S92" s="220">
        <f t="shared" si="28"/>
        <v>3.2780948749337613</v>
      </c>
      <c r="T92" s="236">
        <f t="shared" si="30"/>
        <v>21</v>
      </c>
      <c r="U92" s="221" t="str">
        <f t="shared" si="31"/>
        <v>21-POP-EC10-EX</v>
      </c>
      <c r="V92" s="222" cm="1">
        <f t="array" ref="V92">MEDIAN(IF(U92=$U$4:$U$176,$S$4:$S$176))</f>
        <v>0.5483589578715401</v>
      </c>
      <c r="W92" s="298">
        <f t="shared" ref="W92:W132" si="36">V92+$AI$6*$AI$2+$AH$6*LN($AH$2)+$AJ$6*LN($AJ$2)</f>
        <v>-9.8429864646369603E-2</v>
      </c>
      <c r="X92" s="225">
        <f t="shared" si="29"/>
        <v>0.90625925119845641</v>
      </c>
      <c r="Y92" s="299">
        <f t="shared" si="32"/>
        <v>0.90625925119845641</v>
      </c>
      <c r="Z92" s="226"/>
      <c r="AA92" s="226"/>
      <c r="AB92" s="246"/>
      <c r="AC92" s="243" t="s">
        <v>1858</v>
      </c>
      <c r="AD92" s="251">
        <v>0.72</v>
      </c>
      <c r="AE92" s="243" t="s">
        <v>1873</v>
      </c>
      <c r="AG92" s="248"/>
    </row>
    <row r="93" spans="1:38" s="182" customFormat="1" ht="15.75" customHeight="1" x14ac:dyDescent="0.25">
      <c r="A93" s="182" t="s">
        <v>1918</v>
      </c>
      <c r="B93" s="180"/>
      <c r="C93" s="217">
        <v>2021</v>
      </c>
      <c r="D93" s="180" t="s">
        <v>1652</v>
      </c>
      <c r="E93" s="180" t="s">
        <v>1311</v>
      </c>
      <c r="F93" s="180" t="s">
        <v>567</v>
      </c>
      <c r="G93" s="180" t="s">
        <v>1303</v>
      </c>
      <c r="H93" s="180" t="s">
        <v>264</v>
      </c>
      <c r="I93" s="180" t="s">
        <v>256</v>
      </c>
      <c r="J93" s="180" t="s">
        <v>49</v>
      </c>
      <c r="K93" s="180">
        <v>3</v>
      </c>
      <c r="L93" s="180">
        <v>4.5</v>
      </c>
      <c r="M93" s="180">
        <v>93</v>
      </c>
      <c r="N93" s="180">
        <v>6.7</v>
      </c>
      <c r="O93" s="94">
        <v>0.66</v>
      </c>
      <c r="P93" s="239">
        <f t="shared" ref="P93:P106" si="37">LN(L93)</f>
        <v>1.5040773967762742</v>
      </c>
      <c r="Q93" s="296" t="str">
        <f t="shared" si="34"/>
        <v>Chlorella</v>
      </c>
      <c r="R93" s="297">
        <f t="shared" si="35"/>
        <v>0.49929353806159682</v>
      </c>
      <c r="S93" s="220">
        <f t="shared" si="28"/>
        <v>1.0047838587146773</v>
      </c>
      <c r="T93" s="236">
        <f t="shared" si="30"/>
        <v>21</v>
      </c>
      <c r="U93" s="221" t="str">
        <f t="shared" si="31"/>
        <v>21-POP-EC10-EX</v>
      </c>
      <c r="V93" s="222" cm="1">
        <f t="array" ref="V93">MEDIAN(IF(U93=$U$4:$U$176,$S$4:$S$176))</f>
        <v>0.5483589578715401</v>
      </c>
      <c r="W93" s="298">
        <f t="shared" si="36"/>
        <v>-9.8429864646369603E-2</v>
      </c>
      <c r="X93" s="225">
        <f t="shared" si="29"/>
        <v>0.90625925119845641</v>
      </c>
      <c r="Y93" s="225">
        <f t="shared" si="32"/>
        <v>0.90625925119845641</v>
      </c>
      <c r="Z93" s="226"/>
      <c r="AA93" s="226"/>
      <c r="AB93" s="246"/>
      <c r="AC93" s="228" t="s">
        <v>1772</v>
      </c>
      <c r="AD93" s="276">
        <v>0.91</v>
      </c>
      <c r="AE93" s="228" t="s">
        <v>1859</v>
      </c>
      <c r="AG93" s="248"/>
    </row>
    <row r="94" spans="1:38" s="182" customFormat="1" ht="15.75" customHeight="1" x14ac:dyDescent="0.25">
      <c r="A94" s="182" t="s">
        <v>1919</v>
      </c>
      <c r="B94" s="180"/>
      <c r="C94" s="217">
        <v>2021</v>
      </c>
      <c r="D94" s="180" t="s">
        <v>1652</v>
      </c>
      <c r="E94" s="180" t="s">
        <v>1311</v>
      </c>
      <c r="F94" s="180" t="s">
        <v>567</v>
      </c>
      <c r="G94" s="180" t="s">
        <v>1303</v>
      </c>
      <c r="H94" s="180" t="s">
        <v>264</v>
      </c>
      <c r="I94" s="180" t="s">
        <v>256</v>
      </c>
      <c r="J94" s="180" t="s">
        <v>49</v>
      </c>
      <c r="K94" s="180">
        <v>3</v>
      </c>
      <c r="L94" s="180">
        <v>1.8</v>
      </c>
      <c r="M94" s="180">
        <v>93</v>
      </c>
      <c r="N94" s="180">
        <v>7.1</v>
      </c>
      <c r="O94" s="94">
        <v>0.44</v>
      </c>
      <c r="P94" s="239">
        <f t="shared" si="37"/>
        <v>0.58778666490211906</v>
      </c>
      <c r="Q94" s="296" t="str">
        <f t="shared" si="34"/>
        <v>Chlorella</v>
      </c>
      <c r="R94" s="297">
        <f t="shared" si="35"/>
        <v>0.21337528511563142</v>
      </c>
      <c r="S94" s="220">
        <f t="shared" si="28"/>
        <v>0.37441137978648764</v>
      </c>
      <c r="T94" s="236">
        <f t="shared" si="30"/>
        <v>21</v>
      </c>
      <c r="U94" s="221" t="str">
        <f t="shared" si="31"/>
        <v>21-POP-EC10-EX</v>
      </c>
      <c r="V94" s="222" cm="1">
        <f t="array" ref="V94">MEDIAN(IF(U94=$U$4:$U$176,$S$4:$S$176))</f>
        <v>0.5483589578715401</v>
      </c>
      <c r="W94" s="298">
        <f t="shared" si="36"/>
        <v>-9.8429864646369603E-2</v>
      </c>
      <c r="X94" s="225">
        <f t="shared" si="29"/>
        <v>0.90625925119845641</v>
      </c>
      <c r="Y94" s="225">
        <f t="shared" si="32"/>
        <v>0.90625925119845641</v>
      </c>
      <c r="Z94" s="226"/>
      <c r="AA94" s="226"/>
      <c r="AB94" s="246"/>
      <c r="AC94" s="228" t="s">
        <v>1772</v>
      </c>
      <c r="AD94" s="276">
        <v>0.91</v>
      </c>
      <c r="AE94" s="228" t="s">
        <v>1859</v>
      </c>
      <c r="AG94" s="248"/>
    </row>
    <row r="95" spans="1:38" s="182" customFormat="1" ht="15.75" customHeight="1" x14ac:dyDescent="0.25">
      <c r="A95" s="182" t="s">
        <v>1920</v>
      </c>
      <c r="B95" s="180"/>
      <c r="C95" s="217">
        <v>2021</v>
      </c>
      <c r="D95" s="180" t="s">
        <v>1652</v>
      </c>
      <c r="E95" s="180" t="s">
        <v>1311</v>
      </c>
      <c r="F95" s="180" t="s">
        <v>567</v>
      </c>
      <c r="G95" s="180" t="s">
        <v>1303</v>
      </c>
      <c r="H95" s="180" t="s">
        <v>264</v>
      </c>
      <c r="I95" s="180" t="s">
        <v>256</v>
      </c>
      <c r="J95" s="180" t="s">
        <v>49</v>
      </c>
      <c r="K95" s="180">
        <v>3</v>
      </c>
      <c r="L95" s="180">
        <v>0.79</v>
      </c>
      <c r="M95" s="180">
        <v>94</v>
      </c>
      <c r="N95" s="180">
        <v>7.7</v>
      </c>
      <c r="O95" s="94">
        <v>0.6</v>
      </c>
      <c r="P95" s="239">
        <f t="shared" si="37"/>
        <v>-0.23572233352106983</v>
      </c>
      <c r="Q95" s="296" t="str">
        <f t="shared" si="34"/>
        <v>Chlorella</v>
      </c>
      <c r="R95" s="297">
        <f t="shared" si="35"/>
        <v>0.11403759452585011</v>
      </c>
      <c r="S95" s="220">
        <v>0.1</v>
      </c>
      <c r="T95" s="236">
        <f t="shared" si="30"/>
        <v>21</v>
      </c>
      <c r="U95" s="221" t="str">
        <f t="shared" si="31"/>
        <v>21-POP-EC10-EX</v>
      </c>
      <c r="V95" s="222" cm="1">
        <f t="array" ref="V95">MEDIAN(IF(U95=$U$4:$U$176,$S$4:$S$176))</f>
        <v>0.5483589578715401</v>
      </c>
      <c r="W95" s="298">
        <f t="shared" si="36"/>
        <v>-9.8429864646369603E-2</v>
      </c>
      <c r="X95" s="225">
        <f t="shared" si="29"/>
        <v>0.90625925119845641</v>
      </c>
      <c r="Y95" s="225">
        <f t="shared" si="32"/>
        <v>0.90625925119845641</v>
      </c>
      <c r="Z95" s="226"/>
      <c r="AA95" s="226"/>
      <c r="AB95" s="254"/>
      <c r="AC95" s="228" t="s">
        <v>1772</v>
      </c>
      <c r="AD95" s="276">
        <v>0.91</v>
      </c>
      <c r="AE95" s="228" t="s">
        <v>1859</v>
      </c>
      <c r="AG95" s="248"/>
    </row>
    <row r="96" spans="1:38" s="182" customFormat="1" ht="15.75" customHeight="1" x14ac:dyDescent="0.25">
      <c r="A96" s="182" t="s">
        <v>1921</v>
      </c>
      <c r="B96" s="241"/>
      <c r="C96" s="217">
        <v>2021</v>
      </c>
      <c r="D96" s="180" t="s">
        <v>1652</v>
      </c>
      <c r="E96" s="180" t="s">
        <v>1311</v>
      </c>
      <c r="F96" s="180" t="s">
        <v>567</v>
      </c>
      <c r="G96" s="180" t="s">
        <v>1303</v>
      </c>
      <c r="H96" s="180" t="s">
        <v>264</v>
      </c>
      <c r="I96" s="180" t="s">
        <v>256</v>
      </c>
      <c r="J96" s="180" t="s">
        <v>49</v>
      </c>
      <c r="K96" s="180">
        <v>3</v>
      </c>
      <c r="L96" s="217">
        <v>4.0999999999999996</v>
      </c>
      <c r="M96" s="180">
        <v>94</v>
      </c>
      <c r="N96" s="180">
        <v>8</v>
      </c>
      <c r="O96" s="94">
        <v>0.6</v>
      </c>
      <c r="P96" s="239">
        <f t="shared" si="37"/>
        <v>1.410986973710262</v>
      </c>
      <c r="Q96" s="296" t="str">
        <f t="shared" si="34"/>
        <v>Chlorella</v>
      </c>
      <c r="R96" s="297">
        <f t="shared" si="35"/>
        <v>6.3375945258501987E-3</v>
      </c>
      <c r="S96" s="220">
        <f t="shared" ref="S96:S106" si="38">P96-R96</f>
        <v>1.4046493791844119</v>
      </c>
      <c r="T96" s="236">
        <f t="shared" si="30"/>
        <v>21</v>
      </c>
      <c r="U96" s="221" t="str">
        <f t="shared" si="31"/>
        <v>21-POP-EC10-EX</v>
      </c>
      <c r="V96" s="222" cm="1">
        <f t="array" ref="V96">MEDIAN(IF(U96=$U$4:$U$176,$S$4:$S$176))</f>
        <v>0.5483589578715401</v>
      </c>
      <c r="W96" s="298">
        <f t="shared" si="36"/>
        <v>-9.8429864646369603E-2</v>
      </c>
      <c r="X96" s="299">
        <f t="shared" si="29"/>
        <v>0.90625925119845641</v>
      </c>
      <c r="Y96" s="225">
        <f t="shared" si="32"/>
        <v>0.90625925119845641</v>
      </c>
      <c r="Z96" s="226"/>
      <c r="AA96" s="226"/>
      <c r="AB96" s="254"/>
      <c r="AC96" s="228" t="s">
        <v>1772</v>
      </c>
      <c r="AD96" s="276">
        <v>0.91</v>
      </c>
      <c r="AE96" s="228" t="s">
        <v>1859</v>
      </c>
      <c r="AG96" s="248"/>
    </row>
    <row r="97" spans="1:38" s="182" customFormat="1" ht="15.75" customHeight="1" x14ac:dyDescent="0.25">
      <c r="A97" s="182" t="s">
        <v>1922</v>
      </c>
      <c r="B97" s="180"/>
      <c r="C97" s="217">
        <v>2021</v>
      </c>
      <c r="D97" s="180" t="s">
        <v>1652</v>
      </c>
      <c r="E97" s="180" t="s">
        <v>1311</v>
      </c>
      <c r="F97" s="180" t="s">
        <v>567</v>
      </c>
      <c r="G97" s="180" t="s">
        <v>1303</v>
      </c>
      <c r="H97" s="180" t="s">
        <v>264</v>
      </c>
      <c r="I97" s="180" t="s">
        <v>256</v>
      </c>
      <c r="J97" s="180" t="s">
        <v>49</v>
      </c>
      <c r="K97" s="180">
        <v>3</v>
      </c>
      <c r="L97" s="180">
        <v>3.2</v>
      </c>
      <c r="M97" s="180">
        <v>93</v>
      </c>
      <c r="N97" s="180">
        <v>8.3000000000000007</v>
      </c>
      <c r="O97" s="94">
        <v>0.69</v>
      </c>
      <c r="P97" s="239">
        <f t="shared" si="37"/>
        <v>1.1631508098056809</v>
      </c>
      <c r="Q97" s="296" t="str">
        <f t="shared" si="34"/>
        <v>Chlorella</v>
      </c>
      <c r="R97" s="297">
        <f t="shared" si="35"/>
        <v>-5.9503893276040776E-2</v>
      </c>
      <c r="S97" s="220">
        <f t="shared" si="38"/>
        <v>1.2226547030817216</v>
      </c>
      <c r="T97" s="236">
        <f t="shared" si="30"/>
        <v>21</v>
      </c>
      <c r="U97" s="221" t="str">
        <f t="shared" si="31"/>
        <v>21-POP-EC10-EX</v>
      </c>
      <c r="V97" s="222" cm="1">
        <f t="array" ref="V97">MEDIAN(IF(U97=$U$4:$U$176,$S$4:$S$176))</f>
        <v>0.5483589578715401</v>
      </c>
      <c r="W97" s="298">
        <f t="shared" si="36"/>
        <v>-9.8429864646369603E-2</v>
      </c>
      <c r="X97" s="299">
        <f t="shared" si="29"/>
        <v>0.90625925119845641</v>
      </c>
      <c r="Y97" s="225">
        <f t="shared" si="32"/>
        <v>0.90625925119845641</v>
      </c>
      <c r="Z97" s="226"/>
      <c r="AA97" s="226"/>
      <c r="AB97" s="254"/>
      <c r="AC97" s="228" t="s">
        <v>1772</v>
      </c>
      <c r="AD97" s="276">
        <v>0.91</v>
      </c>
      <c r="AE97" s="228" t="s">
        <v>1859</v>
      </c>
      <c r="AG97" s="248"/>
    </row>
    <row r="98" spans="1:38" s="182" customFormat="1" ht="15.75" customHeight="1" x14ac:dyDescent="0.25">
      <c r="A98" s="182" t="s">
        <v>1923</v>
      </c>
      <c r="B98" s="180"/>
      <c r="C98" s="217">
        <v>2022</v>
      </c>
      <c r="D98" s="180" t="s">
        <v>1652</v>
      </c>
      <c r="E98" s="180" t="s">
        <v>1311</v>
      </c>
      <c r="F98" s="180" t="s">
        <v>567</v>
      </c>
      <c r="G98" s="180" t="s">
        <v>1303</v>
      </c>
      <c r="H98" s="180" t="s">
        <v>264</v>
      </c>
      <c r="I98" s="180" t="s">
        <v>256</v>
      </c>
      <c r="J98" s="180" t="s">
        <v>49</v>
      </c>
      <c r="K98" s="180">
        <v>3</v>
      </c>
      <c r="L98" s="180">
        <v>1.5</v>
      </c>
      <c r="M98" s="180">
        <v>5</v>
      </c>
      <c r="N98" s="180">
        <v>6.7</v>
      </c>
      <c r="O98" s="94">
        <v>0.5</v>
      </c>
      <c r="P98" s="239">
        <f t="shared" si="37"/>
        <v>0.40546510810816438</v>
      </c>
      <c r="Q98" s="296" t="str">
        <f t="shared" si="34"/>
        <v>Chlorella</v>
      </c>
      <c r="R98" s="297">
        <f t="shared" si="35"/>
        <v>-1.5654429453083911</v>
      </c>
      <c r="S98" s="220">
        <f t="shared" si="38"/>
        <v>1.9709080534165555</v>
      </c>
      <c r="T98" s="236">
        <f t="shared" si="30"/>
        <v>21</v>
      </c>
      <c r="U98" s="221" t="str">
        <f t="shared" si="31"/>
        <v>21-POP-EC10-EX</v>
      </c>
      <c r="V98" s="222" cm="1">
        <f t="array" ref="V98">MEDIAN(IF(U98=$U$4:$U$176,$S$4:$S$176))</f>
        <v>0.5483589578715401</v>
      </c>
      <c r="W98" s="298">
        <f t="shared" si="36"/>
        <v>-9.8429864646369603E-2</v>
      </c>
      <c r="X98" s="299">
        <f t="shared" si="29"/>
        <v>0.90625925119845641</v>
      </c>
      <c r="Y98" s="225">
        <f t="shared" si="32"/>
        <v>0.90625925119845641</v>
      </c>
      <c r="Z98" s="226"/>
      <c r="AA98" s="226"/>
      <c r="AB98" s="254"/>
      <c r="AC98" s="228" t="s">
        <v>1772</v>
      </c>
      <c r="AD98" s="276">
        <v>0.91</v>
      </c>
      <c r="AE98" s="228" t="s">
        <v>1859</v>
      </c>
      <c r="AG98" s="248"/>
    </row>
    <row r="99" spans="1:38" s="182" customFormat="1" ht="15.75" customHeight="1" x14ac:dyDescent="0.25">
      <c r="A99" s="182" t="s">
        <v>1924</v>
      </c>
      <c r="B99" s="180"/>
      <c r="C99" s="217">
        <v>2022</v>
      </c>
      <c r="D99" s="180" t="s">
        <v>1652</v>
      </c>
      <c r="E99" s="180" t="s">
        <v>1311</v>
      </c>
      <c r="F99" s="180" t="s">
        <v>567</v>
      </c>
      <c r="G99" s="180" t="s">
        <v>1303</v>
      </c>
      <c r="H99" s="180" t="s">
        <v>264</v>
      </c>
      <c r="I99" s="180" t="s">
        <v>256</v>
      </c>
      <c r="J99" s="180" t="s">
        <v>49</v>
      </c>
      <c r="K99" s="180">
        <v>3</v>
      </c>
      <c r="L99" s="180">
        <v>1.8</v>
      </c>
      <c r="M99" s="180">
        <v>5</v>
      </c>
      <c r="N99" s="180">
        <v>7.6</v>
      </c>
      <c r="O99" s="94">
        <v>0.5</v>
      </c>
      <c r="P99" s="239">
        <f t="shared" si="37"/>
        <v>0.58778666490211906</v>
      </c>
      <c r="Q99" s="296" t="str">
        <f t="shared" si="34"/>
        <v>Chlorella</v>
      </c>
      <c r="R99" s="297">
        <f t="shared" si="35"/>
        <v>-1.8885429453083908</v>
      </c>
      <c r="S99" s="220">
        <f t="shared" si="38"/>
        <v>2.4763296102105099</v>
      </c>
      <c r="T99" s="236">
        <f t="shared" si="30"/>
        <v>21</v>
      </c>
      <c r="U99" s="221" t="str">
        <f t="shared" si="31"/>
        <v>21-POP-EC10-EX</v>
      </c>
      <c r="V99" s="222" cm="1">
        <f t="array" ref="V99">MEDIAN(IF(U99=$U$4:$U$176,$S$4:$S$176))</f>
        <v>0.5483589578715401</v>
      </c>
      <c r="W99" s="298">
        <f t="shared" si="36"/>
        <v>-9.8429864646369603E-2</v>
      </c>
      <c r="X99" s="299">
        <f t="shared" si="29"/>
        <v>0.90625925119845641</v>
      </c>
      <c r="Y99" s="225">
        <f t="shared" si="32"/>
        <v>0.90625925119845641</v>
      </c>
      <c r="Z99" s="226"/>
      <c r="AA99" s="226"/>
      <c r="AB99" s="254"/>
      <c r="AC99" s="228" t="s">
        <v>1772</v>
      </c>
      <c r="AD99" s="276">
        <v>0.91</v>
      </c>
      <c r="AE99" s="228" t="s">
        <v>1859</v>
      </c>
      <c r="AG99" s="248"/>
    </row>
    <row r="100" spans="1:38" s="182" customFormat="1" ht="15.75" customHeight="1" x14ac:dyDescent="0.25">
      <c r="A100" s="182" t="s">
        <v>1925</v>
      </c>
      <c r="B100" s="180"/>
      <c r="C100" s="217">
        <v>2022</v>
      </c>
      <c r="D100" s="180" t="s">
        <v>1652</v>
      </c>
      <c r="E100" s="180" t="s">
        <v>1311</v>
      </c>
      <c r="F100" s="180" t="s">
        <v>567</v>
      </c>
      <c r="G100" s="180" t="s">
        <v>1303</v>
      </c>
      <c r="H100" s="180" t="s">
        <v>264</v>
      </c>
      <c r="I100" s="180" t="s">
        <v>256</v>
      </c>
      <c r="J100" s="180" t="s">
        <v>49</v>
      </c>
      <c r="K100" s="180">
        <v>3</v>
      </c>
      <c r="L100" s="180">
        <v>0.85</v>
      </c>
      <c r="M100" s="180">
        <v>5</v>
      </c>
      <c r="N100" s="180">
        <v>8.3000000000000007</v>
      </c>
      <c r="O100" s="94">
        <v>0.5</v>
      </c>
      <c r="P100" s="239">
        <f t="shared" si="37"/>
        <v>-0.16251892949777494</v>
      </c>
      <c r="Q100" s="296" t="str">
        <f t="shared" si="34"/>
        <v>Chlorella</v>
      </c>
      <c r="R100" s="297">
        <f t="shared" si="35"/>
        <v>-2.1398429453083914</v>
      </c>
      <c r="S100" s="220">
        <f t="shared" si="38"/>
        <v>1.9773240158106165</v>
      </c>
      <c r="T100" s="236">
        <f t="shared" si="30"/>
        <v>21</v>
      </c>
      <c r="U100" s="221" t="str">
        <f t="shared" si="31"/>
        <v>21-POP-EC10-EX</v>
      </c>
      <c r="V100" s="222" cm="1">
        <f t="array" ref="V100">MEDIAN(IF(U100=$U$4:$U$176,$S$4:$S$176))</f>
        <v>0.5483589578715401</v>
      </c>
      <c r="W100" s="298">
        <f t="shared" si="36"/>
        <v>-9.8429864646369603E-2</v>
      </c>
      <c r="X100" s="299">
        <f t="shared" si="29"/>
        <v>0.90625925119845641</v>
      </c>
      <c r="Y100" s="225">
        <f t="shared" si="32"/>
        <v>0.90625925119845641</v>
      </c>
      <c r="Z100" s="226"/>
      <c r="AA100" s="226"/>
      <c r="AB100" s="254"/>
      <c r="AC100" s="228" t="s">
        <v>1772</v>
      </c>
      <c r="AD100" s="276">
        <v>0.91</v>
      </c>
      <c r="AE100" s="228" t="s">
        <v>1859</v>
      </c>
      <c r="AG100" s="248"/>
    </row>
    <row r="101" spans="1:38" s="182" customFormat="1" ht="15.75" customHeight="1" x14ac:dyDescent="0.25">
      <c r="A101" s="182" t="s">
        <v>1926</v>
      </c>
      <c r="B101" s="241"/>
      <c r="C101" s="217">
        <v>2022</v>
      </c>
      <c r="D101" s="180" t="s">
        <v>1652</v>
      </c>
      <c r="E101" s="180" t="s">
        <v>1311</v>
      </c>
      <c r="F101" s="180" t="s">
        <v>567</v>
      </c>
      <c r="G101" s="180" t="s">
        <v>1303</v>
      </c>
      <c r="H101" s="180" t="s">
        <v>264</v>
      </c>
      <c r="I101" s="180" t="s">
        <v>256</v>
      </c>
      <c r="J101" s="180" t="s">
        <v>49</v>
      </c>
      <c r="K101" s="180">
        <v>3</v>
      </c>
      <c r="L101" s="217">
        <v>3.3</v>
      </c>
      <c r="M101" s="180">
        <v>31</v>
      </c>
      <c r="N101" s="180">
        <v>6.7</v>
      </c>
      <c r="O101" s="94">
        <v>0.5</v>
      </c>
      <c r="P101" s="239">
        <f t="shared" si="37"/>
        <v>1.1939224684724346</v>
      </c>
      <c r="Q101" s="296" t="str">
        <f t="shared" si="34"/>
        <v>Chlorella</v>
      </c>
      <c r="R101" s="297">
        <f t="shared" si="35"/>
        <v>-0.33752127175803726</v>
      </c>
      <c r="S101" s="220">
        <f t="shared" si="38"/>
        <v>1.5314437402304719</v>
      </c>
      <c r="T101" s="236">
        <f t="shared" si="30"/>
        <v>21</v>
      </c>
      <c r="U101" s="221" t="str">
        <f t="shared" si="31"/>
        <v>21-POP-EC10-EX</v>
      </c>
      <c r="V101" s="222" cm="1">
        <f t="array" ref="V101">MEDIAN(IF(U101=$U$4:$U$176,$S$4:$S$176))</f>
        <v>0.5483589578715401</v>
      </c>
      <c r="W101" s="298">
        <f t="shared" si="36"/>
        <v>-9.8429864646369603E-2</v>
      </c>
      <c r="X101" s="299">
        <f t="shared" si="29"/>
        <v>0.90625925119845641</v>
      </c>
      <c r="Y101" s="225">
        <f t="shared" si="32"/>
        <v>0.90625925119845641</v>
      </c>
      <c r="Z101" s="226"/>
      <c r="AA101" s="226"/>
      <c r="AB101" s="254"/>
      <c r="AC101" s="228" t="s">
        <v>1772</v>
      </c>
      <c r="AD101" s="276">
        <v>0.91</v>
      </c>
      <c r="AE101" s="228" t="s">
        <v>1859</v>
      </c>
      <c r="AG101" s="248"/>
    </row>
    <row r="102" spans="1:38" s="182" customFormat="1" ht="15.75" customHeight="1" x14ac:dyDescent="0.25">
      <c r="A102" s="300" t="s">
        <v>1927</v>
      </c>
      <c r="B102" s="180"/>
      <c r="C102" s="217">
        <v>2022</v>
      </c>
      <c r="D102" s="180" t="s">
        <v>1652</v>
      </c>
      <c r="E102" s="180" t="s">
        <v>1311</v>
      </c>
      <c r="F102" s="180" t="s">
        <v>567</v>
      </c>
      <c r="G102" s="180" t="s">
        <v>1303</v>
      </c>
      <c r="H102" s="180" t="s">
        <v>264</v>
      </c>
      <c r="I102" s="180" t="s">
        <v>256</v>
      </c>
      <c r="J102" s="180" t="s">
        <v>49</v>
      </c>
      <c r="K102" s="180">
        <v>3</v>
      </c>
      <c r="L102" s="180">
        <v>2.1</v>
      </c>
      <c r="M102" s="180">
        <v>31</v>
      </c>
      <c r="N102" s="180">
        <v>7.6</v>
      </c>
      <c r="O102" s="94">
        <v>0.5</v>
      </c>
      <c r="P102" s="239">
        <f t="shared" si="37"/>
        <v>0.74193734472937733</v>
      </c>
      <c r="Q102" s="296" t="str">
        <f t="shared" si="34"/>
        <v>Chlorella</v>
      </c>
      <c r="R102" s="297">
        <f t="shared" si="35"/>
        <v>-0.66062127175803698</v>
      </c>
      <c r="S102" s="220">
        <f t="shared" si="38"/>
        <v>1.4025586164874144</v>
      </c>
      <c r="T102" s="236">
        <f t="shared" si="30"/>
        <v>21</v>
      </c>
      <c r="U102" s="221" t="str">
        <f t="shared" si="31"/>
        <v>21-POP-EC10-EX</v>
      </c>
      <c r="V102" s="222" cm="1">
        <f t="array" ref="V102">MEDIAN(IF(U102=$U$4:$U$176,$S$4:$S$176))</f>
        <v>0.5483589578715401</v>
      </c>
      <c r="W102" s="298">
        <f t="shared" si="36"/>
        <v>-9.8429864646369603E-2</v>
      </c>
      <c r="X102" s="299">
        <f t="shared" si="29"/>
        <v>0.90625925119845641</v>
      </c>
      <c r="Y102" s="225">
        <f t="shared" si="32"/>
        <v>0.90625925119845641</v>
      </c>
      <c r="Z102" s="226"/>
      <c r="AA102" s="226"/>
      <c r="AB102" s="254"/>
      <c r="AC102" s="228" t="s">
        <v>1772</v>
      </c>
      <c r="AD102" s="276">
        <v>0.91</v>
      </c>
      <c r="AE102" s="228" t="s">
        <v>1859</v>
      </c>
      <c r="AG102" s="248"/>
    </row>
    <row r="103" spans="1:38" s="182" customFormat="1" ht="15.75" customHeight="1" x14ac:dyDescent="0.25">
      <c r="A103" s="300" t="s">
        <v>1928</v>
      </c>
      <c r="B103" s="180"/>
      <c r="C103" s="217">
        <v>2022</v>
      </c>
      <c r="D103" s="180" t="s">
        <v>1652</v>
      </c>
      <c r="E103" s="180" t="s">
        <v>1311</v>
      </c>
      <c r="F103" s="180" t="s">
        <v>567</v>
      </c>
      <c r="G103" s="180" t="s">
        <v>1303</v>
      </c>
      <c r="H103" s="180" t="s">
        <v>264</v>
      </c>
      <c r="I103" s="180" t="s">
        <v>256</v>
      </c>
      <c r="J103" s="180" t="s">
        <v>49</v>
      </c>
      <c r="K103" s="180">
        <v>3</v>
      </c>
      <c r="L103" s="180">
        <v>1.3</v>
      </c>
      <c r="M103" s="180">
        <v>31</v>
      </c>
      <c r="N103" s="180">
        <v>8.3000000000000007</v>
      </c>
      <c r="O103" s="94">
        <v>0.5</v>
      </c>
      <c r="P103" s="239">
        <f t="shared" si="37"/>
        <v>0.26236426446749106</v>
      </c>
      <c r="Q103" s="296" t="str">
        <f t="shared" si="34"/>
        <v>Chlorella</v>
      </c>
      <c r="R103" s="297">
        <f t="shared" si="35"/>
        <v>-0.9119212717580375</v>
      </c>
      <c r="S103" s="220">
        <f t="shared" si="38"/>
        <v>1.1742855362255287</v>
      </c>
      <c r="T103" s="236">
        <f t="shared" si="30"/>
        <v>21</v>
      </c>
      <c r="U103" s="221" t="str">
        <f t="shared" si="31"/>
        <v>21-POP-EC10-EX</v>
      </c>
      <c r="V103" s="222" cm="1">
        <f t="array" ref="V103">MEDIAN(IF(U103=$U$4:$U$176,$S$4:$S$176))</f>
        <v>0.5483589578715401</v>
      </c>
      <c r="W103" s="298">
        <f t="shared" si="36"/>
        <v>-9.8429864646369603E-2</v>
      </c>
      <c r="X103" s="299">
        <f t="shared" si="29"/>
        <v>0.90625925119845641</v>
      </c>
      <c r="Y103" s="225">
        <f t="shared" si="32"/>
        <v>0.90625925119845641</v>
      </c>
      <c r="Z103" s="226"/>
      <c r="AA103" s="226"/>
      <c r="AB103" s="254"/>
      <c r="AC103" s="228" t="s">
        <v>1772</v>
      </c>
      <c r="AD103" s="276">
        <v>0.91</v>
      </c>
      <c r="AE103" s="228" t="s">
        <v>1859</v>
      </c>
      <c r="AG103" s="248"/>
    </row>
    <row r="104" spans="1:38" s="182" customFormat="1" ht="15.75" customHeight="1" x14ac:dyDescent="0.25">
      <c r="A104" s="300" t="s">
        <v>1929</v>
      </c>
      <c r="B104" s="180"/>
      <c r="C104" s="217">
        <v>2022</v>
      </c>
      <c r="D104" s="180" t="s">
        <v>1652</v>
      </c>
      <c r="E104" s="180" t="s">
        <v>1311</v>
      </c>
      <c r="F104" s="180" t="s">
        <v>567</v>
      </c>
      <c r="G104" s="180" t="s">
        <v>1303</v>
      </c>
      <c r="H104" s="180" t="s">
        <v>264</v>
      </c>
      <c r="I104" s="180" t="s">
        <v>256</v>
      </c>
      <c r="J104" s="180" t="s">
        <v>49</v>
      </c>
      <c r="K104" s="180">
        <v>3</v>
      </c>
      <c r="L104" s="180">
        <v>5.3</v>
      </c>
      <c r="M104" s="180">
        <v>402</v>
      </c>
      <c r="N104" s="180">
        <v>6.7</v>
      </c>
      <c r="O104" s="94">
        <v>0.5</v>
      </c>
      <c r="P104" s="239">
        <f t="shared" si="37"/>
        <v>1.6677068205580761</v>
      </c>
      <c r="Q104" s="296" t="str">
        <f t="shared" si="34"/>
        <v>Chlorella</v>
      </c>
      <c r="R104" s="297">
        <f t="shared" si="35"/>
        <v>1.3870175952640609</v>
      </c>
      <c r="S104" s="220">
        <f t="shared" si="38"/>
        <v>0.28068922529401519</v>
      </c>
      <c r="T104" s="236">
        <f t="shared" si="30"/>
        <v>21</v>
      </c>
      <c r="U104" s="221" t="str">
        <f t="shared" si="31"/>
        <v>21-POP-EC10-EX</v>
      </c>
      <c r="V104" s="222" cm="1">
        <f t="array" ref="V104">MEDIAN(IF(U104=$U$4:$U$176,$S$4:$S$176))</f>
        <v>0.5483589578715401</v>
      </c>
      <c r="W104" s="298">
        <f t="shared" si="36"/>
        <v>-9.8429864646369603E-2</v>
      </c>
      <c r="X104" s="299">
        <f t="shared" si="29"/>
        <v>0.90625925119845641</v>
      </c>
      <c r="Y104" s="225">
        <f t="shared" si="32"/>
        <v>0.90625925119845641</v>
      </c>
      <c r="Z104" s="226"/>
      <c r="AA104" s="226"/>
      <c r="AB104" s="254"/>
      <c r="AC104" s="228" t="s">
        <v>1772</v>
      </c>
      <c r="AD104" s="276">
        <v>0.91</v>
      </c>
      <c r="AE104" s="228" t="s">
        <v>1859</v>
      </c>
      <c r="AG104" s="248"/>
      <c r="AH104" s="183"/>
      <c r="AI104" s="183"/>
      <c r="AJ104" s="183"/>
      <c r="AK104" s="183"/>
    </row>
    <row r="105" spans="1:38" s="182" customFormat="1" ht="15.75" customHeight="1" x14ac:dyDescent="0.25">
      <c r="A105" s="300" t="s">
        <v>1930</v>
      </c>
      <c r="B105" s="180"/>
      <c r="C105" s="217">
        <v>2022</v>
      </c>
      <c r="D105" s="180" t="s">
        <v>1652</v>
      </c>
      <c r="E105" s="180" t="s">
        <v>1311</v>
      </c>
      <c r="F105" s="180" t="s">
        <v>567</v>
      </c>
      <c r="G105" s="180" t="s">
        <v>1303</v>
      </c>
      <c r="H105" s="180" t="s">
        <v>264</v>
      </c>
      <c r="I105" s="180" t="s">
        <v>256</v>
      </c>
      <c r="J105" s="180" t="s">
        <v>49</v>
      </c>
      <c r="K105" s="180">
        <v>3</v>
      </c>
      <c r="L105" s="180">
        <v>4.4000000000000004</v>
      </c>
      <c r="M105" s="180">
        <v>402</v>
      </c>
      <c r="N105" s="180">
        <v>7.6</v>
      </c>
      <c r="O105" s="94">
        <v>0.5</v>
      </c>
      <c r="P105" s="239">
        <f t="shared" si="37"/>
        <v>1.4816045409242156</v>
      </c>
      <c r="Q105" s="296" t="str">
        <f t="shared" si="34"/>
        <v>Chlorella</v>
      </c>
      <c r="R105" s="297">
        <f t="shared" si="35"/>
        <v>1.0639175952640612</v>
      </c>
      <c r="S105" s="220">
        <f t="shared" si="38"/>
        <v>0.41768694566015441</v>
      </c>
      <c r="T105" s="236">
        <f t="shared" si="30"/>
        <v>21</v>
      </c>
      <c r="U105" s="221" t="str">
        <f t="shared" si="31"/>
        <v>21-POP-EC10-EX</v>
      </c>
      <c r="V105" s="222" cm="1">
        <f t="array" ref="V105">MEDIAN(IF(U105=$U$4:$U$176,$S$4:$S$176))</f>
        <v>0.5483589578715401</v>
      </c>
      <c r="W105" s="298">
        <f t="shared" si="36"/>
        <v>-9.8429864646369603E-2</v>
      </c>
      <c r="X105" s="299">
        <f t="shared" si="29"/>
        <v>0.90625925119845641</v>
      </c>
      <c r="Y105" s="225">
        <f t="shared" si="32"/>
        <v>0.90625925119845641</v>
      </c>
      <c r="Z105" s="226"/>
      <c r="AA105" s="226"/>
      <c r="AB105" s="254"/>
      <c r="AC105" s="228" t="s">
        <v>1772</v>
      </c>
      <c r="AD105" s="276">
        <v>0.91</v>
      </c>
      <c r="AE105" s="228" t="s">
        <v>1859</v>
      </c>
      <c r="AG105" s="248"/>
      <c r="AH105" s="183"/>
      <c r="AI105" s="183"/>
      <c r="AJ105" s="183"/>
      <c r="AK105" s="183"/>
    </row>
    <row r="106" spans="1:38" s="182" customFormat="1" ht="15.75" customHeight="1" x14ac:dyDescent="0.25">
      <c r="A106" s="300" t="s">
        <v>1931</v>
      </c>
      <c r="B106" s="180"/>
      <c r="C106" s="217">
        <v>2022</v>
      </c>
      <c r="D106" s="180" t="s">
        <v>1652</v>
      </c>
      <c r="E106" s="180" t="s">
        <v>1311</v>
      </c>
      <c r="F106" s="180" t="s">
        <v>567</v>
      </c>
      <c r="G106" s="180" t="s">
        <v>1303</v>
      </c>
      <c r="H106" s="180" t="s">
        <v>264</v>
      </c>
      <c r="I106" s="180" t="s">
        <v>256</v>
      </c>
      <c r="J106" s="180" t="s">
        <v>49</v>
      </c>
      <c r="K106" s="180">
        <v>3</v>
      </c>
      <c r="L106" s="180">
        <v>3.9</v>
      </c>
      <c r="M106" s="180">
        <v>402</v>
      </c>
      <c r="N106" s="180">
        <v>8.3000000000000007</v>
      </c>
      <c r="O106" s="94">
        <v>0.5</v>
      </c>
      <c r="P106" s="239">
        <f t="shared" si="37"/>
        <v>1.3609765531356006</v>
      </c>
      <c r="Q106" s="296" t="str">
        <f t="shared" si="34"/>
        <v>Chlorella</v>
      </c>
      <c r="R106" s="297">
        <f t="shared" si="35"/>
        <v>0.81261759526406052</v>
      </c>
      <c r="S106" s="220">
        <f t="shared" si="38"/>
        <v>0.5483589578715401</v>
      </c>
      <c r="T106" s="236">
        <f t="shared" si="30"/>
        <v>21</v>
      </c>
      <c r="U106" s="221" t="str">
        <f t="shared" si="31"/>
        <v>21-POP-EC10-EX</v>
      </c>
      <c r="V106" s="222" cm="1">
        <f t="array" ref="V106">MEDIAN(IF(U106=$U$4:$U$176,$S$4:$S$176))</f>
        <v>0.5483589578715401</v>
      </c>
      <c r="W106" s="298">
        <f t="shared" si="36"/>
        <v>-9.8429864646369603E-2</v>
      </c>
      <c r="X106" s="299">
        <f t="shared" si="29"/>
        <v>0.90625925119845641</v>
      </c>
      <c r="Y106" s="225">
        <f t="shared" si="32"/>
        <v>0.90625925119845641</v>
      </c>
      <c r="Z106" s="226"/>
      <c r="AA106" s="226"/>
      <c r="AB106" s="254"/>
      <c r="AC106" s="228" t="s">
        <v>1772</v>
      </c>
      <c r="AD106" s="276">
        <v>0.91</v>
      </c>
      <c r="AE106" s="228" t="s">
        <v>1859</v>
      </c>
      <c r="AG106" s="248"/>
      <c r="AH106" s="183"/>
      <c r="AI106" s="183"/>
      <c r="AJ106" s="183"/>
      <c r="AK106" s="183"/>
      <c r="AL106" s="183"/>
    </row>
    <row r="107" spans="1:38" s="182" customFormat="1" ht="15.75" customHeight="1" x14ac:dyDescent="0.25">
      <c r="A107" s="183" t="s">
        <v>1932</v>
      </c>
      <c r="B107" s="180"/>
      <c r="C107" s="217">
        <v>2023</v>
      </c>
      <c r="D107" s="180" t="s">
        <v>1652</v>
      </c>
      <c r="E107" s="180" t="s">
        <v>1311</v>
      </c>
      <c r="F107" s="180" t="s">
        <v>567</v>
      </c>
      <c r="G107" s="180" t="s">
        <v>1303</v>
      </c>
      <c r="H107" s="180" t="s">
        <v>264</v>
      </c>
      <c r="I107" s="180" t="s">
        <v>256</v>
      </c>
      <c r="J107" s="180" t="s">
        <v>49</v>
      </c>
      <c r="K107" s="180">
        <v>3</v>
      </c>
      <c r="L107" s="180">
        <v>1.6</v>
      </c>
      <c r="M107" s="180">
        <v>90</v>
      </c>
      <c r="N107" s="180">
        <v>7.7</v>
      </c>
      <c r="O107" s="94">
        <v>0.5</v>
      </c>
      <c r="P107" s="239">
        <f>LN(L107)</f>
        <v>0.47000362924573563</v>
      </c>
      <c r="Q107" s="296" t="str">
        <f t="shared" si="34"/>
        <v>Chlorella</v>
      </c>
      <c r="R107" s="297">
        <f t="shared" si="35"/>
        <v>2.0777247755727646E-2</v>
      </c>
      <c r="S107" s="220">
        <f>P107-R107</f>
        <v>0.44922638149000799</v>
      </c>
      <c r="T107" s="236">
        <f t="shared" si="30"/>
        <v>21</v>
      </c>
      <c r="U107" s="221" t="str">
        <f t="shared" si="31"/>
        <v>21-POP-EC10-EX</v>
      </c>
      <c r="V107" s="222" cm="1">
        <f t="array" ref="V107">MEDIAN(IF(U107=$U$4:$U$176,$S$4:$S$176))</f>
        <v>0.5483589578715401</v>
      </c>
      <c r="W107" s="298">
        <f t="shared" si="36"/>
        <v>-9.8429864646369603E-2</v>
      </c>
      <c r="X107" s="299">
        <f>EXP(W107)</f>
        <v>0.90625925119845641</v>
      </c>
      <c r="Y107" s="225">
        <f>X107</f>
        <v>0.90625925119845641</v>
      </c>
      <c r="Z107" s="226"/>
      <c r="AA107" s="226"/>
      <c r="AB107" s="254"/>
      <c r="AC107" s="228" t="s">
        <v>1772</v>
      </c>
      <c r="AD107" s="276">
        <v>0.8</v>
      </c>
      <c r="AE107" s="228" t="s">
        <v>1859</v>
      </c>
      <c r="AG107" s="248"/>
      <c r="AL107" s="183"/>
    </row>
    <row r="108" spans="1:38" s="182" customFormat="1" ht="15.75" customHeight="1" x14ac:dyDescent="0.25">
      <c r="A108" s="183" t="s">
        <v>1933</v>
      </c>
      <c r="B108" s="180"/>
      <c r="C108" s="217">
        <v>2023</v>
      </c>
      <c r="D108" s="180" t="s">
        <v>1652</v>
      </c>
      <c r="E108" s="180" t="s">
        <v>1659</v>
      </c>
      <c r="F108" s="180" t="s">
        <v>567</v>
      </c>
      <c r="G108" s="180" t="s">
        <v>1303</v>
      </c>
      <c r="H108" s="180" t="s">
        <v>264</v>
      </c>
      <c r="I108" s="180" t="s">
        <v>256</v>
      </c>
      <c r="J108" s="180" t="s">
        <v>49</v>
      </c>
      <c r="K108" s="180">
        <v>3</v>
      </c>
      <c r="L108" s="180">
        <v>2</v>
      </c>
      <c r="M108" s="180">
        <v>90</v>
      </c>
      <c r="N108" s="180">
        <v>7.6</v>
      </c>
      <c r="O108" s="94">
        <v>2.5</v>
      </c>
      <c r="P108" s="239">
        <f t="shared" ref="P108:P153" si="39">LN(L108)</f>
        <v>0.69314718055994529</v>
      </c>
      <c r="Q108" s="296" t="str">
        <f t="shared" si="34"/>
        <v>Chlorella</v>
      </c>
      <c r="R108" s="297">
        <f t="shared" si="35"/>
        <v>0.62158995502009717</v>
      </c>
      <c r="S108" s="220">
        <f t="shared" ref="S108" si="40">P108-R108</f>
        <v>7.1557225539848113E-2</v>
      </c>
      <c r="T108" s="236">
        <f t="shared" si="30"/>
        <v>21</v>
      </c>
      <c r="U108" s="221" t="str">
        <f t="shared" si="31"/>
        <v>21-POP-EC10-EX</v>
      </c>
      <c r="V108" s="222" cm="1">
        <f t="array" ref="V108">MEDIAN(IF(U108=$U$4:$U$176,$S$4:$S$176))</f>
        <v>0.5483589578715401</v>
      </c>
      <c r="W108" s="298">
        <f t="shared" si="36"/>
        <v>-9.8429864646369603E-2</v>
      </c>
      <c r="X108" s="299">
        <f t="shared" ref="X108:X153" si="41">EXP(W108)</f>
        <v>0.90625925119845641</v>
      </c>
      <c r="Y108" s="225">
        <f t="shared" ref="Y108:Y111" si="42">X108</f>
        <v>0.90625925119845641</v>
      </c>
      <c r="Z108" s="226"/>
      <c r="AA108" s="226"/>
      <c r="AB108" s="254"/>
      <c r="AC108" s="228" t="s">
        <v>1772</v>
      </c>
      <c r="AD108" s="276">
        <v>0.8</v>
      </c>
      <c r="AE108" s="228" t="s">
        <v>1859</v>
      </c>
      <c r="AG108" s="248"/>
      <c r="AL108" s="183"/>
    </row>
    <row r="109" spans="1:38" s="182" customFormat="1" ht="15.75" customHeight="1" x14ac:dyDescent="0.25">
      <c r="A109" s="183" t="s">
        <v>1934</v>
      </c>
      <c r="B109" s="180"/>
      <c r="C109" s="217">
        <v>2023</v>
      </c>
      <c r="D109" s="180" t="s">
        <v>1652</v>
      </c>
      <c r="E109" s="180" t="s">
        <v>1659</v>
      </c>
      <c r="F109" s="180" t="s">
        <v>567</v>
      </c>
      <c r="G109" s="180" t="s">
        <v>1303</v>
      </c>
      <c r="H109" s="180" t="s">
        <v>264</v>
      </c>
      <c r="I109" s="180" t="s">
        <v>256</v>
      </c>
      <c r="J109" s="180" t="s">
        <v>49</v>
      </c>
      <c r="K109" s="180">
        <v>3</v>
      </c>
      <c r="L109" s="180">
        <v>3.5</v>
      </c>
      <c r="M109" s="180">
        <v>90</v>
      </c>
      <c r="N109" s="180">
        <v>7.6</v>
      </c>
      <c r="O109" s="94">
        <v>5.4</v>
      </c>
      <c r="P109" s="239">
        <f t="shared" si="39"/>
        <v>1.2527629684953681</v>
      </c>
      <c r="Q109" s="296" t="str">
        <f t="shared" si="34"/>
        <v>Chlorella</v>
      </c>
      <c r="R109" s="297">
        <f t="shared" si="35"/>
        <v>0.89189794083541896</v>
      </c>
      <c r="S109" s="220">
        <f>P109-R109</f>
        <v>0.3608650276599491</v>
      </c>
      <c r="T109" s="236">
        <f t="shared" si="30"/>
        <v>21</v>
      </c>
      <c r="U109" s="221" t="str">
        <f t="shared" si="31"/>
        <v>21-POP-EC10-EX</v>
      </c>
      <c r="V109" s="222" cm="1">
        <f t="array" ref="V109">MEDIAN(IF(U109=$U$4:$U$176,$S$4:$S$176))</f>
        <v>0.5483589578715401</v>
      </c>
      <c r="W109" s="298">
        <f t="shared" si="36"/>
        <v>-9.8429864646369603E-2</v>
      </c>
      <c r="X109" s="299">
        <f t="shared" si="41"/>
        <v>0.90625925119845641</v>
      </c>
      <c r="Y109" s="225">
        <f t="shared" si="42"/>
        <v>0.90625925119845641</v>
      </c>
      <c r="Z109" s="226"/>
      <c r="AA109" s="226"/>
      <c r="AB109" s="254"/>
      <c r="AC109" s="228" t="s">
        <v>1772</v>
      </c>
      <c r="AD109" s="276">
        <v>0.8</v>
      </c>
      <c r="AE109" s="228" t="s">
        <v>1859</v>
      </c>
      <c r="AG109" s="248"/>
    </row>
    <row r="110" spans="1:38" s="183" customFormat="1" ht="15.75" customHeight="1" x14ac:dyDescent="0.25">
      <c r="A110" s="183" t="s">
        <v>1935</v>
      </c>
      <c r="B110" s="180"/>
      <c r="C110" s="217">
        <v>2023</v>
      </c>
      <c r="D110" s="180" t="s">
        <v>1652</v>
      </c>
      <c r="E110" s="180" t="s">
        <v>1659</v>
      </c>
      <c r="F110" s="180" t="s">
        <v>567</v>
      </c>
      <c r="G110" s="180" t="s">
        <v>1303</v>
      </c>
      <c r="H110" s="180" t="s">
        <v>264</v>
      </c>
      <c r="I110" s="180" t="s">
        <v>256</v>
      </c>
      <c r="J110" s="180" t="s">
        <v>49</v>
      </c>
      <c r="K110" s="180">
        <v>3</v>
      </c>
      <c r="L110" s="180">
        <v>4.5</v>
      </c>
      <c r="M110" s="180">
        <v>90</v>
      </c>
      <c r="N110" s="180">
        <v>7.6</v>
      </c>
      <c r="O110" s="94">
        <v>10.1</v>
      </c>
      <c r="P110" s="239">
        <f t="shared" si="39"/>
        <v>1.5040773967762742</v>
      </c>
      <c r="Q110" s="296" t="str">
        <f t="shared" si="34"/>
        <v>Chlorella</v>
      </c>
      <c r="R110" s="297">
        <f t="shared" si="35"/>
        <v>1.1116718419026408</v>
      </c>
      <c r="S110" s="220">
        <f t="shared" ref="S110:S153" si="43">P110-R110</f>
        <v>0.39240555487363338</v>
      </c>
      <c r="T110" s="236">
        <f t="shared" si="30"/>
        <v>21</v>
      </c>
      <c r="U110" s="221" t="str">
        <f t="shared" si="31"/>
        <v>21-POP-EC10-EX</v>
      </c>
      <c r="V110" s="222" cm="1">
        <f t="array" ref="V110">MEDIAN(IF(U110=$U$4:$U$176,$S$4:$S$176))</f>
        <v>0.5483589578715401</v>
      </c>
      <c r="W110" s="298">
        <f t="shared" si="36"/>
        <v>-9.8429864646369603E-2</v>
      </c>
      <c r="X110" s="299">
        <f t="shared" si="41"/>
        <v>0.90625925119845641</v>
      </c>
      <c r="Y110" s="225">
        <f t="shared" si="42"/>
        <v>0.90625925119845641</v>
      </c>
      <c r="Z110" s="226"/>
      <c r="AA110" s="226"/>
      <c r="AB110" s="254"/>
      <c r="AC110" s="228" t="s">
        <v>1772</v>
      </c>
      <c r="AD110" s="276">
        <v>0.8</v>
      </c>
      <c r="AE110" s="228" t="s">
        <v>1859</v>
      </c>
      <c r="AG110" s="248"/>
      <c r="AH110" s="182"/>
      <c r="AI110" s="182"/>
      <c r="AJ110" s="182"/>
      <c r="AK110" s="182"/>
      <c r="AL110" s="182"/>
    </row>
    <row r="111" spans="1:38" s="183" customFormat="1" ht="15.75" customHeight="1" x14ac:dyDescent="0.25">
      <c r="A111" s="183" t="s">
        <v>1936</v>
      </c>
      <c r="B111" s="180"/>
      <c r="C111" s="217">
        <v>2023</v>
      </c>
      <c r="D111" s="180" t="s">
        <v>1652</v>
      </c>
      <c r="E111" s="180" t="s">
        <v>1659</v>
      </c>
      <c r="F111" s="180" t="s">
        <v>567</v>
      </c>
      <c r="G111" s="180" t="s">
        <v>1303</v>
      </c>
      <c r="H111" s="180" t="s">
        <v>264</v>
      </c>
      <c r="I111" s="180" t="s">
        <v>256</v>
      </c>
      <c r="J111" s="180" t="s">
        <v>49</v>
      </c>
      <c r="K111" s="180">
        <v>3</v>
      </c>
      <c r="L111" s="180">
        <v>6.1</v>
      </c>
      <c r="M111" s="180">
        <v>90</v>
      </c>
      <c r="N111" s="180">
        <v>7.6</v>
      </c>
      <c r="O111" s="94">
        <v>15.1</v>
      </c>
      <c r="P111" s="239">
        <f t="shared" si="39"/>
        <v>1.8082887711792655</v>
      </c>
      <c r="Q111" s="296" t="str">
        <f t="shared" si="34"/>
        <v>Chlorella</v>
      </c>
      <c r="R111" s="297">
        <f t="shared" si="35"/>
        <v>1.2528297632133971</v>
      </c>
      <c r="S111" s="220">
        <f t="shared" si="43"/>
        <v>0.55545900796586833</v>
      </c>
      <c r="T111" s="236">
        <f t="shared" si="30"/>
        <v>21</v>
      </c>
      <c r="U111" s="221" t="str">
        <f t="shared" si="31"/>
        <v>21-POP-EC10-EX</v>
      </c>
      <c r="V111" s="222" cm="1">
        <f t="array" ref="V111">MEDIAN(IF(U111=$U$4:$U$176,$S$4:$S$176))</f>
        <v>0.5483589578715401</v>
      </c>
      <c r="W111" s="298">
        <f t="shared" si="36"/>
        <v>-9.8429864646369603E-2</v>
      </c>
      <c r="X111" s="299">
        <f t="shared" si="41"/>
        <v>0.90625925119845641</v>
      </c>
      <c r="Y111" s="225">
        <f t="shared" si="42"/>
        <v>0.90625925119845641</v>
      </c>
      <c r="Z111" s="226"/>
      <c r="AA111" s="226"/>
      <c r="AB111" s="254"/>
      <c r="AC111" s="228" t="s">
        <v>1772</v>
      </c>
      <c r="AD111" s="276">
        <v>0.8</v>
      </c>
      <c r="AE111" s="228" t="s">
        <v>1859</v>
      </c>
      <c r="AG111" s="248"/>
      <c r="AH111" s="182"/>
      <c r="AI111" s="182"/>
      <c r="AJ111" s="182"/>
      <c r="AK111" s="182"/>
      <c r="AL111" s="182"/>
    </row>
    <row r="112" spans="1:38" s="183" customFormat="1" ht="15.75" customHeight="1" x14ac:dyDescent="0.25">
      <c r="A112" s="183" t="s">
        <v>1937</v>
      </c>
      <c r="B112" s="180"/>
      <c r="C112" s="217">
        <v>2023</v>
      </c>
      <c r="D112" s="180" t="s">
        <v>1652</v>
      </c>
      <c r="E112" s="180" t="s">
        <v>1659</v>
      </c>
      <c r="F112" s="180" t="s">
        <v>567</v>
      </c>
      <c r="G112" s="180" t="s">
        <v>1303</v>
      </c>
      <c r="H112" s="180" t="s">
        <v>264</v>
      </c>
      <c r="I112" s="180" t="s">
        <v>256</v>
      </c>
      <c r="J112" s="180" t="s">
        <v>49</v>
      </c>
      <c r="K112" s="180">
        <v>3</v>
      </c>
      <c r="L112" s="180">
        <v>2.7</v>
      </c>
      <c r="M112" s="180">
        <v>90</v>
      </c>
      <c r="N112" s="180">
        <v>6.7</v>
      </c>
      <c r="O112" s="94">
        <v>5.5</v>
      </c>
      <c r="P112" s="239">
        <f t="shared" si="39"/>
        <v>0.99325177301028345</v>
      </c>
      <c r="Q112" s="296" t="str">
        <f t="shared" si="34"/>
        <v>Chlorella</v>
      </c>
      <c r="R112" s="297">
        <f t="shared" si="35"/>
        <v>1.2214384885079557</v>
      </c>
      <c r="S112" s="220">
        <f t="shared" si="43"/>
        <v>-0.22818671549767222</v>
      </c>
      <c r="T112" s="236">
        <f t="shared" si="30"/>
        <v>21</v>
      </c>
      <c r="U112" s="221" t="str">
        <f t="shared" si="31"/>
        <v>21-POP-EC10-EX</v>
      </c>
      <c r="V112" s="222" cm="1">
        <f t="array" ref="V112">MEDIAN(IF(U112=$U$4:$U$176,$S$4:$S$176))</f>
        <v>0.5483589578715401</v>
      </c>
      <c r="W112" s="298">
        <f t="shared" si="36"/>
        <v>-9.8429864646369603E-2</v>
      </c>
      <c r="X112" s="225">
        <f t="shared" si="41"/>
        <v>0.90625925119845641</v>
      </c>
      <c r="Y112" s="225"/>
      <c r="Z112" s="226"/>
      <c r="AA112" s="226"/>
      <c r="AB112" s="254"/>
      <c r="AC112" s="228" t="s">
        <v>1772</v>
      </c>
      <c r="AD112" s="276">
        <v>0.8</v>
      </c>
      <c r="AE112" s="228" t="s">
        <v>1859</v>
      </c>
      <c r="AG112" s="248"/>
      <c r="AH112" s="182"/>
      <c r="AI112" s="182"/>
      <c r="AJ112" s="182"/>
      <c r="AK112" s="182"/>
      <c r="AL112" s="182"/>
    </row>
    <row r="113" spans="1:38" s="182" customFormat="1" ht="15.75" customHeight="1" x14ac:dyDescent="0.25">
      <c r="A113" s="183" t="s">
        <v>1938</v>
      </c>
      <c r="B113" s="180"/>
      <c r="C113" s="217">
        <v>2023</v>
      </c>
      <c r="D113" s="180" t="s">
        <v>1652</v>
      </c>
      <c r="E113" s="180" t="s">
        <v>1659</v>
      </c>
      <c r="F113" s="180" t="s">
        <v>567</v>
      </c>
      <c r="G113" s="180" t="s">
        <v>1303</v>
      </c>
      <c r="H113" s="180" t="s">
        <v>264</v>
      </c>
      <c r="I113" s="180" t="s">
        <v>256</v>
      </c>
      <c r="J113" s="180" t="s">
        <v>49</v>
      </c>
      <c r="K113" s="180">
        <v>3</v>
      </c>
      <c r="L113" s="180">
        <v>2.8</v>
      </c>
      <c r="M113" s="180">
        <v>90</v>
      </c>
      <c r="N113" s="180">
        <v>8.3000000000000007</v>
      </c>
      <c r="O113" s="94">
        <v>5.5</v>
      </c>
      <c r="P113" s="239">
        <f t="shared" si="39"/>
        <v>1.0296194171811581</v>
      </c>
      <c r="Q113" s="296" t="str">
        <f t="shared" si="34"/>
        <v>Chlorella</v>
      </c>
      <c r="R113" s="297">
        <f t="shared" si="35"/>
        <v>0.64703848850795542</v>
      </c>
      <c r="S113" s="220">
        <f t="shared" si="43"/>
        <v>0.3825809286732027</v>
      </c>
      <c r="T113" s="236">
        <f t="shared" si="30"/>
        <v>21</v>
      </c>
      <c r="U113" s="221" t="str">
        <f t="shared" si="31"/>
        <v>21-POP-EC10-EX</v>
      </c>
      <c r="V113" s="222" cm="1">
        <f t="array" ref="V113">MEDIAN(IF(U113=$U$4:$U$176,$S$4:$S$176))</f>
        <v>0.5483589578715401</v>
      </c>
      <c r="W113" s="298">
        <f t="shared" si="36"/>
        <v>-9.8429864646369603E-2</v>
      </c>
      <c r="X113" s="225">
        <f t="shared" si="41"/>
        <v>0.90625925119845641</v>
      </c>
      <c r="Y113" s="299">
        <f t="shared" ref="Y113:Y114" si="44">X113</f>
        <v>0.90625925119845641</v>
      </c>
      <c r="Z113" s="226"/>
      <c r="AA113" s="226"/>
      <c r="AB113" s="254"/>
      <c r="AC113" s="228" t="s">
        <v>1772</v>
      </c>
      <c r="AD113" s="276">
        <v>0.8</v>
      </c>
      <c r="AE113" s="228" t="s">
        <v>1859</v>
      </c>
      <c r="AG113" s="248"/>
    </row>
    <row r="114" spans="1:38" s="182" customFormat="1" ht="15.75" customHeight="1" x14ac:dyDescent="0.25">
      <c r="A114" s="183" t="s">
        <v>1939</v>
      </c>
      <c r="B114" s="180"/>
      <c r="C114" s="217">
        <v>2023</v>
      </c>
      <c r="D114" s="180" t="s">
        <v>1652</v>
      </c>
      <c r="E114" s="180" t="s">
        <v>1660</v>
      </c>
      <c r="F114" s="180" t="s">
        <v>567</v>
      </c>
      <c r="G114" s="180" t="s">
        <v>1303</v>
      </c>
      <c r="H114" s="180" t="s">
        <v>264</v>
      </c>
      <c r="I114" s="180" t="s">
        <v>256</v>
      </c>
      <c r="J114" s="180" t="s">
        <v>49</v>
      </c>
      <c r="K114" s="180">
        <v>3</v>
      </c>
      <c r="L114" s="180">
        <v>1.8</v>
      </c>
      <c r="M114" s="180">
        <v>90</v>
      </c>
      <c r="N114" s="180">
        <v>7.6</v>
      </c>
      <c r="O114" s="94">
        <v>2</v>
      </c>
      <c r="P114" s="239">
        <f t="shared" si="39"/>
        <v>0.58778666490211906</v>
      </c>
      <c r="Q114" s="296" t="str">
        <f t="shared" si="34"/>
        <v>Chlorella</v>
      </c>
      <c r="R114" s="297">
        <f t="shared" si="35"/>
        <v>0.5432665685088095</v>
      </c>
      <c r="S114" s="220">
        <f t="shared" si="43"/>
        <v>4.4520096393309561E-2</v>
      </c>
      <c r="T114" s="236">
        <f t="shared" si="30"/>
        <v>21</v>
      </c>
      <c r="U114" s="221" t="str">
        <f t="shared" si="31"/>
        <v>21-POP-EC10-EX</v>
      </c>
      <c r="V114" s="222" cm="1">
        <f t="array" ref="V114">MEDIAN(IF(U114=$U$4:$U$176,$S$4:$S$176))</f>
        <v>0.5483589578715401</v>
      </c>
      <c r="W114" s="298">
        <f t="shared" si="36"/>
        <v>-9.8429864646369603E-2</v>
      </c>
      <c r="X114" s="225">
        <f t="shared" si="41"/>
        <v>0.90625925119845641</v>
      </c>
      <c r="Y114" s="225">
        <f t="shared" si="44"/>
        <v>0.90625925119845641</v>
      </c>
      <c r="Z114" s="226"/>
      <c r="AA114" s="226"/>
      <c r="AB114" s="254"/>
      <c r="AC114" s="228" t="s">
        <v>1772</v>
      </c>
      <c r="AD114" s="276">
        <v>0.8</v>
      </c>
      <c r="AE114" s="228" t="s">
        <v>1859</v>
      </c>
      <c r="AG114" s="248"/>
    </row>
    <row r="115" spans="1:38" s="182" customFormat="1" ht="15.75" customHeight="1" x14ac:dyDescent="0.25">
      <c r="A115" s="183" t="s">
        <v>1940</v>
      </c>
      <c r="B115" s="180"/>
      <c r="C115" s="217">
        <v>2023</v>
      </c>
      <c r="D115" s="180" t="s">
        <v>1652</v>
      </c>
      <c r="E115" s="180" t="s">
        <v>1660</v>
      </c>
      <c r="F115" s="180" t="s">
        <v>567</v>
      </c>
      <c r="G115" s="180" t="s">
        <v>1303</v>
      </c>
      <c r="H115" s="180" t="s">
        <v>264</v>
      </c>
      <c r="I115" s="180" t="s">
        <v>256</v>
      </c>
      <c r="J115" s="180" t="s">
        <v>49</v>
      </c>
      <c r="K115" s="180">
        <v>3</v>
      </c>
      <c r="L115" s="180">
        <v>2.2999999999999998</v>
      </c>
      <c r="M115" s="180">
        <v>90</v>
      </c>
      <c r="N115" s="180">
        <v>7.6</v>
      </c>
      <c r="O115" s="94">
        <v>4.5999999999999996</v>
      </c>
      <c r="P115" s="239">
        <f t="shared" si="39"/>
        <v>0.83290912293510388</v>
      </c>
      <c r="Q115" s="296" t="str">
        <f t="shared" si="34"/>
        <v>Chlorella</v>
      </c>
      <c r="R115" s="297">
        <f t="shared" si="35"/>
        <v>0.83561767065903092</v>
      </c>
      <c r="S115" s="253">
        <f t="shared" si="43"/>
        <v>-2.708547723927035E-3</v>
      </c>
      <c r="T115" s="236">
        <f t="shared" si="30"/>
        <v>21</v>
      </c>
      <c r="U115" s="221" t="str">
        <f t="shared" si="31"/>
        <v>21-POP-EC10-EX</v>
      </c>
      <c r="V115" s="222" cm="1">
        <f t="array" ref="V115">MEDIAN(IF(U115=$U$4:$U$176,$S$4:$S$176))</f>
        <v>0.5483589578715401</v>
      </c>
      <c r="W115" s="298">
        <f t="shared" si="36"/>
        <v>-9.8429864646369603E-2</v>
      </c>
      <c r="X115" s="225">
        <f t="shared" si="41"/>
        <v>0.90625925119845641</v>
      </c>
      <c r="Y115" s="225"/>
      <c r="Z115" s="226"/>
      <c r="AA115" s="226"/>
      <c r="AB115" s="254"/>
      <c r="AC115" s="228" t="s">
        <v>1772</v>
      </c>
      <c r="AD115" s="276">
        <v>0.8</v>
      </c>
      <c r="AE115" s="228" t="s">
        <v>1859</v>
      </c>
      <c r="AG115" s="248"/>
    </row>
    <row r="116" spans="1:38" s="182" customFormat="1" ht="15.75" customHeight="1" x14ac:dyDescent="0.25">
      <c r="A116" s="183" t="s">
        <v>1941</v>
      </c>
      <c r="B116" s="180"/>
      <c r="C116" s="217">
        <v>2023</v>
      </c>
      <c r="D116" s="180" t="s">
        <v>1652</v>
      </c>
      <c r="E116" s="180" t="s">
        <v>1660</v>
      </c>
      <c r="F116" s="180" t="s">
        <v>567</v>
      </c>
      <c r="G116" s="180" t="s">
        <v>1303</v>
      </c>
      <c r="H116" s="180" t="s">
        <v>264</v>
      </c>
      <c r="I116" s="180" t="s">
        <v>256</v>
      </c>
      <c r="J116" s="180" t="s">
        <v>49</v>
      </c>
      <c r="K116" s="180">
        <v>3</v>
      </c>
      <c r="L116" s="180">
        <v>2.9</v>
      </c>
      <c r="M116" s="180">
        <v>90</v>
      </c>
      <c r="N116" s="180">
        <v>7.6</v>
      </c>
      <c r="O116" s="94">
        <v>8.8000000000000007</v>
      </c>
      <c r="P116" s="239">
        <f t="shared" si="39"/>
        <v>1.0647107369924282</v>
      </c>
      <c r="Q116" s="296" t="str">
        <f t="shared" si="34"/>
        <v>Chlorella</v>
      </c>
      <c r="R116" s="297">
        <f t="shared" si="35"/>
        <v>1.0633097623732093</v>
      </c>
      <c r="S116" s="253">
        <f t="shared" si="43"/>
        <v>1.4009746192189532E-3</v>
      </c>
      <c r="T116" s="236">
        <f t="shared" si="30"/>
        <v>21</v>
      </c>
      <c r="U116" s="221" t="str">
        <f t="shared" si="31"/>
        <v>21-POP-EC10-EX</v>
      </c>
      <c r="V116" s="222" cm="1">
        <f t="array" ref="V116">MEDIAN(IF(U116=$U$4:$U$176,$S$4:$S$176))</f>
        <v>0.5483589578715401</v>
      </c>
      <c r="W116" s="298">
        <f t="shared" si="36"/>
        <v>-9.8429864646369603E-2</v>
      </c>
      <c r="X116" s="225">
        <f t="shared" si="41"/>
        <v>0.90625925119845641</v>
      </c>
      <c r="Y116" s="225">
        <f t="shared" ref="Y116:Y117" si="45">X116</f>
        <v>0.90625925119845641</v>
      </c>
      <c r="Z116" s="226"/>
      <c r="AA116" s="226"/>
      <c r="AB116" s="254"/>
      <c r="AC116" s="228" t="s">
        <v>1772</v>
      </c>
      <c r="AD116" s="276">
        <v>0.8</v>
      </c>
      <c r="AE116" s="228" t="s">
        <v>1859</v>
      </c>
      <c r="AG116" s="248"/>
      <c r="AH116" s="183"/>
      <c r="AI116" s="183"/>
      <c r="AJ116" s="183"/>
      <c r="AK116" s="183"/>
    </row>
    <row r="117" spans="1:38" s="182" customFormat="1" ht="15.75" customHeight="1" x14ac:dyDescent="0.25">
      <c r="A117" s="183" t="s">
        <v>1942</v>
      </c>
      <c r="B117" s="180"/>
      <c r="C117" s="217">
        <v>2023</v>
      </c>
      <c r="D117" s="180" t="s">
        <v>1652</v>
      </c>
      <c r="E117" s="180" t="s">
        <v>1660</v>
      </c>
      <c r="F117" s="180" t="s">
        <v>567</v>
      </c>
      <c r="G117" s="180" t="s">
        <v>1303</v>
      </c>
      <c r="H117" s="180" t="s">
        <v>264</v>
      </c>
      <c r="I117" s="180" t="s">
        <v>256</v>
      </c>
      <c r="J117" s="180" t="s">
        <v>49</v>
      </c>
      <c r="K117" s="180">
        <v>3</v>
      </c>
      <c r="L117" s="180">
        <v>3.4</v>
      </c>
      <c r="M117" s="180">
        <v>90</v>
      </c>
      <c r="N117" s="180">
        <v>7.6</v>
      </c>
      <c r="O117" s="94">
        <v>13</v>
      </c>
      <c r="P117" s="239">
        <f t="shared" si="39"/>
        <v>1.2237754316221157</v>
      </c>
      <c r="Q117" s="296" t="str">
        <f t="shared" si="34"/>
        <v>Chlorella</v>
      </c>
      <c r="R117" s="297">
        <f t="shared" si="35"/>
        <v>1.200269132601268</v>
      </c>
      <c r="S117" s="253">
        <f t="shared" si="43"/>
        <v>2.3506299020847665E-2</v>
      </c>
      <c r="T117" s="236">
        <f t="shared" si="30"/>
        <v>21</v>
      </c>
      <c r="U117" s="221" t="str">
        <f t="shared" si="31"/>
        <v>21-POP-EC10-EX</v>
      </c>
      <c r="V117" s="222" cm="1">
        <f t="array" ref="V117">MEDIAN(IF(U117=$U$4:$U$176,$S$4:$S$176))</f>
        <v>0.5483589578715401</v>
      </c>
      <c r="W117" s="298">
        <f t="shared" si="36"/>
        <v>-9.8429864646369603E-2</v>
      </c>
      <c r="X117" s="225">
        <f t="shared" si="41"/>
        <v>0.90625925119845641</v>
      </c>
      <c r="Y117" s="225">
        <f t="shared" si="45"/>
        <v>0.90625925119845641</v>
      </c>
      <c r="Z117" s="226"/>
      <c r="AA117" s="226"/>
      <c r="AB117" s="254"/>
      <c r="AC117" s="228" t="s">
        <v>1772</v>
      </c>
      <c r="AD117" s="276">
        <v>0.8</v>
      </c>
      <c r="AE117" s="228" t="s">
        <v>1859</v>
      </c>
      <c r="AG117" s="248"/>
      <c r="AH117" s="183"/>
      <c r="AI117" s="183"/>
      <c r="AJ117" s="183"/>
      <c r="AK117" s="183"/>
    </row>
    <row r="118" spans="1:38" s="182" customFormat="1" ht="15.75" customHeight="1" x14ac:dyDescent="0.25">
      <c r="A118" s="183" t="s">
        <v>1943</v>
      </c>
      <c r="B118" s="180"/>
      <c r="C118" s="217">
        <v>2023</v>
      </c>
      <c r="D118" s="180" t="s">
        <v>1652</v>
      </c>
      <c r="E118" s="180" t="s">
        <v>1660</v>
      </c>
      <c r="F118" s="180" t="s">
        <v>567</v>
      </c>
      <c r="G118" s="180" t="s">
        <v>1303</v>
      </c>
      <c r="H118" s="180" t="s">
        <v>264</v>
      </c>
      <c r="I118" s="180" t="s">
        <v>256</v>
      </c>
      <c r="J118" s="180" t="s">
        <v>49</v>
      </c>
      <c r="K118" s="180">
        <v>3</v>
      </c>
      <c r="L118" s="180">
        <v>2.2000000000000002</v>
      </c>
      <c r="M118" s="180">
        <v>90</v>
      </c>
      <c r="N118" s="180">
        <v>6.7</v>
      </c>
      <c r="O118" s="94">
        <v>4.9000000000000004</v>
      </c>
      <c r="P118" s="239">
        <f t="shared" si="39"/>
        <v>0.78845736036427028</v>
      </c>
      <c r="Q118" s="296" t="str">
        <f t="shared" si="34"/>
        <v>Chlorella</v>
      </c>
      <c r="R118" s="297">
        <f t="shared" si="35"/>
        <v>1.1808934651281884</v>
      </c>
      <c r="S118" s="220">
        <f t="shared" si="43"/>
        <v>-0.3924361047639181</v>
      </c>
      <c r="T118" s="236">
        <f t="shared" si="30"/>
        <v>21</v>
      </c>
      <c r="U118" s="221" t="str">
        <f t="shared" si="31"/>
        <v>21-POP-EC10-EX</v>
      </c>
      <c r="V118" s="222" cm="1">
        <f t="array" ref="V118">MEDIAN(IF(U118=$U$4:$U$176,$S$4:$S$176))</f>
        <v>0.5483589578715401</v>
      </c>
      <c r="W118" s="298">
        <f t="shared" si="36"/>
        <v>-9.8429864646369603E-2</v>
      </c>
      <c r="X118" s="225">
        <f t="shared" si="41"/>
        <v>0.90625925119845641</v>
      </c>
      <c r="Y118" s="225"/>
      <c r="Z118" s="226"/>
      <c r="AA118" s="226"/>
      <c r="AB118" s="254"/>
      <c r="AC118" s="228" t="s">
        <v>1772</v>
      </c>
      <c r="AD118" s="276">
        <v>0.8</v>
      </c>
      <c r="AE118" s="228" t="s">
        <v>1859</v>
      </c>
      <c r="AG118" s="248"/>
      <c r="AH118" s="183"/>
      <c r="AI118" s="183"/>
      <c r="AJ118" s="183"/>
      <c r="AK118" s="183"/>
      <c r="AL118" s="183"/>
    </row>
    <row r="119" spans="1:38" s="182" customFormat="1" ht="15.75" customHeight="1" x14ac:dyDescent="0.25">
      <c r="A119" s="183" t="s">
        <v>1944</v>
      </c>
      <c r="B119" s="180"/>
      <c r="C119" s="217">
        <v>2023</v>
      </c>
      <c r="D119" s="180" t="s">
        <v>1652</v>
      </c>
      <c r="E119" s="180" t="s">
        <v>1660</v>
      </c>
      <c r="F119" s="180" t="s">
        <v>567</v>
      </c>
      <c r="G119" s="180" t="s">
        <v>1303</v>
      </c>
      <c r="H119" s="180" t="s">
        <v>264</v>
      </c>
      <c r="I119" s="180" t="s">
        <v>256</v>
      </c>
      <c r="J119" s="180" t="s">
        <v>49</v>
      </c>
      <c r="K119" s="180">
        <v>3</v>
      </c>
      <c r="L119" s="180">
        <v>2</v>
      </c>
      <c r="M119" s="180">
        <v>90</v>
      </c>
      <c r="N119" s="180">
        <v>8.3000000000000007</v>
      </c>
      <c r="O119" s="94">
        <v>4.9000000000000004</v>
      </c>
      <c r="P119" s="239">
        <f t="shared" si="39"/>
        <v>0.69314718055994529</v>
      </c>
      <c r="Q119" s="296" t="str">
        <f t="shared" si="34"/>
        <v>Chlorella</v>
      </c>
      <c r="R119" s="297">
        <f t="shared" si="35"/>
        <v>0.60649346512818814</v>
      </c>
      <c r="S119" s="220">
        <f t="shared" si="43"/>
        <v>8.665371543175715E-2</v>
      </c>
      <c r="T119" s="236">
        <f t="shared" si="30"/>
        <v>21</v>
      </c>
      <c r="U119" s="221" t="str">
        <f t="shared" si="31"/>
        <v>21-POP-EC10-EX</v>
      </c>
      <c r="V119" s="222" cm="1">
        <f t="array" ref="V119">MEDIAN(IF(U119=$U$4:$U$176,$S$4:$S$176))</f>
        <v>0.5483589578715401</v>
      </c>
      <c r="W119" s="298">
        <f t="shared" si="36"/>
        <v>-9.8429864646369603E-2</v>
      </c>
      <c r="X119" s="225">
        <f t="shared" si="41"/>
        <v>0.90625925119845641</v>
      </c>
      <c r="Y119" s="301">
        <f t="shared" ref="Y119:Y120" si="46">X119</f>
        <v>0.90625925119845641</v>
      </c>
      <c r="Z119" s="226"/>
      <c r="AA119" s="226"/>
      <c r="AB119" s="254"/>
      <c r="AC119" s="228" t="s">
        <v>1772</v>
      </c>
      <c r="AD119" s="276">
        <v>0.8</v>
      </c>
      <c r="AE119" s="228" t="s">
        <v>1859</v>
      </c>
      <c r="AG119" s="248"/>
      <c r="AH119" s="183"/>
      <c r="AI119" s="183"/>
      <c r="AJ119" s="183"/>
      <c r="AK119" s="183"/>
      <c r="AL119" s="183"/>
    </row>
    <row r="120" spans="1:38" s="182" customFormat="1" ht="15.75" customHeight="1" x14ac:dyDescent="0.25">
      <c r="A120" s="183" t="s">
        <v>1945</v>
      </c>
      <c r="B120" s="180"/>
      <c r="C120" s="217">
        <v>2022</v>
      </c>
      <c r="D120" s="180" t="s">
        <v>1654</v>
      </c>
      <c r="E120" s="180" t="s">
        <v>1661</v>
      </c>
      <c r="F120" s="180" t="s">
        <v>567</v>
      </c>
      <c r="G120" s="180" t="s">
        <v>1303</v>
      </c>
      <c r="H120" s="180" t="s">
        <v>264</v>
      </c>
      <c r="I120" s="180" t="s">
        <v>256</v>
      </c>
      <c r="J120" s="180" t="s">
        <v>49</v>
      </c>
      <c r="K120" s="180">
        <v>3</v>
      </c>
      <c r="L120" s="180">
        <v>145</v>
      </c>
      <c r="M120" s="180">
        <v>355</v>
      </c>
      <c r="N120" s="180">
        <v>8.0500000000000007</v>
      </c>
      <c r="O120" s="94">
        <v>4.2</v>
      </c>
      <c r="P120" s="239">
        <f t="shared" si="39"/>
        <v>4.9767337424205742</v>
      </c>
      <c r="Q120" s="296" t="str">
        <f t="shared" si="34"/>
        <v>Chlorella</v>
      </c>
      <c r="R120" s="297">
        <f t="shared" si="35"/>
        <v>1.5656999406935075</v>
      </c>
      <c r="S120" s="220">
        <f t="shared" si="43"/>
        <v>3.4110338017270667</v>
      </c>
      <c r="T120" s="236">
        <f t="shared" si="30"/>
        <v>21</v>
      </c>
      <c r="U120" s="221" t="str">
        <f t="shared" si="31"/>
        <v>21-POP-EC10-EX</v>
      </c>
      <c r="V120" s="222" cm="1">
        <f t="array" ref="V120">MEDIAN(IF(U120=$U$4:$U$176,$S$4:$S$176))</f>
        <v>0.5483589578715401</v>
      </c>
      <c r="W120" s="298">
        <f t="shared" si="36"/>
        <v>-9.8429864646369603E-2</v>
      </c>
      <c r="X120" s="299">
        <f t="shared" si="41"/>
        <v>0.90625925119845641</v>
      </c>
      <c r="Y120" s="299">
        <f t="shared" si="46"/>
        <v>0.90625925119845641</v>
      </c>
      <c r="Z120" s="226"/>
      <c r="AA120" s="226"/>
      <c r="AB120" s="254"/>
      <c r="AC120" s="228" t="s">
        <v>1772</v>
      </c>
      <c r="AD120" s="276">
        <v>0.85</v>
      </c>
      <c r="AE120" s="228" t="s">
        <v>1859</v>
      </c>
      <c r="AG120" s="248"/>
      <c r="AH120" s="183"/>
      <c r="AI120" s="183"/>
      <c r="AJ120" s="183"/>
      <c r="AK120" s="183"/>
      <c r="AL120" s="183"/>
    </row>
    <row r="121" spans="1:38" s="182" customFormat="1" ht="15.75" customHeight="1" x14ac:dyDescent="0.25">
      <c r="A121" s="183"/>
      <c r="B121" s="180"/>
      <c r="C121" s="217">
        <v>2022</v>
      </c>
      <c r="D121" s="180" t="s">
        <v>1654</v>
      </c>
      <c r="E121" s="180" t="s">
        <v>1667</v>
      </c>
      <c r="F121" s="180" t="s">
        <v>567</v>
      </c>
      <c r="G121" s="180" t="s">
        <v>1303</v>
      </c>
      <c r="H121" s="180" t="s">
        <v>264</v>
      </c>
      <c r="I121" s="180" t="s">
        <v>256</v>
      </c>
      <c r="J121" s="180" t="s">
        <v>49</v>
      </c>
      <c r="K121" s="180">
        <v>3</v>
      </c>
      <c r="L121" s="180">
        <v>42</v>
      </c>
      <c r="M121" s="180">
        <v>355</v>
      </c>
      <c r="N121" s="180">
        <v>8.1999999999999993</v>
      </c>
      <c r="O121" s="94">
        <v>4.2</v>
      </c>
      <c r="P121" s="239">
        <f t="shared" si="39"/>
        <v>3.7376696182833684</v>
      </c>
      <c r="Q121" s="296" t="str">
        <f t="shared" si="34"/>
        <v>Chlorella</v>
      </c>
      <c r="R121" s="297">
        <f t="shared" si="35"/>
        <v>1.5118499406935082</v>
      </c>
      <c r="S121" s="220">
        <f t="shared" si="43"/>
        <v>2.2258196775898602</v>
      </c>
      <c r="T121" s="236">
        <f t="shared" si="30"/>
        <v>21</v>
      </c>
      <c r="U121" s="221"/>
      <c r="V121" s="222" cm="1">
        <f t="array" ref="V121">MEDIAN(IF(U121=$U$4:$U$176,$S$4:$S$176))</f>
        <v>1.0733868783211162</v>
      </c>
      <c r="W121" s="298">
        <f t="shared" si="36"/>
        <v>0.42659805580320642</v>
      </c>
      <c r="X121" s="225">
        <f t="shared" si="41"/>
        <v>1.5320367446713734</v>
      </c>
      <c r="Y121" s="225"/>
      <c r="Z121" s="183"/>
      <c r="AA121" s="221" t="s">
        <v>1946</v>
      </c>
      <c r="AB121" s="254"/>
      <c r="AC121" s="228"/>
      <c r="AD121" s="228"/>
      <c r="AE121" s="228"/>
      <c r="AG121" s="248"/>
      <c r="AH121" s="183"/>
      <c r="AI121" s="183"/>
      <c r="AJ121" s="183"/>
      <c r="AK121" s="183"/>
      <c r="AL121" s="183"/>
    </row>
    <row r="122" spans="1:38" s="183" customFormat="1" ht="15.75" customHeight="1" x14ac:dyDescent="0.25">
      <c r="A122" s="183" t="s">
        <v>1947</v>
      </c>
      <c r="B122" s="180"/>
      <c r="C122" s="217">
        <v>2022</v>
      </c>
      <c r="D122" s="180" t="s">
        <v>1654</v>
      </c>
      <c r="E122" s="180" t="s">
        <v>1662</v>
      </c>
      <c r="F122" s="180" t="s">
        <v>567</v>
      </c>
      <c r="G122" s="180" t="s">
        <v>1303</v>
      </c>
      <c r="H122" s="180" t="s">
        <v>264</v>
      </c>
      <c r="I122" s="180" t="s">
        <v>256</v>
      </c>
      <c r="J122" s="180" t="s">
        <v>49</v>
      </c>
      <c r="K122" s="180">
        <v>3</v>
      </c>
      <c r="L122" s="180">
        <v>35</v>
      </c>
      <c r="M122" s="180">
        <v>89</v>
      </c>
      <c r="N122" s="180">
        <v>7.42</v>
      </c>
      <c r="O122" s="94">
        <v>20</v>
      </c>
      <c r="P122" s="239">
        <f t="shared" si="39"/>
        <v>3.5553480614894135</v>
      </c>
      <c r="Q122" s="296" t="str">
        <f t="shared" si="34"/>
        <v>Chlorella</v>
      </c>
      <c r="R122" s="297">
        <f t="shared" si="35"/>
        <v>1.408574304847181</v>
      </c>
      <c r="S122" s="220">
        <f t="shared" si="43"/>
        <v>2.1467737566422325</v>
      </c>
      <c r="T122" s="236">
        <f t="shared" si="30"/>
        <v>21</v>
      </c>
      <c r="U122" s="221"/>
      <c r="V122" s="222" cm="1">
        <f t="array" ref="V122">MEDIAN(IF(U122=$U$4:$U$176,$S$4:$S$176))</f>
        <v>1.0733868783211162</v>
      </c>
      <c r="W122" s="298">
        <f t="shared" si="36"/>
        <v>0.42659805580320642</v>
      </c>
      <c r="X122" s="225">
        <f t="shared" si="41"/>
        <v>1.5320367446713734</v>
      </c>
      <c r="Y122" s="225" t="s">
        <v>1406</v>
      </c>
      <c r="Z122" s="226"/>
      <c r="AA122" s="226" t="s">
        <v>1948</v>
      </c>
      <c r="AB122" s="254"/>
      <c r="AC122" s="228" t="s">
        <v>1772</v>
      </c>
      <c r="AD122" s="276">
        <v>0.85</v>
      </c>
      <c r="AE122" s="228" t="s">
        <v>1859</v>
      </c>
      <c r="AG122" s="248"/>
    </row>
    <row r="123" spans="1:38" s="183" customFormat="1" ht="15.75" customHeight="1" x14ac:dyDescent="0.25">
      <c r="B123" s="180"/>
      <c r="C123" s="217">
        <v>2022</v>
      </c>
      <c r="D123" s="180" t="s">
        <v>1654</v>
      </c>
      <c r="E123" s="180" t="s">
        <v>1668</v>
      </c>
      <c r="F123" s="180" t="s">
        <v>567</v>
      </c>
      <c r="G123" s="180" t="s">
        <v>1303</v>
      </c>
      <c r="H123" s="180" t="s">
        <v>264</v>
      </c>
      <c r="I123" s="180" t="s">
        <v>256</v>
      </c>
      <c r="J123" s="180" t="s">
        <v>49</v>
      </c>
      <c r="K123" s="180">
        <v>3</v>
      </c>
      <c r="L123" s="180">
        <v>51</v>
      </c>
      <c r="M123" s="180">
        <v>89</v>
      </c>
      <c r="N123" s="180">
        <v>8</v>
      </c>
      <c r="O123" s="94">
        <v>20</v>
      </c>
      <c r="P123" s="239">
        <f t="shared" si="39"/>
        <v>3.9318256327243257</v>
      </c>
      <c r="Q123" s="296" t="str">
        <f t="shared" si="34"/>
        <v>Chlorella</v>
      </c>
      <c r="R123" s="297">
        <f t="shared" si="35"/>
        <v>1.2003543048471812</v>
      </c>
      <c r="S123" s="220">
        <f t="shared" si="43"/>
        <v>2.7314713278771445</v>
      </c>
      <c r="T123" s="236">
        <f t="shared" si="30"/>
        <v>21</v>
      </c>
      <c r="U123" s="221"/>
      <c r="V123" s="222" cm="1">
        <f t="array" ref="V123">MEDIAN(IF(U123=$U$4:$U$176,$S$4:$S$176))</f>
        <v>1.0733868783211162</v>
      </c>
      <c r="W123" s="298">
        <f t="shared" si="36"/>
        <v>0.42659805580320642</v>
      </c>
      <c r="X123" s="225">
        <f t="shared" si="41"/>
        <v>1.5320367446713734</v>
      </c>
      <c r="Y123" s="225"/>
      <c r="AA123" s="221" t="s">
        <v>1946</v>
      </c>
      <c r="AB123" s="254"/>
      <c r="AC123" s="228"/>
      <c r="AD123" s="228"/>
      <c r="AE123" s="228"/>
      <c r="AG123" s="248"/>
    </row>
    <row r="124" spans="1:38" s="183" customFormat="1" ht="15.75" customHeight="1" x14ac:dyDescent="0.25">
      <c r="A124" s="183" t="s">
        <v>1949</v>
      </c>
      <c r="C124" s="217">
        <v>2022</v>
      </c>
      <c r="D124" s="180" t="s">
        <v>1654</v>
      </c>
      <c r="E124" s="180" t="s">
        <v>1663</v>
      </c>
      <c r="F124" s="180" t="s">
        <v>567</v>
      </c>
      <c r="G124" s="180" t="s">
        <v>1303</v>
      </c>
      <c r="H124" s="180" t="s">
        <v>264</v>
      </c>
      <c r="I124" s="180" t="s">
        <v>256</v>
      </c>
      <c r="J124" s="180" t="s">
        <v>49</v>
      </c>
      <c r="K124" s="180">
        <v>3</v>
      </c>
      <c r="L124" s="180">
        <v>27</v>
      </c>
      <c r="M124" s="180">
        <v>3</v>
      </c>
      <c r="N124" s="180">
        <v>6.38</v>
      </c>
      <c r="O124" s="94">
        <v>6</v>
      </c>
      <c r="P124" s="239">
        <f t="shared" si="39"/>
        <v>3.2958368660043291</v>
      </c>
      <c r="Q124" s="296" t="str">
        <f t="shared" si="34"/>
        <v>Chlorella</v>
      </c>
      <c r="R124" s="297">
        <f t="shared" si="35"/>
        <v>-0.92214635602731443</v>
      </c>
      <c r="S124" s="220">
        <f t="shared" si="43"/>
        <v>4.2179832220316431</v>
      </c>
      <c r="T124" s="236">
        <f t="shared" si="30"/>
        <v>21</v>
      </c>
      <c r="U124" s="221" t="str">
        <f t="shared" ref="U124" si="47">CONCATENATE(T124,"-",I124,"-",J124,"-",H124)</f>
        <v>21-POP-EC10-EX</v>
      </c>
      <c r="V124" s="222" cm="1">
        <f t="array" ref="V124">MEDIAN(IF(U124=$U$4:$U$176,$S$4:$S$176))</f>
        <v>0.5483589578715401</v>
      </c>
      <c r="W124" s="298">
        <f t="shared" si="36"/>
        <v>-9.8429864646369603E-2</v>
      </c>
      <c r="X124" s="225">
        <f t="shared" si="41"/>
        <v>0.90625925119845641</v>
      </c>
      <c r="Y124" s="225"/>
      <c r="Z124" s="226"/>
      <c r="AA124" s="226"/>
      <c r="AB124" s="254"/>
      <c r="AC124" s="228" t="s">
        <v>1772</v>
      </c>
      <c r="AD124" s="276">
        <v>0.85</v>
      </c>
      <c r="AE124" s="228" t="s">
        <v>1859</v>
      </c>
      <c r="AG124" s="248"/>
    </row>
    <row r="125" spans="1:38" s="183" customFormat="1" ht="15.75" customHeight="1" x14ac:dyDescent="0.25">
      <c r="B125" s="180"/>
      <c r="C125" s="217">
        <v>2022</v>
      </c>
      <c r="D125" s="180" t="s">
        <v>1654</v>
      </c>
      <c r="E125" s="180" t="s">
        <v>1669</v>
      </c>
      <c r="F125" s="180" t="s">
        <v>567</v>
      </c>
      <c r="G125" s="180" t="s">
        <v>1303</v>
      </c>
      <c r="H125" s="180" t="s">
        <v>264</v>
      </c>
      <c r="I125" s="180" t="s">
        <v>256</v>
      </c>
      <c r="J125" s="180" t="s">
        <v>49</v>
      </c>
      <c r="K125" s="180">
        <v>3</v>
      </c>
      <c r="L125" s="180">
        <v>14</v>
      </c>
      <c r="M125" s="180">
        <v>3</v>
      </c>
      <c r="N125" s="180">
        <v>6.7</v>
      </c>
      <c r="O125" s="94">
        <v>6</v>
      </c>
      <c r="P125" s="239">
        <f t="shared" si="39"/>
        <v>2.6390573296152584</v>
      </c>
      <c r="Q125" s="296" t="str">
        <f t="shared" si="34"/>
        <v>Chlorella</v>
      </c>
      <c r="R125" s="297">
        <f t="shared" si="35"/>
        <v>-1.0370263560273147</v>
      </c>
      <c r="S125" s="220">
        <f t="shared" si="43"/>
        <v>3.6760836856425732</v>
      </c>
      <c r="T125" s="236">
        <f t="shared" si="30"/>
        <v>21</v>
      </c>
      <c r="U125" s="221"/>
      <c r="V125" s="222" cm="1">
        <f t="array" ref="V125">MEDIAN(IF(U125=$U$4:$U$176,$S$4:$S$176))</f>
        <v>1.0733868783211162</v>
      </c>
      <c r="W125" s="298">
        <f t="shared" si="36"/>
        <v>0.42659805580320642</v>
      </c>
      <c r="X125" s="225">
        <f t="shared" si="41"/>
        <v>1.5320367446713734</v>
      </c>
      <c r="Y125" s="225"/>
      <c r="AA125" s="221" t="s">
        <v>1946</v>
      </c>
      <c r="AB125" s="254"/>
      <c r="AC125" s="228"/>
      <c r="AD125" s="228"/>
      <c r="AE125" s="228"/>
      <c r="AG125" s="248"/>
    </row>
    <row r="126" spans="1:38" s="183" customFormat="1" ht="15.75" customHeight="1" x14ac:dyDescent="0.25">
      <c r="A126" s="183" t="s">
        <v>1950</v>
      </c>
      <c r="B126" s="180"/>
      <c r="C126" s="217">
        <v>2022</v>
      </c>
      <c r="D126" s="180" t="s">
        <v>1654</v>
      </c>
      <c r="E126" s="180" t="s">
        <v>1664</v>
      </c>
      <c r="F126" s="180" t="s">
        <v>567</v>
      </c>
      <c r="G126" s="180" t="s">
        <v>1303</v>
      </c>
      <c r="H126" s="180" t="s">
        <v>264</v>
      </c>
      <c r="I126" s="180" t="s">
        <v>256</v>
      </c>
      <c r="J126" s="180" t="s">
        <v>49</v>
      </c>
      <c r="K126" s="180">
        <v>3</v>
      </c>
      <c r="L126" s="180">
        <v>6.6</v>
      </c>
      <c r="M126" s="180">
        <v>11</v>
      </c>
      <c r="N126" s="180">
        <v>7.47</v>
      </c>
      <c r="O126" s="94">
        <v>0.5</v>
      </c>
      <c r="P126" s="239">
        <f t="shared" si="39"/>
        <v>1.8870696490323797</v>
      </c>
      <c r="Q126" s="296" t="str">
        <f t="shared" si="34"/>
        <v>Chlorella</v>
      </c>
      <c r="R126" s="297">
        <f t="shared" si="35"/>
        <v>-1.311241141783237</v>
      </c>
      <c r="S126" s="220">
        <f t="shared" si="43"/>
        <v>3.1983107908156168</v>
      </c>
      <c r="T126" s="236">
        <f t="shared" si="30"/>
        <v>21</v>
      </c>
      <c r="U126" s="221" t="str">
        <f t="shared" ref="U126" si="48">CONCATENATE(T126,"-",I126,"-",J126,"-",H126)</f>
        <v>21-POP-EC10-EX</v>
      </c>
      <c r="V126" s="222" cm="1">
        <f t="array" ref="V126">MEDIAN(IF(U126=$U$4:$U$176,$S$4:$S$176))</f>
        <v>0.5483589578715401</v>
      </c>
      <c r="W126" s="298">
        <f t="shared" si="36"/>
        <v>-9.8429864646369603E-2</v>
      </c>
      <c r="X126" s="225">
        <f t="shared" si="41"/>
        <v>0.90625925119845641</v>
      </c>
      <c r="Y126" s="225"/>
      <c r="AA126" s="226"/>
      <c r="AB126" s="254"/>
      <c r="AC126" s="228" t="s">
        <v>1772</v>
      </c>
      <c r="AD126" s="276">
        <v>0.85</v>
      </c>
      <c r="AE126" s="228" t="s">
        <v>1859</v>
      </c>
      <c r="AG126" s="248"/>
    </row>
    <row r="127" spans="1:38" s="183" customFormat="1" ht="15.75" customHeight="1" x14ac:dyDescent="0.25">
      <c r="B127" s="180"/>
      <c r="C127" s="217">
        <v>2022</v>
      </c>
      <c r="D127" s="180" t="s">
        <v>1654</v>
      </c>
      <c r="E127" s="180" t="s">
        <v>1670</v>
      </c>
      <c r="F127" s="180" t="s">
        <v>567</v>
      </c>
      <c r="G127" s="180" t="s">
        <v>1303</v>
      </c>
      <c r="H127" s="180" t="s">
        <v>264</v>
      </c>
      <c r="I127" s="180" t="s">
        <v>256</v>
      </c>
      <c r="J127" s="180" t="s">
        <v>49</v>
      </c>
      <c r="K127" s="180">
        <v>3</v>
      </c>
      <c r="L127" s="180">
        <v>7.4</v>
      </c>
      <c r="M127" s="180">
        <v>11</v>
      </c>
      <c r="N127" s="180">
        <v>7.7</v>
      </c>
      <c r="O127" s="94">
        <v>0.5</v>
      </c>
      <c r="P127" s="239">
        <f t="shared" si="39"/>
        <v>2.0014800002101243</v>
      </c>
      <c r="Q127" s="296" t="str">
        <f t="shared" si="34"/>
        <v>Chlorella</v>
      </c>
      <c r="R127" s="297">
        <f t="shared" si="35"/>
        <v>-1.3938111417832371</v>
      </c>
      <c r="S127" s="220">
        <f t="shared" si="43"/>
        <v>3.3952911419933614</v>
      </c>
      <c r="T127" s="236">
        <f t="shared" si="30"/>
        <v>21</v>
      </c>
      <c r="U127" s="221"/>
      <c r="V127" s="222" cm="1">
        <f t="array" ref="V127">MEDIAN(IF(U127=$U$4:$U$176,$S$4:$S$176))</f>
        <v>1.0733868783211162</v>
      </c>
      <c r="W127" s="298">
        <f t="shared" si="36"/>
        <v>0.42659805580320642</v>
      </c>
      <c r="X127" s="225">
        <f t="shared" si="41"/>
        <v>1.5320367446713734</v>
      </c>
      <c r="Y127" s="225"/>
      <c r="AA127" s="221" t="s">
        <v>1946</v>
      </c>
      <c r="AB127" s="254"/>
      <c r="AC127" s="228"/>
      <c r="AD127" s="228"/>
      <c r="AE127" s="228"/>
      <c r="AG127" s="248"/>
    </row>
    <row r="128" spans="1:38" s="183" customFormat="1" ht="15.75" customHeight="1" x14ac:dyDescent="0.25">
      <c r="A128" s="183" t="s">
        <v>1951</v>
      </c>
      <c r="B128" s="180"/>
      <c r="C128" s="217">
        <v>2022</v>
      </c>
      <c r="D128" s="180" t="s">
        <v>1654</v>
      </c>
      <c r="E128" s="180" t="s">
        <v>1672</v>
      </c>
      <c r="F128" s="180" t="s">
        <v>567</v>
      </c>
      <c r="G128" s="180" t="s">
        <v>1303</v>
      </c>
      <c r="H128" s="180" t="s">
        <v>264</v>
      </c>
      <c r="I128" s="180" t="s">
        <v>256</v>
      </c>
      <c r="J128" s="180" t="s">
        <v>49</v>
      </c>
      <c r="K128" s="180">
        <v>3</v>
      </c>
      <c r="L128" s="180">
        <v>6.3</v>
      </c>
      <c r="M128" s="180">
        <v>11</v>
      </c>
      <c r="N128" s="180">
        <v>8.01</v>
      </c>
      <c r="O128" s="94">
        <v>0.5</v>
      </c>
      <c r="P128" s="239">
        <f t="shared" si="39"/>
        <v>1.8405496333974869</v>
      </c>
      <c r="Q128" s="296" t="str">
        <f t="shared" si="34"/>
        <v>Chlorella</v>
      </c>
      <c r="R128" s="297">
        <f t="shared" si="35"/>
        <v>-1.505101141783237</v>
      </c>
      <c r="S128" s="220">
        <f t="shared" si="43"/>
        <v>3.3456507751807241</v>
      </c>
      <c r="T128" s="236">
        <f t="shared" si="30"/>
        <v>21</v>
      </c>
      <c r="U128" s="221" t="str">
        <f t="shared" ref="U128" si="49">CONCATENATE(T128,"-",I128,"-",J128,"-",H128)</f>
        <v>21-POP-EC10-EX</v>
      </c>
      <c r="V128" s="222" cm="1">
        <f t="array" ref="V128">MEDIAN(IF(U128=$U$4:$U$176,$S$4:$S$176))</f>
        <v>0.5483589578715401</v>
      </c>
      <c r="W128" s="298">
        <f t="shared" si="36"/>
        <v>-9.8429864646369603E-2</v>
      </c>
      <c r="X128" s="225">
        <f t="shared" si="41"/>
        <v>0.90625925119845641</v>
      </c>
      <c r="Y128" s="225"/>
      <c r="Z128" s="226"/>
      <c r="AA128" s="226"/>
      <c r="AB128" s="254"/>
      <c r="AC128" s="228" t="s">
        <v>1772</v>
      </c>
      <c r="AD128" s="276">
        <v>0.85</v>
      </c>
      <c r="AE128" s="228" t="s">
        <v>1859</v>
      </c>
      <c r="AG128" s="248"/>
    </row>
    <row r="129" spans="1:33" s="183" customFormat="1" ht="15.75" customHeight="1" x14ac:dyDescent="0.25">
      <c r="B129" s="180"/>
      <c r="C129" s="217">
        <v>2022</v>
      </c>
      <c r="D129" s="180" t="s">
        <v>1654</v>
      </c>
      <c r="E129" s="180" t="s">
        <v>1666</v>
      </c>
      <c r="F129" s="180" t="s">
        <v>567</v>
      </c>
      <c r="G129" s="180" t="s">
        <v>1303</v>
      </c>
      <c r="H129" s="180" t="s">
        <v>264</v>
      </c>
      <c r="I129" s="180" t="s">
        <v>256</v>
      </c>
      <c r="J129" s="180" t="s">
        <v>49</v>
      </c>
      <c r="K129" s="180">
        <v>3</v>
      </c>
      <c r="L129" s="180">
        <v>109</v>
      </c>
      <c r="M129" s="180">
        <v>13</v>
      </c>
      <c r="N129" s="180">
        <v>6.1</v>
      </c>
      <c r="O129" s="94">
        <v>25</v>
      </c>
      <c r="P129" s="239">
        <f t="shared" si="39"/>
        <v>4.6913478822291435</v>
      </c>
      <c r="Q129" s="296" t="str">
        <f t="shared" si="34"/>
        <v>Chlorella</v>
      </c>
      <c r="R129" s="297">
        <f t="shared" si="35"/>
        <v>0.66613633210035283</v>
      </c>
      <c r="S129" s="220">
        <f t="shared" si="43"/>
        <v>4.0252115501287911</v>
      </c>
      <c r="T129" s="236">
        <f t="shared" si="30"/>
        <v>21</v>
      </c>
      <c r="U129" s="221"/>
      <c r="V129" s="222" cm="1">
        <f t="array" ref="V129">MEDIAN(IF(U129=$U$4:$U$176,$S$4:$S$176))</f>
        <v>1.0733868783211162</v>
      </c>
      <c r="W129" s="298">
        <f t="shared" si="36"/>
        <v>0.42659805580320642</v>
      </c>
      <c r="X129" s="225">
        <f t="shared" si="41"/>
        <v>1.5320367446713734</v>
      </c>
      <c r="Y129" s="225" t="s">
        <v>1406</v>
      </c>
      <c r="Z129" s="226"/>
      <c r="AA129" s="226" t="s">
        <v>1948</v>
      </c>
      <c r="AB129" s="254"/>
      <c r="AC129" s="228"/>
      <c r="AD129" s="228"/>
      <c r="AE129" s="228"/>
      <c r="AG129" s="248"/>
    </row>
    <row r="130" spans="1:33" s="183" customFormat="1" ht="15.75" customHeight="1" x14ac:dyDescent="0.25">
      <c r="A130" s="183" t="s">
        <v>1952</v>
      </c>
      <c r="B130" s="180"/>
      <c r="C130" s="217">
        <v>2022</v>
      </c>
      <c r="D130" s="180" t="s">
        <v>1654</v>
      </c>
      <c r="E130" s="180" t="s">
        <v>1665</v>
      </c>
      <c r="F130" s="180" t="s">
        <v>567</v>
      </c>
      <c r="G130" s="180" t="s">
        <v>1303</v>
      </c>
      <c r="H130" s="180" t="s">
        <v>264</v>
      </c>
      <c r="I130" s="180" t="s">
        <v>256</v>
      </c>
      <c r="J130" s="180" t="s">
        <v>49</v>
      </c>
      <c r="K130" s="180">
        <v>3</v>
      </c>
      <c r="L130" s="180">
        <v>193</v>
      </c>
      <c r="M130" s="180">
        <v>18</v>
      </c>
      <c r="N130" s="180">
        <v>7.11</v>
      </c>
      <c r="O130" s="94">
        <v>5.3</v>
      </c>
      <c r="P130" s="239">
        <f t="shared" si="39"/>
        <v>5.2626901889048856</v>
      </c>
      <c r="Q130" s="296" t="str">
        <f t="shared" si="34"/>
        <v>Chlorella</v>
      </c>
      <c r="R130" s="297">
        <f t="shared" si="35"/>
        <v>-2.1904712919996627E-2</v>
      </c>
      <c r="S130" s="220">
        <f t="shared" si="43"/>
        <v>5.2845949018248826</v>
      </c>
      <c r="T130" s="236">
        <f t="shared" si="30"/>
        <v>21</v>
      </c>
      <c r="U130" s="221" t="str">
        <f t="shared" ref="U130" si="50">CONCATENATE(T130,"-",I130,"-",J130,"-",H130)</f>
        <v>21-POP-EC10-EX</v>
      </c>
      <c r="V130" s="222" cm="1">
        <f t="array" ref="V130">MEDIAN(IF(U130=$U$4:$U$176,$S$4:$S$176))</f>
        <v>0.5483589578715401</v>
      </c>
      <c r="W130" s="298">
        <f t="shared" si="36"/>
        <v>-9.8429864646369603E-2</v>
      </c>
      <c r="X130" s="225">
        <f t="shared" si="41"/>
        <v>0.90625925119845641</v>
      </c>
      <c r="Y130" s="225"/>
      <c r="Z130" s="226"/>
      <c r="AA130" s="226"/>
      <c r="AB130" s="254"/>
      <c r="AC130" s="228" t="s">
        <v>1772</v>
      </c>
      <c r="AD130" s="276">
        <v>0.85</v>
      </c>
      <c r="AE130" s="228" t="s">
        <v>1859</v>
      </c>
      <c r="AG130" s="248"/>
    </row>
    <row r="131" spans="1:33" s="183" customFormat="1" ht="15.75" customHeight="1" thickBot="1" x14ac:dyDescent="0.3">
      <c r="B131" s="180"/>
      <c r="C131" s="217">
        <v>2022</v>
      </c>
      <c r="D131" s="180" t="s">
        <v>1654</v>
      </c>
      <c r="E131" s="180" t="s">
        <v>1671</v>
      </c>
      <c r="F131" s="180" t="s">
        <v>567</v>
      </c>
      <c r="G131" s="180" t="s">
        <v>1303</v>
      </c>
      <c r="H131" s="180" t="s">
        <v>264</v>
      </c>
      <c r="I131" s="180" t="s">
        <v>256</v>
      </c>
      <c r="J131" s="180" t="s">
        <v>49</v>
      </c>
      <c r="K131" s="180">
        <v>3</v>
      </c>
      <c r="L131" s="180">
        <v>92</v>
      </c>
      <c r="M131" s="180">
        <v>18</v>
      </c>
      <c r="N131" s="180">
        <v>7.4</v>
      </c>
      <c r="O131" s="94">
        <v>5.3</v>
      </c>
      <c r="P131" s="239">
        <f t="shared" si="39"/>
        <v>4.5217885770490405</v>
      </c>
      <c r="Q131" s="296" t="str">
        <f t="shared" si="34"/>
        <v>Chlorella</v>
      </c>
      <c r="R131" s="297">
        <f t="shared" si="35"/>
        <v>-0.12601471291999655</v>
      </c>
      <c r="S131" s="220">
        <f t="shared" si="43"/>
        <v>4.6478032899690369</v>
      </c>
      <c r="T131" s="236">
        <f t="shared" si="30"/>
        <v>21</v>
      </c>
      <c r="U131" s="221"/>
      <c r="V131" s="222" cm="1">
        <f t="array" ref="V131">MEDIAN(IF(U131=$U$4:$U$176,$S$4:$S$176))</f>
        <v>1.0733868783211162</v>
      </c>
      <c r="W131" s="298">
        <f t="shared" si="36"/>
        <v>0.42659805580320642</v>
      </c>
      <c r="X131" s="225">
        <f t="shared" si="41"/>
        <v>1.5320367446713734</v>
      </c>
      <c r="Y131" s="225"/>
      <c r="AA131" s="221" t="s">
        <v>1946</v>
      </c>
      <c r="AB131" s="254"/>
      <c r="AC131" s="228"/>
      <c r="AD131" s="228"/>
      <c r="AE131" s="228"/>
      <c r="AG131" s="248"/>
    </row>
    <row r="132" spans="1:33" s="183" customFormat="1" ht="15.75" customHeight="1" x14ac:dyDescent="0.25">
      <c r="B132" s="245" t="s">
        <v>1723</v>
      </c>
      <c r="C132" s="245">
        <v>2020</v>
      </c>
      <c r="D132" s="245" t="s">
        <v>1721</v>
      </c>
      <c r="E132" s="245" t="s">
        <v>1740</v>
      </c>
      <c r="F132" s="245" t="s">
        <v>1724</v>
      </c>
      <c r="G132" s="245" t="s">
        <v>1303</v>
      </c>
      <c r="H132" s="180" t="s">
        <v>264</v>
      </c>
      <c r="I132" s="180" t="s">
        <v>256</v>
      </c>
      <c r="J132" s="245" t="s">
        <v>49</v>
      </c>
      <c r="K132" s="245">
        <v>3</v>
      </c>
      <c r="L132" s="245">
        <v>286</v>
      </c>
      <c r="M132" s="280">
        <v>3.5</v>
      </c>
      <c r="N132" s="278">
        <v>6.4</v>
      </c>
      <c r="O132" s="280">
        <v>1.4</v>
      </c>
      <c r="P132" s="239">
        <f t="shared" si="39"/>
        <v>5.6559918108198524</v>
      </c>
      <c r="Q132" s="296" t="str">
        <f t="shared" si="34"/>
        <v>Chlorella</v>
      </c>
      <c r="R132" s="297">
        <f t="shared" si="35"/>
        <v>-1.3363887671485717</v>
      </c>
      <c r="S132" s="220">
        <f t="shared" si="43"/>
        <v>6.992380577968424</v>
      </c>
      <c r="T132" s="236">
        <f t="shared" ref="T132:T162" si="51">IF(F132=F131,T131,T131+1)</f>
        <v>22</v>
      </c>
      <c r="U132" s="221" t="str">
        <f t="shared" ref="U132:U162" si="52">CONCATENATE(T132,"-",I132,"-",J132,"-",H132)</f>
        <v>22-POP-EC10-EX</v>
      </c>
      <c r="V132" s="222" cm="1">
        <f t="array" ref="V132">GEOMEAN(IF(U132=$U$4:$U$176,$S$4:$S$176))</f>
        <v>6.992380577968424</v>
      </c>
      <c r="W132" s="298">
        <f t="shared" si="36"/>
        <v>6.3455917554505143</v>
      </c>
      <c r="X132" s="225">
        <f t="shared" si="41"/>
        <v>569.9745755015324</v>
      </c>
      <c r="Y132" s="225">
        <f t="shared" ref="Y132:Y162" si="53">X132</f>
        <v>569.9745755015324</v>
      </c>
      <c r="Z132" s="226"/>
      <c r="AA132" s="226" t="s">
        <v>1954</v>
      </c>
      <c r="AB132" s="254"/>
      <c r="AC132" s="247" t="s">
        <v>1772</v>
      </c>
      <c r="AD132" s="276">
        <v>0.9</v>
      </c>
      <c r="AE132" s="244" t="s">
        <v>1773</v>
      </c>
      <c r="AG132" s="248"/>
    </row>
    <row r="133" spans="1:33" s="183" customFormat="1" ht="15.75" customHeight="1" x14ac:dyDescent="0.25">
      <c r="B133" s="180">
        <v>84052</v>
      </c>
      <c r="C133" s="217">
        <v>2005</v>
      </c>
      <c r="D133" s="180" t="s">
        <v>785</v>
      </c>
      <c r="E133" s="180" t="s">
        <v>41</v>
      </c>
      <c r="F133" s="180" t="s">
        <v>344</v>
      </c>
      <c r="G133" s="180" t="s">
        <v>1303</v>
      </c>
      <c r="H133" s="180" t="s">
        <v>264</v>
      </c>
      <c r="I133" s="180" t="s">
        <v>256</v>
      </c>
      <c r="J133" s="180" t="s">
        <v>49</v>
      </c>
      <c r="K133" s="180" t="s">
        <v>103</v>
      </c>
      <c r="L133" s="180">
        <v>109</v>
      </c>
      <c r="M133" s="250">
        <v>26.995100000000001</v>
      </c>
      <c r="N133" s="180">
        <v>6.26</v>
      </c>
      <c r="O133" s="94">
        <v>2.48</v>
      </c>
      <c r="P133" s="239">
        <f t="shared" si="39"/>
        <v>4.6913478822291435</v>
      </c>
      <c r="Q133" s="178" t="str">
        <f>$AG$7</f>
        <v>R. sub - DeForest</v>
      </c>
      <c r="R133" s="302">
        <f>$AI$7*N133+$AH$7*LN(M133)+$AJ$7*LN(O133)</f>
        <v>-5.2250739609230292</v>
      </c>
      <c r="S133" s="220">
        <f t="shared" si="43"/>
        <v>9.9164218431521718</v>
      </c>
      <c r="T133" s="236">
        <f t="shared" si="51"/>
        <v>23</v>
      </c>
      <c r="U133" s="221" t="str">
        <f t="shared" si="52"/>
        <v>23-POP-EC10-EX</v>
      </c>
      <c r="V133" s="222" cm="1">
        <f t="array" ref="V133">GEOMEAN(IF(U133=$U$4:$U$176,$S$4:$S$176))</f>
        <v>9.4587127901440979</v>
      </c>
      <c r="W133" s="303">
        <f t="shared" ref="W133:W162" si="54">V133+$AI$7*$AI$2+$AH$7*LN($AH$2)+$AJ$7*LN($AJ$2)</f>
        <v>2.8263450294070696</v>
      </c>
      <c r="X133" s="225">
        <f t="shared" si="41"/>
        <v>16.883638711368956</v>
      </c>
      <c r="Y133" s="225">
        <f t="shared" si="53"/>
        <v>16.883638711368956</v>
      </c>
      <c r="Z133" s="226"/>
      <c r="AA133" s="226"/>
      <c r="AB133" s="227" t="s">
        <v>1846</v>
      </c>
      <c r="AC133" s="243" t="s">
        <v>1798</v>
      </c>
      <c r="AD133" s="228"/>
      <c r="AE133" s="229" t="s">
        <v>1584</v>
      </c>
      <c r="AG133" s="248"/>
    </row>
    <row r="134" spans="1:33" s="183" customFormat="1" ht="15.75" customHeight="1" x14ac:dyDescent="0.25">
      <c r="B134" s="180">
        <v>84052</v>
      </c>
      <c r="C134" s="217">
        <v>2005</v>
      </c>
      <c r="D134" s="180" t="s">
        <v>785</v>
      </c>
      <c r="E134" s="180" t="s">
        <v>41</v>
      </c>
      <c r="F134" s="180" t="s">
        <v>344</v>
      </c>
      <c r="G134" s="180" t="s">
        <v>1303</v>
      </c>
      <c r="H134" s="180" t="s">
        <v>264</v>
      </c>
      <c r="I134" s="180" t="s">
        <v>256</v>
      </c>
      <c r="J134" s="180" t="s">
        <v>49</v>
      </c>
      <c r="K134" s="180" t="s">
        <v>103</v>
      </c>
      <c r="L134" s="180">
        <v>78.5</v>
      </c>
      <c r="M134" s="250">
        <v>26.587723999999998</v>
      </c>
      <c r="N134" s="180">
        <v>6.43</v>
      </c>
      <c r="O134" s="94">
        <v>3.65</v>
      </c>
      <c r="P134" s="239">
        <f t="shared" si="39"/>
        <v>4.3630986247883632</v>
      </c>
      <c r="Q134" s="178" t="str">
        <f t="shared" ref="Q134:Q162" si="55">$AG$7</f>
        <v>R. sub - DeForest</v>
      </c>
      <c r="R134" s="302">
        <f t="shared" ref="R134:R162" si="56">$AI$7*N134+$AH$7*LN(M134)+$AJ$7*LN(O134)</f>
        <v>-5.2913520219727701</v>
      </c>
      <c r="S134" s="220">
        <f t="shared" si="43"/>
        <v>9.6544506467611342</v>
      </c>
      <c r="T134" s="236">
        <f t="shared" si="51"/>
        <v>23</v>
      </c>
      <c r="U134" s="221" t="str">
        <f t="shared" si="52"/>
        <v>23-POP-EC10-EX</v>
      </c>
      <c r="V134" s="222" cm="1">
        <f t="array" ref="V134">GEOMEAN(IF(U134=$U$4:$U$176,$S$4:$S$176))</f>
        <v>9.4587127901440979</v>
      </c>
      <c r="W134" s="303">
        <f t="shared" si="54"/>
        <v>2.8263450294070696</v>
      </c>
      <c r="X134" s="225">
        <f t="shared" si="41"/>
        <v>16.883638711368956</v>
      </c>
      <c r="Y134" s="225">
        <f t="shared" si="53"/>
        <v>16.883638711368956</v>
      </c>
      <c r="Z134" s="226"/>
      <c r="AA134" s="226"/>
      <c r="AB134" s="227" t="s">
        <v>1846</v>
      </c>
      <c r="AC134" s="243" t="s">
        <v>1798</v>
      </c>
      <c r="AD134" s="228"/>
      <c r="AE134" s="229" t="s">
        <v>1584</v>
      </c>
      <c r="AG134" s="248"/>
    </row>
    <row r="135" spans="1:33" s="183" customFormat="1" ht="15.75" customHeight="1" x14ac:dyDescent="0.25">
      <c r="B135" s="180">
        <v>84052</v>
      </c>
      <c r="C135" s="217">
        <v>2005</v>
      </c>
      <c r="D135" s="180" t="s">
        <v>785</v>
      </c>
      <c r="E135" s="180" t="s">
        <v>41</v>
      </c>
      <c r="F135" s="180" t="s">
        <v>344</v>
      </c>
      <c r="G135" s="180" t="s">
        <v>1303</v>
      </c>
      <c r="H135" s="180" t="s">
        <v>264</v>
      </c>
      <c r="I135" s="180" t="s">
        <v>256</v>
      </c>
      <c r="J135" s="180" t="s">
        <v>49</v>
      </c>
      <c r="K135" s="180" t="s">
        <v>103</v>
      </c>
      <c r="L135" s="180">
        <v>136</v>
      </c>
      <c r="M135" s="250">
        <v>144.36112</v>
      </c>
      <c r="N135" s="180">
        <v>7.42</v>
      </c>
      <c r="O135" s="94">
        <v>22.3</v>
      </c>
      <c r="P135" s="239">
        <f t="shared" si="39"/>
        <v>4.9126548857360524</v>
      </c>
      <c r="Q135" s="178" t="str">
        <f t="shared" si="55"/>
        <v>R. sub - DeForest</v>
      </c>
      <c r="R135" s="302">
        <f t="shared" si="56"/>
        <v>-5.7694413842005901</v>
      </c>
      <c r="S135" s="220">
        <f t="shared" si="43"/>
        <v>10.682096269936643</v>
      </c>
      <c r="T135" s="236">
        <f t="shared" si="51"/>
        <v>23</v>
      </c>
      <c r="U135" s="221" t="str">
        <f t="shared" si="52"/>
        <v>23-POP-EC10-EX</v>
      </c>
      <c r="V135" s="222" cm="1">
        <f t="array" ref="V135">GEOMEAN(IF(U135=$U$4:$U$176,$S$4:$S$176))</f>
        <v>9.4587127901440979</v>
      </c>
      <c r="W135" s="303">
        <f t="shared" si="54"/>
        <v>2.8263450294070696</v>
      </c>
      <c r="X135" s="225">
        <f t="shared" si="41"/>
        <v>16.883638711368956</v>
      </c>
      <c r="Y135" s="225">
        <f t="shared" si="53"/>
        <v>16.883638711368956</v>
      </c>
      <c r="Z135" s="226"/>
      <c r="AA135" s="226"/>
      <c r="AB135" s="227" t="s">
        <v>1846</v>
      </c>
      <c r="AC135" s="243" t="s">
        <v>1798</v>
      </c>
      <c r="AD135" s="228"/>
      <c r="AE135" s="229" t="s">
        <v>1584</v>
      </c>
      <c r="AG135" s="248"/>
    </row>
    <row r="136" spans="1:33" s="183" customFormat="1" ht="15.75" customHeight="1" x14ac:dyDescent="0.25">
      <c r="B136" s="180">
        <v>84052</v>
      </c>
      <c r="C136" s="217">
        <v>2005</v>
      </c>
      <c r="D136" s="180" t="s">
        <v>785</v>
      </c>
      <c r="E136" s="180" t="s">
        <v>41</v>
      </c>
      <c r="F136" s="180" t="s">
        <v>344</v>
      </c>
      <c r="G136" s="180" t="s">
        <v>1303</v>
      </c>
      <c r="H136" s="180" t="s">
        <v>264</v>
      </c>
      <c r="I136" s="180" t="s">
        <v>256</v>
      </c>
      <c r="J136" s="180" t="s">
        <v>49</v>
      </c>
      <c r="K136" s="180" t="s">
        <v>103</v>
      </c>
      <c r="L136" s="180">
        <v>27.3</v>
      </c>
      <c r="M136" s="250">
        <v>239.07499999999999</v>
      </c>
      <c r="N136" s="180">
        <v>8.01</v>
      </c>
      <c r="O136" s="94">
        <v>5.89</v>
      </c>
      <c r="P136" s="239">
        <f t="shared" si="39"/>
        <v>3.3068867021909143</v>
      </c>
      <c r="Q136" s="178" t="str">
        <f t="shared" si="55"/>
        <v>R. sub - DeForest</v>
      </c>
      <c r="R136" s="302">
        <f t="shared" si="56"/>
        <v>-6.5580394964883286</v>
      </c>
      <c r="S136" s="220">
        <f t="shared" si="43"/>
        <v>9.8649261986792425</v>
      </c>
      <c r="T136" s="236">
        <f t="shared" si="51"/>
        <v>23</v>
      </c>
      <c r="U136" s="221" t="str">
        <f t="shared" si="52"/>
        <v>23-POP-EC10-EX</v>
      </c>
      <c r="V136" s="222" cm="1">
        <f t="array" ref="V136">GEOMEAN(IF(U136=$U$4:$U$176,$S$4:$S$176))</f>
        <v>9.4587127901440979</v>
      </c>
      <c r="W136" s="303">
        <f t="shared" si="54"/>
        <v>2.8263450294070696</v>
      </c>
      <c r="X136" s="225">
        <f t="shared" si="41"/>
        <v>16.883638711368956</v>
      </c>
      <c r="Y136" s="225">
        <f t="shared" si="53"/>
        <v>16.883638711368956</v>
      </c>
      <c r="Z136" s="226"/>
      <c r="AA136" s="226"/>
      <c r="AB136" s="227" t="s">
        <v>1846</v>
      </c>
      <c r="AC136" s="243" t="s">
        <v>1798</v>
      </c>
      <c r="AD136" s="228"/>
      <c r="AE136" s="229" t="s">
        <v>1584</v>
      </c>
      <c r="AG136" s="248"/>
    </row>
    <row r="137" spans="1:33" s="183" customFormat="1" ht="15.75" customHeight="1" x14ac:dyDescent="0.25">
      <c r="A137" s="183" t="s">
        <v>1955</v>
      </c>
      <c r="B137" s="183" t="s">
        <v>1526</v>
      </c>
      <c r="C137" s="183">
        <v>2017</v>
      </c>
      <c r="D137" s="183" t="s">
        <v>1527</v>
      </c>
      <c r="E137" s="183" t="s">
        <v>1956</v>
      </c>
      <c r="F137" s="180" t="s">
        <v>344</v>
      </c>
      <c r="G137" s="183" t="s">
        <v>1303</v>
      </c>
      <c r="H137" s="183" t="s">
        <v>264</v>
      </c>
      <c r="I137" s="183" t="s">
        <v>256</v>
      </c>
      <c r="J137" s="183" t="s">
        <v>49</v>
      </c>
      <c r="K137" s="183">
        <v>2</v>
      </c>
      <c r="L137" s="183">
        <v>89</v>
      </c>
      <c r="M137" s="183">
        <v>75.2</v>
      </c>
      <c r="N137" s="183">
        <v>6.98</v>
      </c>
      <c r="O137" s="183">
        <v>9.5</v>
      </c>
      <c r="P137" s="239">
        <f t="shared" si="39"/>
        <v>4.4886363697321396</v>
      </c>
      <c r="Q137" s="178" t="str">
        <f t="shared" si="55"/>
        <v>R. sub - DeForest</v>
      </c>
      <c r="R137" s="302">
        <f t="shared" si="56"/>
        <v>-5.5671800140912424</v>
      </c>
      <c r="S137" s="220">
        <f t="shared" si="43"/>
        <v>10.055816383823382</v>
      </c>
      <c r="T137" s="236">
        <f t="shared" si="51"/>
        <v>23</v>
      </c>
      <c r="U137" s="221" t="str">
        <f t="shared" si="52"/>
        <v>23-POP-EC10-EX</v>
      </c>
      <c r="V137" s="222" cm="1">
        <f t="array" ref="V137">GEOMEAN(IF(U137=$U$4:$U$176,$S$4:$S$176))</f>
        <v>9.4587127901440979</v>
      </c>
      <c r="W137" s="303">
        <f t="shared" si="54"/>
        <v>2.8263450294070696</v>
      </c>
      <c r="X137" s="225">
        <f t="shared" si="41"/>
        <v>16.883638711368956</v>
      </c>
      <c r="Y137" s="225">
        <f t="shared" si="53"/>
        <v>16.883638711368956</v>
      </c>
      <c r="Z137" s="226"/>
      <c r="AA137" s="226"/>
      <c r="AB137" s="244"/>
      <c r="AC137" s="244" t="s">
        <v>1772</v>
      </c>
      <c r="AD137" s="247">
        <v>0.81399999999999995</v>
      </c>
      <c r="AE137" s="244" t="s">
        <v>1859</v>
      </c>
      <c r="AG137" s="248"/>
    </row>
    <row r="138" spans="1:33" s="183" customFormat="1" ht="15.75" customHeight="1" x14ac:dyDescent="0.25">
      <c r="A138" s="183" t="s">
        <v>1957</v>
      </c>
      <c r="B138" s="183" t="s">
        <v>1526</v>
      </c>
      <c r="C138" s="183">
        <v>2017</v>
      </c>
      <c r="D138" s="183" t="s">
        <v>1527</v>
      </c>
      <c r="E138" s="183" t="s">
        <v>1958</v>
      </c>
      <c r="F138" s="180" t="s">
        <v>344</v>
      </c>
      <c r="G138" s="183" t="s">
        <v>1303</v>
      </c>
      <c r="H138" s="183" t="s">
        <v>264</v>
      </c>
      <c r="I138" s="183" t="s">
        <v>256</v>
      </c>
      <c r="J138" s="183" t="s">
        <v>49</v>
      </c>
      <c r="K138" s="183">
        <v>2</v>
      </c>
      <c r="L138" s="183">
        <v>36</v>
      </c>
      <c r="M138" s="183">
        <v>45</v>
      </c>
      <c r="N138" s="183">
        <v>7.26</v>
      </c>
      <c r="O138" s="183">
        <v>12</v>
      </c>
      <c r="P138" s="239">
        <f t="shared" si="39"/>
        <v>3.5835189384561099</v>
      </c>
      <c r="Q138" s="178" t="str">
        <f t="shared" si="55"/>
        <v>R. sub - DeForest</v>
      </c>
      <c r="R138" s="302">
        <f t="shared" si="56"/>
        <v>-5.7605545101943072</v>
      </c>
      <c r="S138" s="220">
        <f t="shared" si="43"/>
        <v>9.3440734486504162</v>
      </c>
      <c r="T138" s="236">
        <f t="shared" si="51"/>
        <v>23</v>
      </c>
      <c r="U138" s="221" t="str">
        <f t="shared" si="52"/>
        <v>23-POP-EC10-EX</v>
      </c>
      <c r="V138" s="222" cm="1">
        <f t="array" ref="V138">GEOMEAN(IF(U138=$U$4:$U$176,$S$4:$S$176))</f>
        <v>9.4587127901440979</v>
      </c>
      <c r="W138" s="303">
        <f t="shared" si="54"/>
        <v>2.8263450294070696</v>
      </c>
      <c r="X138" s="225">
        <f t="shared" si="41"/>
        <v>16.883638711368956</v>
      </c>
      <c r="Y138" s="225">
        <f t="shared" si="53"/>
        <v>16.883638711368956</v>
      </c>
      <c r="Z138" s="226"/>
      <c r="AA138" s="226"/>
      <c r="AB138" s="227"/>
      <c r="AC138" s="244" t="s">
        <v>1772</v>
      </c>
      <c r="AD138" s="247">
        <v>0.81399999999999995</v>
      </c>
      <c r="AE138" s="244" t="s">
        <v>1859</v>
      </c>
      <c r="AG138" s="248"/>
    </row>
    <row r="139" spans="1:33" s="183" customFormat="1" ht="15.75" customHeight="1" x14ac:dyDescent="0.25">
      <c r="A139" s="183" t="s">
        <v>1959</v>
      </c>
      <c r="B139" s="183" t="s">
        <v>1526</v>
      </c>
      <c r="C139" s="183">
        <v>2017</v>
      </c>
      <c r="D139" s="183" t="s">
        <v>1527</v>
      </c>
      <c r="E139" s="183" t="s">
        <v>1691</v>
      </c>
      <c r="F139" s="180" t="s">
        <v>344</v>
      </c>
      <c r="G139" s="183" t="s">
        <v>1303</v>
      </c>
      <c r="H139" s="183" t="s">
        <v>264</v>
      </c>
      <c r="I139" s="183" t="s">
        <v>256</v>
      </c>
      <c r="J139" s="183" t="s">
        <v>49</v>
      </c>
      <c r="K139" s="183">
        <v>2</v>
      </c>
      <c r="L139" s="183">
        <v>116</v>
      </c>
      <c r="M139" s="183">
        <v>21.5</v>
      </c>
      <c r="N139" s="183">
        <v>6.26</v>
      </c>
      <c r="O139" s="183">
        <v>4.0999999999999996</v>
      </c>
      <c r="P139" s="239">
        <f t="shared" si="39"/>
        <v>4.7535901911063645</v>
      </c>
      <c r="Q139" s="178" t="str">
        <f t="shared" si="55"/>
        <v>R. sub - DeForest</v>
      </c>
      <c r="R139" s="302">
        <f t="shared" si="56"/>
        <v>-5.1200037224945545</v>
      </c>
      <c r="S139" s="220">
        <f t="shared" si="43"/>
        <v>9.873593913600919</v>
      </c>
      <c r="T139" s="236">
        <f t="shared" si="51"/>
        <v>23</v>
      </c>
      <c r="U139" s="221" t="str">
        <f t="shared" si="52"/>
        <v>23-POP-EC10-EX</v>
      </c>
      <c r="V139" s="222" cm="1">
        <f t="array" ref="V139">GEOMEAN(IF(U139=$U$4:$U$176,$S$4:$S$176))</f>
        <v>9.4587127901440979</v>
      </c>
      <c r="W139" s="303">
        <f t="shared" si="54"/>
        <v>2.8263450294070696</v>
      </c>
      <c r="X139" s="225">
        <f t="shared" si="41"/>
        <v>16.883638711368956</v>
      </c>
      <c r="Y139" s="225">
        <f t="shared" si="53"/>
        <v>16.883638711368956</v>
      </c>
      <c r="Z139" s="226"/>
      <c r="AA139" s="226"/>
      <c r="AB139" s="227"/>
      <c r="AC139" s="244" t="s">
        <v>1772</v>
      </c>
      <c r="AD139" s="247">
        <v>0.81399999999999995</v>
      </c>
      <c r="AE139" s="244" t="s">
        <v>1859</v>
      </c>
      <c r="AG139" s="248"/>
    </row>
    <row r="140" spans="1:33" s="183" customFormat="1" ht="15.75" customHeight="1" x14ac:dyDescent="0.25">
      <c r="A140" s="183" t="s">
        <v>1960</v>
      </c>
      <c r="B140" s="183" t="s">
        <v>1526</v>
      </c>
      <c r="C140" s="183">
        <v>2017</v>
      </c>
      <c r="D140" s="183" t="s">
        <v>1527</v>
      </c>
      <c r="E140" s="183" t="s">
        <v>1961</v>
      </c>
      <c r="F140" s="180" t="s">
        <v>344</v>
      </c>
      <c r="G140" s="183" t="s">
        <v>1303</v>
      </c>
      <c r="H140" s="183" t="s">
        <v>264</v>
      </c>
      <c r="I140" s="183" t="s">
        <v>256</v>
      </c>
      <c r="J140" s="183" t="s">
        <v>49</v>
      </c>
      <c r="K140" s="183">
        <v>2</v>
      </c>
      <c r="L140" s="227">
        <v>17</v>
      </c>
      <c r="M140" s="227">
        <v>70.5</v>
      </c>
      <c r="N140" s="183">
        <v>8.5399999999999991</v>
      </c>
      <c r="O140" s="183">
        <v>9</v>
      </c>
      <c r="P140" s="239">
        <f t="shared" si="39"/>
        <v>2.8332133440562162</v>
      </c>
      <c r="Q140" s="178" t="str">
        <f t="shared" si="55"/>
        <v>R. sub - DeForest</v>
      </c>
      <c r="R140" s="302">
        <f t="shared" si="56"/>
        <v>-6.9278800633367297</v>
      </c>
      <c r="S140" s="220">
        <f t="shared" si="43"/>
        <v>9.761093407392945</v>
      </c>
      <c r="T140" s="236">
        <f t="shared" si="51"/>
        <v>23</v>
      </c>
      <c r="U140" s="221" t="str">
        <f t="shared" si="52"/>
        <v>23-POP-EC10-EX</v>
      </c>
      <c r="V140" s="222" cm="1">
        <f t="array" ref="V140">GEOMEAN(IF(U140=$U$4:$U$176,$S$4:$S$176))</f>
        <v>9.4587127901440979</v>
      </c>
      <c r="W140" s="303">
        <f t="shared" si="54"/>
        <v>2.8263450294070696</v>
      </c>
      <c r="X140" s="225">
        <f t="shared" si="41"/>
        <v>16.883638711368956</v>
      </c>
      <c r="Y140" s="225">
        <f t="shared" si="53"/>
        <v>16.883638711368956</v>
      </c>
      <c r="Z140" s="226"/>
      <c r="AA140" s="226"/>
      <c r="AB140" s="227"/>
      <c r="AC140" s="244" t="s">
        <v>1772</v>
      </c>
      <c r="AD140" s="247">
        <v>0.81399999999999995</v>
      </c>
      <c r="AE140" s="244" t="s">
        <v>1859</v>
      </c>
      <c r="AG140" s="248"/>
    </row>
    <row r="141" spans="1:33" s="183" customFormat="1" ht="15.75" customHeight="1" x14ac:dyDescent="0.25">
      <c r="A141" s="183" t="s">
        <v>1962</v>
      </c>
      <c r="B141" s="183" t="s">
        <v>1526</v>
      </c>
      <c r="C141" s="183">
        <v>2017</v>
      </c>
      <c r="D141" s="183" t="s">
        <v>1527</v>
      </c>
      <c r="E141" s="183" t="s">
        <v>1961</v>
      </c>
      <c r="F141" s="180" t="s">
        <v>344</v>
      </c>
      <c r="G141" s="183" t="s">
        <v>1303</v>
      </c>
      <c r="H141" s="183" t="s">
        <v>264</v>
      </c>
      <c r="I141" s="183" t="s">
        <v>256</v>
      </c>
      <c r="J141" s="183" t="s">
        <v>49</v>
      </c>
      <c r="K141" s="183">
        <v>3</v>
      </c>
      <c r="L141" s="227">
        <v>14</v>
      </c>
      <c r="M141" s="227">
        <v>70.5</v>
      </c>
      <c r="N141" s="183">
        <v>8.5399999999999991</v>
      </c>
      <c r="O141" s="183">
        <v>9</v>
      </c>
      <c r="P141" s="239">
        <f t="shared" si="39"/>
        <v>2.6390573296152584</v>
      </c>
      <c r="Q141" s="178" t="str">
        <f t="shared" si="55"/>
        <v>R. sub - DeForest</v>
      </c>
      <c r="R141" s="302">
        <f t="shared" si="56"/>
        <v>-6.9278800633367297</v>
      </c>
      <c r="S141" s="220">
        <f t="shared" si="43"/>
        <v>9.5669373929519885</v>
      </c>
      <c r="T141" s="236">
        <f t="shared" si="51"/>
        <v>23</v>
      </c>
      <c r="U141" s="221" t="str">
        <f t="shared" si="52"/>
        <v>23-POP-EC10-EX</v>
      </c>
      <c r="V141" s="222" cm="1">
        <f t="array" ref="V141">GEOMEAN(IF(U141=$U$4:$U$176,$S$4:$S$176))</f>
        <v>9.4587127901440979</v>
      </c>
      <c r="W141" s="303">
        <f t="shared" si="54"/>
        <v>2.8263450294070696</v>
      </c>
      <c r="X141" s="225">
        <f t="shared" si="41"/>
        <v>16.883638711368956</v>
      </c>
      <c r="Y141" s="225">
        <f t="shared" si="53"/>
        <v>16.883638711368956</v>
      </c>
      <c r="Z141" s="226"/>
      <c r="AA141" s="226"/>
      <c r="AB141" s="227"/>
      <c r="AC141" s="244" t="s">
        <v>1772</v>
      </c>
      <c r="AD141" s="247">
        <v>0.81399999999999995</v>
      </c>
      <c r="AE141" s="244" t="s">
        <v>1859</v>
      </c>
      <c r="AG141" s="248"/>
    </row>
    <row r="142" spans="1:33" s="183" customFormat="1" ht="15.75" customHeight="1" x14ac:dyDescent="0.25">
      <c r="A142" s="183" t="s">
        <v>1963</v>
      </c>
      <c r="B142" s="183" t="s">
        <v>1526</v>
      </c>
      <c r="C142" s="183">
        <v>2017</v>
      </c>
      <c r="D142" s="183" t="s">
        <v>1527</v>
      </c>
      <c r="E142" s="183" t="s">
        <v>1964</v>
      </c>
      <c r="F142" s="180" t="s">
        <v>344</v>
      </c>
      <c r="G142" s="183" t="s">
        <v>1303</v>
      </c>
      <c r="H142" s="183" t="s">
        <v>264</v>
      </c>
      <c r="I142" s="183" t="s">
        <v>256</v>
      </c>
      <c r="J142" s="183" t="s">
        <v>49</v>
      </c>
      <c r="K142" s="183">
        <v>2</v>
      </c>
      <c r="L142" s="183">
        <v>89</v>
      </c>
      <c r="M142" s="183">
        <v>22.7</v>
      </c>
      <c r="N142" s="183">
        <v>6.16</v>
      </c>
      <c r="O142" s="183">
        <v>11.3</v>
      </c>
      <c r="P142" s="239">
        <f t="shared" si="39"/>
        <v>4.4886363697321396</v>
      </c>
      <c r="Q142" s="178" t="str">
        <f t="shared" si="55"/>
        <v>R. sub - DeForest</v>
      </c>
      <c r="R142" s="302">
        <f t="shared" si="56"/>
        <v>-4.8216162303248762</v>
      </c>
      <c r="S142" s="220">
        <f t="shared" si="43"/>
        <v>9.3102526000570158</v>
      </c>
      <c r="T142" s="236">
        <f t="shared" si="51"/>
        <v>23</v>
      </c>
      <c r="U142" s="221" t="str">
        <f t="shared" si="52"/>
        <v>23-POP-EC10-EX</v>
      </c>
      <c r="V142" s="222" cm="1">
        <f t="array" ref="V142">GEOMEAN(IF(U142=$U$4:$U$176,$S$4:$S$176))</f>
        <v>9.4587127901440979</v>
      </c>
      <c r="W142" s="303">
        <f t="shared" si="54"/>
        <v>2.8263450294070696</v>
      </c>
      <c r="X142" s="225">
        <f t="shared" si="41"/>
        <v>16.883638711368956</v>
      </c>
      <c r="Y142" s="225">
        <f t="shared" si="53"/>
        <v>16.883638711368956</v>
      </c>
      <c r="Z142" s="226"/>
      <c r="AA142" s="226"/>
      <c r="AB142" s="227"/>
      <c r="AC142" s="244" t="s">
        <v>1772</v>
      </c>
      <c r="AD142" s="247">
        <v>0.81399999999999995</v>
      </c>
      <c r="AE142" s="244" t="s">
        <v>1859</v>
      </c>
      <c r="AG142" s="248"/>
    </row>
    <row r="143" spans="1:33" s="183" customFormat="1" ht="15.75" customHeight="1" x14ac:dyDescent="0.25">
      <c r="A143" s="183" t="s">
        <v>1965</v>
      </c>
      <c r="B143" s="183" t="s">
        <v>1526</v>
      </c>
      <c r="C143" s="183">
        <v>2017</v>
      </c>
      <c r="D143" s="183" t="s">
        <v>1527</v>
      </c>
      <c r="E143" s="183" t="s">
        <v>1958</v>
      </c>
      <c r="F143" s="180" t="s">
        <v>344</v>
      </c>
      <c r="G143" s="183" t="s">
        <v>1303</v>
      </c>
      <c r="H143" s="183" t="s">
        <v>264</v>
      </c>
      <c r="I143" s="183" t="s">
        <v>256</v>
      </c>
      <c r="J143" s="183" t="s">
        <v>49</v>
      </c>
      <c r="K143" s="183">
        <v>2</v>
      </c>
      <c r="L143" s="183">
        <v>51</v>
      </c>
      <c r="M143" s="183">
        <v>47.8</v>
      </c>
      <c r="N143" s="183">
        <v>7.13</v>
      </c>
      <c r="O143" s="183">
        <v>9.9</v>
      </c>
      <c r="P143" s="239">
        <f t="shared" si="39"/>
        <v>3.9318256327243257</v>
      </c>
      <c r="Q143" s="178" t="str">
        <f t="shared" si="55"/>
        <v>R. sub - DeForest</v>
      </c>
      <c r="R143" s="302">
        <f t="shared" si="56"/>
        <v>-5.6883102357576263</v>
      </c>
      <c r="S143" s="220">
        <f t="shared" si="43"/>
        <v>9.6201358684819525</v>
      </c>
      <c r="T143" s="236">
        <f t="shared" si="51"/>
        <v>23</v>
      </c>
      <c r="U143" s="221" t="str">
        <f t="shared" si="52"/>
        <v>23-POP-EC10-EX</v>
      </c>
      <c r="V143" s="222" cm="1">
        <f t="array" ref="V143">GEOMEAN(IF(U143=$U$4:$U$176,$S$4:$S$176))</f>
        <v>9.4587127901440979</v>
      </c>
      <c r="W143" s="303">
        <f t="shared" si="54"/>
        <v>2.8263450294070696</v>
      </c>
      <c r="X143" s="225">
        <f t="shared" si="41"/>
        <v>16.883638711368956</v>
      </c>
      <c r="Y143" s="225">
        <f t="shared" si="53"/>
        <v>16.883638711368956</v>
      </c>
      <c r="Z143" s="226"/>
      <c r="AA143" s="226"/>
      <c r="AB143" s="227"/>
      <c r="AC143" s="244" t="s">
        <v>1772</v>
      </c>
      <c r="AD143" s="247">
        <v>0.81399999999999995</v>
      </c>
      <c r="AE143" s="244" t="s">
        <v>1859</v>
      </c>
      <c r="AG143" s="248"/>
    </row>
    <row r="144" spans="1:33" s="183" customFormat="1" ht="15.75" customHeight="1" x14ac:dyDescent="0.25">
      <c r="A144" s="183" t="s">
        <v>1966</v>
      </c>
      <c r="B144" s="183" t="s">
        <v>1526</v>
      </c>
      <c r="C144" s="183">
        <v>2017</v>
      </c>
      <c r="D144" s="183" t="s">
        <v>1527</v>
      </c>
      <c r="E144" s="183" t="s">
        <v>1958</v>
      </c>
      <c r="F144" s="180" t="s">
        <v>344</v>
      </c>
      <c r="G144" s="183" t="s">
        <v>1303</v>
      </c>
      <c r="H144" s="183" t="s">
        <v>264</v>
      </c>
      <c r="I144" s="183" t="s">
        <v>256</v>
      </c>
      <c r="J144" s="183" t="s">
        <v>49</v>
      </c>
      <c r="K144" s="183">
        <v>3</v>
      </c>
      <c r="L144" s="183">
        <v>55</v>
      </c>
      <c r="M144" s="183">
        <v>47.8</v>
      </c>
      <c r="N144" s="183">
        <v>7.15</v>
      </c>
      <c r="O144" s="183">
        <v>9.9</v>
      </c>
      <c r="P144" s="239">
        <f t="shared" si="39"/>
        <v>4.0073331852324712</v>
      </c>
      <c r="Q144" s="178" t="str">
        <f t="shared" si="55"/>
        <v>R. sub - DeForest</v>
      </c>
      <c r="R144" s="302">
        <f t="shared" si="56"/>
        <v>-5.7056102357576268</v>
      </c>
      <c r="S144" s="220">
        <f t="shared" si="43"/>
        <v>9.7129434209900971</v>
      </c>
      <c r="T144" s="236">
        <f t="shared" si="51"/>
        <v>23</v>
      </c>
      <c r="U144" s="221" t="str">
        <f t="shared" si="52"/>
        <v>23-POP-EC10-EX</v>
      </c>
      <c r="V144" s="222" cm="1">
        <f t="array" ref="V144">GEOMEAN(IF(U144=$U$4:$U$176,$S$4:$S$176))</f>
        <v>9.4587127901440979</v>
      </c>
      <c r="W144" s="303">
        <f t="shared" si="54"/>
        <v>2.8263450294070696</v>
      </c>
      <c r="X144" s="225">
        <f t="shared" si="41"/>
        <v>16.883638711368956</v>
      </c>
      <c r="Y144" s="225">
        <f t="shared" si="53"/>
        <v>16.883638711368956</v>
      </c>
      <c r="Z144" s="226"/>
      <c r="AA144" s="226"/>
      <c r="AB144" s="227"/>
      <c r="AC144" s="244" t="s">
        <v>1772</v>
      </c>
      <c r="AD144" s="247">
        <v>0.81399999999999995</v>
      </c>
      <c r="AE144" s="244" t="s">
        <v>1859</v>
      </c>
      <c r="AG144" s="248"/>
    </row>
    <row r="145" spans="1:38" s="183" customFormat="1" ht="15.75" customHeight="1" x14ac:dyDescent="0.25">
      <c r="A145" s="183" t="s">
        <v>1967</v>
      </c>
      <c r="B145" s="183" t="s">
        <v>1526</v>
      </c>
      <c r="C145" s="183">
        <v>2017</v>
      </c>
      <c r="D145" s="183" t="s">
        <v>1527</v>
      </c>
      <c r="E145" s="183" t="s">
        <v>1968</v>
      </c>
      <c r="F145" s="180" t="s">
        <v>344</v>
      </c>
      <c r="G145" s="183" t="s">
        <v>1303</v>
      </c>
      <c r="H145" s="183" t="s">
        <v>264</v>
      </c>
      <c r="I145" s="183" t="s">
        <v>256</v>
      </c>
      <c r="J145" s="183" t="s">
        <v>49</v>
      </c>
      <c r="K145" s="183">
        <v>2</v>
      </c>
      <c r="L145" s="183">
        <v>6</v>
      </c>
      <c r="M145" s="183">
        <v>46.7</v>
      </c>
      <c r="N145" s="183">
        <v>8.27</v>
      </c>
      <c r="O145" s="183">
        <v>4.5</v>
      </c>
      <c r="P145" s="239">
        <f t="shared" si="39"/>
        <v>1.791759469228055</v>
      </c>
      <c r="Q145" s="178" t="str">
        <f t="shared" si="55"/>
        <v>R. sub - DeForest</v>
      </c>
      <c r="R145" s="302">
        <f t="shared" si="56"/>
        <v>-6.8391978240737581</v>
      </c>
      <c r="S145" s="220">
        <f t="shared" si="43"/>
        <v>8.6309572933018135</v>
      </c>
      <c r="T145" s="236">
        <f t="shared" si="51"/>
        <v>23</v>
      </c>
      <c r="U145" s="221" t="str">
        <f t="shared" si="52"/>
        <v>23-POP-EC10-EX</v>
      </c>
      <c r="V145" s="222" cm="1">
        <f t="array" ref="V145">GEOMEAN(IF(U145=$U$4:$U$176,$S$4:$S$176))</f>
        <v>9.4587127901440979</v>
      </c>
      <c r="W145" s="303">
        <f t="shared" si="54"/>
        <v>2.8263450294070696</v>
      </c>
      <c r="X145" s="225">
        <f t="shared" si="41"/>
        <v>16.883638711368956</v>
      </c>
      <c r="Y145" s="225">
        <f t="shared" si="53"/>
        <v>16.883638711368956</v>
      </c>
      <c r="Z145" s="226"/>
      <c r="AA145" s="226"/>
      <c r="AB145" s="227"/>
      <c r="AC145" s="244" t="s">
        <v>1772</v>
      </c>
      <c r="AD145" s="247">
        <v>0.81399999999999995</v>
      </c>
      <c r="AE145" s="244" t="s">
        <v>1859</v>
      </c>
      <c r="AG145" s="248"/>
    </row>
    <row r="146" spans="1:38" s="183" customFormat="1" ht="15.75" customHeight="1" x14ac:dyDescent="0.25">
      <c r="A146" s="183" t="s">
        <v>1969</v>
      </c>
      <c r="B146" s="183" t="s">
        <v>1526</v>
      </c>
      <c r="C146" s="183">
        <v>2017</v>
      </c>
      <c r="D146" s="183" t="s">
        <v>1527</v>
      </c>
      <c r="E146" s="183" t="s">
        <v>1968</v>
      </c>
      <c r="F146" s="180" t="s">
        <v>344</v>
      </c>
      <c r="G146" s="183" t="s">
        <v>1303</v>
      </c>
      <c r="H146" s="183" t="s">
        <v>264</v>
      </c>
      <c r="I146" s="183" t="s">
        <v>256</v>
      </c>
      <c r="J146" s="183" t="s">
        <v>49</v>
      </c>
      <c r="K146" s="183">
        <v>3</v>
      </c>
      <c r="L146" s="183">
        <v>10</v>
      </c>
      <c r="M146" s="183">
        <v>46.7</v>
      </c>
      <c r="N146" s="183">
        <v>8.32</v>
      </c>
      <c r="O146" s="183">
        <v>4.5</v>
      </c>
      <c r="P146" s="239">
        <f t="shared" si="39"/>
        <v>2.3025850929940459</v>
      </c>
      <c r="Q146" s="178" t="str">
        <f t="shared" si="55"/>
        <v>R. sub - DeForest</v>
      </c>
      <c r="R146" s="302">
        <f t="shared" si="56"/>
        <v>-6.8824478240737594</v>
      </c>
      <c r="S146" s="220">
        <f t="shared" si="43"/>
        <v>9.1850329170678044</v>
      </c>
      <c r="T146" s="236">
        <f t="shared" si="51"/>
        <v>23</v>
      </c>
      <c r="U146" s="221" t="str">
        <f t="shared" si="52"/>
        <v>23-POP-EC10-EX</v>
      </c>
      <c r="V146" s="222" cm="1">
        <f t="array" ref="V146">GEOMEAN(IF(U146=$U$4:$U$176,$S$4:$S$176))</f>
        <v>9.4587127901440979</v>
      </c>
      <c r="W146" s="303">
        <f t="shared" si="54"/>
        <v>2.8263450294070696</v>
      </c>
      <c r="X146" s="225">
        <f t="shared" si="41"/>
        <v>16.883638711368956</v>
      </c>
      <c r="Y146" s="225">
        <f t="shared" si="53"/>
        <v>16.883638711368956</v>
      </c>
      <c r="Z146" s="226"/>
      <c r="AA146" s="226"/>
      <c r="AB146" s="227"/>
      <c r="AC146" s="244" t="s">
        <v>1772</v>
      </c>
      <c r="AD146" s="247">
        <v>0.81399999999999995</v>
      </c>
      <c r="AE146" s="244" t="s">
        <v>1859</v>
      </c>
      <c r="AG146" s="248"/>
      <c r="AH146" s="182"/>
      <c r="AI146" s="182"/>
      <c r="AJ146" s="182"/>
      <c r="AK146" s="182"/>
    </row>
    <row r="147" spans="1:38" s="183" customFormat="1" ht="15.75" customHeight="1" x14ac:dyDescent="0.25">
      <c r="A147" s="183" t="s">
        <v>1970</v>
      </c>
      <c r="B147" s="183" t="s">
        <v>1526</v>
      </c>
      <c r="C147" s="183">
        <v>2017</v>
      </c>
      <c r="D147" s="183" t="s">
        <v>1527</v>
      </c>
      <c r="E147" s="183" t="s">
        <v>1971</v>
      </c>
      <c r="F147" s="180" t="s">
        <v>344</v>
      </c>
      <c r="G147" s="183" t="s">
        <v>1303</v>
      </c>
      <c r="H147" s="183" t="s">
        <v>264</v>
      </c>
      <c r="I147" s="183" t="s">
        <v>256</v>
      </c>
      <c r="J147" s="183" t="s">
        <v>49</v>
      </c>
      <c r="K147" s="183">
        <v>2</v>
      </c>
      <c r="L147" s="183">
        <v>16</v>
      </c>
      <c r="M147" s="183">
        <v>46.2</v>
      </c>
      <c r="N147" s="183">
        <v>8.51</v>
      </c>
      <c r="O147" s="183">
        <v>4.8</v>
      </c>
      <c r="P147" s="239">
        <f t="shared" si="39"/>
        <v>2.7725887222397811</v>
      </c>
      <c r="Q147" s="178" t="str">
        <f t="shared" si="55"/>
        <v>R. sub - DeForest</v>
      </c>
      <c r="R147" s="302">
        <f t="shared" si="56"/>
        <v>-7.0333092731560054</v>
      </c>
      <c r="S147" s="220">
        <f t="shared" si="43"/>
        <v>9.805897995395787</v>
      </c>
      <c r="T147" s="236">
        <f t="shared" si="51"/>
        <v>23</v>
      </c>
      <c r="U147" s="221" t="str">
        <f t="shared" si="52"/>
        <v>23-POP-EC10-EX</v>
      </c>
      <c r="V147" s="222" cm="1">
        <f t="array" ref="V147">GEOMEAN(IF(U147=$U$4:$U$176,$S$4:$S$176))</f>
        <v>9.4587127901440979</v>
      </c>
      <c r="W147" s="303">
        <f t="shared" si="54"/>
        <v>2.8263450294070696</v>
      </c>
      <c r="X147" s="225">
        <f t="shared" si="41"/>
        <v>16.883638711368956</v>
      </c>
      <c r="Y147" s="225">
        <f t="shared" si="53"/>
        <v>16.883638711368956</v>
      </c>
      <c r="Z147" s="226"/>
      <c r="AA147" s="226"/>
      <c r="AB147" s="227"/>
      <c r="AC147" s="244" t="s">
        <v>1772</v>
      </c>
      <c r="AD147" s="247">
        <v>0.81399999999999995</v>
      </c>
      <c r="AE147" s="244" t="s">
        <v>1859</v>
      </c>
      <c r="AG147" s="248"/>
      <c r="AH147" s="182"/>
      <c r="AI147" s="182"/>
      <c r="AJ147" s="182"/>
      <c r="AK147" s="182"/>
    </row>
    <row r="148" spans="1:38" s="183" customFormat="1" ht="15.75" customHeight="1" x14ac:dyDescent="0.25">
      <c r="A148" s="183" t="s">
        <v>1972</v>
      </c>
      <c r="B148" s="183" t="s">
        <v>1526</v>
      </c>
      <c r="C148" s="183">
        <v>2017</v>
      </c>
      <c r="D148" s="183" t="s">
        <v>1527</v>
      </c>
      <c r="E148" s="183" t="s">
        <v>1971</v>
      </c>
      <c r="F148" s="180" t="s">
        <v>344</v>
      </c>
      <c r="G148" s="183" t="s">
        <v>1303</v>
      </c>
      <c r="H148" s="183" t="s">
        <v>264</v>
      </c>
      <c r="I148" s="183" t="s">
        <v>256</v>
      </c>
      <c r="J148" s="183" t="s">
        <v>49</v>
      </c>
      <c r="K148" s="183">
        <v>3</v>
      </c>
      <c r="L148" s="183">
        <v>16</v>
      </c>
      <c r="M148" s="183">
        <v>46.2</v>
      </c>
      <c r="N148" s="183">
        <v>8.5299999999999994</v>
      </c>
      <c r="O148" s="183">
        <v>4.8</v>
      </c>
      <c r="P148" s="239">
        <f t="shared" si="39"/>
        <v>2.7725887222397811</v>
      </c>
      <c r="Q148" s="178" t="str">
        <f t="shared" si="55"/>
        <v>R. sub - DeForest</v>
      </c>
      <c r="R148" s="302">
        <f t="shared" si="56"/>
        <v>-7.0506092731560051</v>
      </c>
      <c r="S148" s="220">
        <f t="shared" si="43"/>
        <v>9.8231979953957858</v>
      </c>
      <c r="T148" s="236">
        <f t="shared" si="51"/>
        <v>23</v>
      </c>
      <c r="U148" s="221" t="str">
        <f t="shared" si="52"/>
        <v>23-POP-EC10-EX</v>
      </c>
      <c r="V148" s="222" cm="1">
        <f t="array" ref="V148">GEOMEAN(IF(U148=$U$4:$U$176,$S$4:$S$176))</f>
        <v>9.4587127901440979</v>
      </c>
      <c r="W148" s="303">
        <f t="shared" si="54"/>
        <v>2.8263450294070696</v>
      </c>
      <c r="X148" s="225">
        <f t="shared" si="41"/>
        <v>16.883638711368956</v>
      </c>
      <c r="Y148" s="225">
        <f t="shared" si="53"/>
        <v>16.883638711368956</v>
      </c>
      <c r="Z148" s="226"/>
      <c r="AA148" s="226"/>
      <c r="AB148" s="227"/>
      <c r="AC148" s="244" t="s">
        <v>1772</v>
      </c>
      <c r="AD148" s="247">
        <v>0.81399999999999995</v>
      </c>
      <c r="AE148" s="244" t="s">
        <v>1859</v>
      </c>
      <c r="AG148" s="248"/>
      <c r="AH148" s="182"/>
      <c r="AI148" s="182"/>
      <c r="AJ148" s="182"/>
      <c r="AK148" s="182"/>
      <c r="AL148" s="182"/>
    </row>
    <row r="149" spans="1:38" s="183" customFormat="1" ht="15.75" customHeight="1" x14ac:dyDescent="0.25">
      <c r="A149" s="183" t="s">
        <v>1973</v>
      </c>
      <c r="B149" s="183" t="s">
        <v>1526</v>
      </c>
      <c r="C149" s="183">
        <v>2017</v>
      </c>
      <c r="D149" s="183" t="s">
        <v>1527</v>
      </c>
      <c r="E149" s="183" t="s">
        <v>1964</v>
      </c>
      <c r="F149" s="180" t="s">
        <v>344</v>
      </c>
      <c r="G149" s="183" t="s">
        <v>1303</v>
      </c>
      <c r="H149" s="183" t="s">
        <v>264</v>
      </c>
      <c r="I149" s="183" t="s">
        <v>256</v>
      </c>
      <c r="J149" s="183" t="s">
        <v>49</v>
      </c>
      <c r="K149" s="183">
        <v>2</v>
      </c>
      <c r="L149" s="183">
        <v>80</v>
      </c>
      <c r="M149" s="183">
        <v>19.100000000000001</v>
      </c>
      <c r="N149" s="183">
        <v>6.23</v>
      </c>
      <c r="O149" s="183">
        <v>9.3000000000000007</v>
      </c>
      <c r="P149" s="239">
        <f t="shared" si="39"/>
        <v>4.3820266346738812</v>
      </c>
      <c r="Q149" s="178" t="str">
        <f t="shared" si="55"/>
        <v>R. sub - DeForest</v>
      </c>
      <c r="R149" s="302">
        <f t="shared" si="56"/>
        <v>-4.9228769903667251</v>
      </c>
      <c r="S149" s="220">
        <f t="shared" si="43"/>
        <v>9.3049036250406054</v>
      </c>
      <c r="T149" s="236">
        <f t="shared" si="51"/>
        <v>23</v>
      </c>
      <c r="U149" s="221" t="str">
        <f t="shared" si="52"/>
        <v>23-POP-EC10-EX</v>
      </c>
      <c r="V149" s="222" cm="1">
        <f t="array" ref="V149">GEOMEAN(IF(U149=$U$4:$U$176,$S$4:$S$176))</f>
        <v>9.4587127901440979</v>
      </c>
      <c r="W149" s="303">
        <f t="shared" si="54"/>
        <v>2.8263450294070696</v>
      </c>
      <c r="X149" s="225">
        <f t="shared" si="41"/>
        <v>16.883638711368956</v>
      </c>
      <c r="Y149" s="225">
        <f t="shared" si="53"/>
        <v>16.883638711368956</v>
      </c>
      <c r="Z149" s="226"/>
      <c r="AA149" s="226"/>
      <c r="AB149" s="227"/>
      <c r="AC149" s="244" t="s">
        <v>1772</v>
      </c>
      <c r="AD149" s="247">
        <v>0.81399999999999995</v>
      </c>
      <c r="AE149" s="244" t="s">
        <v>1859</v>
      </c>
      <c r="AG149" s="248"/>
      <c r="AH149" s="182"/>
      <c r="AI149" s="182"/>
      <c r="AJ149" s="182"/>
      <c r="AK149" s="182"/>
      <c r="AL149" s="182"/>
    </row>
    <row r="150" spans="1:38" s="183" customFormat="1" ht="15.75" customHeight="1" x14ac:dyDescent="0.25">
      <c r="A150" s="183" t="s">
        <v>1974</v>
      </c>
      <c r="B150" s="183" t="s">
        <v>1526</v>
      </c>
      <c r="C150" s="183">
        <v>2017</v>
      </c>
      <c r="D150" s="183" t="s">
        <v>1527</v>
      </c>
      <c r="E150" s="183" t="s">
        <v>1964</v>
      </c>
      <c r="F150" s="180" t="s">
        <v>344</v>
      </c>
      <c r="G150" s="183" t="s">
        <v>1303</v>
      </c>
      <c r="H150" s="183" t="s">
        <v>264</v>
      </c>
      <c r="I150" s="183" t="s">
        <v>256</v>
      </c>
      <c r="J150" s="183" t="s">
        <v>49</v>
      </c>
      <c r="K150" s="183">
        <v>3</v>
      </c>
      <c r="L150" s="183">
        <v>131</v>
      </c>
      <c r="M150" s="183">
        <v>19.100000000000001</v>
      </c>
      <c r="N150" s="183">
        <v>6.23</v>
      </c>
      <c r="O150" s="183">
        <v>9.3000000000000007</v>
      </c>
      <c r="P150" s="239">
        <f t="shared" si="39"/>
        <v>4.8751973232011512</v>
      </c>
      <c r="Q150" s="178" t="str">
        <f t="shared" si="55"/>
        <v>R. sub - DeForest</v>
      </c>
      <c r="R150" s="302">
        <f t="shared" si="56"/>
        <v>-4.9228769903667251</v>
      </c>
      <c r="S150" s="220">
        <f t="shared" si="43"/>
        <v>9.7980743135678772</v>
      </c>
      <c r="T150" s="236">
        <f t="shared" si="51"/>
        <v>23</v>
      </c>
      <c r="U150" s="221" t="str">
        <f t="shared" si="52"/>
        <v>23-POP-EC10-EX</v>
      </c>
      <c r="V150" s="222" cm="1">
        <f t="array" ref="V150">GEOMEAN(IF(U150=$U$4:$U$176,$S$4:$S$176))</f>
        <v>9.4587127901440979</v>
      </c>
      <c r="W150" s="303">
        <f t="shared" si="54"/>
        <v>2.8263450294070696</v>
      </c>
      <c r="X150" s="225">
        <f t="shared" si="41"/>
        <v>16.883638711368956</v>
      </c>
      <c r="Y150" s="225">
        <f t="shared" si="53"/>
        <v>16.883638711368956</v>
      </c>
      <c r="Z150" s="226"/>
      <c r="AA150" s="226"/>
      <c r="AB150" s="227"/>
      <c r="AC150" s="244" t="s">
        <v>1772</v>
      </c>
      <c r="AD150" s="247">
        <v>0.81399999999999995</v>
      </c>
      <c r="AE150" s="244" t="s">
        <v>1859</v>
      </c>
      <c r="AG150" s="248"/>
      <c r="AH150" s="182"/>
      <c r="AI150" s="182"/>
      <c r="AJ150" s="182"/>
      <c r="AK150" s="182"/>
      <c r="AL150" s="182"/>
    </row>
    <row r="151" spans="1:38" s="183" customFormat="1" ht="15.75" customHeight="1" x14ac:dyDescent="0.25">
      <c r="A151" s="183" t="s">
        <v>1975</v>
      </c>
      <c r="B151" s="183" t="s">
        <v>1526</v>
      </c>
      <c r="C151" s="183">
        <v>2017</v>
      </c>
      <c r="D151" s="183" t="s">
        <v>1527</v>
      </c>
      <c r="E151" s="183" t="s">
        <v>1976</v>
      </c>
      <c r="F151" s="180" t="s">
        <v>344</v>
      </c>
      <c r="G151" s="183" t="s">
        <v>1303</v>
      </c>
      <c r="H151" s="183" t="s">
        <v>264</v>
      </c>
      <c r="I151" s="183" t="s">
        <v>256</v>
      </c>
      <c r="J151" s="183" t="s">
        <v>49</v>
      </c>
      <c r="K151" s="183">
        <v>2</v>
      </c>
      <c r="L151" s="183">
        <v>34</v>
      </c>
      <c r="M151" s="183">
        <v>513.4</v>
      </c>
      <c r="N151" s="183">
        <v>8.32</v>
      </c>
      <c r="O151" s="183">
        <v>7</v>
      </c>
      <c r="P151" s="239">
        <f t="shared" si="39"/>
        <v>3.5263605246161616</v>
      </c>
      <c r="Q151" s="178" t="str">
        <f t="shared" si="55"/>
        <v>R. sub - DeForest</v>
      </c>
      <c r="R151" s="302">
        <f t="shared" si="56"/>
        <v>-6.7901047788474402</v>
      </c>
      <c r="S151" s="220">
        <f t="shared" si="43"/>
        <v>10.316465303463602</v>
      </c>
      <c r="T151" s="236">
        <f t="shared" si="51"/>
        <v>23</v>
      </c>
      <c r="U151" s="221" t="str">
        <f t="shared" si="52"/>
        <v>23-POP-EC10-EX</v>
      </c>
      <c r="V151" s="222" cm="1">
        <f t="array" ref="V151">GEOMEAN(IF(U151=$U$4:$U$176,$S$4:$S$176))</f>
        <v>9.4587127901440979</v>
      </c>
      <c r="W151" s="303">
        <f t="shared" si="54"/>
        <v>2.8263450294070696</v>
      </c>
      <c r="X151" s="225">
        <f t="shared" si="41"/>
        <v>16.883638711368956</v>
      </c>
      <c r="Y151" s="225">
        <f t="shared" si="53"/>
        <v>16.883638711368956</v>
      </c>
      <c r="Z151" s="226"/>
      <c r="AA151" s="226"/>
      <c r="AB151" s="227"/>
      <c r="AC151" s="244" t="s">
        <v>1772</v>
      </c>
      <c r="AD151" s="247">
        <v>0.81399999999999995</v>
      </c>
      <c r="AE151" s="244" t="s">
        <v>1859</v>
      </c>
      <c r="AG151" s="248"/>
      <c r="AH151" s="182"/>
      <c r="AI151" s="182"/>
      <c r="AJ151" s="182"/>
      <c r="AK151" s="182"/>
      <c r="AL151" s="182"/>
    </row>
    <row r="152" spans="1:38" s="183" customFormat="1" ht="15.75" customHeight="1" x14ac:dyDescent="0.25">
      <c r="A152" s="183" t="s">
        <v>1977</v>
      </c>
      <c r="B152" s="183" t="s">
        <v>1526</v>
      </c>
      <c r="C152" s="183">
        <v>2017</v>
      </c>
      <c r="D152" s="183" t="s">
        <v>1527</v>
      </c>
      <c r="E152" s="183" t="s">
        <v>1978</v>
      </c>
      <c r="F152" s="180" t="s">
        <v>344</v>
      </c>
      <c r="G152" s="183" t="s">
        <v>1303</v>
      </c>
      <c r="H152" s="183" t="s">
        <v>264</v>
      </c>
      <c r="I152" s="183" t="s">
        <v>256</v>
      </c>
      <c r="J152" s="183" t="s">
        <v>49</v>
      </c>
      <c r="K152" s="183">
        <v>2</v>
      </c>
      <c r="L152" s="183">
        <v>65</v>
      </c>
      <c r="M152" s="183">
        <v>14.4</v>
      </c>
      <c r="N152" s="183">
        <v>6.67</v>
      </c>
      <c r="O152" s="183">
        <v>2.2999999999999998</v>
      </c>
      <c r="P152" s="239">
        <f t="shared" si="39"/>
        <v>4.1743872698956368</v>
      </c>
      <c r="Q152" s="178" t="str">
        <f t="shared" si="55"/>
        <v>R. sub - DeForest</v>
      </c>
      <c r="R152" s="302">
        <f t="shared" si="56"/>
        <v>-5.5954719933065631</v>
      </c>
      <c r="S152" s="220">
        <f t="shared" si="43"/>
        <v>9.7698592632021999</v>
      </c>
      <c r="T152" s="236">
        <f t="shared" si="51"/>
        <v>23</v>
      </c>
      <c r="U152" s="221" t="str">
        <f t="shared" si="52"/>
        <v>23-POP-EC10-EX</v>
      </c>
      <c r="V152" s="222" cm="1">
        <f t="array" ref="V152">GEOMEAN(IF(U152=$U$4:$U$176,$S$4:$S$176))</f>
        <v>9.4587127901440979</v>
      </c>
      <c r="W152" s="303">
        <f t="shared" si="54"/>
        <v>2.8263450294070696</v>
      </c>
      <c r="X152" s="225">
        <f t="shared" si="41"/>
        <v>16.883638711368956</v>
      </c>
      <c r="Y152" s="225">
        <f t="shared" si="53"/>
        <v>16.883638711368956</v>
      </c>
      <c r="Z152" s="226"/>
      <c r="AA152" s="226"/>
      <c r="AB152" s="227"/>
      <c r="AC152" s="244" t="s">
        <v>1772</v>
      </c>
      <c r="AD152" s="247">
        <v>0.81399999999999995</v>
      </c>
      <c r="AE152" s="244" t="s">
        <v>1859</v>
      </c>
      <c r="AG152" s="248"/>
      <c r="AH152" s="182"/>
      <c r="AI152" s="182"/>
      <c r="AJ152" s="182"/>
      <c r="AK152" s="182"/>
      <c r="AL152" s="182"/>
    </row>
    <row r="153" spans="1:38" s="183" customFormat="1" ht="15.75" customHeight="1" x14ac:dyDescent="0.25">
      <c r="A153" s="183" t="s">
        <v>1979</v>
      </c>
      <c r="B153" s="183" t="s">
        <v>1526</v>
      </c>
      <c r="C153" s="183">
        <v>2017</v>
      </c>
      <c r="D153" s="183" t="s">
        <v>1527</v>
      </c>
      <c r="E153" s="183" t="s">
        <v>1980</v>
      </c>
      <c r="F153" s="180" t="s">
        <v>344</v>
      </c>
      <c r="G153" s="183" t="s">
        <v>1303</v>
      </c>
      <c r="H153" s="183" t="s">
        <v>264</v>
      </c>
      <c r="I153" s="183" t="s">
        <v>256</v>
      </c>
      <c r="J153" s="183" t="s">
        <v>49</v>
      </c>
      <c r="K153" s="183">
        <v>2</v>
      </c>
      <c r="L153" s="183">
        <v>68</v>
      </c>
      <c r="M153" s="183">
        <v>13.8</v>
      </c>
      <c r="N153" s="183">
        <v>6.72</v>
      </c>
      <c r="O153" s="183">
        <v>3.7</v>
      </c>
      <c r="P153" s="239">
        <f t="shared" si="39"/>
        <v>4.219507705176107</v>
      </c>
      <c r="Q153" s="178" t="str">
        <f t="shared" si="55"/>
        <v>R. sub - DeForest</v>
      </c>
      <c r="R153" s="302">
        <f t="shared" si="56"/>
        <v>-5.5393584406931122</v>
      </c>
      <c r="S153" s="220">
        <f t="shared" si="43"/>
        <v>9.7588661458692201</v>
      </c>
      <c r="T153" s="236">
        <f t="shared" si="51"/>
        <v>23</v>
      </c>
      <c r="U153" s="221" t="str">
        <f t="shared" si="52"/>
        <v>23-POP-EC10-EX</v>
      </c>
      <c r="V153" s="222" cm="1">
        <f t="array" ref="V153">GEOMEAN(IF(U153=$U$4:$U$176,$S$4:$S$176))</f>
        <v>9.4587127901440979</v>
      </c>
      <c r="W153" s="303">
        <f t="shared" si="54"/>
        <v>2.8263450294070696</v>
      </c>
      <c r="X153" s="225">
        <f t="shared" si="41"/>
        <v>16.883638711368956</v>
      </c>
      <c r="Y153" s="225">
        <f t="shared" si="53"/>
        <v>16.883638711368956</v>
      </c>
      <c r="Z153" s="226"/>
      <c r="AA153" s="226"/>
      <c r="AB153" s="227"/>
      <c r="AC153" s="244" t="s">
        <v>1772</v>
      </c>
      <c r="AD153" s="247">
        <v>0.81399999999999995</v>
      </c>
      <c r="AE153" s="244" t="s">
        <v>1859</v>
      </c>
      <c r="AG153" s="248"/>
      <c r="AH153" s="182"/>
      <c r="AI153" s="182"/>
      <c r="AJ153" s="182"/>
      <c r="AK153" s="182"/>
      <c r="AL153" s="182"/>
    </row>
    <row r="154" spans="1:38" s="182" customFormat="1" ht="15.75" customHeight="1" x14ac:dyDescent="0.25">
      <c r="A154" s="183" t="s">
        <v>1981</v>
      </c>
      <c r="B154" s="183" t="s">
        <v>1529</v>
      </c>
      <c r="C154" s="183">
        <v>2017</v>
      </c>
      <c r="D154" s="183" t="s">
        <v>1527</v>
      </c>
      <c r="E154" s="183" t="s">
        <v>1982</v>
      </c>
      <c r="F154" s="180" t="s">
        <v>344</v>
      </c>
      <c r="G154" s="183" t="s">
        <v>1303</v>
      </c>
      <c r="H154" s="183" t="s">
        <v>264</v>
      </c>
      <c r="I154" s="183" t="s">
        <v>256</v>
      </c>
      <c r="J154" s="183" t="s">
        <v>49</v>
      </c>
      <c r="K154" s="183">
        <v>2</v>
      </c>
      <c r="L154" s="183">
        <v>62</v>
      </c>
      <c r="M154" s="183">
        <v>19.3</v>
      </c>
      <c r="N154" s="183">
        <v>5.85</v>
      </c>
      <c r="O154" s="183">
        <v>2.9</v>
      </c>
      <c r="P154" s="239">
        <f>LN(L154)</f>
        <v>4.1271343850450917</v>
      </c>
      <c r="Q154" s="178" t="str">
        <f t="shared" si="55"/>
        <v>R. sub - DeForest</v>
      </c>
      <c r="R154" s="302">
        <f t="shared" si="56"/>
        <v>-4.8377254559685827</v>
      </c>
      <c r="S154" s="220">
        <f>P154-R154</f>
        <v>8.9648598410136735</v>
      </c>
      <c r="T154" s="236">
        <f t="shared" si="51"/>
        <v>23</v>
      </c>
      <c r="U154" s="221" t="str">
        <f t="shared" si="52"/>
        <v>23-POP-EC10-EX</v>
      </c>
      <c r="V154" s="222" cm="1">
        <f t="array" ref="V154">GEOMEAN(IF(U154=$U$4:$U$176,$S$4:$S$176))</f>
        <v>9.4587127901440979</v>
      </c>
      <c r="W154" s="303">
        <f t="shared" si="54"/>
        <v>2.8263450294070696</v>
      </c>
      <c r="X154" s="225">
        <f>EXP(W154)</f>
        <v>16.883638711368956</v>
      </c>
      <c r="Y154" s="225">
        <f t="shared" si="53"/>
        <v>16.883638711368956</v>
      </c>
      <c r="Z154" s="226"/>
      <c r="AA154" s="226"/>
      <c r="AB154" s="227"/>
      <c r="AC154" s="244" t="s">
        <v>1772</v>
      </c>
      <c r="AD154" s="247">
        <v>0.81399999999999995</v>
      </c>
      <c r="AE154" s="244" t="s">
        <v>1859</v>
      </c>
      <c r="AG154" s="248"/>
    </row>
    <row r="155" spans="1:38" s="182" customFormat="1" ht="15.75" customHeight="1" x14ac:dyDescent="0.25">
      <c r="A155" s="183" t="s">
        <v>1983</v>
      </c>
      <c r="B155" s="183" t="s">
        <v>1529</v>
      </c>
      <c r="C155" s="183">
        <v>2017</v>
      </c>
      <c r="D155" s="183" t="s">
        <v>1527</v>
      </c>
      <c r="E155" s="183"/>
      <c r="F155" s="180" t="s">
        <v>344</v>
      </c>
      <c r="G155" s="183" t="s">
        <v>1303</v>
      </c>
      <c r="H155" s="183" t="s">
        <v>264</v>
      </c>
      <c r="I155" s="183" t="s">
        <v>256</v>
      </c>
      <c r="J155" s="183" t="s">
        <v>49</v>
      </c>
      <c r="K155" s="183">
        <v>3</v>
      </c>
      <c r="L155" s="183">
        <v>22</v>
      </c>
      <c r="M155" s="183">
        <v>8.6</v>
      </c>
      <c r="N155" s="183">
        <v>6.08</v>
      </c>
      <c r="O155" s="183">
        <v>4.5</v>
      </c>
      <c r="P155" s="239">
        <f t="shared" ref="P155:P162" si="57">LN(L155)</f>
        <v>3.0910424533583161</v>
      </c>
      <c r="Q155" s="178" t="str">
        <f t="shared" si="55"/>
        <v>R. sub - DeForest</v>
      </c>
      <c r="R155" s="302">
        <f t="shared" si="56"/>
        <v>-4.9448478240737588</v>
      </c>
      <c r="S155" s="220">
        <f t="shared" ref="S155:S162" si="58">P155-R155</f>
        <v>8.035890277432074</v>
      </c>
      <c r="T155" s="236">
        <f t="shared" si="51"/>
        <v>23</v>
      </c>
      <c r="U155" s="221" t="str">
        <f t="shared" si="52"/>
        <v>23-POP-EC10-EX</v>
      </c>
      <c r="V155" s="222" cm="1">
        <f t="array" ref="V155">GEOMEAN(IF(U155=$U$4:$U$176,$S$4:$S$176))</f>
        <v>9.4587127901440979</v>
      </c>
      <c r="W155" s="303">
        <f t="shared" si="54"/>
        <v>2.8263450294070696</v>
      </c>
      <c r="X155" s="225">
        <f t="shared" ref="X155:X162" si="59">EXP(W155)</f>
        <v>16.883638711368956</v>
      </c>
      <c r="Y155" s="225">
        <f t="shared" si="53"/>
        <v>16.883638711368956</v>
      </c>
      <c r="Z155" s="226"/>
      <c r="AA155" s="226"/>
      <c r="AB155" s="227"/>
      <c r="AC155" s="244" t="s">
        <v>1772</v>
      </c>
      <c r="AD155" s="247">
        <v>0.81399999999999995</v>
      </c>
      <c r="AE155" s="244" t="s">
        <v>1859</v>
      </c>
      <c r="AG155" s="248"/>
    </row>
    <row r="156" spans="1:38" s="182" customFormat="1" ht="15.75" customHeight="1" x14ac:dyDescent="0.25">
      <c r="A156" s="183" t="s">
        <v>1984</v>
      </c>
      <c r="B156" s="183" t="s">
        <v>1529</v>
      </c>
      <c r="C156" s="183">
        <v>2017</v>
      </c>
      <c r="D156" s="183" t="s">
        <v>1527</v>
      </c>
      <c r="E156" s="183"/>
      <c r="F156" s="180" t="s">
        <v>344</v>
      </c>
      <c r="G156" s="183" t="s">
        <v>1303</v>
      </c>
      <c r="H156" s="183" t="s">
        <v>264</v>
      </c>
      <c r="I156" s="183" t="s">
        <v>256</v>
      </c>
      <c r="J156" s="183" t="s">
        <v>49</v>
      </c>
      <c r="K156" s="183">
        <v>3</v>
      </c>
      <c r="L156" s="183">
        <v>32</v>
      </c>
      <c r="M156" s="183">
        <v>8.9</v>
      </c>
      <c r="N156" s="183">
        <v>6.01</v>
      </c>
      <c r="O156" s="183">
        <v>4.4000000000000004</v>
      </c>
      <c r="P156" s="239">
        <f t="shared" si="57"/>
        <v>3.4657359027997265</v>
      </c>
      <c r="Q156" s="178" t="str">
        <f t="shared" si="55"/>
        <v>R. sub - DeForest</v>
      </c>
      <c r="R156" s="302">
        <f t="shared" si="56"/>
        <v>-4.8889946509468389</v>
      </c>
      <c r="S156" s="220">
        <f t="shared" si="58"/>
        <v>8.354730553746565</v>
      </c>
      <c r="T156" s="236">
        <f t="shared" si="51"/>
        <v>23</v>
      </c>
      <c r="U156" s="221" t="str">
        <f t="shared" si="52"/>
        <v>23-POP-EC10-EX</v>
      </c>
      <c r="V156" s="222" cm="1">
        <f t="array" ref="V156">GEOMEAN(IF(U156=$U$4:$U$176,$S$4:$S$176))</f>
        <v>9.4587127901440979</v>
      </c>
      <c r="W156" s="303">
        <f t="shared" si="54"/>
        <v>2.8263450294070696</v>
      </c>
      <c r="X156" s="225">
        <f t="shared" si="59"/>
        <v>16.883638711368956</v>
      </c>
      <c r="Y156" s="225">
        <f t="shared" si="53"/>
        <v>16.883638711368956</v>
      </c>
      <c r="Z156" s="226"/>
      <c r="AA156" s="226"/>
      <c r="AB156" s="227"/>
      <c r="AC156" s="244" t="s">
        <v>1772</v>
      </c>
      <c r="AD156" s="247">
        <v>0.81399999999999995</v>
      </c>
      <c r="AE156" s="244" t="s">
        <v>1859</v>
      </c>
      <c r="AG156" s="248"/>
    </row>
    <row r="157" spans="1:38" s="182" customFormat="1" ht="15.75" customHeight="1" x14ac:dyDescent="0.25">
      <c r="B157" s="180"/>
      <c r="C157" s="217">
        <v>2022</v>
      </c>
      <c r="D157" s="180" t="s">
        <v>1654</v>
      </c>
      <c r="E157" s="180" t="s">
        <v>1311</v>
      </c>
      <c r="F157" s="180" t="s">
        <v>344</v>
      </c>
      <c r="G157" s="180" t="s">
        <v>1303</v>
      </c>
      <c r="H157" s="183" t="s">
        <v>264</v>
      </c>
      <c r="I157" s="183" t="s">
        <v>256</v>
      </c>
      <c r="J157" s="180" t="s">
        <v>49</v>
      </c>
      <c r="K157" s="180">
        <v>3</v>
      </c>
      <c r="L157" s="180">
        <v>21</v>
      </c>
      <c r="M157" s="180">
        <v>18</v>
      </c>
      <c r="N157" s="180">
        <v>7.4</v>
      </c>
      <c r="O157" s="94">
        <v>0.5</v>
      </c>
      <c r="P157" s="239">
        <f t="shared" si="57"/>
        <v>3.044522437723423</v>
      </c>
      <c r="Q157" s="178" t="str">
        <f t="shared" si="55"/>
        <v>R. sub - DeForest</v>
      </c>
      <c r="R157" s="302">
        <f t="shared" si="56"/>
        <v>-6.5458677607370284</v>
      </c>
      <c r="S157" s="220">
        <f t="shared" si="58"/>
        <v>9.5903901984604509</v>
      </c>
      <c r="T157" s="236">
        <f t="shared" si="51"/>
        <v>23</v>
      </c>
      <c r="U157" s="221" t="str">
        <f t="shared" si="52"/>
        <v>23-POP-EC10-EX</v>
      </c>
      <c r="V157" s="222" cm="1">
        <f t="array" ref="V157">GEOMEAN(IF(U157=$U$4:$U$176,$S$4:$S$176))</f>
        <v>9.4587127901440979</v>
      </c>
      <c r="W157" s="303">
        <f t="shared" si="54"/>
        <v>2.8263450294070696</v>
      </c>
      <c r="X157" s="225">
        <f t="shared" si="59"/>
        <v>16.883638711368956</v>
      </c>
      <c r="Y157" s="225">
        <f t="shared" si="53"/>
        <v>16.883638711368956</v>
      </c>
      <c r="Z157" s="226"/>
      <c r="AA157" s="226"/>
      <c r="AB157" s="227"/>
      <c r="AC157" s="244"/>
      <c r="AD157" s="247"/>
      <c r="AE157" s="244"/>
      <c r="AG157" s="248"/>
    </row>
    <row r="158" spans="1:38" s="182" customFormat="1" ht="15.75" customHeight="1" x14ac:dyDescent="0.25">
      <c r="B158" s="180"/>
      <c r="C158" s="217">
        <v>2022</v>
      </c>
      <c r="D158" s="180" t="s">
        <v>1654</v>
      </c>
      <c r="E158" s="180" t="s">
        <v>1678</v>
      </c>
      <c r="F158" s="180" t="s">
        <v>344</v>
      </c>
      <c r="G158" s="180" t="s">
        <v>1303</v>
      </c>
      <c r="H158" s="183" t="s">
        <v>264</v>
      </c>
      <c r="I158" s="183" t="s">
        <v>256</v>
      </c>
      <c r="J158" s="180" t="s">
        <v>49</v>
      </c>
      <c r="K158" s="180">
        <v>3</v>
      </c>
      <c r="L158" s="180">
        <v>6.3</v>
      </c>
      <c r="M158" s="180">
        <v>39</v>
      </c>
      <c r="N158" s="180">
        <v>7.9</v>
      </c>
      <c r="O158" s="94">
        <v>0.5</v>
      </c>
      <c r="P158" s="239">
        <f t="shared" si="57"/>
        <v>1.8405496333974869</v>
      </c>
      <c r="Q158" s="178" t="str">
        <f t="shared" si="55"/>
        <v>R. sub - DeForest</v>
      </c>
      <c r="R158" s="302">
        <f t="shared" si="56"/>
        <v>-6.9783677607370285</v>
      </c>
      <c r="S158" s="220">
        <f t="shared" si="58"/>
        <v>8.818917394134516</v>
      </c>
      <c r="T158" s="236">
        <f t="shared" si="51"/>
        <v>23</v>
      </c>
      <c r="U158" s="221" t="str">
        <f t="shared" si="52"/>
        <v>23-POP-EC10-EX</v>
      </c>
      <c r="V158" s="222" cm="1">
        <f t="array" ref="V158">GEOMEAN(IF(U158=$U$4:$U$176,$S$4:$S$176))</f>
        <v>9.4587127901440979</v>
      </c>
      <c r="W158" s="303">
        <f t="shared" si="54"/>
        <v>2.8263450294070696</v>
      </c>
      <c r="X158" s="225">
        <f t="shared" si="59"/>
        <v>16.883638711368956</v>
      </c>
      <c r="Y158" s="225">
        <f t="shared" si="53"/>
        <v>16.883638711368956</v>
      </c>
      <c r="Z158" s="226"/>
      <c r="AA158" s="226"/>
      <c r="AB158" s="227"/>
      <c r="AC158" s="244"/>
      <c r="AD158" s="247"/>
      <c r="AE158" s="244"/>
      <c r="AG158" s="248"/>
    </row>
    <row r="159" spans="1:38" s="182" customFormat="1" ht="15.75" customHeight="1" x14ac:dyDescent="0.25">
      <c r="B159" s="180"/>
      <c r="C159" s="217">
        <v>2022</v>
      </c>
      <c r="D159" s="180" t="s">
        <v>1654</v>
      </c>
      <c r="E159" s="180" t="s">
        <v>1679</v>
      </c>
      <c r="F159" s="180" t="s">
        <v>344</v>
      </c>
      <c r="G159" s="180" t="s">
        <v>1303</v>
      </c>
      <c r="H159" s="183" t="s">
        <v>264</v>
      </c>
      <c r="I159" s="183" t="s">
        <v>256</v>
      </c>
      <c r="J159" s="180" t="s">
        <v>49</v>
      </c>
      <c r="K159" s="180">
        <v>3</v>
      </c>
      <c r="L159" s="180">
        <v>7.7</v>
      </c>
      <c r="M159" s="180">
        <v>50</v>
      </c>
      <c r="N159" s="180">
        <v>8</v>
      </c>
      <c r="O159" s="94">
        <v>0.4</v>
      </c>
      <c r="P159" s="239">
        <f t="shared" si="57"/>
        <v>2.0412203288596382</v>
      </c>
      <c r="Q159" s="178" t="str">
        <f t="shared" si="55"/>
        <v>R. sub - DeForest</v>
      </c>
      <c r="R159" s="302">
        <f t="shared" si="56"/>
        <v>-7.1115047629616983</v>
      </c>
      <c r="S159" s="220">
        <f t="shared" si="58"/>
        <v>9.1527250918213365</v>
      </c>
      <c r="T159" s="236">
        <f t="shared" si="51"/>
        <v>23</v>
      </c>
      <c r="U159" s="221" t="str">
        <f t="shared" si="52"/>
        <v>23-POP-EC10-EX</v>
      </c>
      <c r="V159" s="222" cm="1">
        <f t="array" ref="V159">GEOMEAN(IF(U159=$U$4:$U$176,$S$4:$S$176))</f>
        <v>9.4587127901440979</v>
      </c>
      <c r="W159" s="303">
        <f t="shared" si="54"/>
        <v>2.8263450294070696</v>
      </c>
      <c r="X159" s="225">
        <f t="shared" si="59"/>
        <v>16.883638711368956</v>
      </c>
      <c r="Y159" s="225">
        <f t="shared" si="53"/>
        <v>16.883638711368956</v>
      </c>
      <c r="Z159" s="226"/>
      <c r="AA159" s="226"/>
      <c r="AB159" s="227"/>
      <c r="AC159" s="244"/>
      <c r="AD159" s="247"/>
      <c r="AE159" s="244"/>
      <c r="AG159" s="248"/>
    </row>
    <row r="160" spans="1:38" s="182" customFormat="1" ht="15.75" customHeight="1" x14ac:dyDescent="0.25">
      <c r="B160" s="180"/>
      <c r="C160" s="217">
        <v>2022</v>
      </c>
      <c r="D160" s="180" t="s">
        <v>1654</v>
      </c>
      <c r="E160" s="180" t="s">
        <v>1680</v>
      </c>
      <c r="F160" s="180" t="s">
        <v>344</v>
      </c>
      <c r="G160" s="180" t="s">
        <v>1303</v>
      </c>
      <c r="H160" s="183" t="s">
        <v>264</v>
      </c>
      <c r="I160" s="183" t="s">
        <v>256</v>
      </c>
      <c r="J160" s="180" t="s">
        <v>49</v>
      </c>
      <c r="K160" s="180">
        <v>3</v>
      </c>
      <c r="L160" s="180">
        <v>20</v>
      </c>
      <c r="M160" s="180">
        <v>110</v>
      </c>
      <c r="N160" s="180">
        <v>8.1999999999999993</v>
      </c>
      <c r="O160" s="94">
        <v>2.4</v>
      </c>
      <c r="P160" s="239">
        <f t="shared" si="57"/>
        <v>2.9957322735539909</v>
      </c>
      <c r="Q160" s="178" t="str">
        <f t="shared" si="55"/>
        <v>R. sub - DeForest</v>
      </c>
      <c r="R160" s="302">
        <f t="shared" si="56"/>
        <v>-6.9100270338930336</v>
      </c>
      <c r="S160" s="220">
        <f t="shared" si="58"/>
        <v>9.905759307447024</v>
      </c>
      <c r="T160" s="236">
        <f t="shared" si="51"/>
        <v>23</v>
      </c>
      <c r="U160" s="221" t="str">
        <f t="shared" si="52"/>
        <v>23-POP-EC10-EX</v>
      </c>
      <c r="V160" s="222" cm="1">
        <f t="array" ref="V160">GEOMEAN(IF(U160=$U$4:$U$176,$S$4:$S$176))</f>
        <v>9.4587127901440979</v>
      </c>
      <c r="W160" s="303">
        <f t="shared" si="54"/>
        <v>2.8263450294070696</v>
      </c>
      <c r="X160" s="225">
        <f t="shared" si="59"/>
        <v>16.883638711368956</v>
      </c>
      <c r="Y160" s="225">
        <f t="shared" si="53"/>
        <v>16.883638711368956</v>
      </c>
      <c r="Z160" s="226"/>
      <c r="AA160" s="226"/>
      <c r="AB160" s="227"/>
      <c r="AC160" s="244"/>
      <c r="AD160" s="247"/>
      <c r="AE160" s="244"/>
      <c r="AG160" s="248"/>
    </row>
    <row r="161" spans="1:33" s="182" customFormat="1" ht="15.75" customHeight="1" x14ac:dyDescent="0.25">
      <c r="B161" s="180"/>
      <c r="C161" s="217">
        <v>2022</v>
      </c>
      <c r="D161" s="180" t="s">
        <v>1654</v>
      </c>
      <c r="E161" s="180" t="s">
        <v>1681</v>
      </c>
      <c r="F161" s="180" t="s">
        <v>344</v>
      </c>
      <c r="G161" s="180" t="s">
        <v>1303</v>
      </c>
      <c r="H161" s="183" t="s">
        <v>264</v>
      </c>
      <c r="I161" s="183" t="s">
        <v>256</v>
      </c>
      <c r="J161" s="180" t="s">
        <v>49</v>
      </c>
      <c r="K161" s="180">
        <v>3</v>
      </c>
      <c r="L161" s="180">
        <v>43</v>
      </c>
      <c r="M161" s="180">
        <v>25.6</v>
      </c>
      <c r="N161" s="180">
        <v>7.2</v>
      </c>
      <c r="O161" s="94">
        <v>7.3</v>
      </c>
      <c r="P161" s="239">
        <f t="shared" si="57"/>
        <v>3.7612001156935624</v>
      </c>
      <c r="Q161" s="178" t="str">
        <f t="shared" si="55"/>
        <v>R. sub - DeForest</v>
      </c>
      <c r="R161" s="302">
        <f t="shared" si="56"/>
        <v>-5.8125342612357418</v>
      </c>
      <c r="S161" s="220">
        <f t="shared" si="58"/>
        <v>9.5737343769293037</v>
      </c>
      <c r="T161" s="236">
        <f t="shared" si="51"/>
        <v>23</v>
      </c>
      <c r="U161" s="221" t="str">
        <f t="shared" si="52"/>
        <v>23-POP-EC10-EX</v>
      </c>
      <c r="V161" s="222" cm="1">
        <f t="array" ref="V161">GEOMEAN(IF(U161=$U$4:$U$176,$S$4:$S$176))</f>
        <v>9.4587127901440979</v>
      </c>
      <c r="W161" s="303">
        <f t="shared" si="54"/>
        <v>2.8263450294070696</v>
      </c>
      <c r="X161" s="225">
        <f t="shared" si="59"/>
        <v>16.883638711368956</v>
      </c>
      <c r="Y161" s="225">
        <f t="shared" si="53"/>
        <v>16.883638711368956</v>
      </c>
      <c r="Z161" s="226"/>
      <c r="AA161" s="226"/>
      <c r="AB161" s="227"/>
      <c r="AC161" s="244"/>
      <c r="AD161" s="247"/>
      <c r="AE161" s="244"/>
      <c r="AG161" s="248"/>
    </row>
    <row r="162" spans="1:33" s="182" customFormat="1" ht="15.75" customHeight="1" x14ac:dyDescent="0.25">
      <c r="B162" s="180"/>
      <c r="C162" s="217">
        <v>2022</v>
      </c>
      <c r="D162" s="180" t="s">
        <v>1654</v>
      </c>
      <c r="E162" s="180" t="s">
        <v>1682</v>
      </c>
      <c r="F162" s="180" t="s">
        <v>344</v>
      </c>
      <c r="G162" s="180" t="s">
        <v>1303</v>
      </c>
      <c r="H162" s="183" t="s">
        <v>264</v>
      </c>
      <c r="I162" s="183" t="s">
        <v>256</v>
      </c>
      <c r="J162" s="180" t="s">
        <v>49</v>
      </c>
      <c r="K162" s="180">
        <v>3</v>
      </c>
      <c r="L162" s="180">
        <v>6.9</v>
      </c>
      <c r="M162" s="180">
        <v>72.3</v>
      </c>
      <c r="N162" s="180">
        <v>7.6</v>
      </c>
      <c r="O162" s="94">
        <v>4.5999999999999996</v>
      </c>
      <c r="P162" s="239">
        <f t="shared" si="57"/>
        <v>1.9315214116032138</v>
      </c>
      <c r="Q162" s="178" t="str">
        <f t="shared" si="55"/>
        <v>R. sub - DeForest</v>
      </c>
      <c r="R162" s="302">
        <f t="shared" si="56"/>
        <v>-6.2550542325695346</v>
      </c>
      <c r="S162" s="220">
        <f t="shared" si="58"/>
        <v>8.1865756441727484</v>
      </c>
      <c r="T162" s="236">
        <f t="shared" si="51"/>
        <v>23</v>
      </c>
      <c r="U162" s="221" t="str">
        <f t="shared" si="52"/>
        <v>23-POP-EC10-EX</v>
      </c>
      <c r="V162" s="222" cm="1">
        <f t="array" ref="V162">GEOMEAN(IF(U162=$U$4:$U$176,$S$4:$S$176))</f>
        <v>9.4587127901440979</v>
      </c>
      <c r="W162" s="303">
        <f t="shared" si="54"/>
        <v>2.8263450294070696</v>
      </c>
      <c r="X162" s="225">
        <f t="shared" si="59"/>
        <v>16.883638711368956</v>
      </c>
      <c r="Y162" s="225">
        <f t="shared" si="53"/>
        <v>16.883638711368956</v>
      </c>
      <c r="Z162" s="226"/>
      <c r="AA162" s="226"/>
      <c r="AB162" s="227"/>
      <c r="AC162" s="244"/>
      <c r="AD162" s="247"/>
      <c r="AE162" s="244"/>
      <c r="AG162" s="248"/>
    </row>
    <row r="163" spans="1:33" s="182" customFormat="1" ht="15.75" customHeight="1" x14ac:dyDescent="0.25">
      <c r="A163" s="248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248"/>
      <c r="S163" s="248"/>
      <c r="T163" s="244"/>
      <c r="U163" s="244"/>
      <c r="V163" s="248"/>
      <c r="W163" s="248"/>
      <c r="X163" s="248"/>
      <c r="Y163" s="248"/>
      <c r="Z163" s="248"/>
      <c r="AA163" s="248"/>
      <c r="AB163" s="254"/>
      <c r="AC163" s="228"/>
      <c r="AD163" s="228"/>
      <c r="AE163" s="228"/>
      <c r="AG163" s="248"/>
    </row>
    <row r="164" spans="1:33" s="182" customFormat="1" ht="15.75" customHeight="1" x14ac:dyDescent="0.25">
      <c r="A164" s="248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248"/>
      <c r="S164" s="248"/>
      <c r="T164" s="244"/>
      <c r="U164" s="244"/>
      <c r="V164" s="248"/>
      <c r="W164" s="248"/>
      <c r="X164" s="248"/>
      <c r="Y164" s="248"/>
      <c r="Z164" s="248"/>
      <c r="AA164" s="248"/>
      <c r="AB164" s="254"/>
      <c r="AC164" s="228"/>
      <c r="AD164" s="228"/>
      <c r="AE164" s="228"/>
      <c r="AG164" s="248"/>
    </row>
    <row r="165" spans="1:33" s="182" customFormat="1" ht="15.75" customHeight="1" x14ac:dyDescent="0.25">
      <c r="A165" s="248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248"/>
      <c r="S165" s="248"/>
      <c r="T165" s="244"/>
      <c r="U165" s="244"/>
      <c r="V165" s="248"/>
      <c r="W165" s="248"/>
      <c r="X165" s="248"/>
      <c r="Y165" s="248"/>
      <c r="Z165" s="248"/>
      <c r="AA165" s="248"/>
      <c r="AB165" s="254"/>
      <c r="AC165" s="228"/>
      <c r="AD165" s="228"/>
      <c r="AE165" s="228"/>
      <c r="AG165" s="248"/>
    </row>
    <row r="166" spans="1:33" x14ac:dyDescent="0.25">
      <c r="AB166" s="254"/>
      <c r="AC166" s="228"/>
      <c r="AD166" s="228"/>
      <c r="AE166" s="228"/>
      <c r="AG166" s="248"/>
    </row>
    <row r="167" spans="1:33" x14ac:dyDescent="0.25">
      <c r="AB167" s="254"/>
      <c r="AC167" s="228"/>
      <c r="AD167" s="228"/>
      <c r="AE167" s="228"/>
      <c r="AG167" s="248"/>
    </row>
    <row r="168" spans="1:33" x14ac:dyDescent="0.25">
      <c r="AB168" s="254"/>
      <c r="AC168" s="228"/>
      <c r="AD168" s="228"/>
      <c r="AE168" s="228"/>
      <c r="AG168" s="248"/>
    </row>
    <row r="169" spans="1:33" x14ac:dyDescent="0.25">
      <c r="AB169" s="254"/>
      <c r="AC169" s="228"/>
      <c r="AD169" s="228"/>
      <c r="AE169" s="228"/>
      <c r="AG169" s="248"/>
    </row>
    <row r="170" spans="1:33" x14ac:dyDescent="0.25">
      <c r="AG170" s="248"/>
    </row>
    <row r="171" spans="1:33" x14ac:dyDescent="0.25">
      <c r="AG171" s="248"/>
    </row>
    <row r="172" spans="1:33" x14ac:dyDescent="0.25">
      <c r="AG172" s="248"/>
    </row>
  </sheetData>
  <autoFilter ref="A3:BE165" xr:uid="{AA7F5568-B76C-4ECF-A916-D0607C60E1BD}"/>
  <conditionalFormatting sqref="T4:U162">
    <cfRule type="containsBlanks" dxfId="22" priority="11">
      <formula>LEN(TRIM(T4))=0</formula>
    </cfRule>
    <cfRule type="cellIs" dxfId="21" priority="12" operator="equal">
      <formula>""</formula>
    </cfRule>
  </conditionalFormatting>
  <conditionalFormatting sqref="AA121">
    <cfRule type="containsBlanks" dxfId="20" priority="7">
      <formula>LEN(TRIM(AA121))=0</formula>
    </cfRule>
    <cfRule type="cellIs" dxfId="19" priority="8" operator="equal">
      <formula>""</formula>
    </cfRule>
  </conditionalFormatting>
  <conditionalFormatting sqref="AA123">
    <cfRule type="containsBlanks" dxfId="18" priority="5">
      <formula>LEN(TRIM(AA123))=0</formula>
    </cfRule>
    <cfRule type="cellIs" dxfId="17" priority="6" operator="equal">
      <formula>""</formula>
    </cfRule>
  </conditionalFormatting>
  <conditionalFormatting sqref="AA125">
    <cfRule type="containsBlanks" dxfId="16" priority="3">
      <formula>LEN(TRIM(AA125))=0</formula>
    </cfRule>
    <cfRule type="cellIs" dxfId="15" priority="4" operator="equal">
      <formula>""</formula>
    </cfRule>
  </conditionalFormatting>
  <conditionalFormatting sqref="AA127">
    <cfRule type="containsBlanks" dxfId="14" priority="1">
      <formula>LEN(TRIM(AA127))=0</formula>
    </cfRule>
    <cfRule type="cellIs" dxfId="13" priority="2" operator="equal">
      <formula>""</formula>
    </cfRule>
  </conditionalFormatting>
  <conditionalFormatting sqref="AA131">
    <cfRule type="containsBlanks" dxfId="12" priority="9">
      <formula>LEN(TRIM(AA131))=0</formula>
    </cfRule>
    <cfRule type="cellIs" dxfId="11" priority="10" operator="equal">
      <formula>""</formula>
    </cfRule>
  </conditionalFormatting>
  <conditionalFormatting sqref="AH2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{912D77A4-8FF3-48FD-9F8E-B3B8DFC8079A}</x14:id>
        </ext>
      </extLst>
    </cfRule>
  </conditionalFormatting>
  <hyperlinks>
    <hyperlink ref="A102" location="'FW metal plant_WS'!D36" display="'FW metal plant_WS'!D36" xr:uid="{7A25696A-5170-4366-8B6D-0FF9452A4FD1}"/>
    <hyperlink ref="A103" location="'FW metal plant_WS'!D39" display="'FW metal plant_WS'!D39" xr:uid="{021F19DD-7895-464E-A256-40C689DCC6E5}"/>
    <hyperlink ref="A104" location="'FW metal plant_WS'!D42" display="'FW metal plant_WS'!D42" xr:uid="{B89CF1D5-41EF-4D84-9CBE-D38FE7CB29F8}"/>
    <hyperlink ref="A105" location="'FW metal plant_WS'!D45" display="'FW metal plant_WS'!D45" xr:uid="{C85BCA67-794F-459E-9CD0-8EB249C5BC9B}"/>
    <hyperlink ref="A106" location="'FW metal plant_WS'!D48" display="'FW metal plant_WS'!D48" xr:uid="{9D06BBB6-C24D-4ECD-8FB2-0B5908239E55}"/>
  </hyperlinks>
  <pageMargins left="0.7" right="0.7" top="0.75" bottom="0.75" header="0.3" footer="0.3"/>
  <pageSetup orientation="portrait"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12D77A4-8FF3-48FD-9F8E-B3B8DFC8079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AH2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1">
    <tabColor theme="1" tint="0.499984740745262"/>
  </sheetPr>
  <dimension ref="B1:F52"/>
  <sheetViews>
    <sheetView workbookViewId="0"/>
  </sheetViews>
  <sheetFormatPr defaultColWidth="8.85546875" defaultRowHeight="15" x14ac:dyDescent="0.25"/>
  <sheetData>
    <row r="1" spans="2:5" ht="15" customHeight="1" x14ac:dyDescent="0.25"/>
    <row r="2" spans="2:5" ht="15" customHeight="1" x14ac:dyDescent="0.25">
      <c r="B2" s="319" t="s">
        <v>36</v>
      </c>
      <c r="C2" s="319"/>
      <c r="D2" s="319"/>
      <c r="E2" s="319"/>
    </row>
    <row r="3" spans="2:5" ht="60" x14ac:dyDescent="0.25">
      <c r="B3" s="9" t="s">
        <v>37</v>
      </c>
      <c r="C3" s="10" t="s">
        <v>38</v>
      </c>
      <c r="D3" s="10" t="s">
        <v>39</v>
      </c>
      <c r="E3" s="10" t="s">
        <v>40</v>
      </c>
    </row>
    <row r="4" spans="2:5" x14ac:dyDescent="0.25">
      <c r="B4" s="11"/>
      <c r="C4" s="12" t="s">
        <v>49</v>
      </c>
      <c r="D4" s="12">
        <v>1</v>
      </c>
      <c r="E4" s="12" t="s">
        <v>50</v>
      </c>
    </row>
    <row r="5" spans="2:5" x14ac:dyDescent="0.25">
      <c r="B5" s="13"/>
      <c r="C5" s="12" t="s">
        <v>174</v>
      </c>
      <c r="D5" s="12">
        <v>1</v>
      </c>
      <c r="E5" s="12" t="s">
        <v>50</v>
      </c>
    </row>
    <row r="6" spans="2:5" x14ac:dyDescent="0.25">
      <c r="B6" s="13"/>
      <c r="C6" s="12" t="s">
        <v>1062</v>
      </c>
      <c r="D6" s="12">
        <v>1</v>
      </c>
      <c r="E6" s="12" t="s">
        <v>50</v>
      </c>
    </row>
    <row r="7" spans="2:5" x14ac:dyDescent="0.25">
      <c r="B7" s="13"/>
      <c r="C7" s="12" t="s">
        <v>52</v>
      </c>
      <c r="D7" s="12">
        <v>1</v>
      </c>
      <c r="E7" s="12" t="s">
        <v>50</v>
      </c>
    </row>
    <row r="8" spans="2:5" x14ac:dyDescent="0.25">
      <c r="B8" s="13"/>
      <c r="C8" s="12" t="s">
        <v>1288</v>
      </c>
      <c r="D8" s="12">
        <v>1</v>
      </c>
      <c r="E8" s="12" t="s">
        <v>50</v>
      </c>
    </row>
    <row r="9" spans="2:5" x14ac:dyDescent="0.25">
      <c r="B9" s="13"/>
      <c r="C9" s="12" t="s">
        <v>49</v>
      </c>
      <c r="D9" s="12">
        <v>1</v>
      </c>
      <c r="E9" s="12" t="s">
        <v>50</v>
      </c>
    </row>
    <row r="10" spans="2:5" x14ac:dyDescent="0.25">
      <c r="B10" s="13"/>
      <c r="C10" s="12" t="s">
        <v>1289</v>
      </c>
      <c r="D10" s="12">
        <v>1</v>
      </c>
      <c r="E10" s="12" t="s">
        <v>50</v>
      </c>
    </row>
    <row r="11" spans="2:5" x14ac:dyDescent="0.25">
      <c r="B11" s="13"/>
      <c r="C11" s="12" t="s">
        <v>927</v>
      </c>
      <c r="D11" s="12">
        <v>1</v>
      </c>
      <c r="E11" s="12" t="s">
        <v>50</v>
      </c>
    </row>
    <row r="12" spans="2:5" x14ac:dyDescent="0.25">
      <c r="B12" s="13"/>
      <c r="C12" s="12" t="s">
        <v>355</v>
      </c>
      <c r="D12" s="12">
        <v>1</v>
      </c>
      <c r="E12" s="12" t="s">
        <v>50</v>
      </c>
    </row>
    <row r="13" spans="2:5" x14ac:dyDescent="0.25">
      <c r="B13" s="13"/>
      <c r="C13" s="12" t="s">
        <v>1117</v>
      </c>
      <c r="D13" s="12">
        <v>1</v>
      </c>
      <c r="E13" s="12" t="s">
        <v>50</v>
      </c>
    </row>
    <row r="14" spans="2:5" x14ac:dyDescent="0.25">
      <c r="B14" s="13"/>
      <c r="C14" s="12" t="s">
        <v>54</v>
      </c>
      <c r="D14" s="12">
        <v>1</v>
      </c>
      <c r="E14" s="12" t="s">
        <v>50</v>
      </c>
    </row>
    <row r="15" spans="2:5" x14ac:dyDescent="0.25">
      <c r="B15" s="13"/>
      <c r="C15" s="12" t="s">
        <v>465</v>
      </c>
      <c r="D15" s="12">
        <v>1</v>
      </c>
      <c r="E15" s="12" t="s">
        <v>50</v>
      </c>
    </row>
    <row r="16" spans="2:5" x14ac:dyDescent="0.25">
      <c r="B16" s="13"/>
      <c r="C16" s="12" t="s">
        <v>1497</v>
      </c>
      <c r="D16" s="12">
        <v>1</v>
      </c>
      <c r="E16" s="12" t="s">
        <v>50</v>
      </c>
    </row>
    <row r="17" spans="2:5" x14ac:dyDescent="0.25">
      <c r="B17" s="13"/>
      <c r="C17" s="12" t="s">
        <v>346</v>
      </c>
      <c r="D17" s="12">
        <v>2</v>
      </c>
      <c r="E17" s="12" t="s">
        <v>50</v>
      </c>
    </row>
    <row r="18" spans="2:5" x14ac:dyDescent="0.25">
      <c r="B18" s="13"/>
      <c r="C18" s="12" t="s">
        <v>554</v>
      </c>
      <c r="D18" s="12">
        <v>2</v>
      </c>
      <c r="E18" s="12" t="s">
        <v>50</v>
      </c>
    </row>
    <row r="19" spans="2:5" x14ac:dyDescent="0.25">
      <c r="B19" s="13"/>
      <c r="C19" s="12" t="s">
        <v>77</v>
      </c>
      <c r="D19" s="12">
        <v>2</v>
      </c>
      <c r="E19" s="12" t="s">
        <v>50</v>
      </c>
    </row>
    <row r="20" spans="2:5" x14ac:dyDescent="0.25">
      <c r="B20" s="13"/>
      <c r="C20" s="12" t="s">
        <v>454</v>
      </c>
      <c r="D20" s="12">
        <v>2.5</v>
      </c>
      <c r="E20" s="12" t="s">
        <v>50</v>
      </c>
    </row>
    <row r="21" spans="2:5" x14ac:dyDescent="0.25">
      <c r="B21" s="13"/>
      <c r="C21" s="12" t="s">
        <v>55</v>
      </c>
      <c r="D21" s="14">
        <v>2.5</v>
      </c>
      <c r="E21" s="12" t="s">
        <v>50</v>
      </c>
    </row>
    <row r="22" spans="2:5" x14ac:dyDescent="0.25">
      <c r="B22" s="13"/>
      <c r="C22" s="15" t="s">
        <v>44</v>
      </c>
      <c r="D22" s="15">
        <v>5</v>
      </c>
      <c r="E22" s="12" t="s">
        <v>50</v>
      </c>
    </row>
    <row r="23" spans="2:5" x14ac:dyDescent="0.25">
      <c r="B23" s="13"/>
      <c r="C23" s="15" t="s">
        <v>110</v>
      </c>
      <c r="D23" s="15">
        <v>5</v>
      </c>
      <c r="E23" s="12" t="s">
        <v>50</v>
      </c>
    </row>
    <row r="24" spans="2:5" x14ac:dyDescent="0.25">
      <c r="B24" s="13"/>
      <c r="C24" s="12" t="s">
        <v>56</v>
      </c>
      <c r="D24" s="14">
        <v>5</v>
      </c>
      <c r="E24" s="12" t="s">
        <v>50</v>
      </c>
    </row>
    <row r="25" spans="2:5" x14ac:dyDescent="0.25">
      <c r="B25" s="13"/>
      <c r="C25" s="13"/>
      <c r="D25" s="13"/>
      <c r="E25" s="13"/>
    </row>
    <row r="26" spans="2:5" x14ac:dyDescent="0.25">
      <c r="B26" s="13"/>
      <c r="C26" s="13"/>
      <c r="D26" s="13"/>
      <c r="E26" s="13"/>
    </row>
    <row r="27" spans="2:5" x14ac:dyDescent="0.25">
      <c r="B27" s="13"/>
      <c r="C27" s="13"/>
      <c r="D27" s="13"/>
      <c r="E27" s="13"/>
    </row>
    <row r="28" spans="2:5" x14ac:dyDescent="0.25">
      <c r="B28" s="13"/>
      <c r="C28" s="13"/>
      <c r="D28" s="13"/>
      <c r="E28" s="13"/>
    </row>
    <row r="29" spans="2:5" ht="75" x14ac:dyDescent="0.25">
      <c r="B29" s="16" t="s">
        <v>57</v>
      </c>
      <c r="C29" s="31" t="s">
        <v>58</v>
      </c>
      <c r="D29" s="31" t="s">
        <v>59</v>
      </c>
      <c r="E29" s="31" t="s">
        <v>60</v>
      </c>
    </row>
    <row r="30" spans="2:5" x14ac:dyDescent="0.25">
      <c r="B30" s="13"/>
      <c r="C30" s="17" t="s">
        <v>46</v>
      </c>
      <c r="D30" s="14">
        <v>1</v>
      </c>
      <c r="E30" s="12" t="s">
        <v>46</v>
      </c>
    </row>
    <row r="31" spans="2:5" x14ac:dyDescent="0.25">
      <c r="B31" s="13"/>
      <c r="C31" s="17" t="s">
        <v>61</v>
      </c>
      <c r="D31" s="14">
        <v>2</v>
      </c>
      <c r="E31" s="12" t="s">
        <v>46</v>
      </c>
    </row>
    <row r="34" spans="2:6" x14ac:dyDescent="0.25">
      <c r="B34" s="34" t="s">
        <v>1290</v>
      </c>
      <c r="C34" s="31"/>
      <c r="D34" s="31"/>
      <c r="E34" s="31"/>
    </row>
    <row r="35" spans="2:6" x14ac:dyDescent="0.25">
      <c r="B35" s="17" t="s">
        <v>52</v>
      </c>
      <c r="C35">
        <v>1</v>
      </c>
    </row>
    <row r="36" spans="2:6" x14ac:dyDescent="0.25">
      <c r="B36" s="17" t="s">
        <v>1291</v>
      </c>
      <c r="C36">
        <v>1</v>
      </c>
    </row>
    <row r="37" spans="2:6" x14ac:dyDescent="0.25">
      <c r="B37" s="17" t="s">
        <v>1288</v>
      </c>
      <c r="C37">
        <v>1</v>
      </c>
    </row>
    <row r="38" spans="2:6" x14ac:dyDescent="0.25">
      <c r="B38" s="17" t="s">
        <v>49</v>
      </c>
      <c r="C38">
        <v>1</v>
      </c>
      <c r="E38" s="32" t="s">
        <v>174</v>
      </c>
    </row>
    <row r="39" spans="2:6" x14ac:dyDescent="0.25">
      <c r="B39" s="17" t="s">
        <v>1289</v>
      </c>
      <c r="C39">
        <v>1</v>
      </c>
      <c r="E39" s="32" t="s">
        <v>54</v>
      </c>
      <c r="F39" s="33" t="str">
        <f t="shared" ref="F39:F44" si="0">IF(ISNUMBER(VLOOKUP(E39,$B$35:$C$52,2,FALSE)),"y","n")</f>
        <v>y</v>
      </c>
    </row>
    <row r="40" spans="2:6" x14ac:dyDescent="0.25">
      <c r="B40" s="17" t="s">
        <v>927</v>
      </c>
      <c r="C40">
        <v>1</v>
      </c>
      <c r="E40" s="32" t="s">
        <v>56</v>
      </c>
      <c r="F40" s="33" t="str">
        <f t="shared" si="0"/>
        <v>n</v>
      </c>
    </row>
    <row r="41" spans="2:6" x14ac:dyDescent="0.25">
      <c r="B41" s="17" t="s">
        <v>169</v>
      </c>
      <c r="C41">
        <v>1</v>
      </c>
      <c r="E41" s="32" t="s">
        <v>1291</v>
      </c>
      <c r="F41" s="33" t="str">
        <f t="shared" si="0"/>
        <v>y</v>
      </c>
    </row>
    <row r="42" spans="2:6" x14ac:dyDescent="0.25">
      <c r="B42" s="17" t="s">
        <v>1292</v>
      </c>
      <c r="C42">
        <v>1</v>
      </c>
      <c r="E42" s="32" t="s">
        <v>56</v>
      </c>
      <c r="F42" s="33" t="str">
        <f t="shared" si="0"/>
        <v>n</v>
      </c>
    </row>
    <row r="43" spans="2:6" x14ac:dyDescent="0.25">
      <c r="B43" s="17" t="s">
        <v>174</v>
      </c>
      <c r="C43">
        <v>1</v>
      </c>
      <c r="E43" s="32" t="s">
        <v>465</v>
      </c>
      <c r="F43" s="33" t="str">
        <f t="shared" si="0"/>
        <v>y</v>
      </c>
    </row>
    <row r="44" spans="2:6" x14ac:dyDescent="0.25">
      <c r="B44" s="17" t="s">
        <v>1293</v>
      </c>
      <c r="C44">
        <v>1</v>
      </c>
      <c r="E44" s="32" t="s">
        <v>454</v>
      </c>
      <c r="F44" s="33" t="str">
        <f t="shared" si="0"/>
        <v>n</v>
      </c>
    </row>
    <row r="45" spans="2:6" x14ac:dyDescent="0.25">
      <c r="B45" s="17" t="s">
        <v>1117</v>
      </c>
      <c r="C45">
        <v>1</v>
      </c>
    </row>
    <row r="46" spans="2:6" x14ac:dyDescent="0.25">
      <c r="B46" s="17" t="s">
        <v>1294</v>
      </c>
      <c r="C46">
        <v>1</v>
      </c>
    </row>
    <row r="47" spans="2:6" x14ac:dyDescent="0.25">
      <c r="B47" s="17" t="s">
        <v>1295</v>
      </c>
      <c r="C47">
        <v>1</v>
      </c>
    </row>
    <row r="48" spans="2:6" x14ac:dyDescent="0.25">
      <c r="B48" s="17" t="s">
        <v>1062</v>
      </c>
      <c r="C48">
        <v>1</v>
      </c>
    </row>
    <row r="49" spans="2:3" x14ac:dyDescent="0.25">
      <c r="B49" s="17" t="s">
        <v>1296</v>
      </c>
      <c r="C49">
        <v>1</v>
      </c>
    </row>
    <row r="50" spans="2:3" x14ac:dyDescent="0.25">
      <c r="B50" s="17" t="s">
        <v>355</v>
      </c>
      <c r="C50">
        <v>1</v>
      </c>
    </row>
    <row r="51" spans="2:3" x14ac:dyDescent="0.25">
      <c r="B51" s="17" t="s">
        <v>54</v>
      </c>
      <c r="C51">
        <v>1</v>
      </c>
    </row>
    <row r="52" spans="2:3" x14ac:dyDescent="0.25">
      <c r="B52" s="17" t="s">
        <v>465</v>
      </c>
      <c r="C52">
        <v>1</v>
      </c>
    </row>
  </sheetData>
  <mergeCells count="1">
    <mergeCell ref="B2:E2"/>
  </mergeCells>
  <conditionalFormatting sqref="E38:E44">
    <cfRule type="cellIs" dxfId="10" priority="1" operator="equal">
      <formula>""</formula>
    </cfRule>
  </conditionalFormatting>
  <conditionalFormatting sqref="F39:F44">
    <cfRule type="containsText" dxfId="9" priority="2" operator="containsText" text="n">
      <formula>NOT(ISERROR(SEARCH("n",F39)))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96191-DDF1-4F38-80F1-2BEC7830A84F}">
  <dimension ref="B1:M188"/>
  <sheetViews>
    <sheetView workbookViewId="0"/>
  </sheetViews>
  <sheetFormatPr defaultColWidth="8.85546875" defaultRowHeight="15" x14ac:dyDescent="0.25"/>
  <cols>
    <col min="3" max="3" width="21.85546875" customWidth="1"/>
    <col min="12" max="12" width="9.42578125" bestFit="1" customWidth="1"/>
  </cols>
  <sheetData>
    <row r="1" spans="2:13" x14ac:dyDescent="0.25">
      <c r="F1" t="s">
        <v>2</v>
      </c>
      <c r="L1" t="s">
        <v>1833</v>
      </c>
    </row>
    <row r="2" spans="2:13" x14ac:dyDescent="0.25">
      <c r="L2" t="s">
        <v>1835</v>
      </c>
    </row>
    <row r="3" spans="2:13" x14ac:dyDescent="0.25">
      <c r="B3" t="s">
        <v>152</v>
      </c>
      <c r="C3" t="s">
        <v>11</v>
      </c>
      <c r="D3" t="s">
        <v>15</v>
      </c>
      <c r="E3" t="s">
        <v>1702</v>
      </c>
      <c r="F3" t="s">
        <v>17</v>
      </c>
      <c r="G3" t="s">
        <v>19</v>
      </c>
      <c r="H3" t="s">
        <v>1812</v>
      </c>
      <c r="I3" t="s">
        <v>23</v>
      </c>
      <c r="J3" t="s">
        <v>1796</v>
      </c>
      <c r="K3" t="s">
        <v>30</v>
      </c>
      <c r="L3" t="s">
        <v>1844</v>
      </c>
      <c r="M3" t="s">
        <v>2045</v>
      </c>
    </row>
    <row r="4" spans="2:13" x14ac:dyDescent="0.25">
      <c r="B4" t="s">
        <v>167</v>
      </c>
      <c r="C4" t="s">
        <v>1360</v>
      </c>
      <c r="D4" t="s">
        <v>1251</v>
      </c>
      <c r="E4">
        <v>28</v>
      </c>
      <c r="F4" t="s">
        <v>1309</v>
      </c>
      <c r="G4" t="s">
        <v>54</v>
      </c>
      <c r="H4" s="316">
        <v>57</v>
      </c>
      <c r="I4" s="315">
        <v>7.22</v>
      </c>
      <c r="J4" s="315">
        <v>0.5</v>
      </c>
      <c r="K4" s="316">
        <v>172</v>
      </c>
      <c r="L4" s="316">
        <v>74.54916544705091</v>
      </c>
      <c r="M4" t="s">
        <v>2007</v>
      </c>
    </row>
    <row r="5" spans="2:13" x14ac:dyDescent="0.25">
      <c r="B5" t="s">
        <v>167</v>
      </c>
      <c r="C5" t="s">
        <v>1360</v>
      </c>
      <c r="D5" t="s">
        <v>1251</v>
      </c>
      <c r="E5">
        <v>42</v>
      </c>
      <c r="F5" t="s">
        <v>1309</v>
      </c>
      <c r="G5" t="s">
        <v>54</v>
      </c>
      <c r="H5" s="316">
        <v>57</v>
      </c>
      <c r="I5" s="315">
        <v>7.22</v>
      </c>
      <c r="J5" s="315">
        <v>0.5</v>
      </c>
      <c r="K5" s="316">
        <v>172</v>
      </c>
      <c r="L5" s="316">
        <v>74.54916544705091</v>
      </c>
      <c r="M5" t="s">
        <v>2007</v>
      </c>
    </row>
    <row r="6" spans="2:13" x14ac:dyDescent="0.25">
      <c r="B6" t="s">
        <v>167</v>
      </c>
      <c r="C6" t="s">
        <v>1360</v>
      </c>
      <c r="D6" t="s">
        <v>1251</v>
      </c>
      <c r="E6">
        <v>14</v>
      </c>
      <c r="F6" t="s">
        <v>81</v>
      </c>
      <c r="G6" t="s">
        <v>54</v>
      </c>
      <c r="H6" s="316">
        <v>57</v>
      </c>
      <c r="I6" s="315">
        <v>7.22</v>
      </c>
      <c r="J6" s="315">
        <v>0.5</v>
      </c>
      <c r="K6" s="316">
        <v>172</v>
      </c>
      <c r="L6" s="316">
        <v>74.54916544705091</v>
      </c>
      <c r="M6" t="s">
        <v>2007</v>
      </c>
    </row>
    <row r="7" spans="2:13" x14ac:dyDescent="0.25">
      <c r="B7" t="s">
        <v>167</v>
      </c>
      <c r="C7" t="s">
        <v>1360</v>
      </c>
      <c r="D7" t="s">
        <v>1251</v>
      </c>
      <c r="E7">
        <v>14</v>
      </c>
      <c r="F7" t="s">
        <v>237</v>
      </c>
      <c r="G7" t="s">
        <v>54</v>
      </c>
      <c r="H7" s="316">
        <v>57</v>
      </c>
      <c r="I7" s="315">
        <v>7.22</v>
      </c>
      <c r="J7" s="315">
        <v>0.5</v>
      </c>
      <c r="K7" s="316">
        <v>404</v>
      </c>
      <c r="L7" s="316">
        <v>175.10385372446871</v>
      </c>
      <c r="M7" t="s">
        <v>2007</v>
      </c>
    </row>
    <row r="8" spans="2:13" x14ac:dyDescent="0.25">
      <c r="B8" t="s">
        <v>167</v>
      </c>
      <c r="C8" t="s">
        <v>1360</v>
      </c>
      <c r="D8" t="s">
        <v>1251</v>
      </c>
      <c r="E8">
        <v>28</v>
      </c>
      <c r="F8" t="s">
        <v>237</v>
      </c>
      <c r="G8" t="s">
        <v>54</v>
      </c>
      <c r="H8" s="316">
        <v>57</v>
      </c>
      <c r="I8" s="315">
        <v>7.22</v>
      </c>
      <c r="J8" s="315">
        <v>0.5</v>
      </c>
      <c r="K8" s="316">
        <v>404</v>
      </c>
      <c r="L8" s="316">
        <v>175.10385372446871</v>
      </c>
      <c r="M8" t="s">
        <v>2007</v>
      </c>
    </row>
    <row r="9" spans="2:13" x14ac:dyDescent="0.25">
      <c r="B9" t="s">
        <v>167</v>
      </c>
      <c r="C9" t="s">
        <v>1360</v>
      </c>
      <c r="D9" t="s">
        <v>1251</v>
      </c>
      <c r="E9">
        <v>42</v>
      </c>
      <c r="F9" t="s">
        <v>237</v>
      </c>
      <c r="G9" t="s">
        <v>54</v>
      </c>
      <c r="H9" s="316">
        <v>57</v>
      </c>
      <c r="I9" s="315">
        <v>7.22</v>
      </c>
      <c r="J9" s="315">
        <v>0.5</v>
      </c>
      <c r="K9" s="316">
        <v>404</v>
      </c>
      <c r="L9" s="316">
        <v>175.10385372446871</v>
      </c>
      <c r="M9" t="s">
        <v>2007</v>
      </c>
    </row>
    <row r="10" spans="2:13" x14ac:dyDescent="0.25">
      <c r="B10" t="s">
        <v>82</v>
      </c>
      <c r="C10" t="s">
        <v>574</v>
      </c>
      <c r="D10" t="s">
        <v>235</v>
      </c>
      <c r="E10" t="s">
        <v>78</v>
      </c>
      <c r="F10" t="s">
        <v>156</v>
      </c>
      <c r="G10" t="s">
        <v>49</v>
      </c>
      <c r="H10" s="316">
        <v>154</v>
      </c>
      <c r="I10" s="315">
        <v>7.5</v>
      </c>
      <c r="J10" s="315">
        <v>1.9</v>
      </c>
      <c r="K10" s="316">
        <v>155.69999999999999</v>
      </c>
      <c r="L10" s="316">
        <v>19.44403735284704</v>
      </c>
      <c r="M10" t="s">
        <v>2008</v>
      </c>
    </row>
    <row r="11" spans="2:13" x14ac:dyDescent="0.25">
      <c r="B11" t="s">
        <v>82</v>
      </c>
      <c r="C11" t="s">
        <v>574</v>
      </c>
      <c r="D11" t="s">
        <v>235</v>
      </c>
      <c r="E11" t="s">
        <v>78</v>
      </c>
      <c r="F11" t="s">
        <v>237</v>
      </c>
      <c r="G11" t="s">
        <v>54</v>
      </c>
      <c r="H11" s="316">
        <v>154</v>
      </c>
      <c r="I11" s="315">
        <v>7.5</v>
      </c>
      <c r="J11" s="315">
        <v>1.9</v>
      </c>
      <c r="K11" s="316">
        <v>172</v>
      </c>
      <c r="L11" s="316">
        <v>21.479604525945344</v>
      </c>
      <c r="M11" t="s">
        <v>2008</v>
      </c>
    </row>
    <row r="12" spans="2:13" x14ac:dyDescent="0.25">
      <c r="B12" t="s">
        <v>82</v>
      </c>
      <c r="C12" t="s">
        <v>1080</v>
      </c>
      <c r="D12" t="s">
        <v>172</v>
      </c>
      <c r="E12">
        <v>30</v>
      </c>
      <c r="F12" t="s">
        <v>237</v>
      </c>
      <c r="G12" t="s">
        <v>927</v>
      </c>
      <c r="H12" s="316">
        <v>31.1</v>
      </c>
      <c r="I12" s="315">
        <v>7.24</v>
      </c>
      <c r="J12" s="315">
        <v>0.5</v>
      </c>
      <c r="K12" s="316">
        <v>129</v>
      </c>
      <c r="L12" s="316">
        <v>181.01359178086321</v>
      </c>
      <c r="M12" t="s">
        <v>2009</v>
      </c>
    </row>
    <row r="13" spans="2:13" x14ac:dyDescent="0.25">
      <c r="B13" t="s">
        <v>82</v>
      </c>
      <c r="C13" t="s">
        <v>1080</v>
      </c>
      <c r="D13" t="s">
        <v>172</v>
      </c>
      <c r="E13">
        <v>30</v>
      </c>
      <c r="F13" t="s">
        <v>237</v>
      </c>
      <c r="G13" t="s">
        <v>927</v>
      </c>
      <c r="H13" s="316">
        <v>149.4</v>
      </c>
      <c r="I13" s="315">
        <v>7.53</v>
      </c>
      <c r="J13" s="315">
        <v>0.5</v>
      </c>
      <c r="K13" s="316">
        <v>1515</v>
      </c>
      <c r="L13" s="316">
        <v>181.01359178086321</v>
      </c>
      <c r="M13" t="s">
        <v>2009</v>
      </c>
    </row>
    <row r="14" spans="2:13" x14ac:dyDescent="0.25">
      <c r="B14" t="s">
        <v>82</v>
      </c>
      <c r="C14" t="s">
        <v>89</v>
      </c>
      <c r="D14" t="s">
        <v>1615</v>
      </c>
      <c r="E14">
        <v>72</v>
      </c>
      <c r="F14" t="s">
        <v>237</v>
      </c>
      <c r="G14" t="s">
        <v>174</v>
      </c>
      <c r="H14" s="316">
        <v>25</v>
      </c>
      <c r="I14" s="315">
        <v>7</v>
      </c>
      <c r="J14" s="315">
        <v>1.6</v>
      </c>
      <c r="K14" s="316">
        <v>458</v>
      </c>
      <c r="L14" s="316">
        <v>227.94256198427851</v>
      </c>
      <c r="M14" t="s">
        <v>2010</v>
      </c>
    </row>
    <row r="15" spans="2:13" x14ac:dyDescent="0.25">
      <c r="B15" t="s">
        <v>82</v>
      </c>
      <c r="C15" t="s">
        <v>89</v>
      </c>
      <c r="D15" t="s">
        <v>160</v>
      </c>
      <c r="E15" t="s">
        <v>78</v>
      </c>
      <c r="F15" t="s">
        <v>237</v>
      </c>
      <c r="G15" t="s">
        <v>174</v>
      </c>
      <c r="H15" s="316">
        <v>28.722304178000002</v>
      </c>
      <c r="I15" s="315">
        <v>6.7</v>
      </c>
      <c r="J15" s="315">
        <v>0.3</v>
      </c>
      <c r="K15" s="316">
        <v>99.1</v>
      </c>
      <c r="L15" s="316">
        <v>63.072138420366656</v>
      </c>
      <c r="M15" t="s">
        <v>2011</v>
      </c>
    </row>
    <row r="16" spans="2:13" x14ac:dyDescent="0.25">
      <c r="B16" t="s">
        <v>82</v>
      </c>
      <c r="C16" t="s">
        <v>89</v>
      </c>
      <c r="D16" t="s">
        <v>160</v>
      </c>
      <c r="E16" t="s">
        <v>78</v>
      </c>
      <c r="F16" t="s">
        <v>237</v>
      </c>
      <c r="G16" t="s">
        <v>174</v>
      </c>
      <c r="H16" s="316">
        <v>29.623122536</v>
      </c>
      <c r="I16" s="315">
        <v>7.45</v>
      </c>
      <c r="J16" s="315">
        <v>0.3</v>
      </c>
      <c r="K16" s="316">
        <v>38.4</v>
      </c>
      <c r="L16" s="316">
        <v>63.072138420366656</v>
      </c>
      <c r="M16" t="s">
        <v>2011</v>
      </c>
    </row>
    <row r="17" spans="2:13" x14ac:dyDescent="0.25">
      <c r="B17" t="s">
        <v>82</v>
      </c>
      <c r="C17" t="s">
        <v>89</v>
      </c>
      <c r="D17" t="s">
        <v>160</v>
      </c>
      <c r="E17" t="s">
        <v>78</v>
      </c>
      <c r="F17" t="s">
        <v>237</v>
      </c>
      <c r="G17" t="s">
        <v>174</v>
      </c>
      <c r="H17" s="316">
        <v>28.422066655999998</v>
      </c>
      <c r="I17" s="315">
        <v>7.58</v>
      </c>
      <c r="J17" s="315">
        <v>0.3</v>
      </c>
      <c r="K17" s="316">
        <v>73.599999999999994</v>
      </c>
      <c r="L17" s="316">
        <v>63.072138420366656</v>
      </c>
      <c r="M17" t="s">
        <v>2011</v>
      </c>
    </row>
    <row r="18" spans="2:13" x14ac:dyDescent="0.25">
      <c r="B18" t="s">
        <v>82</v>
      </c>
      <c r="C18" t="s">
        <v>89</v>
      </c>
      <c r="D18" t="s">
        <v>160</v>
      </c>
      <c r="E18" t="s">
        <v>78</v>
      </c>
      <c r="F18" t="s">
        <v>237</v>
      </c>
      <c r="G18" t="s">
        <v>174</v>
      </c>
      <c r="H18" s="316">
        <v>102.17723531799999</v>
      </c>
      <c r="I18" s="315">
        <v>7.58</v>
      </c>
      <c r="J18" s="315">
        <v>0.3</v>
      </c>
      <c r="K18" s="316">
        <v>171</v>
      </c>
      <c r="L18" s="316">
        <v>63.072138420366656</v>
      </c>
      <c r="M18" t="s">
        <v>2011</v>
      </c>
    </row>
    <row r="19" spans="2:13" x14ac:dyDescent="0.25">
      <c r="B19" t="s">
        <v>82</v>
      </c>
      <c r="C19" t="s">
        <v>89</v>
      </c>
      <c r="D19" t="s">
        <v>160</v>
      </c>
      <c r="E19" t="s">
        <v>78</v>
      </c>
      <c r="F19" t="s">
        <v>237</v>
      </c>
      <c r="G19" t="s">
        <v>174</v>
      </c>
      <c r="H19" s="316">
        <v>29.122590018000004</v>
      </c>
      <c r="I19" s="315">
        <v>7.61</v>
      </c>
      <c r="J19" s="315">
        <v>0.3</v>
      </c>
      <c r="K19" s="316">
        <v>34.5</v>
      </c>
      <c r="L19" s="316">
        <v>63.072138420366656</v>
      </c>
      <c r="M19" t="s">
        <v>2011</v>
      </c>
    </row>
    <row r="20" spans="2:13" x14ac:dyDescent="0.25">
      <c r="B20" t="s">
        <v>82</v>
      </c>
      <c r="C20" t="s">
        <v>89</v>
      </c>
      <c r="D20" t="s">
        <v>160</v>
      </c>
      <c r="E20" t="s">
        <v>78</v>
      </c>
      <c r="F20" t="s">
        <v>237</v>
      </c>
      <c r="G20" t="s">
        <v>174</v>
      </c>
      <c r="H20" s="316">
        <v>29.222863144000002</v>
      </c>
      <c r="I20" s="315">
        <v>7.65</v>
      </c>
      <c r="J20" s="315">
        <v>0.3</v>
      </c>
      <c r="K20" s="316">
        <v>46.1</v>
      </c>
      <c r="L20" s="316">
        <v>63.072138420366656</v>
      </c>
      <c r="M20" t="s">
        <v>2011</v>
      </c>
    </row>
    <row r="21" spans="2:13" x14ac:dyDescent="0.25">
      <c r="B21" t="s">
        <v>82</v>
      </c>
      <c r="C21" t="s">
        <v>89</v>
      </c>
      <c r="D21" t="s">
        <v>160</v>
      </c>
      <c r="E21" t="s">
        <v>78</v>
      </c>
      <c r="F21" t="s">
        <v>237</v>
      </c>
      <c r="G21" t="s">
        <v>174</v>
      </c>
      <c r="H21" s="316">
        <v>395.79661198600002</v>
      </c>
      <c r="I21" s="315">
        <v>7.68</v>
      </c>
      <c r="J21" s="315">
        <v>0.3</v>
      </c>
      <c r="K21" s="316">
        <v>337</v>
      </c>
      <c r="L21" s="316">
        <v>63.072138420366656</v>
      </c>
      <c r="M21" t="s">
        <v>2011</v>
      </c>
    </row>
    <row r="22" spans="2:13" x14ac:dyDescent="0.25">
      <c r="B22" t="s">
        <v>82</v>
      </c>
      <c r="C22" t="s">
        <v>89</v>
      </c>
      <c r="D22" t="s">
        <v>160</v>
      </c>
      <c r="E22" t="s">
        <v>78</v>
      </c>
      <c r="F22" t="s">
        <v>237</v>
      </c>
      <c r="G22" t="s">
        <v>174</v>
      </c>
      <c r="H22" s="316">
        <v>190.24288393400002</v>
      </c>
      <c r="I22" s="315">
        <v>7.87</v>
      </c>
      <c r="J22" s="315">
        <v>0.3</v>
      </c>
      <c r="K22" s="316">
        <v>290</v>
      </c>
      <c r="L22" s="316">
        <v>63.072138420366656</v>
      </c>
      <c r="M22" t="s">
        <v>2011</v>
      </c>
    </row>
    <row r="23" spans="2:13" x14ac:dyDescent="0.25">
      <c r="B23" t="s">
        <v>82</v>
      </c>
      <c r="C23" t="s">
        <v>89</v>
      </c>
      <c r="D23" t="s">
        <v>160</v>
      </c>
      <c r="E23" t="s">
        <v>78</v>
      </c>
      <c r="F23" t="s">
        <v>237</v>
      </c>
      <c r="G23" t="s">
        <v>174</v>
      </c>
      <c r="H23" s="316">
        <v>103.66486</v>
      </c>
      <c r="I23" s="315">
        <v>7.76</v>
      </c>
      <c r="J23" s="316">
        <v>22.9</v>
      </c>
      <c r="K23" s="316">
        <v>902</v>
      </c>
      <c r="L23" s="316">
        <v>63.072138420366656</v>
      </c>
      <c r="M23" t="s">
        <v>2012</v>
      </c>
    </row>
    <row r="24" spans="2:13" x14ac:dyDescent="0.25">
      <c r="B24" t="s">
        <v>82</v>
      </c>
      <c r="C24" t="s">
        <v>89</v>
      </c>
      <c r="D24" t="s">
        <v>160</v>
      </c>
      <c r="E24" t="s">
        <v>78</v>
      </c>
      <c r="F24" t="s">
        <v>237</v>
      </c>
      <c r="G24" t="s">
        <v>174</v>
      </c>
      <c r="H24" s="316">
        <v>176.2988</v>
      </c>
      <c r="I24" s="315">
        <v>8.1300000000000008</v>
      </c>
      <c r="J24" s="315">
        <v>6.22</v>
      </c>
      <c r="K24" s="316">
        <v>578</v>
      </c>
      <c r="L24" s="316">
        <v>63.072138420366656</v>
      </c>
      <c r="M24" t="s">
        <v>2012</v>
      </c>
    </row>
    <row r="25" spans="2:13" x14ac:dyDescent="0.25">
      <c r="B25" t="s">
        <v>82</v>
      </c>
      <c r="C25" t="s">
        <v>89</v>
      </c>
      <c r="D25" t="s">
        <v>160</v>
      </c>
      <c r="E25" t="s">
        <v>78</v>
      </c>
      <c r="F25" t="s">
        <v>237</v>
      </c>
      <c r="G25" t="s">
        <v>174</v>
      </c>
      <c r="H25" s="316">
        <v>28.186459999999997</v>
      </c>
      <c r="I25" s="315">
        <v>6.8</v>
      </c>
      <c r="J25" s="315">
        <v>3.92</v>
      </c>
      <c r="K25" s="316">
        <v>185</v>
      </c>
      <c r="L25" s="316">
        <v>63.072138420366656</v>
      </c>
      <c r="M25" t="s">
        <v>2012</v>
      </c>
    </row>
    <row r="26" spans="2:13" x14ac:dyDescent="0.25">
      <c r="B26" t="s">
        <v>82</v>
      </c>
      <c r="C26" t="s">
        <v>89</v>
      </c>
      <c r="D26" t="s">
        <v>160</v>
      </c>
      <c r="E26" t="s">
        <v>78</v>
      </c>
      <c r="F26" t="s">
        <v>237</v>
      </c>
      <c r="G26" t="s">
        <v>174</v>
      </c>
      <c r="H26" s="316">
        <v>31.507710000000003</v>
      </c>
      <c r="I26" s="315">
        <v>7.08</v>
      </c>
      <c r="J26" s="315">
        <v>2.84</v>
      </c>
      <c r="K26" s="316">
        <v>219</v>
      </c>
      <c r="L26" s="316">
        <v>63.072138420366656</v>
      </c>
      <c r="M26" t="s">
        <v>2012</v>
      </c>
    </row>
    <row r="27" spans="2:13" x14ac:dyDescent="0.25">
      <c r="B27" t="s">
        <v>82</v>
      </c>
      <c r="C27" t="s">
        <v>89</v>
      </c>
      <c r="D27" t="s">
        <v>1046</v>
      </c>
      <c r="E27" t="s">
        <v>1020</v>
      </c>
      <c r="F27" t="s">
        <v>81</v>
      </c>
      <c r="G27" t="s">
        <v>49</v>
      </c>
      <c r="H27" s="316">
        <v>19.7</v>
      </c>
      <c r="I27" s="315">
        <v>6.75</v>
      </c>
      <c r="J27" s="315">
        <v>0.5</v>
      </c>
      <c r="K27" s="316">
        <v>199</v>
      </c>
      <c r="L27" s="316">
        <v>196.97754975567682</v>
      </c>
      <c r="M27" t="s">
        <v>2013</v>
      </c>
    </row>
    <row r="28" spans="2:13" x14ac:dyDescent="0.25">
      <c r="B28" t="s">
        <v>82</v>
      </c>
      <c r="C28" t="s">
        <v>89</v>
      </c>
      <c r="D28" t="s">
        <v>1046</v>
      </c>
      <c r="E28" t="s">
        <v>1020</v>
      </c>
      <c r="F28" t="s">
        <v>81</v>
      </c>
      <c r="G28" t="s">
        <v>49</v>
      </c>
      <c r="H28" s="316">
        <v>19.7</v>
      </c>
      <c r="I28" s="315">
        <v>6.75</v>
      </c>
      <c r="J28" s="315">
        <v>0.5</v>
      </c>
      <c r="K28" s="316">
        <v>300</v>
      </c>
      <c r="L28" s="316">
        <v>196.97754975567682</v>
      </c>
      <c r="M28" t="s">
        <v>2013</v>
      </c>
    </row>
    <row r="29" spans="2:13" x14ac:dyDescent="0.25">
      <c r="B29" t="s">
        <v>82</v>
      </c>
      <c r="C29" t="s">
        <v>89</v>
      </c>
      <c r="D29" t="s">
        <v>1046</v>
      </c>
      <c r="E29" t="s">
        <v>1020</v>
      </c>
      <c r="F29" t="s">
        <v>237</v>
      </c>
      <c r="G29" t="s">
        <v>49</v>
      </c>
      <c r="H29" s="316">
        <v>19.7</v>
      </c>
      <c r="I29" s="315">
        <v>6.75</v>
      </c>
      <c r="J29" s="315">
        <v>0.5</v>
      </c>
      <c r="K29" s="316">
        <v>88</v>
      </c>
      <c r="L29" s="316">
        <v>71.12044774854273</v>
      </c>
      <c r="M29" t="s">
        <v>2013</v>
      </c>
    </row>
    <row r="30" spans="2:13" x14ac:dyDescent="0.25">
      <c r="B30" t="s">
        <v>82</v>
      </c>
      <c r="C30" t="s">
        <v>84</v>
      </c>
      <c r="D30" t="s">
        <v>1252</v>
      </c>
      <c r="E30">
        <v>7</v>
      </c>
      <c r="F30" t="s">
        <v>81</v>
      </c>
      <c r="G30" t="s">
        <v>1062</v>
      </c>
      <c r="H30" s="316">
        <v>48</v>
      </c>
      <c r="I30" s="315">
        <v>7.6</v>
      </c>
      <c r="J30" s="315">
        <v>1.1000000000000001</v>
      </c>
      <c r="K30" s="316">
        <v>83.9</v>
      </c>
      <c r="L30" s="316">
        <v>42.61584562542928</v>
      </c>
      <c r="M30" t="s">
        <v>2014</v>
      </c>
    </row>
    <row r="31" spans="2:13" x14ac:dyDescent="0.25">
      <c r="B31" t="s">
        <v>82</v>
      </c>
      <c r="C31" t="s">
        <v>1094</v>
      </c>
      <c r="D31" t="s">
        <v>1590</v>
      </c>
      <c r="E31" t="s">
        <v>557</v>
      </c>
      <c r="F31" t="s">
        <v>81</v>
      </c>
      <c r="G31" t="s">
        <v>1062</v>
      </c>
      <c r="H31" s="316">
        <v>47.8</v>
      </c>
      <c r="I31" s="315">
        <v>6.81</v>
      </c>
      <c r="J31" s="315">
        <v>1.9</v>
      </c>
      <c r="K31" s="316">
        <v>380</v>
      </c>
      <c r="L31" s="316">
        <v>81.887918768257578</v>
      </c>
      <c r="M31" t="s">
        <v>2015</v>
      </c>
    </row>
    <row r="32" spans="2:13" x14ac:dyDescent="0.25">
      <c r="B32" t="s">
        <v>82</v>
      </c>
      <c r="C32" t="s">
        <v>904</v>
      </c>
      <c r="D32" t="s">
        <v>1046</v>
      </c>
      <c r="E32" t="s">
        <v>506</v>
      </c>
      <c r="F32" t="s">
        <v>81</v>
      </c>
      <c r="G32" t="s">
        <v>54</v>
      </c>
      <c r="H32" s="316">
        <v>54.1</v>
      </c>
      <c r="I32" s="315">
        <v>7.4</v>
      </c>
      <c r="J32" s="315">
        <v>1.4</v>
      </c>
      <c r="K32" s="316">
        <v>416</v>
      </c>
      <c r="L32" s="316">
        <v>145.62148382998501</v>
      </c>
      <c r="M32" t="s">
        <v>2016</v>
      </c>
    </row>
    <row r="33" spans="2:13" x14ac:dyDescent="0.25">
      <c r="B33" t="s">
        <v>82</v>
      </c>
      <c r="C33" t="s">
        <v>904</v>
      </c>
      <c r="D33" t="s">
        <v>1046</v>
      </c>
      <c r="E33" t="s">
        <v>230</v>
      </c>
      <c r="F33" t="s">
        <v>237</v>
      </c>
      <c r="G33" t="s">
        <v>54</v>
      </c>
      <c r="H33" s="316">
        <v>54.1</v>
      </c>
      <c r="I33" s="315">
        <v>7.4</v>
      </c>
      <c r="J33" s="315">
        <v>1.4</v>
      </c>
      <c r="K33" s="316">
        <v>416</v>
      </c>
      <c r="L33" s="316">
        <v>145.62148382998501</v>
      </c>
      <c r="M33" t="s">
        <v>2016</v>
      </c>
    </row>
    <row r="34" spans="2:13" x14ac:dyDescent="0.25">
      <c r="B34" t="s">
        <v>82</v>
      </c>
      <c r="C34" t="s">
        <v>904</v>
      </c>
      <c r="D34" t="s">
        <v>1046</v>
      </c>
      <c r="E34" t="s">
        <v>230</v>
      </c>
      <c r="F34" t="s">
        <v>237</v>
      </c>
      <c r="G34" t="s">
        <v>54</v>
      </c>
      <c r="H34" s="316">
        <v>54.1</v>
      </c>
      <c r="I34" s="315">
        <v>7.4</v>
      </c>
      <c r="J34" s="315">
        <v>1.4</v>
      </c>
      <c r="K34" s="316">
        <v>416</v>
      </c>
      <c r="L34" s="316">
        <v>145.62148382998501</v>
      </c>
      <c r="M34" t="s">
        <v>2016</v>
      </c>
    </row>
    <row r="35" spans="2:13" x14ac:dyDescent="0.25">
      <c r="B35" t="s">
        <v>82</v>
      </c>
      <c r="C35" t="s">
        <v>904</v>
      </c>
      <c r="D35" t="s">
        <v>1046</v>
      </c>
      <c r="E35" t="s">
        <v>230</v>
      </c>
      <c r="F35" t="s">
        <v>237</v>
      </c>
      <c r="G35" t="s">
        <v>54</v>
      </c>
      <c r="H35" s="316">
        <v>54.1</v>
      </c>
      <c r="I35" s="315">
        <v>7.4</v>
      </c>
      <c r="J35" s="315">
        <v>1.4</v>
      </c>
      <c r="K35" s="316">
        <v>416</v>
      </c>
      <c r="L35" s="316">
        <v>145.62148382998501</v>
      </c>
      <c r="M35" t="s">
        <v>2016</v>
      </c>
    </row>
    <row r="36" spans="2:13" x14ac:dyDescent="0.25">
      <c r="B36" t="s">
        <v>82</v>
      </c>
      <c r="C36" t="s">
        <v>904</v>
      </c>
      <c r="D36" t="s">
        <v>1116</v>
      </c>
      <c r="E36">
        <v>58</v>
      </c>
      <c r="F36" t="s">
        <v>81</v>
      </c>
      <c r="G36" t="s">
        <v>54</v>
      </c>
      <c r="H36" s="316">
        <v>47.7</v>
      </c>
      <c r="I36" s="315">
        <v>7.59</v>
      </c>
      <c r="J36" s="315">
        <v>1.9</v>
      </c>
      <c r="K36" s="316">
        <v>141</v>
      </c>
      <c r="L36" s="316">
        <v>57.490709017714408</v>
      </c>
      <c r="M36" t="s">
        <v>2017</v>
      </c>
    </row>
    <row r="37" spans="2:13" x14ac:dyDescent="0.25">
      <c r="B37" t="s">
        <v>82</v>
      </c>
      <c r="C37" t="s">
        <v>904</v>
      </c>
      <c r="D37" t="s">
        <v>1116</v>
      </c>
      <c r="E37">
        <v>58</v>
      </c>
      <c r="F37" t="s">
        <v>237</v>
      </c>
      <c r="G37" t="s">
        <v>54</v>
      </c>
      <c r="H37" s="316">
        <v>47.7</v>
      </c>
      <c r="I37" s="315">
        <v>7.59</v>
      </c>
      <c r="J37" s="315">
        <v>1.9</v>
      </c>
      <c r="K37" s="316">
        <v>1090</v>
      </c>
      <c r="L37" s="316">
        <v>444.43172219367909</v>
      </c>
      <c r="M37" t="s">
        <v>2017</v>
      </c>
    </row>
    <row r="38" spans="2:13" x14ac:dyDescent="0.25">
      <c r="B38" t="s">
        <v>260</v>
      </c>
      <c r="C38" t="s">
        <v>63</v>
      </c>
      <c r="D38" t="s">
        <v>67</v>
      </c>
      <c r="E38" t="s">
        <v>70</v>
      </c>
      <c r="F38" t="s">
        <v>68</v>
      </c>
      <c r="G38" t="s">
        <v>49</v>
      </c>
      <c r="H38" s="316">
        <v>40</v>
      </c>
      <c r="I38" s="315">
        <v>7.5</v>
      </c>
      <c r="J38" s="315">
        <v>0.5</v>
      </c>
      <c r="K38" s="316">
        <v>46.6</v>
      </c>
      <c r="L38" s="316">
        <v>42.624069210930678</v>
      </c>
      <c r="M38" t="s">
        <v>2018</v>
      </c>
    </row>
    <row r="39" spans="2:13" x14ac:dyDescent="0.25">
      <c r="B39" t="s">
        <v>260</v>
      </c>
      <c r="C39" t="s">
        <v>63</v>
      </c>
      <c r="D39" t="s">
        <v>67</v>
      </c>
      <c r="E39">
        <v>7</v>
      </c>
      <c r="F39" t="s">
        <v>76</v>
      </c>
      <c r="G39" t="s">
        <v>49</v>
      </c>
      <c r="H39" s="316">
        <v>23</v>
      </c>
      <c r="I39" s="315">
        <v>7.68</v>
      </c>
      <c r="J39" s="315">
        <v>2</v>
      </c>
      <c r="K39" s="316">
        <v>83</v>
      </c>
      <c r="L39" s="316">
        <v>16.330414534816853</v>
      </c>
      <c r="M39" t="s">
        <v>2019</v>
      </c>
    </row>
    <row r="40" spans="2:13" x14ac:dyDescent="0.25">
      <c r="B40" t="s">
        <v>260</v>
      </c>
      <c r="C40" t="s">
        <v>63</v>
      </c>
      <c r="D40" t="s">
        <v>67</v>
      </c>
      <c r="E40">
        <v>7</v>
      </c>
      <c r="F40" t="s">
        <v>76</v>
      </c>
      <c r="G40" t="s">
        <v>49</v>
      </c>
      <c r="H40" s="316">
        <v>213.11359999999996</v>
      </c>
      <c r="I40" s="315">
        <v>8.3000000000000007</v>
      </c>
      <c r="J40" s="316">
        <v>16.399999999999999</v>
      </c>
      <c r="K40" s="316">
        <v>73</v>
      </c>
      <c r="L40" s="316">
        <v>16.330414534816853</v>
      </c>
      <c r="M40" t="s">
        <v>2020</v>
      </c>
    </row>
    <row r="41" spans="2:13" x14ac:dyDescent="0.25">
      <c r="B41" t="s">
        <v>260</v>
      </c>
      <c r="C41" t="s">
        <v>63</v>
      </c>
      <c r="D41" t="s">
        <v>67</v>
      </c>
      <c r="E41">
        <v>7</v>
      </c>
      <c r="F41" t="s">
        <v>76</v>
      </c>
      <c r="G41" t="s">
        <v>49</v>
      </c>
      <c r="H41" s="316">
        <v>225.565</v>
      </c>
      <c r="I41" s="315">
        <v>8.1</v>
      </c>
      <c r="J41" s="315">
        <v>9.5</v>
      </c>
      <c r="K41" s="316">
        <v>111</v>
      </c>
      <c r="L41" s="316">
        <v>16.330414534816853</v>
      </c>
      <c r="M41" t="s">
        <v>2020</v>
      </c>
    </row>
    <row r="42" spans="2:13" x14ac:dyDescent="0.25">
      <c r="B42" t="s">
        <v>260</v>
      </c>
      <c r="C42" t="s">
        <v>63</v>
      </c>
      <c r="D42" t="s">
        <v>67</v>
      </c>
      <c r="E42">
        <v>7</v>
      </c>
      <c r="F42" t="s">
        <v>76</v>
      </c>
      <c r="G42" t="s">
        <v>49</v>
      </c>
      <c r="H42" s="316">
        <v>80.413200000000003</v>
      </c>
      <c r="I42" s="315">
        <v>8</v>
      </c>
      <c r="J42" s="316">
        <v>13.1</v>
      </c>
      <c r="K42" s="316">
        <v>64</v>
      </c>
      <c r="L42" s="316">
        <v>16.330414534816853</v>
      </c>
      <c r="M42" t="s">
        <v>2020</v>
      </c>
    </row>
    <row r="43" spans="2:13" x14ac:dyDescent="0.25">
      <c r="B43" t="s">
        <v>260</v>
      </c>
      <c r="C43" t="s">
        <v>63</v>
      </c>
      <c r="D43" t="s">
        <v>67</v>
      </c>
      <c r="E43">
        <v>7</v>
      </c>
      <c r="F43" t="s">
        <v>76</v>
      </c>
      <c r="G43" t="s">
        <v>49</v>
      </c>
      <c r="H43" s="316">
        <v>45.998000000000005</v>
      </c>
      <c r="I43" s="315">
        <v>7.2</v>
      </c>
      <c r="J43" s="315">
        <v>4.9000000000000004</v>
      </c>
      <c r="K43" s="316">
        <v>89</v>
      </c>
      <c r="L43" s="316">
        <v>16.330414534816853</v>
      </c>
      <c r="M43" t="s">
        <v>2020</v>
      </c>
    </row>
    <row r="44" spans="2:13" x14ac:dyDescent="0.25">
      <c r="B44" t="s">
        <v>260</v>
      </c>
      <c r="C44" t="s">
        <v>63</v>
      </c>
      <c r="D44" t="s">
        <v>67</v>
      </c>
      <c r="E44">
        <v>7</v>
      </c>
      <c r="F44" t="s">
        <v>76</v>
      </c>
      <c r="G44" t="s">
        <v>49</v>
      </c>
      <c r="H44" s="316">
        <v>103.429</v>
      </c>
      <c r="I44" s="315">
        <v>7.2</v>
      </c>
      <c r="J44" s="315">
        <v>4.8</v>
      </c>
      <c r="K44" s="316">
        <v>98</v>
      </c>
      <c r="L44" s="316">
        <v>16.330414534816853</v>
      </c>
      <c r="M44" t="s">
        <v>2020</v>
      </c>
    </row>
    <row r="45" spans="2:13" x14ac:dyDescent="0.25">
      <c r="B45" t="s">
        <v>260</v>
      </c>
      <c r="C45" t="s">
        <v>63</v>
      </c>
      <c r="D45" t="s">
        <v>67</v>
      </c>
      <c r="E45">
        <v>7</v>
      </c>
      <c r="F45" t="s">
        <v>76</v>
      </c>
      <c r="G45" t="s">
        <v>49</v>
      </c>
      <c r="H45" s="316">
        <v>45.998000000000005</v>
      </c>
      <c r="I45" s="315">
        <v>7.8</v>
      </c>
      <c r="J45" s="315">
        <v>4.7</v>
      </c>
      <c r="K45" s="316">
        <v>14</v>
      </c>
      <c r="L45" s="316">
        <v>16.330414534816853</v>
      </c>
      <c r="M45" t="s">
        <v>2020</v>
      </c>
    </row>
    <row r="46" spans="2:13" x14ac:dyDescent="0.25">
      <c r="B46" t="s">
        <v>260</v>
      </c>
      <c r="C46" t="s">
        <v>111</v>
      </c>
      <c r="D46" t="s">
        <v>67</v>
      </c>
      <c r="E46">
        <v>7</v>
      </c>
      <c r="F46" t="s">
        <v>68</v>
      </c>
      <c r="G46" t="s">
        <v>54</v>
      </c>
      <c r="H46" s="316">
        <v>376</v>
      </c>
      <c r="I46" s="315">
        <v>7.9</v>
      </c>
      <c r="J46" s="315">
        <v>0.5</v>
      </c>
      <c r="K46" s="316">
        <v>58</v>
      </c>
      <c r="L46" s="316">
        <v>50.345007907439019</v>
      </c>
      <c r="M46" t="s">
        <v>2022</v>
      </c>
    </row>
    <row r="47" spans="2:13" x14ac:dyDescent="0.25">
      <c r="B47" t="s">
        <v>260</v>
      </c>
      <c r="C47" t="s">
        <v>111</v>
      </c>
      <c r="D47" t="s">
        <v>67</v>
      </c>
      <c r="E47">
        <v>7</v>
      </c>
      <c r="F47" t="s">
        <v>68</v>
      </c>
      <c r="G47" t="s">
        <v>54</v>
      </c>
      <c r="H47" s="316">
        <v>362</v>
      </c>
      <c r="I47" s="315">
        <v>7.7</v>
      </c>
      <c r="J47" s="315">
        <v>0.5</v>
      </c>
      <c r="K47" s="316">
        <v>140</v>
      </c>
      <c r="L47" s="316">
        <v>50.345007907439019</v>
      </c>
      <c r="M47" t="s">
        <v>2022</v>
      </c>
    </row>
    <row r="48" spans="2:13" x14ac:dyDescent="0.25">
      <c r="B48" t="s">
        <v>260</v>
      </c>
      <c r="C48" t="s">
        <v>87</v>
      </c>
      <c r="D48" t="s">
        <v>1606</v>
      </c>
      <c r="E48">
        <v>21</v>
      </c>
      <c r="F48" t="s">
        <v>76</v>
      </c>
      <c r="G48" t="s">
        <v>1062</v>
      </c>
      <c r="H48" s="316">
        <v>64.900000000000006</v>
      </c>
      <c r="I48" s="315">
        <v>7.7</v>
      </c>
      <c r="J48" s="315">
        <v>0.5</v>
      </c>
      <c r="K48" s="316">
        <v>67.599999999999994</v>
      </c>
      <c r="L48" s="316">
        <v>61.048429333389734</v>
      </c>
      <c r="M48" t="s">
        <v>2023</v>
      </c>
    </row>
    <row r="49" spans="2:13" x14ac:dyDescent="0.25">
      <c r="B49" t="s">
        <v>260</v>
      </c>
      <c r="C49" t="s">
        <v>87</v>
      </c>
      <c r="D49" t="s">
        <v>1738</v>
      </c>
      <c r="E49" t="s">
        <v>94</v>
      </c>
      <c r="F49" t="s">
        <v>76</v>
      </c>
      <c r="G49" t="s">
        <v>49</v>
      </c>
      <c r="H49" s="316">
        <v>370</v>
      </c>
      <c r="I49" s="315">
        <v>8</v>
      </c>
      <c r="J49" s="315">
        <v>9.6999999999999993</v>
      </c>
      <c r="K49" s="316">
        <v>90</v>
      </c>
      <c r="L49" s="316">
        <v>42.314541000879686</v>
      </c>
      <c r="M49" t="s">
        <v>2024</v>
      </c>
    </row>
    <row r="50" spans="2:13" x14ac:dyDescent="0.25">
      <c r="B50" t="s">
        <v>260</v>
      </c>
      <c r="C50" t="s">
        <v>87</v>
      </c>
      <c r="D50" t="s">
        <v>1738</v>
      </c>
      <c r="E50" t="s">
        <v>94</v>
      </c>
      <c r="F50" t="s">
        <v>76</v>
      </c>
      <c r="G50" t="s">
        <v>49</v>
      </c>
      <c r="H50" s="316">
        <v>240</v>
      </c>
      <c r="I50" s="315">
        <v>8.5</v>
      </c>
      <c r="J50" s="316">
        <v>21</v>
      </c>
      <c r="K50" s="316">
        <v>634</v>
      </c>
      <c r="L50" s="316">
        <v>42.314541000879686</v>
      </c>
      <c r="M50" t="s">
        <v>2024</v>
      </c>
    </row>
    <row r="51" spans="2:13" x14ac:dyDescent="0.25">
      <c r="B51" t="s">
        <v>260</v>
      </c>
      <c r="C51" t="s">
        <v>87</v>
      </c>
      <c r="D51" t="s">
        <v>1738</v>
      </c>
      <c r="E51" t="s">
        <v>94</v>
      </c>
      <c r="F51" t="s">
        <v>76</v>
      </c>
      <c r="G51" t="s">
        <v>49</v>
      </c>
      <c r="H51" s="316">
        <v>370</v>
      </c>
      <c r="I51" s="315">
        <v>6.5</v>
      </c>
      <c r="J51" s="316">
        <v>32.299999999999997</v>
      </c>
      <c r="K51" s="316">
        <v>341</v>
      </c>
      <c r="L51" s="316">
        <v>42.314541000879686</v>
      </c>
      <c r="M51" t="s">
        <v>2024</v>
      </c>
    </row>
    <row r="52" spans="2:13" x14ac:dyDescent="0.25">
      <c r="B52" t="s">
        <v>260</v>
      </c>
      <c r="C52" t="s">
        <v>87</v>
      </c>
      <c r="D52" t="s">
        <v>1738</v>
      </c>
      <c r="E52" t="s">
        <v>94</v>
      </c>
      <c r="F52" t="s">
        <v>76</v>
      </c>
      <c r="G52" t="s">
        <v>49</v>
      </c>
      <c r="H52" s="316">
        <v>240</v>
      </c>
      <c r="I52" s="315">
        <v>7.25</v>
      </c>
      <c r="J52" s="316">
        <v>21</v>
      </c>
      <c r="K52" s="316">
        <v>331</v>
      </c>
      <c r="L52" s="316">
        <v>42.314541000879686</v>
      </c>
      <c r="M52" t="s">
        <v>2024</v>
      </c>
    </row>
    <row r="53" spans="2:13" x14ac:dyDescent="0.25">
      <c r="B53" t="s">
        <v>260</v>
      </c>
      <c r="C53" t="s">
        <v>87</v>
      </c>
      <c r="D53" t="s">
        <v>1738</v>
      </c>
      <c r="E53" t="s">
        <v>94</v>
      </c>
      <c r="F53" t="s">
        <v>76</v>
      </c>
      <c r="G53" t="s">
        <v>49</v>
      </c>
      <c r="H53" s="316">
        <v>35</v>
      </c>
      <c r="I53" s="315">
        <v>7.25</v>
      </c>
      <c r="J53" s="316">
        <v>21</v>
      </c>
      <c r="K53" s="316">
        <v>328</v>
      </c>
      <c r="L53" s="316">
        <v>42.314541000879686</v>
      </c>
      <c r="M53" t="s">
        <v>2024</v>
      </c>
    </row>
    <row r="54" spans="2:13" x14ac:dyDescent="0.25">
      <c r="B54" t="s">
        <v>260</v>
      </c>
      <c r="C54" t="s">
        <v>87</v>
      </c>
      <c r="D54" t="s">
        <v>1738</v>
      </c>
      <c r="E54" t="s">
        <v>94</v>
      </c>
      <c r="F54" t="s">
        <v>76</v>
      </c>
      <c r="G54" t="s">
        <v>49</v>
      </c>
      <c r="H54" s="316">
        <v>240</v>
      </c>
      <c r="I54" s="315">
        <v>7.25</v>
      </c>
      <c r="J54" s="316">
        <v>21</v>
      </c>
      <c r="K54" s="316">
        <v>502</v>
      </c>
      <c r="L54" s="316">
        <v>42.314541000879686</v>
      </c>
      <c r="M54" t="s">
        <v>2024</v>
      </c>
    </row>
    <row r="55" spans="2:13" x14ac:dyDescent="0.25">
      <c r="B55" t="s">
        <v>260</v>
      </c>
      <c r="C55" t="s">
        <v>87</v>
      </c>
      <c r="D55" t="s">
        <v>1738</v>
      </c>
      <c r="E55" t="s">
        <v>94</v>
      </c>
      <c r="F55" t="s">
        <v>76</v>
      </c>
      <c r="G55" t="s">
        <v>49</v>
      </c>
      <c r="H55" s="316">
        <v>240</v>
      </c>
      <c r="I55" s="315">
        <v>6</v>
      </c>
      <c r="J55" s="316">
        <v>21</v>
      </c>
      <c r="K55" s="316">
        <v>423</v>
      </c>
      <c r="L55" s="316">
        <v>42.314541000879686</v>
      </c>
      <c r="M55" t="s">
        <v>2024</v>
      </c>
    </row>
    <row r="56" spans="2:13" x14ac:dyDescent="0.25">
      <c r="B56" t="s">
        <v>260</v>
      </c>
      <c r="C56" t="s">
        <v>87</v>
      </c>
      <c r="D56" t="s">
        <v>1738</v>
      </c>
      <c r="E56" t="s">
        <v>94</v>
      </c>
      <c r="F56" t="s">
        <v>76</v>
      </c>
      <c r="G56" t="s">
        <v>49</v>
      </c>
      <c r="H56" s="316">
        <v>240</v>
      </c>
      <c r="I56" s="315">
        <v>7.25</v>
      </c>
      <c r="J56" s="316">
        <v>21</v>
      </c>
      <c r="K56" s="316">
        <v>394</v>
      </c>
      <c r="L56" s="316">
        <v>42.314541000879686</v>
      </c>
      <c r="M56" t="s">
        <v>2024</v>
      </c>
    </row>
    <row r="57" spans="2:13" x14ac:dyDescent="0.25">
      <c r="B57" t="s">
        <v>260</v>
      </c>
      <c r="C57" t="s">
        <v>87</v>
      </c>
      <c r="D57" t="s">
        <v>1738</v>
      </c>
      <c r="E57" t="s">
        <v>94</v>
      </c>
      <c r="F57" t="s">
        <v>76</v>
      </c>
      <c r="G57" t="s">
        <v>49</v>
      </c>
      <c r="H57" s="316">
        <v>240</v>
      </c>
      <c r="I57" s="315">
        <v>7.25</v>
      </c>
      <c r="J57" s="315">
        <v>2</v>
      </c>
      <c r="K57" s="316">
        <v>179</v>
      </c>
      <c r="L57" s="316">
        <v>42.314541000879686</v>
      </c>
      <c r="M57" t="s">
        <v>2024</v>
      </c>
    </row>
    <row r="58" spans="2:13" x14ac:dyDescent="0.25">
      <c r="B58" t="s">
        <v>260</v>
      </c>
      <c r="C58" t="s">
        <v>87</v>
      </c>
      <c r="D58" t="s">
        <v>1738</v>
      </c>
      <c r="E58" t="s">
        <v>94</v>
      </c>
      <c r="F58" t="s">
        <v>76</v>
      </c>
      <c r="G58" t="s">
        <v>49</v>
      </c>
      <c r="H58" s="316">
        <v>370</v>
      </c>
      <c r="I58" s="315">
        <v>8</v>
      </c>
      <c r="J58" s="316">
        <v>32.299999999999997</v>
      </c>
      <c r="K58" s="316">
        <v>600</v>
      </c>
      <c r="L58" s="316">
        <v>42.314541000879686</v>
      </c>
      <c r="M58" t="s">
        <v>2024</v>
      </c>
    </row>
    <row r="59" spans="2:13" x14ac:dyDescent="0.25">
      <c r="B59" t="s">
        <v>260</v>
      </c>
      <c r="C59" t="s">
        <v>87</v>
      </c>
      <c r="D59" t="s">
        <v>1738</v>
      </c>
      <c r="E59" t="s">
        <v>94</v>
      </c>
      <c r="F59" t="s">
        <v>76</v>
      </c>
      <c r="G59" t="s">
        <v>49</v>
      </c>
      <c r="H59" s="316">
        <v>110</v>
      </c>
      <c r="I59" s="315">
        <v>8</v>
      </c>
      <c r="J59" s="315">
        <v>9.6999999999999993</v>
      </c>
      <c r="K59" s="316">
        <v>233</v>
      </c>
      <c r="L59" s="316">
        <v>42.314541000879686</v>
      </c>
      <c r="M59" t="s">
        <v>2024</v>
      </c>
    </row>
    <row r="60" spans="2:13" x14ac:dyDescent="0.25">
      <c r="B60" t="s">
        <v>260</v>
      </c>
      <c r="C60" t="s">
        <v>87</v>
      </c>
      <c r="D60" t="s">
        <v>1738</v>
      </c>
      <c r="E60" t="s">
        <v>94</v>
      </c>
      <c r="F60" t="s">
        <v>76</v>
      </c>
      <c r="G60" t="s">
        <v>49</v>
      </c>
      <c r="H60" s="316">
        <v>110</v>
      </c>
      <c r="I60" s="315">
        <v>6.5</v>
      </c>
      <c r="J60" s="316">
        <v>32.299999999999997</v>
      </c>
      <c r="K60" s="316">
        <v>313</v>
      </c>
      <c r="L60" s="316">
        <v>42.314541000879686</v>
      </c>
      <c r="M60" t="s">
        <v>2024</v>
      </c>
    </row>
    <row r="61" spans="2:13" x14ac:dyDescent="0.25">
      <c r="B61" t="s">
        <v>260</v>
      </c>
      <c r="C61" t="s">
        <v>87</v>
      </c>
      <c r="D61" t="s">
        <v>1738</v>
      </c>
      <c r="E61" t="s">
        <v>94</v>
      </c>
      <c r="F61" t="s">
        <v>76</v>
      </c>
      <c r="G61" t="s">
        <v>49</v>
      </c>
      <c r="H61" s="316">
        <v>240</v>
      </c>
      <c r="I61" s="315">
        <v>7.25</v>
      </c>
      <c r="J61" s="316">
        <v>40</v>
      </c>
      <c r="K61" s="316">
        <v>911</v>
      </c>
      <c r="L61" s="316">
        <v>42.314541000879686</v>
      </c>
      <c r="M61" t="s">
        <v>2024</v>
      </c>
    </row>
    <row r="62" spans="2:13" x14ac:dyDescent="0.25">
      <c r="B62" t="s">
        <v>260</v>
      </c>
      <c r="C62" t="s">
        <v>87</v>
      </c>
      <c r="D62" t="s">
        <v>1738</v>
      </c>
      <c r="E62" t="s">
        <v>94</v>
      </c>
      <c r="F62" t="s">
        <v>76</v>
      </c>
      <c r="G62" t="s">
        <v>49</v>
      </c>
      <c r="H62" s="316">
        <v>370</v>
      </c>
      <c r="I62" s="315">
        <v>6.5</v>
      </c>
      <c r="J62" s="315">
        <v>9.6999999999999993</v>
      </c>
      <c r="K62" s="316">
        <v>114</v>
      </c>
      <c r="L62" s="316">
        <v>42.314541000879686</v>
      </c>
      <c r="M62" t="s">
        <v>2024</v>
      </c>
    </row>
    <row r="63" spans="2:13" x14ac:dyDescent="0.25">
      <c r="B63" t="s">
        <v>260</v>
      </c>
      <c r="C63" t="s">
        <v>87</v>
      </c>
      <c r="D63" t="s">
        <v>1738</v>
      </c>
      <c r="E63" t="s">
        <v>94</v>
      </c>
      <c r="F63" t="s">
        <v>76</v>
      </c>
      <c r="G63" t="s">
        <v>49</v>
      </c>
      <c r="H63" s="316">
        <v>110</v>
      </c>
      <c r="I63" s="315">
        <v>6.5</v>
      </c>
      <c r="J63" s="315">
        <v>9.6999999999999993</v>
      </c>
      <c r="K63" s="316">
        <v>277</v>
      </c>
      <c r="L63" s="316">
        <v>42.314541000879686</v>
      </c>
      <c r="M63" t="s">
        <v>2024</v>
      </c>
    </row>
    <row r="64" spans="2:13" x14ac:dyDescent="0.25">
      <c r="B64" t="s">
        <v>260</v>
      </c>
      <c r="C64" t="s">
        <v>87</v>
      </c>
      <c r="D64" t="s">
        <v>1738</v>
      </c>
      <c r="E64" t="s">
        <v>94</v>
      </c>
      <c r="F64" t="s">
        <v>76</v>
      </c>
      <c r="G64" t="s">
        <v>49</v>
      </c>
      <c r="H64" s="316">
        <v>110</v>
      </c>
      <c r="I64" s="315">
        <v>8</v>
      </c>
      <c r="J64" s="316">
        <v>32.299999999999997</v>
      </c>
      <c r="K64" s="316">
        <v>557</v>
      </c>
      <c r="L64" s="316">
        <v>42.314541000879686</v>
      </c>
      <c r="M64" t="s">
        <v>2024</v>
      </c>
    </row>
    <row r="65" spans="2:13" x14ac:dyDescent="0.25">
      <c r="B65" t="s">
        <v>260</v>
      </c>
      <c r="C65" t="s">
        <v>87</v>
      </c>
      <c r="D65" t="s">
        <v>1738</v>
      </c>
      <c r="E65" t="s">
        <v>94</v>
      </c>
      <c r="F65" t="s">
        <v>76</v>
      </c>
      <c r="G65" t="s">
        <v>49</v>
      </c>
      <c r="H65" s="316">
        <v>121.87649999999999</v>
      </c>
      <c r="I65" s="315">
        <v>8.4</v>
      </c>
      <c r="J65" s="315">
        <v>4.17</v>
      </c>
      <c r="K65" s="316">
        <v>59.2</v>
      </c>
      <c r="L65" s="316">
        <v>42.314541000879686</v>
      </c>
      <c r="M65" t="s">
        <v>2012</v>
      </c>
    </row>
    <row r="66" spans="2:13" x14ac:dyDescent="0.25">
      <c r="B66" t="s">
        <v>260</v>
      </c>
      <c r="C66" t="s">
        <v>87</v>
      </c>
      <c r="D66" t="s">
        <v>1738</v>
      </c>
      <c r="E66" t="s">
        <v>94</v>
      </c>
      <c r="F66" t="s">
        <v>76</v>
      </c>
      <c r="G66" t="s">
        <v>49</v>
      </c>
      <c r="H66" s="316">
        <v>122.40209999999999</v>
      </c>
      <c r="I66" s="315">
        <v>6.8</v>
      </c>
      <c r="J66" s="316">
        <v>17.3</v>
      </c>
      <c r="K66" s="316">
        <v>387</v>
      </c>
      <c r="L66" s="316">
        <v>42.314541000879686</v>
      </c>
      <c r="M66" t="s">
        <v>2012</v>
      </c>
    </row>
    <row r="67" spans="2:13" x14ac:dyDescent="0.25">
      <c r="B67" t="s">
        <v>260</v>
      </c>
      <c r="C67" t="s">
        <v>87</v>
      </c>
      <c r="D67" t="s">
        <v>1738</v>
      </c>
      <c r="E67" t="s">
        <v>94</v>
      </c>
      <c r="F67" t="s">
        <v>76</v>
      </c>
      <c r="G67" t="s">
        <v>49</v>
      </c>
      <c r="H67" s="316">
        <v>196.37960000000001</v>
      </c>
      <c r="I67" s="315">
        <v>8.1999999999999993</v>
      </c>
      <c r="J67" s="315">
        <v>2.2999999999999998</v>
      </c>
      <c r="K67" s="316">
        <v>126</v>
      </c>
      <c r="L67" s="316">
        <v>42.314541000879686</v>
      </c>
      <c r="M67" t="s">
        <v>2012</v>
      </c>
    </row>
    <row r="68" spans="2:13" x14ac:dyDescent="0.25">
      <c r="B68" t="s">
        <v>260</v>
      </c>
      <c r="C68" t="s">
        <v>87</v>
      </c>
      <c r="D68" t="s">
        <v>1738</v>
      </c>
      <c r="E68" t="s">
        <v>94</v>
      </c>
      <c r="F68" t="s">
        <v>76</v>
      </c>
      <c r="G68" t="s">
        <v>49</v>
      </c>
      <c r="H68" s="316">
        <v>189.2439</v>
      </c>
      <c r="I68" s="315">
        <v>8</v>
      </c>
      <c r="J68" s="315">
        <v>7.49</v>
      </c>
      <c r="K68" s="316">
        <v>171</v>
      </c>
      <c r="L68" s="316">
        <v>42.314541000879686</v>
      </c>
      <c r="M68" t="s">
        <v>2012</v>
      </c>
    </row>
    <row r="69" spans="2:13" x14ac:dyDescent="0.25">
      <c r="B69" t="s">
        <v>260</v>
      </c>
      <c r="C69" t="s">
        <v>87</v>
      </c>
      <c r="D69" t="s">
        <v>1738</v>
      </c>
      <c r="E69" t="s">
        <v>94</v>
      </c>
      <c r="F69" t="s">
        <v>76</v>
      </c>
      <c r="G69" t="s">
        <v>49</v>
      </c>
      <c r="H69" s="316">
        <v>26.4862</v>
      </c>
      <c r="I69" s="315">
        <v>7.3</v>
      </c>
      <c r="J69" s="315">
        <v>2.5299999999999998</v>
      </c>
      <c r="K69" s="316">
        <v>92.7</v>
      </c>
      <c r="L69" s="316">
        <v>42.314541000879686</v>
      </c>
      <c r="M69" t="s">
        <v>2012</v>
      </c>
    </row>
    <row r="70" spans="2:13" x14ac:dyDescent="0.25">
      <c r="B70" t="s">
        <v>260</v>
      </c>
      <c r="C70" t="s">
        <v>87</v>
      </c>
      <c r="D70" t="s">
        <v>1738</v>
      </c>
      <c r="E70" t="s">
        <v>94</v>
      </c>
      <c r="F70" t="s">
        <v>76</v>
      </c>
      <c r="G70" t="s">
        <v>49</v>
      </c>
      <c r="H70" s="316">
        <v>183.01369999999997</v>
      </c>
      <c r="I70" s="315">
        <v>8</v>
      </c>
      <c r="J70" s="315">
        <v>9.8699999999999992</v>
      </c>
      <c r="K70" s="316">
        <v>265</v>
      </c>
      <c r="L70" s="316">
        <v>42.314541000879686</v>
      </c>
      <c r="M70" t="s">
        <v>2012</v>
      </c>
    </row>
    <row r="71" spans="2:13" x14ac:dyDescent="0.25">
      <c r="B71" t="s">
        <v>260</v>
      </c>
      <c r="C71" t="s">
        <v>87</v>
      </c>
      <c r="D71" t="s">
        <v>1738</v>
      </c>
      <c r="E71" t="s">
        <v>94</v>
      </c>
      <c r="F71" t="s">
        <v>76</v>
      </c>
      <c r="G71" t="s">
        <v>49</v>
      </c>
      <c r="H71" s="316">
        <v>250.499</v>
      </c>
      <c r="I71" s="315">
        <v>7.2</v>
      </c>
      <c r="J71" s="315">
        <v>0.3</v>
      </c>
      <c r="K71" s="316">
        <v>196</v>
      </c>
      <c r="L71" s="316">
        <v>42.314541000879686</v>
      </c>
      <c r="M71" t="s">
        <v>2012</v>
      </c>
    </row>
    <row r="72" spans="2:13" x14ac:dyDescent="0.25">
      <c r="B72" t="s">
        <v>260</v>
      </c>
      <c r="C72" t="s">
        <v>87</v>
      </c>
      <c r="D72" t="s">
        <v>1738</v>
      </c>
      <c r="E72" t="s">
        <v>253</v>
      </c>
      <c r="F72" t="s">
        <v>76</v>
      </c>
      <c r="G72" t="s">
        <v>49</v>
      </c>
      <c r="H72" s="316">
        <v>250</v>
      </c>
      <c r="I72" s="315">
        <v>7.6</v>
      </c>
      <c r="J72" s="315">
        <v>4</v>
      </c>
      <c r="K72" s="316">
        <v>84</v>
      </c>
      <c r="L72" s="316">
        <v>42.314541000879686</v>
      </c>
      <c r="M72" t="s">
        <v>2025</v>
      </c>
    </row>
    <row r="73" spans="2:13" x14ac:dyDescent="0.25">
      <c r="B73" t="s">
        <v>260</v>
      </c>
      <c r="C73" t="s">
        <v>87</v>
      </c>
      <c r="D73" t="s">
        <v>1738</v>
      </c>
      <c r="E73">
        <v>21</v>
      </c>
      <c r="F73" t="s">
        <v>76</v>
      </c>
      <c r="G73" t="s">
        <v>49</v>
      </c>
      <c r="H73" s="316">
        <v>250</v>
      </c>
      <c r="I73" s="315">
        <v>7.6</v>
      </c>
      <c r="J73" s="315">
        <v>4</v>
      </c>
      <c r="K73" s="316">
        <v>85</v>
      </c>
      <c r="L73" s="316">
        <v>42.314541000879686</v>
      </c>
      <c r="M73" t="s">
        <v>2025</v>
      </c>
    </row>
    <row r="74" spans="2:13" x14ac:dyDescent="0.25">
      <c r="B74" t="s">
        <v>260</v>
      </c>
      <c r="C74" t="s">
        <v>87</v>
      </c>
      <c r="D74" t="s">
        <v>1738</v>
      </c>
      <c r="E74">
        <v>21</v>
      </c>
      <c r="F74" t="s">
        <v>76</v>
      </c>
      <c r="G74" t="s">
        <v>49</v>
      </c>
      <c r="H74" s="316">
        <v>91.1</v>
      </c>
      <c r="I74" s="315">
        <v>8.07</v>
      </c>
      <c r="J74" s="315">
        <v>4.26</v>
      </c>
      <c r="K74" s="316">
        <v>109</v>
      </c>
      <c r="L74" s="316">
        <v>42.314541000879686</v>
      </c>
      <c r="M74" t="s">
        <v>2026</v>
      </c>
    </row>
    <row r="75" spans="2:13" x14ac:dyDescent="0.25">
      <c r="B75" t="s">
        <v>260</v>
      </c>
      <c r="C75" t="s">
        <v>1657</v>
      </c>
      <c r="D75" t="s">
        <v>1738</v>
      </c>
      <c r="E75">
        <v>21</v>
      </c>
      <c r="F75" t="s">
        <v>76</v>
      </c>
      <c r="G75" t="s">
        <v>49</v>
      </c>
      <c r="H75" s="316">
        <v>32.700000000000003</v>
      </c>
      <c r="I75" s="315">
        <v>8.1</v>
      </c>
      <c r="J75" s="315">
        <v>0.7</v>
      </c>
      <c r="K75" s="316">
        <v>55</v>
      </c>
      <c r="L75" s="316">
        <v>21.544082508738349</v>
      </c>
      <c r="M75" t="s">
        <v>2019</v>
      </c>
    </row>
    <row r="76" spans="2:13" x14ac:dyDescent="0.25">
      <c r="B76" t="s">
        <v>260</v>
      </c>
      <c r="C76" t="s">
        <v>1657</v>
      </c>
      <c r="D76" t="s">
        <v>1738</v>
      </c>
      <c r="E76">
        <v>21</v>
      </c>
      <c r="F76" t="s">
        <v>76</v>
      </c>
      <c r="G76" t="s">
        <v>49</v>
      </c>
      <c r="H76" s="316">
        <v>61.3</v>
      </c>
      <c r="I76" s="315">
        <v>7.9</v>
      </c>
      <c r="J76" s="315">
        <v>6.6</v>
      </c>
      <c r="K76" s="316">
        <v>36</v>
      </c>
      <c r="L76" s="316">
        <v>21.544082508738349</v>
      </c>
      <c r="M76" t="s">
        <v>2019</v>
      </c>
    </row>
    <row r="77" spans="2:13" x14ac:dyDescent="0.25">
      <c r="B77" t="s">
        <v>260</v>
      </c>
      <c r="C77" t="s">
        <v>1657</v>
      </c>
      <c r="D77" t="s">
        <v>1738</v>
      </c>
      <c r="E77">
        <v>21</v>
      </c>
      <c r="F77" t="s">
        <v>76</v>
      </c>
      <c r="G77" t="s">
        <v>49</v>
      </c>
      <c r="H77" s="316">
        <v>89.6</v>
      </c>
      <c r="I77" s="315">
        <v>8.1999999999999993</v>
      </c>
      <c r="J77" s="315">
        <v>4</v>
      </c>
      <c r="K77" s="316">
        <v>46</v>
      </c>
      <c r="L77" s="316">
        <v>21.544082508738349</v>
      </c>
      <c r="M77" t="s">
        <v>2019</v>
      </c>
    </row>
    <row r="78" spans="2:13" x14ac:dyDescent="0.25">
      <c r="B78" t="s">
        <v>260</v>
      </c>
      <c r="C78" t="s">
        <v>553</v>
      </c>
      <c r="D78" t="s">
        <v>1985</v>
      </c>
      <c r="E78">
        <v>42</v>
      </c>
      <c r="F78" t="s">
        <v>237</v>
      </c>
      <c r="G78" t="s">
        <v>54</v>
      </c>
      <c r="H78" s="316">
        <v>130</v>
      </c>
      <c r="I78" s="315">
        <v>8.25</v>
      </c>
      <c r="J78" s="315">
        <v>0.5</v>
      </c>
      <c r="K78" s="316">
        <v>108</v>
      </c>
      <c r="L78" s="316">
        <v>114.701514527578</v>
      </c>
      <c r="M78" t="s">
        <v>2027</v>
      </c>
    </row>
    <row r="79" spans="2:13" x14ac:dyDescent="0.25">
      <c r="B79" t="s">
        <v>260</v>
      </c>
      <c r="C79" t="s">
        <v>553</v>
      </c>
      <c r="D79" t="s">
        <v>1986</v>
      </c>
      <c r="E79">
        <v>70</v>
      </c>
      <c r="F79" t="s">
        <v>237</v>
      </c>
      <c r="G79" t="s">
        <v>54</v>
      </c>
      <c r="H79" s="316">
        <v>130</v>
      </c>
      <c r="I79" s="315">
        <v>8.25</v>
      </c>
      <c r="J79" s="315">
        <v>0.5</v>
      </c>
      <c r="K79" s="316">
        <v>42.3</v>
      </c>
      <c r="L79" s="316">
        <v>44.924759856634694</v>
      </c>
      <c r="M79" t="s">
        <v>2027</v>
      </c>
    </row>
    <row r="80" spans="2:13" x14ac:dyDescent="0.25">
      <c r="B80" t="s">
        <v>260</v>
      </c>
      <c r="C80" t="s">
        <v>146</v>
      </c>
      <c r="D80" t="s">
        <v>187</v>
      </c>
      <c r="E80">
        <v>14</v>
      </c>
      <c r="F80" t="s">
        <v>156</v>
      </c>
      <c r="G80" t="s">
        <v>174</v>
      </c>
      <c r="H80" s="316">
        <v>26</v>
      </c>
      <c r="I80" s="315">
        <v>7.1</v>
      </c>
      <c r="J80" s="315">
        <v>1.6</v>
      </c>
      <c r="K80" s="316">
        <v>9920</v>
      </c>
      <c r="L80" s="316">
        <v>5533.2436974696711</v>
      </c>
      <c r="M80" t="s">
        <v>2028</v>
      </c>
    </row>
    <row r="81" spans="2:13" x14ac:dyDescent="0.25">
      <c r="B81" t="s">
        <v>153</v>
      </c>
      <c r="C81" t="s">
        <v>981</v>
      </c>
      <c r="D81" t="s">
        <v>982</v>
      </c>
      <c r="E81" t="s">
        <v>126</v>
      </c>
      <c r="F81" t="s">
        <v>228</v>
      </c>
      <c r="G81" t="s">
        <v>49</v>
      </c>
      <c r="H81" s="316">
        <v>44.4</v>
      </c>
      <c r="I81" s="315">
        <v>7.77</v>
      </c>
      <c r="J81" s="315">
        <v>0.5</v>
      </c>
      <c r="K81" s="316">
        <v>2069.1999999999998</v>
      </c>
      <c r="L81" s="316">
        <v>2205.4795080758822</v>
      </c>
      <c r="M81" t="s">
        <v>2029</v>
      </c>
    </row>
    <row r="82" spans="2:13" x14ac:dyDescent="0.25">
      <c r="B82" t="s">
        <v>153</v>
      </c>
      <c r="C82" t="s">
        <v>1712</v>
      </c>
      <c r="D82" t="s">
        <v>1717</v>
      </c>
      <c r="E82">
        <v>14</v>
      </c>
      <c r="F82" t="s">
        <v>1253</v>
      </c>
      <c r="G82" t="s">
        <v>927</v>
      </c>
      <c r="H82" s="316">
        <v>27</v>
      </c>
      <c r="I82" s="315">
        <v>6.83</v>
      </c>
      <c r="J82" s="316">
        <v>41</v>
      </c>
      <c r="K82" s="316">
        <v>55</v>
      </c>
      <c r="L82" s="316">
        <v>7.3053522602736782</v>
      </c>
      <c r="M82" t="s">
        <v>2021</v>
      </c>
    </row>
    <row r="83" spans="2:13" x14ac:dyDescent="0.25">
      <c r="B83" t="s">
        <v>153</v>
      </c>
      <c r="C83" t="s">
        <v>1712</v>
      </c>
      <c r="D83" t="s">
        <v>1717</v>
      </c>
      <c r="E83">
        <v>14</v>
      </c>
      <c r="F83" t="s">
        <v>1253</v>
      </c>
      <c r="G83" t="s">
        <v>927</v>
      </c>
      <c r="H83" s="316">
        <v>323</v>
      </c>
      <c r="I83" s="315">
        <v>7.06</v>
      </c>
      <c r="J83" s="315">
        <v>5</v>
      </c>
      <c r="K83" s="316">
        <v>25</v>
      </c>
      <c r="L83" s="316">
        <v>7.3053522602736782</v>
      </c>
      <c r="M83" t="s">
        <v>2021</v>
      </c>
    </row>
    <row r="84" spans="2:13" x14ac:dyDescent="0.25">
      <c r="B84" t="s">
        <v>183</v>
      </c>
      <c r="C84" t="s">
        <v>1786</v>
      </c>
      <c r="D84" t="s">
        <v>1251</v>
      </c>
      <c r="E84">
        <v>3</v>
      </c>
      <c r="F84" t="s">
        <v>1309</v>
      </c>
      <c r="G84" t="s">
        <v>52</v>
      </c>
      <c r="H84" s="316">
        <v>42</v>
      </c>
      <c r="I84" s="315">
        <v>7</v>
      </c>
      <c r="J84" s="315">
        <v>0.1</v>
      </c>
      <c r="K84" s="316">
        <v>14</v>
      </c>
      <c r="L84" s="316">
        <v>14.044289755578918</v>
      </c>
      <c r="M84" t="s">
        <v>2030</v>
      </c>
    </row>
    <row r="85" spans="2:13" x14ac:dyDescent="0.25">
      <c r="B85" t="s">
        <v>183</v>
      </c>
      <c r="C85" t="s">
        <v>1790</v>
      </c>
      <c r="D85" t="s">
        <v>1251</v>
      </c>
      <c r="E85">
        <v>3</v>
      </c>
      <c r="F85" t="s">
        <v>1309</v>
      </c>
      <c r="G85" t="s">
        <v>52</v>
      </c>
      <c r="H85" s="316">
        <v>42</v>
      </c>
      <c r="I85" s="315">
        <v>7</v>
      </c>
      <c r="J85" s="315">
        <v>0.1</v>
      </c>
      <c r="K85" s="315">
        <v>8.4</v>
      </c>
      <c r="L85" s="315">
        <v>8.4265738533473513</v>
      </c>
      <c r="M85" t="s">
        <v>2030</v>
      </c>
    </row>
    <row r="86" spans="2:13" x14ac:dyDescent="0.25">
      <c r="B86" t="s">
        <v>183</v>
      </c>
      <c r="C86" t="s">
        <v>149</v>
      </c>
      <c r="D86" t="s">
        <v>185</v>
      </c>
      <c r="E86">
        <v>70</v>
      </c>
      <c r="F86" t="s">
        <v>156</v>
      </c>
      <c r="G86" t="s">
        <v>174</v>
      </c>
      <c r="H86" s="316">
        <v>267.72000000000003</v>
      </c>
      <c r="I86" s="315">
        <v>7.9</v>
      </c>
      <c r="J86" s="315">
        <v>6.74</v>
      </c>
      <c r="K86" s="316">
        <v>517</v>
      </c>
      <c r="L86" s="316">
        <v>94.999872907632408</v>
      </c>
      <c r="M86" t="s">
        <v>2031</v>
      </c>
    </row>
    <row r="87" spans="2:13" x14ac:dyDescent="0.25">
      <c r="B87" t="s">
        <v>183</v>
      </c>
      <c r="C87" t="s">
        <v>1771</v>
      </c>
      <c r="D87" t="s">
        <v>1251</v>
      </c>
      <c r="E87">
        <v>2</v>
      </c>
      <c r="F87" t="s">
        <v>237</v>
      </c>
      <c r="G87" t="s">
        <v>927</v>
      </c>
      <c r="H87" s="316">
        <v>30</v>
      </c>
      <c r="I87" s="315">
        <v>7.8</v>
      </c>
      <c r="J87" s="315">
        <v>2.4500000000000002</v>
      </c>
      <c r="K87" s="316">
        <v>155</v>
      </c>
      <c r="L87" s="316">
        <v>76.499702470774594</v>
      </c>
      <c r="M87" t="s">
        <v>2032</v>
      </c>
    </row>
    <row r="88" spans="2:13" x14ac:dyDescent="0.25">
      <c r="B88" t="s">
        <v>183</v>
      </c>
      <c r="C88" t="s">
        <v>1771</v>
      </c>
      <c r="D88" t="s">
        <v>1251</v>
      </c>
      <c r="E88">
        <v>2</v>
      </c>
      <c r="F88" t="s">
        <v>237</v>
      </c>
      <c r="G88" t="s">
        <v>927</v>
      </c>
      <c r="H88" s="316">
        <v>30</v>
      </c>
      <c r="I88" s="315">
        <v>7.89</v>
      </c>
      <c r="J88" s="315">
        <v>2.4500000000000002</v>
      </c>
      <c r="K88" s="316">
        <v>281</v>
      </c>
      <c r="L88" s="316">
        <v>76.499702470774594</v>
      </c>
      <c r="M88" t="s">
        <v>2032</v>
      </c>
    </row>
    <row r="89" spans="2:13" x14ac:dyDescent="0.25">
      <c r="B89" t="s">
        <v>183</v>
      </c>
      <c r="C89" t="s">
        <v>1771</v>
      </c>
      <c r="D89" t="s">
        <v>1251</v>
      </c>
      <c r="E89">
        <v>2</v>
      </c>
      <c r="F89" t="s">
        <v>237</v>
      </c>
      <c r="G89" t="s">
        <v>927</v>
      </c>
      <c r="H89" s="316">
        <v>30</v>
      </c>
      <c r="I89" s="315">
        <v>7.81</v>
      </c>
      <c r="J89" s="315">
        <v>2.4500000000000002</v>
      </c>
      <c r="K89" s="316">
        <v>56</v>
      </c>
      <c r="L89" s="316">
        <v>76.499702470774594</v>
      </c>
      <c r="M89" t="s">
        <v>2032</v>
      </c>
    </row>
    <row r="90" spans="2:13" x14ac:dyDescent="0.25">
      <c r="B90" t="s">
        <v>183</v>
      </c>
      <c r="C90" t="s">
        <v>1791</v>
      </c>
      <c r="D90" t="s">
        <v>1251</v>
      </c>
      <c r="E90">
        <v>3</v>
      </c>
      <c r="F90" t="s">
        <v>1309</v>
      </c>
      <c r="G90" t="s">
        <v>52</v>
      </c>
      <c r="H90" s="316">
        <v>42</v>
      </c>
      <c r="I90" s="315">
        <v>7</v>
      </c>
      <c r="J90" s="315">
        <v>0.1</v>
      </c>
      <c r="K90" s="315">
        <v>8.6999999999999993</v>
      </c>
      <c r="L90" s="315">
        <v>8.7275229195383233</v>
      </c>
      <c r="M90" t="s">
        <v>2030</v>
      </c>
    </row>
    <row r="91" spans="2:13" x14ac:dyDescent="0.25">
      <c r="B91" t="s">
        <v>183</v>
      </c>
      <c r="C91" t="s">
        <v>1792</v>
      </c>
      <c r="D91" t="s">
        <v>1251</v>
      </c>
      <c r="E91">
        <v>3</v>
      </c>
      <c r="F91" t="s">
        <v>1309</v>
      </c>
      <c r="G91" t="s">
        <v>52</v>
      </c>
      <c r="H91" s="316">
        <v>42</v>
      </c>
      <c r="I91" s="315">
        <v>7</v>
      </c>
      <c r="J91" s="315">
        <v>0.1</v>
      </c>
      <c r="K91" s="316">
        <v>10</v>
      </c>
      <c r="L91" s="316">
        <v>10.031635539699227</v>
      </c>
      <c r="M91" t="s">
        <v>2030</v>
      </c>
    </row>
    <row r="92" spans="2:13" x14ac:dyDescent="0.25">
      <c r="B92" t="s">
        <v>183</v>
      </c>
      <c r="C92" t="s">
        <v>1793</v>
      </c>
      <c r="D92" t="s">
        <v>1251</v>
      </c>
      <c r="E92">
        <v>3</v>
      </c>
      <c r="F92" t="s">
        <v>1309</v>
      </c>
      <c r="G92" t="s">
        <v>52</v>
      </c>
      <c r="H92" s="316">
        <v>42</v>
      </c>
      <c r="I92" s="315">
        <v>7</v>
      </c>
      <c r="J92" s="315">
        <v>0.1</v>
      </c>
      <c r="K92" s="316">
        <v>11</v>
      </c>
      <c r="L92" s="316">
        <v>11.034799093669148</v>
      </c>
      <c r="M92" t="s">
        <v>2030</v>
      </c>
    </row>
    <row r="93" spans="2:13" x14ac:dyDescent="0.25">
      <c r="B93" t="s">
        <v>183</v>
      </c>
      <c r="C93" t="s">
        <v>1380</v>
      </c>
      <c r="D93" t="s">
        <v>1381</v>
      </c>
      <c r="E93">
        <v>28</v>
      </c>
      <c r="F93" t="s">
        <v>81</v>
      </c>
      <c r="G93" t="s">
        <v>1062</v>
      </c>
      <c r="H93" s="316">
        <v>48</v>
      </c>
      <c r="I93" s="315">
        <v>8</v>
      </c>
      <c r="J93" s="315">
        <v>0.5</v>
      </c>
      <c r="K93" s="316">
        <v>55</v>
      </c>
      <c r="L93" s="316">
        <v>40.488598573045472</v>
      </c>
      <c r="M93" t="s">
        <v>2033</v>
      </c>
    </row>
    <row r="94" spans="2:13" x14ac:dyDescent="0.25">
      <c r="B94" t="s">
        <v>183</v>
      </c>
      <c r="C94" t="s">
        <v>1380</v>
      </c>
      <c r="D94" t="s">
        <v>1381</v>
      </c>
      <c r="E94">
        <v>28</v>
      </c>
      <c r="F94" t="s">
        <v>81</v>
      </c>
      <c r="G94" t="s">
        <v>1062</v>
      </c>
      <c r="H94" s="316">
        <v>49</v>
      </c>
      <c r="I94" s="315">
        <v>7.8</v>
      </c>
      <c r="J94" s="315">
        <v>0.5</v>
      </c>
      <c r="K94" s="316">
        <v>24</v>
      </c>
      <c r="L94" s="316">
        <v>40.488598573045472</v>
      </c>
      <c r="M94" t="s">
        <v>2033</v>
      </c>
    </row>
    <row r="95" spans="2:13" x14ac:dyDescent="0.25">
      <c r="B95" t="s">
        <v>183</v>
      </c>
      <c r="C95" t="s">
        <v>1380</v>
      </c>
      <c r="D95" t="s">
        <v>1381</v>
      </c>
      <c r="E95">
        <v>28</v>
      </c>
      <c r="F95" t="s">
        <v>237</v>
      </c>
      <c r="G95" t="s">
        <v>1062</v>
      </c>
      <c r="H95" s="316">
        <v>48</v>
      </c>
      <c r="I95" s="315">
        <v>8</v>
      </c>
      <c r="J95" s="315">
        <v>0.5</v>
      </c>
      <c r="K95" s="316">
        <v>127</v>
      </c>
      <c r="L95" s="316">
        <v>154.72720878231945</v>
      </c>
      <c r="M95" t="s">
        <v>2033</v>
      </c>
    </row>
    <row r="96" spans="2:13" x14ac:dyDescent="0.25">
      <c r="B96" t="s">
        <v>183</v>
      </c>
      <c r="C96" t="s">
        <v>1380</v>
      </c>
      <c r="D96" t="s">
        <v>1382</v>
      </c>
      <c r="E96">
        <v>28</v>
      </c>
      <c r="F96" t="s">
        <v>237</v>
      </c>
      <c r="G96" t="s">
        <v>1062</v>
      </c>
      <c r="H96" s="316">
        <v>49</v>
      </c>
      <c r="I96" s="315">
        <v>7.8</v>
      </c>
      <c r="J96" s="315">
        <v>0.5</v>
      </c>
      <c r="K96" s="316">
        <v>125</v>
      </c>
      <c r="L96" s="316">
        <v>131.91097064256508</v>
      </c>
      <c r="M96" t="s">
        <v>2033</v>
      </c>
    </row>
    <row r="97" spans="2:13" x14ac:dyDescent="0.25">
      <c r="B97" t="s">
        <v>183</v>
      </c>
      <c r="C97" t="s">
        <v>1549</v>
      </c>
      <c r="D97" t="s">
        <v>1550</v>
      </c>
      <c r="E97">
        <v>28</v>
      </c>
      <c r="F97" t="s">
        <v>81</v>
      </c>
      <c r="G97" t="s">
        <v>49</v>
      </c>
      <c r="H97" s="316">
        <v>256</v>
      </c>
      <c r="I97" s="315">
        <v>7.81</v>
      </c>
      <c r="J97" s="316">
        <v>12.7</v>
      </c>
      <c r="K97" s="316">
        <v>1629</v>
      </c>
      <c r="L97" s="316">
        <v>171.05747623683536</v>
      </c>
      <c r="M97" t="s">
        <v>2034</v>
      </c>
    </row>
    <row r="98" spans="2:13" x14ac:dyDescent="0.25">
      <c r="B98" t="s">
        <v>183</v>
      </c>
      <c r="C98" t="s">
        <v>1549</v>
      </c>
      <c r="D98" t="s">
        <v>1550</v>
      </c>
      <c r="E98">
        <v>28</v>
      </c>
      <c r="F98" t="s">
        <v>81</v>
      </c>
      <c r="G98" t="s">
        <v>49</v>
      </c>
      <c r="H98" s="316">
        <v>225</v>
      </c>
      <c r="I98" s="315">
        <v>7.9</v>
      </c>
      <c r="J98" s="315">
        <v>7.82</v>
      </c>
      <c r="K98" s="316">
        <v>910</v>
      </c>
      <c r="L98" s="316">
        <v>171.05747623683536</v>
      </c>
      <c r="M98" t="s">
        <v>2034</v>
      </c>
    </row>
    <row r="99" spans="2:13" x14ac:dyDescent="0.25">
      <c r="B99" t="s">
        <v>183</v>
      </c>
      <c r="C99" t="s">
        <v>1549</v>
      </c>
      <c r="D99" t="s">
        <v>1550</v>
      </c>
      <c r="E99">
        <v>28</v>
      </c>
      <c r="F99" t="s">
        <v>81</v>
      </c>
      <c r="G99" t="s">
        <v>49</v>
      </c>
      <c r="H99" s="316">
        <v>37.6</v>
      </c>
      <c r="I99" s="315">
        <v>7.41</v>
      </c>
      <c r="J99" s="315">
        <v>2.85</v>
      </c>
      <c r="K99" s="316">
        <v>200</v>
      </c>
      <c r="L99" s="316">
        <v>171.05747623683536</v>
      </c>
      <c r="M99" t="s">
        <v>2034</v>
      </c>
    </row>
    <row r="100" spans="2:13" x14ac:dyDescent="0.25">
      <c r="B100" t="s">
        <v>183</v>
      </c>
      <c r="C100" t="s">
        <v>1549</v>
      </c>
      <c r="D100" t="s">
        <v>1550</v>
      </c>
      <c r="E100">
        <v>28</v>
      </c>
      <c r="F100" t="s">
        <v>81</v>
      </c>
      <c r="G100" t="s">
        <v>49</v>
      </c>
      <c r="H100" s="316">
        <v>40.9</v>
      </c>
      <c r="I100" s="315">
        <v>6.77</v>
      </c>
      <c r="J100" s="315">
        <v>1.5</v>
      </c>
      <c r="K100" s="316">
        <v>244</v>
      </c>
      <c r="L100" s="316">
        <v>171.05747623683536</v>
      </c>
      <c r="M100" t="s">
        <v>2034</v>
      </c>
    </row>
    <row r="101" spans="2:13" x14ac:dyDescent="0.25">
      <c r="B101" t="s">
        <v>183</v>
      </c>
      <c r="C101" t="s">
        <v>1549</v>
      </c>
      <c r="D101" t="s">
        <v>1550</v>
      </c>
      <c r="E101">
        <v>28</v>
      </c>
      <c r="F101" t="s">
        <v>81</v>
      </c>
      <c r="G101" t="s">
        <v>49</v>
      </c>
      <c r="H101" s="316">
        <v>40.200000000000003</v>
      </c>
      <c r="I101" s="315">
        <v>8.2799999999999994</v>
      </c>
      <c r="J101" s="315">
        <v>1.71</v>
      </c>
      <c r="K101" s="316">
        <v>330</v>
      </c>
      <c r="L101" s="316">
        <v>171.05747623683536</v>
      </c>
      <c r="M101" t="s">
        <v>2034</v>
      </c>
    </row>
    <row r="102" spans="2:13" x14ac:dyDescent="0.25">
      <c r="B102" t="s">
        <v>183</v>
      </c>
      <c r="C102" t="s">
        <v>1549</v>
      </c>
      <c r="D102" t="s">
        <v>1550</v>
      </c>
      <c r="E102">
        <v>28</v>
      </c>
      <c r="F102" t="s">
        <v>81</v>
      </c>
      <c r="G102" t="s">
        <v>49</v>
      </c>
      <c r="H102" s="316">
        <v>296</v>
      </c>
      <c r="I102" s="315">
        <v>8.25</v>
      </c>
      <c r="J102" s="315">
        <v>1.53</v>
      </c>
      <c r="K102" s="316">
        <v>719</v>
      </c>
      <c r="L102" s="316">
        <v>171.05747623683536</v>
      </c>
      <c r="M102" t="s">
        <v>2034</v>
      </c>
    </row>
    <row r="103" spans="2:13" x14ac:dyDescent="0.25">
      <c r="B103" t="s">
        <v>183</v>
      </c>
      <c r="C103" t="s">
        <v>147</v>
      </c>
      <c r="D103" t="s">
        <v>185</v>
      </c>
      <c r="E103">
        <v>30</v>
      </c>
      <c r="F103" t="s">
        <v>156</v>
      </c>
      <c r="G103" t="s">
        <v>54</v>
      </c>
      <c r="H103" s="316">
        <v>36</v>
      </c>
      <c r="I103" s="315">
        <v>6.9</v>
      </c>
      <c r="J103" s="315">
        <v>0.5</v>
      </c>
      <c r="K103" s="316">
        <v>570</v>
      </c>
      <c r="L103" s="316">
        <v>356.84570312534936</v>
      </c>
      <c r="M103" t="s">
        <v>2035</v>
      </c>
    </row>
    <row r="104" spans="2:13" x14ac:dyDescent="0.25">
      <c r="B104" t="s">
        <v>183</v>
      </c>
      <c r="C104" t="s">
        <v>1316</v>
      </c>
      <c r="D104" t="s">
        <v>235</v>
      </c>
      <c r="E104" t="s">
        <v>1205</v>
      </c>
      <c r="F104" t="s">
        <v>81</v>
      </c>
      <c r="G104" t="s">
        <v>54</v>
      </c>
      <c r="H104" s="316">
        <v>238.21379999999999</v>
      </c>
      <c r="I104" s="315">
        <v>8</v>
      </c>
      <c r="J104" s="315">
        <v>4.3</v>
      </c>
      <c r="K104" s="316">
        <v>72</v>
      </c>
      <c r="L104" s="316">
        <v>17.437383184816362</v>
      </c>
      <c r="M104" t="s">
        <v>2036</v>
      </c>
    </row>
    <row r="105" spans="2:13" x14ac:dyDescent="0.25">
      <c r="B105" t="s">
        <v>183</v>
      </c>
      <c r="C105" t="s">
        <v>140</v>
      </c>
      <c r="D105" t="s">
        <v>1251</v>
      </c>
      <c r="E105">
        <v>3</v>
      </c>
      <c r="F105" t="s">
        <v>1309</v>
      </c>
      <c r="G105" t="s">
        <v>52</v>
      </c>
      <c r="H105" s="316">
        <v>42</v>
      </c>
      <c r="I105" s="315">
        <v>7</v>
      </c>
      <c r="J105" s="315">
        <v>0.1</v>
      </c>
      <c r="K105" s="316">
        <v>15</v>
      </c>
      <c r="L105" s="316">
        <v>15.047453309548844</v>
      </c>
      <c r="M105" t="s">
        <v>2030</v>
      </c>
    </row>
    <row r="106" spans="2:13" x14ac:dyDescent="0.25">
      <c r="B106" t="s">
        <v>1403</v>
      </c>
      <c r="C106" t="s">
        <v>1567</v>
      </c>
      <c r="D106" t="s">
        <v>1568</v>
      </c>
      <c r="E106">
        <v>2</v>
      </c>
      <c r="F106" t="s">
        <v>256</v>
      </c>
      <c r="G106" t="s">
        <v>49</v>
      </c>
      <c r="H106" s="316">
        <v>255</v>
      </c>
      <c r="I106" s="315">
        <v>7.77</v>
      </c>
      <c r="J106" s="315">
        <v>8.94</v>
      </c>
      <c r="K106" s="316">
        <v>550</v>
      </c>
      <c r="L106" s="316">
        <v>82.935518498179519</v>
      </c>
      <c r="M106" t="s">
        <v>2037</v>
      </c>
    </row>
    <row r="107" spans="2:13" x14ac:dyDescent="0.25">
      <c r="B107" t="s">
        <v>1403</v>
      </c>
      <c r="C107" t="s">
        <v>1567</v>
      </c>
      <c r="D107" t="s">
        <v>1568</v>
      </c>
      <c r="E107">
        <v>2</v>
      </c>
      <c r="F107" t="s">
        <v>256</v>
      </c>
      <c r="G107" t="s">
        <v>49</v>
      </c>
      <c r="H107" s="316">
        <v>45.7</v>
      </c>
      <c r="I107" s="315">
        <v>7.4</v>
      </c>
      <c r="J107" s="315">
        <v>2.83</v>
      </c>
      <c r="K107" s="316">
        <v>197</v>
      </c>
      <c r="L107" s="316">
        <v>82.935518498179519</v>
      </c>
      <c r="M107" t="s">
        <v>2037</v>
      </c>
    </row>
    <row r="108" spans="2:13" x14ac:dyDescent="0.25">
      <c r="B108" t="s">
        <v>1403</v>
      </c>
      <c r="C108" t="s">
        <v>1567</v>
      </c>
      <c r="D108" t="s">
        <v>1568</v>
      </c>
      <c r="E108">
        <v>2</v>
      </c>
      <c r="F108" t="s">
        <v>256</v>
      </c>
      <c r="G108" t="s">
        <v>49</v>
      </c>
      <c r="H108" s="316">
        <v>46.9</v>
      </c>
      <c r="I108" s="315">
        <v>6.89</v>
      </c>
      <c r="J108" s="315">
        <v>1.18</v>
      </c>
      <c r="K108" s="316">
        <v>142</v>
      </c>
      <c r="L108" s="316">
        <v>82.935518498179519</v>
      </c>
      <c r="M108" t="s">
        <v>2037</v>
      </c>
    </row>
    <row r="109" spans="2:13" x14ac:dyDescent="0.25">
      <c r="B109" t="s">
        <v>1403</v>
      </c>
      <c r="C109" t="s">
        <v>1567</v>
      </c>
      <c r="D109" t="s">
        <v>1568</v>
      </c>
      <c r="E109">
        <v>2</v>
      </c>
      <c r="F109" t="s">
        <v>256</v>
      </c>
      <c r="G109" t="s">
        <v>49</v>
      </c>
      <c r="H109" s="316">
        <v>41.5</v>
      </c>
      <c r="I109" s="315">
        <v>8.09</v>
      </c>
      <c r="J109" s="315">
        <v>1.73</v>
      </c>
      <c r="K109" s="316">
        <v>66</v>
      </c>
      <c r="L109" s="316">
        <v>82.935518498179519</v>
      </c>
      <c r="M109" t="s">
        <v>2037</v>
      </c>
    </row>
    <row r="110" spans="2:13" x14ac:dyDescent="0.25">
      <c r="B110" t="s">
        <v>1403</v>
      </c>
      <c r="C110" t="s">
        <v>1567</v>
      </c>
      <c r="D110" t="s">
        <v>1568</v>
      </c>
      <c r="E110">
        <v>2</v>
      </c>
      <c r="F110" t="s">
        <v>256</v>
      </c>
      <c r="G110" t="s">
        <v>49</v>
      </c>
      <c r="H110" s="316">
        <v>311</v>
      </c>
      <c r="I110" s="315">
        <v>8.16</v>
      </c>
      <c r="J110" s="315">
        <v>1.49</v>
      </c>
      <c r="K110" s="316">
        <v>453</v>
      </c>
      <c r="L110" s="316">
        <v>82.935518498179519</v>
      </c>
      <c r="M110" t="s">
        <v>2037</v>
      </c>
    </row>
    <row r="111" spans="2:13" x14ac:dyDescent="0.25">
      <c r="B111" t="s">
        <v>1303</v>
      </c>
      <c r="C111" t="s">
        <v>567</v>
      </c>
      <c r="D111" t="s">
        <v>264</v>
      </c>
      <c r="E111" t="s">
        <v>103</v>
      </c>
      <c r="F111" t="s">
        <v>256</v>
      </c>
      <c r="G111" t="s">
        <v>49</v>
      </c>
      <c r="H111" s="316">
        <v>85</v>
      </c>
      <c r="I111" s="315">
        <v>7.5</v>
      </c>
      <c r="J111" s="315">
        <v>0.5</v>
      </c>
      <c r="K111" s="316">
        <v>28</v>
      </c>
      <c r="L111" s="316">
        <v>0.90625925119845641</v>
      </c>
      <c r="M111" t="s">
        <v>2038</v>
      </c>
    </row>
    <row r="112" spans="2:13" x14ac:dyDescent="0.25">
      <c r="B112" t="s">
        <v>1303</v>
      </c>
      <c r="C112" t="s">
        <v>567</v>
      </c>
      <c r="D112" t="s">
        <v>264</v>
      </c>
      <c r="E112">
        <v>3</v>
      </c>
      <c r="F112" t="s">
        <v>256</v>
      </c>
      <c r="G112" t="s">
        <v>49</v>
      </c>
      <c r="H112" s="316">
        <v>93</v>
      </c>
      <c r="I112" s="315">
        <v>6.7</v>
      </c>
      <c r="J112" s="315">
        <v>0.66</v>
      </c>
      <c r="K112" s="315">
        <v>4.5</v>
      </c>
      <c r="L112" s="315">
        <v>0.90625925119845641</v>
      </c>
      <c r="M112" t="s">
        <v>2039</v>
      </c>
    </row>
    <row r="113" spans="2:13" x14ac:dyDescent="0.25">
      <c r="B113" t="s">
        <v>1303</v>
      </c>
      <c r="C113" t="s">
        <v>567</v>
      </c>
      <c r="D113" t="s">
        <v>264</v>
      </c>
      <c r="E113">
        <v>3</v>
      </c>
      <c r="F113" t="s">
        <v>256</v>
      </c>
      <c r="G113" t="s">
        <v>49</v>
      </c>
      <c r="H113" s="316">
        <v>93</v>
      </c>
      <c r="I113" s="315">
        <v>7.1</v>
      </c>
      <c r="J113" s="315">
        <v>0.44</v>
      </c>
      <c r="K113" s="315">
        <v>1.8</v>
      </c>
      <c r="L113" s="315">
        <v>0.90625925119845641</v>
      </c>
      <c r="M113" t="s">
        <v>2039</v>
      </c>
    </row>
    <row r="114" spans="2:13" x14ac:dyDescent="0.25">
      <c r="B114" t="s">
        <v>1303</v>
      </c>
      <c r="C114" t="s">
        <v>567</v>
      </c>
      <c r="D114" t="s">
        <v>264</v>
      </c>
      <c r="E114">
        <v>3</v>
      </c>
      <c r="F114" t="s">
        <v>256</v>
      </c>
      <c r="G114" t="s">
        <v>49</v>
      </c>
      <c r="H114" s="316">
        <v>94</v>
      </c>
      <c r="I114" s="315">
        <v>7.7</v>
      </c>
      <c r="J114" s="315">
        <v>0.6</v>
      </c>
      <c r="K114" s="315">
        <v>0.79</v>
      </c>
      <c r="L114" s="315">
        <v>0.90625925119845641</v>
      </c>
      <c r="M114" t="s">
        <v>2039</v>
      </c>
    </row>
    <row r="115" spans="2:13" x14ac:dyDescent="0.25">
      <c r="B115" t="s">
        <v>1303</v>
      </c>
      <c r="C115" t="s">
        <v>567</v>
      </c>
      <c r="D115" t="s">
        <v>264</v>
      </c>
      <c r="E115">
        <v>3</v>
      </c>
      <c r="F115" t="s">
        <v>256</v>
      </c>
      <c r="G115" t="s">
        <v>49</v>
      </c>
      <c r="H115" s="316">
        <v>94</v>
      </c>
      <c r="I115" s="315">
        <v>8</v>
      </c>
      <c r="J115" s="315">
        <v>0.6</v>
      </c>
      <c r="K115" s="315">
        <v>4.0999999999999996</v>
      </c>
      <c r="L115" s="315">
        <v>0.90625925119845641</v>
      </c>
      <c r="M115" t="s">
        <v>2039</v>
      </c>
    </row>
    <row r="116" spans="2:13" x14ac:dyDescent="0.25">
      <c r="B116" t="s">
        <v>1303</v>
      </c>
      <c r="C116" t="s">
        <v>567</v>
      </c>
      <c r="D116" t="s">
        <v>264</v>
      </c>
      <c r="E116">
        <v>3</v>
      </c>
      <c r="F116" t="s">
        <v>256</v>
      </c>
      <c r="G116" t="s">
        <v>49</v>
      </c>
      <c r="H116" s="316">
        <v>93</v>
      </c>
      <c r="I116" s="315">
        <v>8.3000000000000007</v>
      </c>
      <c r="J116" s="315">
        <v>0.69</v>
      </c>
      <c r="K116" s="315">
        <v>3.2</v>
      </c>
      <c r="L116" s="315">
        <v>0.90625925119845641</v>
      </c>
      <c r="M116" t="s">
        <v>2039</v>
      </c>
    </row>
    <row r="117" spans="2:13" x14ac:dyDescent="0.25">
      <c r="B117" t="s">
        <v>1303</v>
      </c>
      <c r="C117" t="s">
        <v>567</v>
      </c>
      <c r="D117" t="s">
        <v>264</v>
      </c>
      <c r="E117">
        <v>3</v>
      </c>
      <c r="F117" t="s">
        <v>256</v>
      </c>
      <c r="G117" t="s">
        <v>49</v>
      </c>
      <c r="H117" s="315">
        <v>5</v>
      </c>
      <c r="I117" s="315">
        <v>6.7</v>
      </c>
      <c r="J117" s="315">
        <v>0.5</v>
      </c>
      <c r="K117" s="315">
        <v>1.5</v>
      </c>
      <c r="L117" s="315">
        <v>0.90625925119845641</v>
      </c>
      <c r="M117" t="s">
        <v>2040</v>
      </c>
    </row>
    <row r="118" spans="2:13" x14ac:dyDescent="0.25">
      <c r="B118" t="s">
        <v>1303</v>
      </c>
      <c r="C118" t="s">
        <v>567</v>
      </c>
      <c r="D118" t="s">
        <v>264</v>
      </c>
      <c r="E118">
        <v>3</v>
      </c>
      <c r="F118" t="s">
        <v>256</v>
      </c>
      <c r="G118" t="s">
        <v>49</v>
      </c>
      <c r="H118" s="315">
        <v>5</v>
      </c>
      <c r="I118" s="315">
        <v>7.6</v>
      </c>
      <c r="J118" s="315">
        <v>0.5</v>
      </c>
      <c r="K118" s="315">
        <v>1.8</v>
      </c>
      <c r="L118" s="315">
        <v>0.90625925119845641</v>
      </c>
      <c r="M118" t="s">
        <v>2040</v>
      </c>
    </row>
    <row r="119" spans="2:13" x14ac:dyDescent="0.25">
      <c r="B119" t="s">
        <v>1303</v>
      </c>
      <c r="C119" t="s">
        <v>567</v>
      </c>
      <c r="D119" t="s">
        <v>264</v>
      </c>
      <c r="E119">
        <v>3</v>
      </c>
      <c r="F119" t="s">
        <v>256</v>
      </c>
      <c r="G119" t="s">
        <v>49</v>
      </c>
      <c r="H119" s="315">
        <v>5</v>
      </c>
      <c r="I119" s="315">
        <v>8.3000000000000007</v>
      </c>
      <c r="J119" s="315">
        <v>0.5</v>
      </c>
      <c r="K119" s="315">
        <v>0.85</v>
      </c>
      <c r="L119" s="315">
        <v>0.90625925119845641</v>
      </c>
      <c r="M119" t="s">
        <v>2040</v>
      </c>
    </row>
    <row r="120" spans="2:13" x14ac:dyDescent="0.25">
      <c r="B120" t="s">
        <v>1303</v>
      </c>
      <c r="C120" t="s">
        <v>567</v>
      </c>
      <c r="D120" t="s">
        <v>264</v>
      </c>
      <c r="E120">
        <v>3</v>
      </c>
      <c r="F120" t="s">
        <v>256</v>
      </c>
      <c r="G120" t="s">
        <v>49</v>
      </c>
      <c r="H120" s="316">
        <v>31</v>
      </c>
      <c r="I120" s="315">
        <v>6.7</v>
      </c>
      <c r="J120" s="315">
        <v>0.5</v>
      </c>
      <c r="K120" s="315">
        <v>3.3</v>
      </c>
      <c r="L120" s="315">
        <v>0.90625925119845641</v>
      </c>
      <c r="M120" t="s">
        <v>2040</v>
      </c>
    </row>
    <row r="121" spans="2:13" x14ac:dyDescent="0.25">
      <c r="B121" t="s">
        <v>1303</v>
      </c>
      <c r="C121" t="s">
        <v>567</v>
      </c>
      <c r="D121" t="s">
        <v>264</v>
      </c>
      <c r="E121">
        <v>3</v>
      </c>
      <c r="F121" t="s">
        <v>256</v>
      </c>
      <c r="G121" t="s">
        <v>49</v>
      </c>
      <c r="H121" s="316">
        <v>31</v>
      </c>
      <c r="I121" s="315">
        <v>7.6</v>
      </c>
      <c r="J121" s="315">
        <v>0.5</v>
      </c>
      <c r="K121" s="315">
        <v>2.1</v>
      </c>
      <c r="L121" s="315">
        <v>0.90625925119845641</v>
      </c>
      <c r="M121" t="s">
        <v>2040</v>
      </c>
    </row>
    <row r="122" spans="2:13" x14ac:dyDescent="0.25">
      <c r="B122" t="s">
        <v>1303</v>
      </c>
      <c r="C122" t="s">
        <v>567</v>
      </c>
      <c r="D122" t="s">
        <v>264</v>
      </c>
      <c r="E122">
        <v>3</v>
      </c>
      <c r="F122" t="s">
        <v>256</v>
      </c>
      <c r="G122" t="s">
        <v>49</v>
      </c>
      <c r="H122" s="316">
        <v>31</v>
      </c>
      <c r="I122" s="315">
        <v>8.3000000000000007</v>
      </c>
      <c r="J122" s="315">
        <v>0.5</v>
      </c>
      <c r="K122" s="315">
        <v>1.3</v>
      </c>
      <c r="L122" s="315">
        <v>0.90625925119845641</v>
      </c>
      <c r="M122" t="s">
        <v>2040</v>
      </c>
    </row>
    <row r="123" spans="2:13" x14ac:dyDescent="0.25">
      <c r="B123" t="s">
        <v>1303</v>
      </c>
      <c r="C123" t="s">
        <v>567</v>
      </c>
      <c r="D123" t="s">
        <v>264</v>
      </c>
      <c r="E123">
        <v>3</v>
      </c>
      <c r="F123" t="s">
        <v>256</v>
      </c>
      <c r="G123" t="s">
        <v>49</v>
      </c>
      <c r="H123" s="316">
        <v>402</v>
      </c>
      <c r="I123" s="315">
        <v>6.7</v>
      </c>
      <c r="J123" s="315">
        <v>0.5</v>
      </c>
      <c r="K123" s="315">
        <v>5.3</v>
      </c>
      <c r="L123" s="315">
        <v>0.90625925119845641</v>
      </c>
      <c r="M123" t="s">
        <v>2040</v>
      </c>
    </row>
    <row r="124" spans="2:13" x14ac:dyDescent="0.25">
      <c r="B124" t="s">
        <v>1303</v>
      </c>
      <c r="C124" t="s">
        <v>567</v>
      </c>
      <c r="D124" t="s">
        <v>264</v>
      </c>
      <c r="E124">
        <v>3</v>
      </c>
      <c r="F124" t="s">
        <v>256</v>
      </c>
      <c r="G124" t="s">
        <v>49</v>
      </c>
      <c r="H124" s="316">
        <v>402</v>
      </c>
      <c r="I124" s="315">
        <v>7.6</v>
      </c>
      <c r="J124" s="315">
        <v>0.5</v>
      </c>
      <c r="K124" s="315">
        <v>4.4000000000000004</v>
      </c>
      <c r="L124" s="315">
        <v>0.90625925119845641</v>
      </c>
      <c r="M124" t="s">
        <v>2040</v>
      </c>
    </row>
    <row r="125" spans="2:13" x14ac:dyDescent="0.25">
      <c r="B125" t="s">
        <v>1303</v>
      </c>
      <c r="C125" t="s">
        <v>567</v>
      </c>
      <c r="D125" t="s">
        <v>264</v>
      </c>
      <c r="E125">
        <v>3</v>
      </c>
      <c r="F125" t="s">
        <v>256</v>
      </c>
      <c r="G125" t="s">
        <v>49</v>
      </c>
      <c r="H125" s="316">
        <v>402</v>
      </c>
      <c r="I125" s="315">
        <v>8.3000000000000007</v>
      </c>
      <c r="J125" s="315">
        <v>0.5</v>
      </c>
      <c r="K125" s="315">
        <v>3.9</v>
      </c>
      <c r="L125" s="315">
        <v>0.90625925119845641</v>
      </c>
      <c r="M125" t="s">
        <v>2040</v>
      </c>
    </row>
    <row r="126" spans="2:13" x14ac:dyDescent="0.25">
      <c r="B126" t="s">
        <v>1303</v>
      </c>
      <c r="C126" t="s">
        <v>567</v>
      </c>
      <c r="D126" t="s">
        <v>264</v>
      </c>
      <c r="E126">
        <v>3</v>
      </c>
      <c r="F126" t="s">
        <v>256</v>
      </c>
      <c r="G126" t="s">
        <v>49</v>
      </c>
      <c r="H126" s="316">
        <v>90</v>
      </c>
      <c r="I126" s="315">
        <v>7.7</v>
      </c>
      <c r="J126" s="315">
        <v>0.5</v>
      </c>
      <c r="K126" s="315">
        <v>1.6</v>
      </c>
      <c r="L126" s="315">
        <v>0.90625925119845641</v>
      </c>
      <c r="M126" t="s">
        <v>2041</v>
      </c>
    </row>
    <row r="127" spans="2:13" x14ac:dyDescent="0.25">
      <c r="B127" t="s">
        <v>1303</v>
      </c>
      <c r="C127" t="s">
        <v>567</v>
      </c>
      <c r="D127" t="s">
        <v>264</v>
      </c>
      <c r="E127">
        <v>3</v>
      </c>
      <c r="F127" t="s">
        <v>256</v>
      </c>
      <c r="G127" t="s">
        <v>49</v>
      </c>
      <c r="H127" s="316">
        <v>90</v>
      </c>
      <c r="I127" s="315">
        <v>7.6</v>
      </c>
      <c r="J127" s="315">
        <v>2.5</v>
      </c>
      <c r="K127" s="315">
        <v>2</v>
      </c>
      <c r="L127" s="315">
        <v>0.90625925119845641</v>
      </c>
      <c r="M127" t="s">
        <v>2041</v>
      </c>
    </row>
    <row r="128" spans="2:13" x14ac:dyDescent="0.25">
      <c r="B128" t="s">
        <v>1303</v>
      </c>
      <c r="C128" t="s">
        <v>567</v>
      </c>
      <c r="D128" t="s">
        <v>264</v>
      </c>
      <c r="E128">
        <v>3</v>
      </c>
      <c r="F128" t="s">
        <v>256</v>
      </c>
      <c r="G128" t="s">
        <v>49</v>
      </c>
      <c r="H128" s="316">
        <v>90</v>
      </c>
      <c r="I128" s="315">
        <v>7.6</v>
      </c>
      <c r="J128" s="315">
        <v>5.4</v>
      </c>
      <c r="K128" s="315">
        <v>3.5</v>
      </c>
      <c r="L128" s="315">
        <v>0.90625925119845641</v>
      </c>
      <c r="M128" t="s">
        <v>2041</v>
      </c>
    </row>
    <row r="129" spans="2:13" x14ac:dyDescent="0.25">
      <c r="B129" t="s">
        <v>1303</v>
      </c>
      <c r="C129" t="s">
        <v>567</v>
      </c>
      <c r="D129" t="s">
        <v>264</v>
      </c>
      <c r="E129">
        <v>3</v>
      </c>
      <c r="F129" t="s">
        <v>256</v>
      </c>
      <c r="G129" t="s">
        <v>49</v>
      </c>
      <c r="H129" s="316">
        <v>90</v>
      </c>
      <c r="I129" s="315">
        <v>7.6</v>
      </c>
      <c r="J129" s="316">
        <v>10.1</v>
      </c>
      <c r="K129" s="315">
        <v>4.5</v>
      </c>
      <c r="L129" s="315">
        <v>0.90625925119845641</v>
      </c>
      <c r="M129" t="s">
        <v>2041</v>
      </c>
    </row>
    <row r="130" spans="2:13" x14ac:dyDescent="0.25">
      <c r="B130" t="s">
        <v>1303</v>
      </c>
      <c r="C130" t="s">
        <v>567</v>
      </c>
      <c r="D130" t="s">
        <v>264</v>
      </c>
      <c r="E130">
        <v>3</v>
      </c>
      <c r="F130" t="s">
        <v>256</v>
      </c>
      <c r="G130" t="s">
        <v>49</v>
      </c>
      <c r="H130" s="316">
        <v>90</v>
      </c>
      <c r="I130" s="315">
        <v>7.6</v>
      </c>
      <c r="J130" s="316">
        <v>15.1</v>
      </c>
      <c r="K130" s="315">
        <v>6.1</v>
      </c>
      <c r="L130" s="315">
        <v>0.90625925119845641</v>
      </c>
      <c r="M130" t="s">
        <v>2041</v>
      </c>
    </row>
    <row r="131" spans="2:13" x14ac:dyDescent="0.25">
      <c r="B131" t="s">
        <v>1303</v>
      </c>
      <c r="C131" t="s">
        <v>567</v>
      </c>
      <c r="D131" t="s">
        <v>264</v>
      </c>
      <c r="E131">
        <v>3</v>
      </c>
      <c r="F131" t="s">
        <v>256</v>
      </c>
      <c r="G131" t="s">
        <v>49</v>
      </c>
      <c r="H131" s="316">
        <v>90</v>
      </c>
      <c r="I131" s="315">
        <v>6.7</v>
      </c>
      <c r="J131" s="315">
        <v>5.5</v>
      </c>
      <c r="K131" s="315">
        <v>2.7</v>
      </c>
      <c r="L131" s="315">
        <v>0.90625925119845641</v>
      </c>
      <c r="M131" t="s">
        <v>2041</v>
      </c>
    </row>
    <row r="132" spans="2:13" x14ac:dyDescent="0.25">
      <c r="B132" t="s">
        <v>1303</v>
      </c>
      <c r="C132" t="s">
        <v>567</v>
      </c>
      <c r="D132" t="s">
        <v>264</v>
      </c>
      <c r="E132">
        <v>3</v>
      </c>
      <c r="F132" t="s">
        <v>256</v>
      </c>
      <c r="G132" t="s">
        <v>49</v>
      </c>
      <c r="H132" s="316">
        <v>90</v>
      </c>
      <c r="I132" s="315">
        <v>8.3000000000000007</v>
      </c>
      <c r="J132" s="315">
        <v>5.5</v>
      </c>
      <c r="K132" s="315">
        <v>2.8</v>
      </c>
      <c r="L132" s="315">
        <v>0.90625925119845641</v>
      </c>
      <c r="M132" t="s">
        <v>2041</v>
      </c>
    </row>
    <row r="133" spans="2:13" x14ac:dyDescent="0.25">
      <c r="B133" t="s">
        <v>1303</v>
      </c>
      <c r="C133" t="s">
        <v>567</v>
      </c>
      <c r="D133" t="s">
        <v>264</v>
      </c>
      <c r="E133">
        <v>3</v>
      </c>
      <c r="F133" t="s">
        <v>256</v>
      </c>
      <c r="G133" t="s">
        <v>49</v>
      </c>
      <c r="H133" s="316">
        <v>90</v>
      </c>
      <c r="I133" s="315">
        <v>7.6</v>
      </c>
      <c r="J133" s="315">
        <v>2</v>
      </c>
      <c r="K133" s="315">
        <v>1.8</v>
      </c>
      <c r="L133" s="315">
        <v>0.90625925119845641</v>
      </c>
      <c r="M133" t="s">
        <v>2041</v>
      </c>
    </row>
    <row r="134" spans="2:13" x14ac:dyDescent="0.25">
      <c r="B134" t="s">
        <v>1303</v>
      </c>
      <c r="C134" t="s">
        <v>567</v>
      </c>
      <c r="D134" t="s">
        <v>264</v>
      </c>
      <c r="E134">
        <v>3</v>
      </c>
      <c r="F134" t="s">
        <v>256</v>
      </c>
      <c r="G134" t="s">
        <v>49</v>
      </c>
      <c r="H134" s="316">
        <v>90</v>
      </c>
      <c r="I134" s="315">
        <v>7.6</v>
      </c>
      <c r="J134" s="315">
        <v>4.5999999999999996</v>
      </c>
      <c r="K134" s="315">
        <v>2.2999999999999998</v>
      </c>
      <c r="L134" s="315">
        <v>0.90625925119845641</v>
      </c>
      <c r="M134" t="s">
        <v>2041</v>
      </c>
    </row>
    <row r="135" spans="2:13" x14ac:dyDescent="0.25">
      <c r="B135" t="s">
        <v>1303</v>
      </c>
      <c r="C135" t="s">
        <v>567</v>
      </c>
      <c r="D135" t="s">
        <v>264</v>
      </c>
      <c r="E135">
        <v>3</v>
      </c>
      <c r="F135" t="s">
        <v>256</v>
      </c>
      <c r="G135" t="s">
        <v>49</v>
      </c>
      <c r="H135" s="316">
        <v>90</v>
      </c>
      <c r="I135" s="315">
        <v>7.6</v>
      </c>
      <c r="J135" s="315">
        <v>8.8000000000000007</v>
      </c>
      <c r="K135" s="315">
        <v>2.9</v>
      </c>
      <c r="L135" s="315">
        <v>0.90625925119845641</v>
      </c>
      <c r="M135" t="s">
        <v>2041</v>
      </c>
    </row>
    <row r="136" spans="2:13" x14ac:dyDescent="0.25">
      <c r="B136" t="s">
        <v>1303</v>
      </c>
      <c r="C136" t="s">
        <v>567</v>
      </c>
      <c r="D136" t="s">
        <v>264</v>
      </c>
      <c r="E136">
        <v>3</v>
      </c>
      <c r="F136" t="s">
        <v>256</v>
      </c>
      <c r="G136" t="s">
        <v>49</v>
      </c>
      <c r="H136" s="316">
        <v>90</v>
      </c>
      <c r="I136" s="315">
        <v>7.6</v>
      </c>
      <c r="J136" s="316">
        <v>13</v>
      </c>
      <c r="K136" s="315">
        <v>3.4</v>
      </c>
      <c r="L136" s="315">
        <v>0.90625925119845641</v>
      </c>
      <c r="M136" t="s">
        <v>2041</v>
      </c>
    </row>
    <row r="137" spans="2:13" x14ac:dyDescent="0.25">
      <c r="B137" t="s">
        <v>1303</v>
      </c>
      <c r="C137" t="s">
        <v>567</v>
      </c>
      <c r="D137" t="s">
        <v>264</v>
      </c>
      <c r="E137">
        <v>3</v>
      </c>
      <c r="F137" t="s">
        <v>256</v>
      </c>
      <c r="G137" t="s">
        <v>49</v>
      </c>
      <c r="H137" s="316">
        <v>90</v>
      </c>
      <c r="I137" s="315">
        <v>6.7</v>
      </c>
      <c r="J137" s="315">
        <v>4.9000000000000004</v>
      </c>
      <c r="K137" s="315">
        <v>2.2000000000000002</v>
      </c>
      <c r="L137" s="315">
        <v>0.90625925119845641</v>
      </c>
      <c r="M137" t="s">
        <v>2041</v>
      </c>
    </row>
    <row r="138" spans="2:13" x14ac:dyDescent="0.25">
      <c r="B138" t="s">
        <v>1303</v>
      </c>
      <c r="C138" t="s">
        <v>567</v>
      </c>
      <c r="D138" t="s">
        <v>264</v>
      </c>
      <c r="E138">
        <v>3</v>
      </c>
      <c r="F138" t="s">
        <v>256</v>
      </c>
      <c r="G138" t="s">
        <v>49</v>
      </c>
      <c r="H138" s="316">
        <v>90</v>
      </c>
      <c r="I138" s="315">
        <v>8.3000000000000007</v>
      </c>
      <c r="J138" s="315">
        <v>4.9000000000000004</v>
      </c>
      <c r="K138" s="315">
        <v>2</v>
      </c>
      <c r="L138" s="315">
        <v>0.90625925119845641</v>
      </c>
      <c r="M138" t="s">
        <v>2041</v>
      </c>
    </row>
    <row r="139" spans="2:13" x14ac:dyDescent="0.25">
      <c r="B139" t="s">
        <v>1303</v>
      </c>
      <c r="C139" t="s">
        <v>567</v>
      </c>
      <c r="D139" t="s">
        <v>264</v>
      </c>
      <c r="E139">
        <v>3</v>
      </c>
      <c r="F139" t="s">
        <v>256</v>
      </c>
      <c r="G139" t="s">
        <v>49</v>
      </c>
      <c r="H139" s="316">
        <v>355</v>
      </c>
      <c r="I139" s="315">
        <v>8.0500000000000007</v>
      </c>
      <c r="J139" s="315">
        <v>4.2</v>
      </c>
      <c r="K139" s="316">
        <v>145</v>
      </c>
      <c r="L139" s="316">
        <v>0.90625925119845641</v>
      </c>
      <c r="M139" t="s">
        <v>2019</v>
      </c>
    </row>
    <row r="140" spans="2:13" x14ac:dyDescent="0.25">
      <c r="B140" t="s">
        <v>1303</v>
      </c>
      <c r="C140" t="s">
        <v>567</v>
      </c>
      <c r="D140" t="s">
        <v>264</v>
      </c>
      <c r="E140">
        <v>3</v>
      </c>
      <c r="F140" t="s">
        <v>256</v>
      </c>
      <c r="G140" t="s">
        <v>49</v>
      </c>
      <c r="H140" s="315">
        <v>3</v>
      </c>
      <c r="I140" s="315">
        <v>6.38</v>
      </c>
      <c r="J140" s="315">
        <v>6</v>
      </c>
      <c r="K140" s="316">
        <v>27</v>
      </c>
      <c r="L140" s="316">
        <v>0.90625925119845641</v>
      </c>
      <c r="M140" t="s">
        <v>2019</v>
      </c>
    </row>
    <row r="141" spans="2:13" x14ac:dyDescent="0.25">
      <c r="B141" t="s">
        <v>1303</v>
      </c>
      <c r="C141" t="s">
        <v>567</v>
      </c>
      <c r="D141" t="s">
        <v>264</v>
      </c>
      <c r="E141">
        <v>3</v>
      </c>
      <c r="F141" t="s">
        <v>256</v>
      </c>
      <c r="G141" t="s">
        <v>49</v>
      </c>
      <c r="H141" s="316">
        <v>11</v>
      </c>
      <c r="I141" s="315">
        <v>7.47</v>
      </c>
      <c r="J141" s="315">
        <v>0.5</v>
      </c>
      <c r="K141" s="315">
        <v>6.6</v>
      </c>
      <c r="L141" s="315">
        <v>0.90625925119845641</v>
      </c>
      <c r="M141" t="s">
        <v>2019</v>
      </c>
    </row>
    <row r="142" spans="2:13" x14ac:dyDescent="0.25">
      <c r="B142" t="s">
        <v>1303</v>
      </c>
      <c r="C142" t="s">
        <v>567</v>
      </c>
      <c r="D142" t="s">
        <v>264</v>
      </c>
      <c r="E142">
        <v>3</v>
      </c>
      <c r="F142" t="s">
        <v>256</v>
      </c>
      <c r="G142" t="s">
        <v>49</v>
      </c>
      <c r="H142" s="316">
        <v>11</v>
      </c>
      <c r="I142" s="315">
        <v>8.01</v>
      </c>
      <c r="J142" s="315">
        <v>0.5</v>
      </c>
      <c r="K142" s="315">
        <v>6.3</v>
      </c>
      <c r="L142" s="315">
        <v>0.90625925119845641</v>
      </c>
      <c r="M142" t="s">
        <v>2019</v>
      </c>
    </row>
    <row r="143" spans="2:13" x14ac:dyDescent="0.25">
      <c r="B143" t="s">
        <v>1303</v>
      </c>
      <c r="C143" t="s">
        <v>567</v>
      </c>
      <c r="D143" t="s">
        <v>264</v>
      </c>
      <c r="E143">
        <v>3</v>
      </c>
      <c r="F143" t="s">
        <v>256</v>
      </c>
      <c r="G143" t="s">
        <v>49</v>
      </c>
      <c r="H143" s="316">
        <v>18</v>
      </c>
      <c r="I143" s="315">
        <v>7.11</v>
      </c>
      <c r="J143" s="315">
        <v>5.3</v>
      </c>
      <c r="K143" s="316">
        <v>193</v>
      </c>
      <c r="L143" s="316">
        <v>0.90625925119845641</v>
      </c>
      <c r="M143" t="s">
        <v>2019</v>
      </c>
    </row>
    <row r="144" spans="2:13" x14ac:dyDescent="0.25">
      <c r="B144" t="s">
        <v>1303</v>
      </c>
      <c r="C144" t="s">
        <v>1724</v>
      </c>
      <c r="D144" t="s">
        <v>264</v>
      </c>
      <c r="E144">
        <v>3</v>
      </c>
      <c r="F144" t="s">
        <v>256</v>
      </c>
      <c r="G144" t="s">
        <v>49</v>
      </c>
      <c r="H144" s="315">
        <v>3.5</v>
      </c>
      <c r="I144" s="315">
        <v>6.4</v>
      </c>
      <c r="J144" s="315">
        <v>1.4</v>
      </c>
      <c r="K144" s="316">
        <v>286</v>
      </c>
      <c r="L144" s="316">
        <v>569.9745755015324</v>
      </c>
      <c r="M144" t="s">
        <v>2042</v>
      </c>
    </row>
    <row r="145" spans="2:13" x14ac:dyDescent="0.25">
      <c r="B145" t="s">
        <v>1303</v>
      </c>
      <c r="C145" t="s">
        <v>344</v>
      </c>
      <c r="D145" t="s">
        <v>264</v>
      </c>
      <c r="E145" t="s">
        <v>103</v>
      </c>
      <c r="F145" t="s">
        <v>256</v>
      </c>
      <c r="G145" t="s">
        <v>49</v>
      </c>
      <c r="H145" s="316">
        <v>26.995100000000001</v>
      </c>
      <c r="I145" s="315">
        <v>6.26</v>
      </c>
      <c r="J145" s="315">
        <v>2.48</v>
      </c>
      <c r="K145" s="316">
        <v>109</v>
      </c>
      <c r="L145" s="316">
        <v>16.883638711368956</v>
      </c>
      <c r="M145" t="s">
        <v>2012</v>
      </c>
    </row>
    <row r="146" spans="2:13" x14ac:dyDescent="0.25">
      <c r="B146" t="s">
        <v>1303</v>
      </c>
      <c r="C146" t="s">
        <v>344</v>
      </c>
      <c r="D146" t="s">
        <v>264</v>
      </c>
      <c r="E146" t="s">
        <v>103</v>
      </c>
      <c r="F146" t="s">
        <v>256</v>
      </c>
      <c r="G146" t="s">
        <v>49</v>
      </c>
      <c r="H146" s="316">
        <v>26.587723999999998</v>
      </c>
      <c r="I146" s="315">
        <v>6.43</v>
      </c>
      <c r="J146" s="315">
        <v>3.65</v>
      </c>
      <c r="K146" s="316">
        <v>78.5</v>
      </c>
      <c r="L146" s="316">
        <v>16.883638711368956</v>
      </c>
      <c r="M146" t="s">
        <v>2012</v>
      </c>
    </row>
    <row r="147" spans="2:13" x14ac:dyDescent="0.25">
      <c r="B147" t="s">
        <v>1303</v>
      </c>
      <c r="C147" t="s">
        <v>344</v>
      </c>
      <c r="D147" t="s">
        <v>264</v>
      </c>
      <c r="E147" t="s">
        <v>103</v>
      </c>
      <c r="F147" t="s">
        <v>256</v>
      </c>
      <c r="G147" t="s">
        <v>49</v>
      </c>
      <c r="H147" s="316">
        <v>144.36112</v>
      </c>
      <c r="I147" s="315">
        <v>7.42</v>
      </c>
      <c r="J147" s="316">
        <v>22.3</v>
      </c>
      <c r="K147" s="316">
        <v>136</v>
      </c>
      <c r="L147" s="316">
        <v>16.883638711368956</v>
      </c>
      <c r="M147" t="s">
        <v>2012</v>
      </c>
    </row>
    <row r="148" spans="2:13" x14ac:dyDescent="0.25">
      <c r="B148" t="s">
        <v>1303</v>
      </c>
      <c r="C148" t="s">
        <v>344</v>
      </c>
      <c r="D148" t="s">
        <v>264</v>
      </c>
      <c r="E148" t="s">
        <v>103</v>
      </c>
      <c r="F148" t="s">
        <v>256</v>
      </c>
      <c r="G148" t="s">
        <v>49</v>
      </c>
      <c r="H148" s="316">
        <v>239.07499999999999</v>
      </c>
      <c r="I148" s="315">
        <v>8.01</v>
      </c>
      <c r="J148" s="315">
        <v>5.89</v>
      </c>
      <c r="K148" s="316">
        <v>27.3</v>
      </c>
      <c r="L148" s="316">
        <v>16.883638711368956</v>
      </c>
      <c r="M148" t="s">
        <v>2012</v>
      </c>
    </row>
    <row r="149" spans="2:13" x14ac:dyDescent="0.25">
      <c r="B149" t="s">
        <v>1303</v>
      </c>
      <c r="C149" t="s">
        <v>344</v>
      </c>
      <c r="D149" t="s">
        <v>264</v>
      </c>
      <c r="E149">
        <v>2</v>
      </c>
      <c r="F149" t="s">
        <v>256</v>
      </c>
      <c r="G149" t="s">
        <v>49</v>
      </c>
      <c r="H149" s="316">
        <v>75.2</v>
      </c>
      <c r="I149" s="315">
        <v>6.98</v>
      </c>
      <c r="J149" s="315">
        <v>9.5</v>
      </c>
      <c r="K149" s="316">
        <v>89</v>
      </c>
      <c r="L149" s="316">
        <v>16.883638711368956</v>
      </c>
      <c r="M149" t="s">
        <v>2043</v>
      </c>
    </row>
    <row r="150" spans="2:13" x14ac:dyDescent="0.25">
      <c r="B150" t="s">
        <v>1303</v>
      </c>
      <c r="C150" t="s">
        <v>344</v>
      </c>
      <c r="D150" t="s">
        <v>264</v>
      </c>
      <c r="E150">
        <v>2</v>
      </c>
      <c r="F150" t="s">
        <v>256</v>
      </c>
      <c r="G150" t="s">
        <v>49</v>
      </c>
      <c r="H150" s="316">
        <v>45</v>
      </c>
      <c r="I150" s="315">
        <v>7.26</v>
      </c>
      <c r="J150" s="316">
        <v>12</v>
      </c>
      <c r="K150" s="316">
        <v>36</v>
      </c>
      <c r="L150" s="316">
        <v>16.883638711368956</v>
      </c>
      <c r="M150" t="s">
        <v>2043</v>
      </c>
    </row>
    <row r="151" spans="2:13" x14ac:dyDescent="0.25">
      <c r="B151" t="s">
        <v>1303</v>
      </c>
      <c r="C151" t="s">
        <v>344</v>
      </c>
      <c r="D151" t="s">
        <v>264</v>
      </c>
      <c r="E151">
        <v>2</v>
      </c>
      <c r="F151" t="s">
        <v>256</v>
      </c>
      <c r="G151" t="s">
        <v>49</v>
      </c>
      <c r="H151" s="316">
        <v>21.5</v>
      </c>
      <c r="I151" s="315">
        <v>6.26</v>
      </c>
      <c r="J151" s="315">
        <v>4.0999999999999996</v>
      </c>
      <c r="K151" s="316">
        <v>116</v>
      </c>
      <c r="L151" s="316">
        <v>16.883638711368956</v>
      </c>
      <c r="M151" t="s">
        <v>2043</v>
      </c>
    </row>
    <row r="152" spans="2:13" x14ac:dyDescent="0.25">
      <c r="B152" t="s">
        <v>1303</v>
      </c>
      <c r="C152" t="s">
        <v>344</v>
      </c>
      <c r="D152" t="s">
        <v>264</v>
      </c>
      <c r="E152">
        <v>2</v>
      </c>
      <c r="F152" t="s">
        <v>256</v>
      </c>
      <c r="G152" t="s">
        <v>49</v>
      </c>
      <c r="H152" s="316">
        <v>70.5</v>
      </c>
      <c r="I152" s="315">
        <v>8.5399999999999991</v>
      </c>
      <c r="J152" s="315">
        <v>9</v>
      </c>
      <c r="K152" s="316">
        <v>17</v>
      </c>
      <c r="L152" s="316">
        <v>16.883638711368956</v>
      </c>
      <c r="M152" t="s">
        <v>2043</v>
      </c>
    </row>
    <row r="153" spans="2:13" x14ac:dyDescent="0.25">
      <c r="B153" t="s">
        <v>1303</v>
      </c>
      <c r="C153" t="s">
        <v>344</v>
      </c>
      <c r="D153" t="s">
        <v>264</v>
      </c>
      <c r="E153">
        <v>3</v>
      </c>
      <c r="F153" t="s">
        <v>256</v>
      </c>
      <c r="G153" t="s">
        <v>49</v>
      </c>
      <c r="H153" s="316">
        <v>70.5</v>
      </c>
      <c r="I153" s="315">
        <v>8.5399999999999991</v>
      </c>
      <c r="J153" s="315">
        <v>9</v>
      </c>
      <c r="K153" s="316">
        <v>14</v>
      </c>
      <c r="L153" s="316">
        <v>16.883638711368956</v>
      </c>
      <c r="M153" t="s">
        <v>2043</v>
      </c>
    </row>
    <row r="154" spans="2:13" x14ac:dyDescent="0.25">
      <c r="B154" t="s">
        <v>1303</v>
      </c>
      <c r="C154" t="s">
        <v>344</v>
      </c>
      <c r="D154" t="s">
        <v>264</v>
      </c>
      <c r="E154">
        <v>2</v>
      </c>
      <c r="F154" t="s">
        <v>256</v>
      </c>
      <c r="G154" t="s">
        <v>49</v>
      </c>
      <c r="H154" s="316">
        <v>22.7</v>
      </c>
      <c r="I154" s="315">
        <v>6.16</v>
      </c>
      <c r="J154" s="316">
        <v>11.3</v>
      </c>
      <c r="K154" s="316">
        <v>89</v>
      </c>
      <c r="L154" s="316">
        <v>16.883638711368956</v>
      </c>
      <c r="M154" t="s">
        <v>2043</v>
      </c>
    </row>
    <row r="155" spans="2:13" x14ac:dyDescent="0.25">
      <c r="B155" t="s">
        <v>1303</v>
      </c>
      <c r="C155" t="s">
        <v>344</v>
      </c>
      <c r="D155" t="s">
        <v>264</v>
      </c>
      <c r="E155">
        <v>2</v>
      </c>
      <c r="F155" t="s">
        <v>256</v>
      </c>
      <c r="G155" t="s">
        <v>49</v>
      </c>
      <c r="H155" s="316">
        <v>47.8</v>
      </c>
      <c r="I155" s="315">
        <v>7.13</v>
      </c>
      <c r="J155" s="315">
        <v>9.9</v>
      </c>
      <c r="K155" s="316">
        <v>51</v>
      </c>
      <c r="L155" s="316">
        <v>16.883638711368956</v>
      </c>
      <c r="M155" t="s">
        <v>2043</v>
      </c>
    </row>
    <row r="156" spans="2:13" x14ac:dyDescent="0.25">
      <c r="B156" t="s">
        <v>1303</v>
      </c>
      <c r="C156" t="s">
        <v>344</v>
      </c>
      <c r="D156" t="s">
        <v>264</v>
      </c>
      <c r="E156">
        <v>3</v>
      </c>
      <c r="F156" t="s">
        <v>256</v>
      </c>
      <c r="G156" t="s">
        <v>49</v>
      </c>
      <c r="H156" s="316">
        <v>47.8</v>
      </c>
      <c r="I156" s="315">
        <v>7.15</v>
      </c>
      <c r="J156" s="315">
        <v>9.9</v>
      </c>
      <c r="K156" s="316">
        <v>55</v>
      </c>
      <c r="L156" s="316">
        <v>16.883638711368956</v>
      </c>
      <c r="M156" t="s">
        <v>2043</v>
      </c>
    </row>
    <row r="157" spans="2:13" x14ac:dyDescent="0.25">
      <c r="B157" t="s">
        <v>1303</v>
      </c>
      <c r="C157" t="s">
        <v>344</v>
      </c>
      <c r="D157" t="s">
        <v>264</v>
      </c>
      <c r="E157">
        <v>2</v>
      </c>
      <c r="F157" t="s">
        <v>256</v>
      </c>
      <c r="G157" t="s">
        <v>49</v>
      </c>
      <c r="H157" s="316">
        <v>46.7</v>
      </c>
      <c r="I157" s="315">
        <v>8.27</v>
      </c>
      <c r="J157" s="315">
        <v>4.5</v>
      </c>
      <c r="K157" s="315">
        <v>6</v>
      </c>
      <c r="L157" s="316">
        <v>16.883638711368956</v>
      </c>
      <c r="M157" t="s">
        <v>2043</v>
      </c>
    </row>
    <row r="158" spans="2:13" x14ac:dyDescent="0.25">
      <c r="B158" t="s">
        <v>1303</v>
      </c>
      <c r="C158" t="s">
        <v>344</v>
      </c>
      <c r="D158" t="s">
        <v>264</v>
      </c>
      <c r="E158">
        <v>3</v>
      </c>
      <c r="F158" t="s">
        <v>256</v>
      </c>
      <c r="G158" t="s">
        <v>49</v>
      </c>
      <c r="H158" s="316">
        <v>46.7</v>
      </c>
      <c r="I158" s="315">
        <v>8.32</v>
      </c>
      <c r="J158" s="315">
        <v>4.5</v>
      </c>
      <c r="K158" s="315">
        <v>10</v>
      </c>
      <c r="L158" s="316">
        <v>16.883638711368956</v>
      </c>
      <c r="M158" t="s">
        <v>2043</v>
      </c>
    </row>
    <row r="159" spans="2:13" x14ac:dyDescent="0.25">
      <c r="B159" t="s">
        <v>1303</v>
      </c>
      <c r="C159" t="s">
        <v>344</v>
      </c>
      <c r="D159" t="s">
        <v>264</v>
      </c>
      <c r="E159">
        <v>2</v>
      </c>
      <c r="F159" t="s">
        <v>256</v>
      </c>
      <c r="G159" t="s">
        <v>49</v>
      </c>
      <c r="H159" s="316">
        <v>46.2</v>
      </c>
      <c r="I159" s="315">
        <v>8.51</v>
      </c>
      <c r="J159" s="315">
        <v>4.8</v>
      </c>
      <c r="K159" s="316">
        <v>16</v>
      </c>
      <c r="L159" s="316">
        <v>16.883638711368956</v>
      </c>
      <c r="M159" t="s">
        <v>2043</v>
      </c>
    </row>
    <row r="160" spans="2:13" x14ac:dyDescent="0.25">
      <c r="B160" t="s">
        <v>1303</v>
      </c>
      <c r="C160" t="s">
        <v>344</v>
      </c>
      <c r="D160" t="s">
        <v>264</v>
      </c>
      <c r="E160">
        <v>3</v>
      </c>
      <c r="F160" t="s">
        <v>256</v>
      </c>
      <c r="G160" t="s">
        <v>49</v>
      </c>
      <c r="H160" s="316">
        <v>46.2</v>
      </c>
      <c r="I160" s="315">
        <v>8.5299999999999994</v>
      </c>
      <c r="J160" s="315">
        <v>4.8</v>
      </c>
      <c r="K160" s="316">
        <v>16</v>
      </c>
      <c r="L160" s="316">
        <v>16.883638711368956</v>
      </c>
      <c r="M160" t="s">
        <v>2043</v>
      </c>
    </row>
    <row r="161" spans="2:13" x14ac:dyDescent="0.25">
      <c r="B161" t="s">
        <v>1303</v>
      </c>
      <c r="C161" t="s">
        <v>344</v>
      </c>
      <c r="D161" t="s">
        <v>264</v>
      </c>
      <c r="E161">
        <v>2</v>
      </c>
      <c r="F161" t="s">
        <v>256</v>
      </c>
      <c r="G161" t="s">
        <v>49</v>
      </c>
      <c r="H161" s="316">
        <v>19.100000000000001</v>
      </c>
      <c r="I161" s="315">
        <v>6.23</v>
      </c>
      <c r="J161" s="315">
        <v>9.3000000000000007</v>
      </c>
      <c r="K161" s="316">
        <v>80</v>
      </c>
      <c r="L161" s="316">
        <v>16.883638711368956</v>
      </c>
      <c r="M161" t="s">
        <v>2043</v>
      </c>
    </row>
    <row r="162" spans="2:13" x14ac:dyDescent="0.25">
      <c r="B162" t="s">
        <v>1303</v>
      </c>
      <c r="C162" t="s">
        <v>344</v>
      </c>
      <c r="D162" t="s">
        <v>264</v>
      </c>
      <c r="E162">
        <v>3</v>
      </c>
      <c r="F162" t="s">
        <v>256</v>
      </c>
      <c r="G162" t="s">
        <v>49</v>
      </c>
      <c r="H162" s="316">
        <v>19.100000000000001</v>
      </c>
      <c r="I162" s="315">
        <v>6.23</v>
      </c>
      <c r="J162" s="315">
        <v>9.3000000000000007</v>
      </c>
      <c r="K162" s="316">
        <v>131</v>
      </c>
      <c r="L162" s="316">
        <v>16.883638711368956</v>
      </c>
      <c r="M162" t="s">
        <v>2043</v>
      </c>
    </row>
    <row r="163" spans="2:13" x14ac:dyDescent="0.25">
      <c r="B163" t="s">
        <v>1303</v>
      </c>
      <c r="C163" t="s">
        <v>344</v>
      </c>
      <c r="D163" t="s">
        <v>264</v>
      </c>
      <c r="E163">
        <v>2</v>
      </c>
      <c r="F163" t="s">
        <v>256</v>
      </c>
      <c r="G163" t="s">
        <v>49</v>
      </c>
      <c r="H163" s="316">
        <v>513.4</v>
      </c>
      <c r="I163" s="315">
        <v>8.32</v>
      </c>
      <c r="J163" s="315">
        <v>7</v>
      </c>
      <c r="K163" s="316">
        <v>34</v>
      </c>
      <c r="L163" s="316">
        <v>16.883638711368956</v>
      </c>
      <c r="M163" t="s">
        <v>2043</v>
      </c>
    </row>
    <row r="164" spans="2:13" x14ac:dyDescent="0.25">
      <c r="B164" t="s">
        <v>1303</v>
      </c>
      <c r="C164" t="s">
        <v>344</v>
      </c>
      <c r="D164" t="s">
        <v>264</v>
      </c>
      <c r="E164">
        <v>2</v>
      </c>
      <c r="F164" t="s">
        <v>256</v>
      </c>
      <c r="G164" t="s">
        <v>49</v>
      </c>
      <c r="H164" s="316">
        <v>14.4</v>
      </c>
      <c r="I164" s="315">
        <v>6.67</v>
      </c>
      <c r="J164" s="315">
        <v>2.2999999999999998</v>
      </c>
      <c r="K164" s="316">
        <v>65</v>
      </c>
      <c r="L164" s="316">
        <v>16.883638711368956</v>
      </c>
      <c r="M164" t="s">
        <v>2043</v>
      </c>
    </row>
    <row r="165" spans="2:13" x14ac:dyDescent="0.25">
      <c r="B165" t="s">
        <v>1303</v>
      </c>
      <c r="C165" t="s">
        <v>344</v>
      </c>
      <c r="D165" t="s">
        <v>264</v>
      </c>
      <c r="E165">
        <v>2</v>
      </c>
      <c r="F165" t="s">
        <v>256</v>
      </c>
      <c r="G165" t="s">
        <v>49</v>
      </c>
      <c r="H165" s="316">
        <v>13.8</v>
      </c>
      <c r="I165" s="315">
        <v>6.72</v>
      </c>
      <c r="J165" s="315">
        <v>3.7</v>
      </c>
      <c r="K165" s="316">
        <v>68</v>
      </c>
      <c r="L165" s="316">
        <v>16.883638711368956</v>
      </c>
      <c r="M165" t="s">
        <v>2043</v>
      </c>
    </row>
    <row r="166" spans="2:13" x14ac:dyDescent="0.25">
      <c r="B166" t="s">
        <v>1303</v>
      </c>
      <c r="C166" t="s">
        <v>344</v>
      </c>
      <c r="D166" t="s">
        <v>264</v>
      </c>
      <c r="E166">
        <v>2</v>
      </c>
      <c r="F166" t="s">
        <v>256</v>
      </c>
      <c r="G166" t="s">
        <v>49</v>
      </c>
      <c r="H166" s="316">
        <v>19.3</v>
      </c>
      <c r="I166" s="315">
        <v>5.85</v>
      </c>
      <c r="J166" s="315">
        <v>2.9</v>
      </c>
      <c r="K166" s="316">
        <v>62</v>
      </c>
      <c r="L166" s="316">
        <v>16.883638711368956</v>
      </c>
      <c r="M166" t="s">
        <v>2044</v>
      </c>
    </row>
    <row r="167" spans="2:13" x14ac:dyDescent="0.25">
      <c r="B167" t="s">
        <v>1303</v>
      </c>
      <c r="C167" t="s">
        <v>344</v>
      </c>
      <c r="D167" t="s">
        <v>264</v>
      </c>
      <c r="E167">
        <v>3</v>
      </c>
      <c r="F167" t="s">
        <v>256</v>
      </c>
      <c r="G167" t="s">
        <v>49</v>
      </c>
      <c r="H167" s="315">
        <v>8.6</v>
      </c>
      <c r="I167" s="315">
        <v>6.08</v>
      </c>
      <c r="J167" s="315">
        <v>4.5</v>
      </c>
      <c r="K167" s="316">
        <v>22</v>
      </c>
      <c r="L167" s="316">
        <v>16.883638711368956</v>
      </c>
      <c r="M167" t="s">
        <v>2044</v>
      </c>
    </row>
    <row r="168" spans="2:13" x14ac:dyDescent="0.25">
      <c r="B168" t="s">
        <v>1303</v>
      </c>
      <c r="C168" t="s">
        <v>344</v>
      </c>
      <c r="D168" t="s">
        <v>264</v>
      </c>
      <c r="E168">
        <v>3</v>
      </c>
      <c r="F168" t="s">
        <v>256</v>
      </c>
      <c r="G168" t="s">
        <v>49</v>
      </c>
      <c r="H168" s="315">
        <v>8.9</v>
      </c>
      <c r="I168" s="315">
        <v>6.01</v>
      </c>
      <c r="J168" s="315">
        <v>4.4000000000000004</v>
      </c>
      <c r="K168" s="316">
        <v>32</v>
      </c>
      <c r="L168" s="316">
        <v>16.883638711368956</v>
      </c>
      <c r="M168" t="s">
        <v>2044</v>
      </c>
    </row>
    <row r="169" spans="2:13" x14ac:dyDescent="0.25">
      <c r="B169" t="s">
        <v>1303</v>
      </c>
      <c r="C169" t="s">
        <v>344</v>
      </c>
      <c r="D169" t="s">
        <v>264</v>
      </c>
      <c r="E169">
        <v>3</v>
      </c>
      <c r="F169" t="s">
        <v>256</v>
      </c>
      <c r="G169" t="s">
        <v>49</v>
      </c>
      <c r="H169" s="316">
        <v>18</v>
      </c>
      <c r="I169" s="315">
        <v>7.4</v>
      </c>
      <c r="J169" s="315">
        <v>0.5</v>
      </c>
      <c r="K169" s="316">
        <v>21</v>
      </c>
      <c r="L169" s="316">
        <v>16.883638711368956</v>
      </c>
      <c r="M169" t="s">
        <v>2019</v>
      </c>
    </row>
    <row r="170" spans="2:13" x14ac:dyDescent="0.25">
      <c r="B170" t="s">
        <v>1303</v>
      </c>
      <c r="C170" t="s">
        <v>344</v>
      </c>
      <c r="D170" t="s">
        <v>264</v>
      </c>
      <c r="E170">
        <v>3</v>
      </c>
      <c r="F170" t="s">
        <v>256</v>
      </c>
      <c r="G170" t="s">
        <v>49</v>
      </c>
      <c r="H170" s="316">
        <v>39</v>
      </c>
      <c r="I170" s="315">
        <v>7.9</v>
      </c>
      <c r="J170" s="315">
        <v>0.5</v>
      </c>
      <c r="K170" s="315">
        <v>6.3</v>
      </c>
      <c r="L170" s="316">
        <v>16.883638711368956</v>
      </c>
      <c r="M170" t="s">
        <v>2019</v>
      </c>
    </row>
    <row r="171" spans="2:13" x14ac:dyDescent="0.25">
      <c r="B171" t="s">
        <v>1303</v>
      </c>
      <c r="C171" t="s">
        <v>344</v>
      </c>
      <c r="D171" t="s">
        <v>264</v>
      </c>
      <c r="E171">
        <v>3</v>
      </c>
      <c r="F171" t="s">
        <v>256</v>
      </c>
      <c r="G171" t="s">
        <v>49</v>
      </c>
      <c r="H171" s="316">
        <v>50</v>
      </c>
      <c r="I171" s="315">
        <v>8</v>
      </c>
      <c r="J171" s="315">
        <v>0.4</v>
      </c>
      <c r="K171" s="315">
        <v>7.7</v>
      </c>
      <c r="L171" s="316">
        <v>16.883638711368956</v>
      </c>
      <c r="M171" t="s">
        <v>2019</v>
      </c>
    </row>
    <row r="172" spans="2:13" x14ac:dyDescent="0.25">
      <c r="B172" t="s">
        <v>1303</v>
      </c>
      <c r="C172" t="s">
        <v>344</v>
      </c>
      <c r="D172" t="s">
        <v>264</v>
      </c>
      <c r="E172">
        <v>3</v>
      </c>
      <c r="F172" t="s">
        <v>256</v>
      </c>
      <c r="G172" t="s">
        <v>49</v>
      </c>
      <c r="H172" s="316">
        <v>110</v>
      </c>
      <c r="I172" s="315">
        <v>8.1999999999999993</v>
      </c>
      <c r="J172" s="315">
        <v>2.4</v>
      </c>
      <c r="K172" s="316">
        <v>20</v>
      </c>
      <c r="L172" s="316">
        <v>16.883638711368956</v>
      </c>
      <c r="M172" t="s">
        <v>2019</v>
      </c>
    </row>
    <row r="173" spans="2:13" x14ac:dyDescent="0.25">
      <c r="B173" t="s">
        <v>1303</v>
      </c>
      <c r="C173" t="s">
        <v>344</v>
      </c>
      <c r="D173" t="s">
        <v>264</v>
      </c>
      <c r="E173">
        <v>3</v>
      </c>
      <c r="F173" t="s">
        <v>256</v>
      </c>
      <c r="G173" t="s">
        <v>49</v>
      </c>
      <c r="H173" s="316">
        <v>25.6</v>
      </c>
      <c r="I173" s="315">
        <v>7.2</v>
      </c>
      <c r="J173" s="315">
        <v>7.3</v>
      </c>
      <c r="K173" s="316">
        <v>43</v>
      </c>
      <c r="L173" s="316">
        <v>16.883638711368956</v>
      </c>
      <c r="M173" t="s">
        <v>2019</v>
      </c>
    </row>
    <row r="174" spans="2:13" x14ac:dyDescent="0.25">
      <c r="B174" t="s">
        <v>1303</v>
      </c>
      <c r="C174" t="s">
        <v>344</v>
      </c>
      <c r="D174" t="s">
        <v>264</v>
      </c>
      <c r="E174">
        <v>3</v>
      </c>
      <c r="F174" t="s">
        <v>256</v>
      </c>
      <c r="G174" t="s">
        <v>49</v>
      </c>
      <c r="H174" s="316">
        <v>72.3</v>
      </c>
      <c r="I174" s="315">
        <v>7.6</v>
      </c>
      <c r="J174" s="315">
        <v>4.5999999999999996</v>
      </c>
      <c r="K174" s="315">
        <v>6.9</v>
      </c>
      <c r="L174" s="316">
        <v>16.883638711368956</v>
      </c>
      <c r="M174" t="s">
        <v>2019</v>
      </c>
    </row>
    <row r="175" spans="2:13" x14ac:dyDescent="0.25">
      <c r="J175" s="315"/>
    </row>
    <row r="176" spans="2:13" x14ac:dyDescent="0.25">
      <c r="J176" s="315"/>
    </row>
    <row r="177" spans="10:10" x14ac:dyDescent="0.25">
      <c r="J177" s="315"/>
    </row>
    <row r="178" spans="10:10" x14ac:dyDescent="0.25">
      <c r="J178" s="315"/>
    </row>
    <row r="179" spans="10:10" x14ac:dyDescent="0.25">
      <c r="J179" s="315"/>
    </row>
    <row r="180" spans="10:10" x14ac:dyDescent="0.25">
      <c r="J180" s="315"/>
    </row>
    <row r="181" spans="10:10" x14ac:dyDescent="0.25">
      <c r="J181" s="315"/>
    </row>
    <row r="182" spans="10:10" x14ac:dyDescent="0.25">
      <c r="J182" s="315"/>
    </row>
    <row r="183" spans="10:10" x14ac:dyDescent="0.25">
      <c r="J183" s="315"/>
    </row>
    <row r="184" spans="10:10" x14ac:dyDescent="0.25">
      <c r="J184" s="315"/>
    </row>
    <row r="185" spans="10:10" x14ac:dyDescent="0.25">
      <c r="J185" s="315"/>
    </row>
    <row r="186" spans="10:10" x14ac:dyDescent="0.25">
      <c r="J186" s="315"/>
    </row>
    <row r="187" spans="10:10" x14ac:dyDescent="0.25">
      <c r="J187" s="315"/>
    </row>
    <row r="188" spans="10:10" x14ac:dyDescent="0.25">
      <c r="J188" s="315"/>
    </row>
  </sheetData>
  <autoFilter ref="B1:M174" xr:uid="{E0796191-DDF1-4F38-80F1-2BEC7830A84F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1"/>
  <dimension ref="A1:BZ411"/>
  <sheetViews>
    <sheetView workbookViewId="0"/>
  </sheetViews>
  <sheetFormatPr defaultColWidth="8.85546875" defaultRowHeight="15" x14ac:dyDescent="0.25"/>
  <cols>
    <col min="25" max="25" width="19.7109375" customWidth="1"/>
  </cols>
  <sheetData>
    <row r="1" spans="1:78" x14ac:dyDescent="0.25">
      <c r="A1" s="41" t="s">
        <v>0</v>
      </c>
      <c r="B1" s="41"/>
      <c r="C1" s="44"/>
      <c r="D1" s="44"/>
      <c r="E1" s="44"/>
      <c r="F1" s="44"/>
      <c r="G1" s="2"/>
      <c r="H1" s="44"/>
      <c r="I1" s="42" t="s">
        <v>1</v>
      </c>
      <c r="J1" s="42"/>
      <c r="K1" s="42"/>
      <c r="L1" s="42"/>
      <c r="M1" s="42"/>
      <c r="N1" s="42"/>
      <c r="O1" s="42"/>
      <c r="P1" s="42"/>
      <c r="Q1" s="2"/>
      <c r="R1" s="43" t="s">
        <v>2</v>
      </c>
      <c r="S1" s="43"/>
      <c r="T1" s="43"/>
      <c r="U1" s="43"/>
      <c r="V1" s="43"/>
      <c r="W1" s="43"/>
      <c r="X1" s="1"/>
      <c r="Y1" s="3" t="s">
        <v>4</v>
      </c>
      <c r="Z1" s="3"/>
      <c r="AA1" s="22"/>
      <c r="AB1" s="1"/>
      <c r="AC1" s="39"/>
      <c r="AD1" s="39"/>
      <c r="AE1" s="39"/>
      <c r="AF1" s="39" t="s">
        <v>3</v>
      </c>
      <c r="AG1" s="39"/>
      <c r="AH1" s="39"/>
      <c r="AI1" s="39"/>
      <c r="AJ1" s="39"/>
      <c r="AK1" s="39"/>
      <c r="AL1" s="45"/>
      <c r="AM1" s="45"/>
    </row>
    <row r="2" spans="1:78" x14ac:dyDescent="0.25">
      <c r="A2" s="41"/>
      <c r="B2" s="41"/>
      <c r="C2" s="44"/>
      <c r="D2" s="44"/>
      <c r="E2" s="44"/>
      <c r="F2" s="44"/>
      <c r="G2" s="2">
        <v>1</v>
      </c>
      <c r="H2" s="44"/>
      <c r="I2" s="42"/>
      <c r="J2" s="42"/>
      <c r="K2" s="42"/>
      <c r="L2" s="42"/>
      <c r="M2" s="42"/>
      <c r="N2" s="42"/>
      <c r="O2" s="42"/>
      <c r="P2" s="42"/>
      <c r="Q2" s="2"/>
      <c r="R2" s="43"/>
      <c r="S2" s="43"/>
      <c r="T2" s="43"/>
      <c r="U2" s="43"/>
      <c r="V2" s="43"/>
      <c r="W2" s="43"/>
      <c r="Y2" s="3"/>
      <c r="Z2" s="3"/>
      <c r="AA2" s="22"/>
      <c r="AC2" s="39"/>
      <c r="AD2" s="39"/>
      <c r="AE2" s="39"/>
      <c r="AF2" s="39"/>
      <c r="AG2" s="39"/>
      <c r="AH2" s="39"/>
      <c r="AI2" s="39"/>
      <c r="AJ2" s="39"/>
      <c r="AK2" s="39"/>
      <c r="AL2" s="45"/>
      <c r="AM2" s="45"/>
    </row>
    <row r="3" spans="1:78" ht="104.25" customHeight="1" x14ac:dyDescent="0.25">
      <c r="A3" s="4" t="s">
        <v>5</v>
      </c>
      <c r="B3" s="4" t="s">
        <v>6</v>
      </c>
      <c r="C3" s="4" t="s">
        <v>7</v>
      </c>
      <c r="D3" s="4" t="s">
        <v>8</v>
      </c>
      <c r="E3" s="4" t="s">
        <v>1323</v>
      </c>
      <c r="F3" s="4" t="s">
        <v>9</v>
      </c>
      <c r="G3" s="40" t="s">
        <v>1457</v>
      </c>
      <c r="H3" s="4" t="s">
        <v>1306</v>
      </c>
      <c r="I3" s="5" t="s">
        <v>10</v>
      </c>
      <c r="J3" s="5" t="s">
        <v>11</v>
      </c>
      <c r="K3" s="5" t="s">
        <v>12</v>
      </c>
      <c r="L3" s="5" t="s">
        <v>13</v>
      </c>
      <c r="M3" s="5" t="s">
        <v>152</v>
      </c>
      <c r="N3" s="5" t="s">
        <v>14</v>
      </c>
      <c r="O3" s="5" t="s">
        <v>15</v>
      </c>
      <c r="P3" s="5" t="s">
        <v>16</v>
      </c>
      <c r="Q3" s="40" t="s">
        <v>1458</v>
      </c>
      <c r="R3" s="6" t="s">
        <v>17</v>
      </c>
      <c r="S3" s="6" t="s">
        <v>18</v>
      </c>
      <c r="T3" s="6" t="s">
        <v>19</v>
      </c>
      <c r="U3" s="6" t="s">
        <v>20</v>
      </c>
      <c r="V3" s="6" t="s">
        <v>21</v>
      </c>
      <c r="W3" s="6" t="s">
        <v>22</v>
      </c>
      <c r="X3" s="40" t="s">
        <v>1459</v>
      </c>
      <c r="Y3" s="8" t="s">
        <v>30</v>
      </c>
      <c r="Z3" s="8" t="s">
        <v>31</v>
      </c>
      <c r="AA3" s="23" t="s">
        <v>1300</v>
      </c>
      <c r="AB3" s="40" t="s">
        <v>1460</v>
      </c>
      <c r="AC3" s="7" t="s">
        <v>25</v>
      </c>
      <c r="AD3" s="7" t="s">
        <v>1456</v>
      </c>
      <c r="AE3" s="7" t="s">
        <v>224</v>
      </c>
      <c r="AF3" s="7" t="s">
        <v>23</v>
      </c>
      <c r="AG3" s="7" t="s">
        <v>1321</v>
      </c>
      <c r="AH3" s="7" t="s">
        <v>24</v>
      </c>
      <c r="AI3" s="7" t="s">
        <v>26</v>
      </c>
      <c r="AJ3" s="7" t="s">
        <v>223</v>
      </c>
      <c r="AK3" s="7" t="s">
        <v>27</v>
      </c>
      <c r="AL3" s="7" t="s">
        <v>28</v>
      </c>
      <c r="AM3" s="7" t="s">
        <v>199</v>
      </c>
    </row>
    <row r="4" spans="1:78" s="20" customFormat="1" ht="15.95" customHeight="1" x14ac:dyDescent="0.2">
      <c r="A4" s="18"/>
      <c r="B4" s="19">
        <v>194</v>
      </c>
      <c r="D4" s="36">
        <v>20727</v>
      </c>
      <c r="E4" s="36">
        <v>1999</v>
      </c>
      <c r="F4" s="36" t="s">
        <v>1224</v>
      </c>
      <c r="G4" s="35" t="s">
        <v>382</v>
      </c>
      <c r="H4" s="35"/>
      <c r="I4" s="35" t="s">
        <v>41</v>
      </c>
      <c r="J4" s="35" t="s">
        <v>89</v>
      </c>
      <c r="K4" s="35" t="s">
        <v>161</v>
      </c>
      <c r="L4" s="35" t="s">
        <v>82</v>
      </c>
      <c r="M4" s="35" t="s">
        <v>82</v>
      </c>
      <c r="N4" s="35" t="s">
        <v>66</v>
      </c>
      <c r="O4" s="35" t="s">
        <v>387</v>
      </c>
      <c r="P4" s="35" t="s">
        <v>51</v>
      </c>
      <c r="Q4" s="35"/>
      <c r="R4" s="35" t="s">
        <v>237</v>
      </c>
      <c r="S4" s="35" t="s">
        <v>79</v>
      </c>
      <c r="T4" s="35" t="s">
        <v>56</v>
      </c>
      <c r="U4" s="36">
        <v>22</v>
      </c>
      <c r="V4" s="36" t="s">
        <v>231</v>
      </c>
      <c r="W4" s="35" t="s">
        <v>46</v>
      </c>
      <c r="X4" s="29"/>
      <c r="Y4" s="36">
        <v>5000</v>
      </c>
      <c r="Z4" s="24">
        <f>Y4/((AC4/30)^0.995)</f>
        <v>541.73065477806892</v>
      </c>
      <c r="AA4" s="19" t="s">
        <v>214</v>
      </c>
      <c r="AB4" s="36"/>
      <c r="AC4" s="35">
        <v>280</v>
      </c>
      <c r="AD4" s="35">
        <v>280</v>
      </c>
      <c r="AE4" s="35" t="s">
        <v>270</v>
      </c>
      <c r="AF4" s="35" t="s">
        <v>383</v>
      </c>
      <c r="AG4" s="35"/>
      <c r="AH4" s="35" t="s">
        <v>234</v>
      </c>
      <c r="AI4" s="35" t="s">
        <v>385</v>
      </c>
      <c r="AJ4" s="35" t="s">
        <v>270</v>
      </c>
      <c r="AK4" s="35" t="s">
        <v>234</v>
      </c>
      <c r="AL4" s="35" t="s">
        <v>90</v>
      </c>
      <c r="AM4" s="35" t="s">
        <v>386</v>
      </c>
    </row>
    <row r="5" spans="1:78" s="20" customFormat="1" ht="15.95" customHeight="1" x14ac:dyDescent="0.2">
      <c r="A5" s="18"/>
      <c r="B5" s="19">
        <v>194</v>
      </c>
      <c r="D5" s="36">
        <v>20727</v>
      </c>
      <c r="E5" s="36">
        <v>1999</v>
      </c>
      <c r="F5" s="36" t="s">
        <v>1224</v>
      </c>
      <c r="G5" s="35" t="s">
        <v>382</v>
      </c>
      <c r="H5" s="35"/>
      <c r="I5" s="35" t="s">
        <v>41</v>
      </c>
      <c r="J5" s="35" t="s">
        <v>89</v>
      </c>
      <c r="K5" s="35" t="s">
        <v>161</v>
      </c>
      <c r="L5" s="35" t="s">
        <v>82</v>
      </c>
      <c r="M5" s="35" t="s">
        <v>82</v>
      </c>
      <c r="N5" s="35" t="s">
        <v>66</v>
      </c>
      <c r="O5" s="35" t="s">
        <v>387</v>
      </c>
      <c r="P5" s="35" t="s">
        <v>51</v>
      </c>
      <c r="Q5" s="35"/>
      <c r="R5" s="35" t="s">
        <v>237</v>
      </c>
      <c r="S5" s="35" t="s">
        <v>79</v>
      </c>
      <c r="T5" s="35" t="s">
        <v>56</v>
      </c>
      <c r="U5" s="36">
        <v>22</v>
      </c>
      <c r="V5" s="36" t="s">
        <v>231</v>
      </c>
      <c r="W5" s="35" t="s">
        <v>46</v>
      </c>
      <c r="X5" s="29"/>
      <c r="Y5" s="36">
        <v>4500</v>
      </c>
      <c r="Z5" s="24">
        <f>Y5/((AC5/30)^0.995)</f>
        <v>487.55758930026207</v>
      </c>
      <c r="AA5" s="19" t="s">
        <v>214</v>
      </c>
      <c r="AB5" s="36"/>
      <c r="AC5" s="35">
        <v>280</v>
      </c>
      <c r="AD5" s="35">
        <v>280</v>
      </c>
      <c r="AE5" s="35" t="s">
        <v>270</v>
      </c>
      <c r="AF5" s="35" t="s">
        <v>383</v>
      </c>
      <c r="AG5" s="35"/>
      <c r="AH5" s="35" t="s">
        <v>234</v>
      </c>
      <c r="AI5" s="35" t="s">
        <v>385</v>
      </c>
      <c r="AJ5" s="35" t="s">
        <v>270</v>
      </c>
      <c r="AK5" s="35" t="s">
        <v>234</v>
      </c>
      <c r="AL5" s="35" t="s">
        <v>90</v>
      </c>
      <c r="AM5" s="35" t="s">
        <v>386</v>
      </c>
    </row>
    <row r="6" spans="1:78" s="53" customFormat="1" ht="15.95" customHeight="1" x14ac:dyDescent="0.25">
      <c r="A6" s="46"/>
      <c r="B6" s="47"/>
      <c r="C6" s="47"/>
      <c r="D6" s="47"/>
      <c r="E6" s="48"/>
      <c r="F6" s="47"/>
      <c r="G6" s="47"/>
      <c r="H6" s="47"/>
      <c r="I6" s="49"/>
      <c r="J6" s="47"/>
      <c r="K6" s="47"/>
      <c r="L6" s="47"/>
      <c r="M6" s="47"/>
      <c r="N6" s="47"/>
      <c r="O6" s="47"/>
      <c r="P6" s="49"/>
      <c r="Q6" s="47"/>
      <c r="R6" s="47"/>
      <c r="S6" s="47"/>
      <c r="T6" s="47"/>
      <c r="U6" s="47"/>
      <c r="V6" s="47"/>
      <c r="W6" s="47"/>
      <c r="X6" s="50"/>
      <c r="Y6" s="47">
        <f>GEOMEAN(Y4:Y5)</f>
        <v>4743.416490252569</v>
      </c>
      <c r="Z6" s="51"/>
      <c r="AA6" s="47"/>
      <c r="AB6" s="47"/>
      <c r="AC6" s="49"/>
      <c r="AD6" s="49"/>
      <c r="AE6" s="47"/>
      <c r="AF6" s="47"/>
      <c r="AG6" s="47"/>
      <c r="AH6" s="47"/>
      <c r="AI6" s="47"/>
      <c r="AJ6" s="47"/>
      <c r="AK6" s="47"/>
      <c r="AL6" s="47"/>
      <c r="AM6" s="47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</row>
    <row r="7" spans="1:78" s="20" customFormat="1" ht="15.95" customHeight="1" x14ac:dyDescent="0.2">
      <c r="A7" s="18"/>
      <c r="B7" s="19">
        <v>194</v>
      </c>
      <c r="D7" s="36">
        <v>20727</v>
      </c>
      <c r="E7" s="36">
        <v>1999</v>
      </c>
      <c r="F7" s="36" t="s">
        <v>1224</v>
      </c>
      <c r="G7" s="35" t="s">
        <v>382</v>
      </c>
      <c r="H7" s="35"/>
      <c r="I7" s="35" t="s">
        <v>41</v>
      </c>
      <c r="J7" s="35" t="s">
        <v>89</v>
      </c>
      <c r="K7" s="35" t="s">
        <v>161</v>
      </c>
      <c r="L7" s="35" t="s">
        <v>82</v>
      </c>
      <c r="M7" s="35" t="s">
        <v>82</v>
      </c>
      <c r="N7" s="35" t="s">
        <v>66</v>
      </c>
      <c r="O7" s="35" t="s">
        <v>387</v>
      </c>
      <c r="P7" s="35" t="s">
        <v>51</v>
      </c>
      <c r="Q7" s="35"/>
      <c r="R7" s="35" t="s">
        <v>237</v>
      </c>
      <c r="S7" s="35" t="s">
        <v>79</v>
      </c>
      <c r="T7" s="35" t="s">
        <v>56</v>
      </c>
      <c r="U7" s="36">
        <v>23</v>
      </c>
      <c r="V7" s="36" t="s">
        <v>231</v>
      </c>
      <c r="W7" s="35" t="s">
        <v>46</v>
      </c>
      <c r="X7" s="29"/>
      <c r="Y7" s="36">
        <v>4200</v>
      </c>
      <c r="Z7" s="24">
        <f t="shared" ref="Z7:Z23" si="0">Y7/((AC7/30)^0.995)</f>
        <v>455.05375001357794</v>
      </c>
      <c r="AA7" s="19" t="s">
        <v>214</v>
      </c>
      <c r="AB7" s="36"/>
      <c r="AC7" s="35">
        <v>280</v>
      </c>
      <c r="AD7" s="35">
        <v>280</v>
      </c>
      <c r="AE7" s="35" t="s">
        <v>270</v>
      </c>
      <c r="AF7" s="35" t="s">
        <v>383</v>
      </c>
      <c r="AG7" s="35"/>
      <c r="AH7" s="35" t="s">
        <v>234</v>
      </c>
      <c r="AI7" s="35" t="s">
        <v>385</v>
      </c>
      <c r="AJ7" s="35" t="s">
        <v>270</v>
      </c>
      <c r="AK7" s="35" t="s">
        <v>234</v>
      </c>
      <c r="AL7" s="35" t="s">
        <v>90</v>
      </c>
      <c r="AM7" s="35" t="s">
        <v>386</v>
      </c>
    </row>
    <row r="8" spans="1:78" s="20" customFormat="1" ht="15.95" customHeight="1" x14ac:dyDescent="0.2">
      <c r="A8" s="18"/>
      <c r="B8" s="19">
        <v>194</v>
      </c>
      <c r="D8" s="36">
        <v>20727</v>
      </c>
      <c r="E8" s="36">
        <v>1999</v>
      </c>
      <c r="F8" s="36" t="s">
        <v>1224</v>
      </c>
      <c r="G8" s="35" t="s">
        <v>382</v>
      </c>
      <c r="H8" s="35"/>
      <c r="I8" s="35" t="s">
        <v>41</v>
      </c>
      <c r="J8" s="35" t="s">
        <v>89</v>
      </c>
      <c r="K8" s="35" t="s">
        <v>161</v>
      </c>
      <c r="L8" s="35" t="s">
        <v>82</v>
      </c>
      <c r="M8" s="35" t="s">
        <v>82</v>
      </c>
      <c r="N8" s="35" t="s">
        <v>66</v>
      </c>
      <c r="O8" s="35" t="s">
        <v>387</v>
      </c>
      <c r="P8" s="35" t="s">
        <v>51</v>
      </c>
      <c r="Q8" s="35"/>
      <c r="R8" s="35" t="s">
        <v>237</v>
      </c>
      <c r="S8" s="35" t="s">
        <v>79</v>
      </c>
      <c r="T8" s="35" t="s">
        <v>56</v>
      </c>
      <c r="U8" s="36">
        <v>23</v>
      </c>
      <c r="V8" s="36" t="s">
        <v>231</v>
      </c>
      <c r="W8" s="35" t="s">
        <v>46</v>
      </c>
      <c r="X8" s="29"/>
      <c r="Y8" s="36">
        <v>4200</v>
      </c>
      <c r="Z8" s="24">
        <f t="shared" si="0"/>
        <v>455.05375001357794</v>
      </c>
      <c r="AA8" s="19" t="s">
        <v>214</v>
      </c>
      <c r="AB8" s="36"/>
      <c r="AC8" s="35">
        <v>280</v>
      </c>
      <c r="AD8" s="35">
        <v>280</v>
      </c>
      <c r="AE8" s="35" t="s">
        <v>270</v>
      </c>
      <c r="AF8" s="35" t="s">
        <v>383</v>
      </c>
      <c r="AG8" s="35"/>
      <c r="AH8" s="35" t="s">
        <v>234</v>
      </c>
      <c r="AI8" s="35" t="s">
        <v>385</v>
      </c>
      <c r="AJ8" s="35" t="s">
        <v>270</v>
      </c>
      <c r="AK8" s="35" t="s">
        <v>234</v>
      </c>
      <c r="AL8" s="35" t="s">
        <v>90</v>
      </c>
      <c r="AM8" s="35" t="s">
        <v>386</v>
      </c>
    </row>
    <row r="9" spans="1:78" s="20" customFormat="1" ht="15.95" customHeight="1" x14ac:dyDescent="0.2">
      <c r="A9" s="18"/>
      <c r="B9" s="19">
        <v>194</v>
      </c>
      <c r="D9" s="36">
        <v>20727</v>
      </c>
      <c r="E9" s="36">
        <v>1999</v>
      </c>
      <c r="F9" s="36" t="s">
        <v>1224</v>
      </c>
      <c r="G9" s="35" t="s">
        <v>382</v>
      </c>
      <c r="H9" s="35"/>
      <c r="I9" s="35" t="s">
        <v>41</v>
      </c>
      <c r="J9" s="35" t="s">
        <v>89</v>
      </c>
      <c r="K9" s="35" t="s">
        <v>161</v>
      </c>
      <c r="L9" s="35" t="s">
        <v>82</v>
      </c>
      <c r="M9" s="35" t="s">
        <v>82</v>
      </c>
      <c r="N9" s="35" t="s">
        <v>66</v>
      </c>
      <c r="O9" s="35" t="s">
        <v>387</v>
      </c>
      <c r="P9" s="35" t="s">
        <v>51</v>
      </c>
      <c r="Q9" s="35"/>
      <c r="R9" s="35" t="s">
        <v>237</v>
      </c>
      <c r="S9" s="35" t="s">
        <v>79</v>
      </c>
      <c r="T9" s="35" t="s">
        <v>56</v>
      </c>
      <c r="U9" s="36">
        <v>23</v>
      </c>
      <c r="V9" s="36" t="s">
        <v>231</v>
      </c>
      <c r="W9" s="35" t="s">
        <v>46</v>
      </c>
      <c r="X9" s="29"/>
      <c r="Y9" s="36">
        <v>4100</v>
      </c>
      <c r="Z9" s="24">
        <f t="shared" si="0"/>
        <v>444.21913691801655</v>
      </c>
      <c r="AA9" s="19" t="s">
        <v>214</v>
      </c>
      <c r="AB9" s="36"/>
      <c r="AC9" s="35">
        <v>280</v>
      </c>
      <c r="AD9" s="35">
        <v>280</v>
      </c>
      <c r="AE9" s="35" t="s">
        <v>270</v>
      </c>
      <c r="AF9" s="35" t="s">
        <v>383</v>
      </c>
      <c r="AG9" s="35"/>
      <c r="AH9" s="35" t="s">
        <v>234</v>
      </c>
      <c r="AI9" s="35" t="s">
        <v>385</v>
      </c>
      <c r="AJ9" s="35" t="s">
        <v>270</v>
      </c>
      <c r="AK9" s="35" t="s">
        <v>234</v>
      </c>
      <c r="AL9" s="35" t="s">
        <v>90</v>
      </c>
      <c r="AM9" s="35" t="s">
        <v>386</v>
      </c>
    </row>
    <row r="10" spans="1:78" s="20" customFormat="1" ht="15.95" customHeight="1" x14ac:dyDescent="0.2">
      <c r="A10" s="18"/>
      <c r="B10" s="19">
        <v>194</v>
      </c>
      <c r="D10" s="36">
        <v>20727</v>
      </c>
      <c r="E10" s="36">
        <v>1999</v>
      </c>
      <c r="F10" s="36" t="s">
        <v>1224</v>
      </c>
      <c r="G10" s="35" t="s">
        <v>382</v>
      </c>
      <c r="H10" s="35"/>
      <c r="I10" s="35" t="s">
        <v>41</v>
      </c>
      <c r="J10" s="35" t="s">
        <v>89</v>
      </c>
      <c r="K10" s="35" t="s">
        <v>161</v>
      </c>
      <c r="L10" s="35" t="s">
        <v>82</v>
      </c>
      <c r="M10" s="35" t="s">
        <v>82</v>
      </c>
      <c r="N10" s="35" t="s">
        <v>66</v>
      </c>
      <c r="O10" s="35" t="s">
        <v>387</v>
      </c>
      <c r="P10" s="35" t="s">
        <v>51</v>
      </c>
      <c r="Q10" s="35"/>
      <c r="R10" s="35" t="s">
        <v>237</v>
      </c>
      <c r="S10" s="35" t="s">
        <v>79</v>
      </c>
      <c r="T10" s="35" t="s">
        <v>56</v>
      </c>
      <c r="U10" s="36">
        <v>23</v>
      </c>
      <c r="V10" s="36" t="s">
        <v>231</v>
      </c>
      <c r="W10" s="35" t="s">
        <v>46</v>
      </c>
      <c r="X10" s="29"/>
      <c r="Y10" s="36">
        <v>3900</v>
      </c>
      <c r="Z10" s="24">
        <f t="shared" si="0"/>
        <v>422.54991072689376</v>
      </c>
      <c r="AA10" s="19" t="s">
        <v>214</v>
      </c>
      <c r="AB10" s="36"/>
      <c r="AC10" s="35">
        <v>280</v>
      </c>
      <c r="AD10" s="35">
        <v>280</v>
      </c>
      <c r="AE10" s="35" t="s">
        <v>270</v>
      </c>
      <c r="AF10" s="35" t="s">
        <v>383</v>
      </c>
      <c r="AG10" s="35"/>
      <c r="AH10" s="35" t="s">
        <v>234</v>
      </c>
      <c r="AI10" s="35" t="s">
        <v>385</v>
      </c>
      <c r="AJ10" s="35" t="s">
        <v>270</v>
      </c>
      <c r="AK10" s="35" t="s">
        <v>234</v>
      </c>
      <c r="AL10" s="35" t="s">
        <v>90</v>
      </c>
      <c r="AM10" s="35" t="s">
        <v>386</v>
      </c>
    </row>
    <row r="11" spans="1:78" s="20" customFormat="1" ht="15.95" customHeight="1" x14ac:dyDescent="0.2">
      <c r="A11" s="18"/>
      <c r="B11" s="19">
        <v>194</v>
      </c>
      <c r="D11" s="36">
        <v>20727</v>
      </c>
      <c r="E11" s="36">
        <v>1999</v>
      </c>
      <c r="F11" s="36" t="s">
        <v>1224</v>
      </c>
      <c r="G11" s="35" t="s">
        <v>382</v>
      </c>
      <c r="H11" s="35"/>
      <c r="I11" s="35" t="s">
        <v>41</v>
      </c>
      <c r="J11" s="35" t="s">
        <v>89</v>
      </c>
      <c r="K11" s="35" t="s">
        <v>161</v>
      </c>
      <c r="L11" s="35" t="s">
        <v>82</v>
      </c>
      <c r="M11" s="35" t="s">
        <v>82</v>
      </c>
      <c r="N11" s="35" t="s">
        <v>66</v>
      </c>
      <c r="O11" s="35" t="s">
        <v>387</v>
      </c>
      <c r="P11" s="35" t="s">
        <v>51</v>
      </c>
      <c r="Q11" s="35"/>
      <c r="R11" s="35" t="s">
        <v>237</v>
      </c>
      <c r="S11" s="35" t="s">
        <v>79</v>
      </c>
      <c r="T11" s="35" t="s">
        <v>56</v>
      </c>
      <c r="U11" s="36">
        <v>23</v>
      </c>
      <c r="V11" s="36" t="s">
        <v>231</v>
      </c>
      <c r="W11" s="35" t="s">
        <v>46</v>
      </c>
      <c r="X11" s="29"/>
      <c r="Y11" s="36">
        <v>3900</v>
      </c>
      <c r="Z11" s="24">
        <f t="shared" si="0"/>
        <v>422.54991072689376</v>
      </c>
      <c r="AA11" s="19" t="s">
        <v>214</v>
      </c>
      <c r="AB11" s="36"/>
      <c r="AC11" s="35">
        <v>280</v>
      </c>
      <c r="AD11" s="35">
        <v>280</v>
      </c>
      <c r="AE11" s="35" t="s">
        <v>270</v>
      </c>
      <c r="AF11" s="35" t="s">
        <v>383</v>
      </c>
      <c r="AG11" s="35"/>
      <c r="AH11" s="35" t="s">
        <v>234</v>
      </c>
      <c r="AI11" s="35" t="s">
        <v>385</v>
      </c>
      <c r="AJ11" s="35" t="s">
        <v>270</v>
      </c>
      <c r="AK11" s="35" t="s">
        <v>234</v>
      </c>
      <c r="AL11" s="35" t="s">
        <v>90</v>
      </c>
      <c r="AM11" s="35" t="s">
        <v>386</v>
      </c>
    </row>
    <row r="12" spans="1:78" s="20" customFormat="1" ht="15.95" customHeight="1" x14ac:dyDescent="0.2">
      <c r="A12" s="18"/>
      <c r="B12" s="19">
        <v>194</v>
      </c>
      <c r="D12" s="36">
        <v>20727</v>
      </c>
      <c r="E12" s="36">
        <v>1999</v>
      </c>
      <c r="F12" s="36" t="s">
        <v>1224</v>
      </c>
      <c r="G12" s="35" t="s">
        <v>382</v>
      </c>
      <c r="H12" s="35"/>
      <c r="I12" s="35" t="s">
        <v>41</v>
      </c>
      <c r="J12" s="35" t="s">
        <v>89</v>
      </c>
      <c r="K12" s="35" t="s">
        <v>161</v>
      </c>
      <c r="L12" s="35" t="s">
        <v>82</v>
      </c>
      <c r="M12" s="35" t="s">
        <v>82</v>
      </c>
      <c r="N12" s="35" t="s">
        <v>66</v>
      </c>
      <c r="O12" s="35" t="s">
        <v>387</v>
      </c>
      <c r="P12" s="35" t="s">
        <v>51</v>
      </c>
      <c r="Q12" s="35"/>
      <c r="R12" s="35" t="s">
        <v>237</v>
      </c>
      <c r="S12" s="35" t="s">
        <v>79</v>
      </c>
      <c r="T12" s="35" t="s">
        <v>56</v>
      </c>
      <c r="U12" s="36">
        <v>23</v>
      </c>
      <c r="V12" s="36" t="s">
        <v>231</v>
      </c>
      <c r="W12" s="35" t="s">
        <v>46</v>
      </c>
      <c r="X12" s="29"/>
      <c r="Y12" s="36">
        <v>3900</v>
      </c>
      <c r="Z12" s="24">
        <f t="shared" si="0"/>
        <v>422.54991072689376</v>
      </c>
      <c r="AA12" s="19" t="s">
        <v>214</v>
      </c>
      <c r="AB12" s="36"/>
      <c r="AC12" s="35">
        <v>280</v>
      </c>
      <c r="AD12" s="35">
        <v>280</v>
      </c>
      <c r="AE12" s="35" t="s">
        <v>270</v>
      </c>
      <c r="AF12" s="35" t="s">
        <v>383</v>
      </c>
      <c r="AG12" s="35"/>
      <c r="AH12" s="35" t="s">
        <v>234</v>
      </c>
      <c r="AI12" s="35" t="s">
        <v>385</v>
      </c>
      <c r="AJ12" s="35" t="s">
        <v>270</v>
      </c>
      <c r="AK12" s="35" t="s">
        <v>234</v>
      </c>
      <c r="AL12" s="35" t="s">
        <v>90</v>
      </c>
      <c r="AM12" s="35" t="s">
        <v>386</v>
      </c>
    </row>
    <row r="13" spans="1:78" s="20" customFormat="1" ht="15.95" customHeight="1" x14ac:dyDescent="0.2">
      <c r="A13" s="18"/>
      <c r="B13" s="19">
        <v>194</v>
      </c>
      <c r="D13" s="36">
        <v>20727</v>
      </c>
      <c r="E13" s="36">
        <v>1999</v>
      </c>
      <c r="F13" s="36" t="s">
        <v>1224</v>
      </c>
      <c r="G13" s="35" t="s">
        <v>382</v>
      </c>
      <c r="H13" s="35"/>
      <c r="I13" s="35" t="s">
        <v>41</v>
      </c>
      <c r="J13" s="35" t="s">
        <v>89</v>
      </c>
      <c r="K13" s="35" t="s">
        <v>161</v>
      </c>
      <c r="L13" s="35" t="s">
        <v>82</v>
      </c>
      <c r="M13" s="35" t="s">
        <v>82</v>
      </c>
      <c r="N13" s="35" t="s">
        <v>66</v>
      </c>
      <c r="O13" s="35" t="s">
        <v>387</v>
      </c>
      <c r="P13" s="35" t="s">
        <v>51</v>
      </c>
      <c r="Q13" s="35"/>
      <c r="R13" s="35" t="s">
        <v>237</v>
      </c>
      <c r="S13" s="35" t="s">
        <v>79</v>
      </c>
      <c r="T13" s="35" t="s">
        <v>56</v>
      </c>
      <c r="U13" s="36">
        <v>23</v>
      </c>
      <c r="V13" s="36" t="s">
        <v>231</v>
      </c>
      <c r="W13" s="35" t="s">
        <v>46</v>
      </c>
      <c r="X13" s="29"/>
      <c r="Y13" s="36">
        <v>4700</v>
      </c>
      <c r="Z13" s="24">
        <f t="shared" si="0"/>
        <v>509.2268154913848</v>
      </c>
      <c r="AA13" s="19" t="s">
        <v>214</v>
      </c>
      <c r="AB13" s="36"/>
      <c r="AC13" s="35">
        <v>280</v>
      </c>
      <c r="AD13" s="35">
        <v>280</v>
      </c>
      <c r="AE13" s="35" t="s">
        <v>270</v>
      </c>
      <c r="AF13" s="35" t="s">
        <v>383</v>
      </c>
      <c r="AG13" s="35"/>
      <c r="AH13" s="35" t="s">
        <v>234</v>
      </c>
      <c r="AI13" s="35" t="s">
        <v>385</v>
      </c>
      <c r="AJ13" s="35" t="s">
        <v>270</v>
      </c>
      <c r="AK13" s="35" t="s">
        <v>234</v>
      </c>
      <c r="AL13" s="35" t="s">
        <v>90</v>
      </c>
      <c r="AM13" s="35" t="s">
        <v>386</v>
      </c>
    </row>
    <row r="14" spans="1:78" s="20" customFormat="1" ht="15.95" customHeight="1" x14ac:dyDescent="0.2">
      <c r="A14" s="18"/>
      <c r="B14" s="19">
        <v>194</v>
      </c>
      <c r="D14" s="36">
        <v>20727</v>
      </c>
      <c r="E14" s="36">
        <v>1999</v>
      </c>
      <c r="F14" s="36" t="s">
        <v>1224</v>
      </c>
      <c r="G14" s="35" t="s">
        <v>382</v>
      </c>
      <c r="H14" s="35"/>
      <c r="I14" s="35" t="s">
        <v>41</v>
      </c>
      <c r="J14" s="35" t="s">
        <v>89</v>
      </c>
      <c r="K14" s="35" t="s">
        <v>161</v>
      </c>
      <c r="L14" s="35" t="s">
        <v>82</v>
      </c>
      <c r="M14" s="35" t="s">
        <v>82</v>
      </c>
      <c r="N14" s="35" t="s">
        <v>66</v>
      </c>
      <c r="O14" s="35" t="s">
        <v>387</v>
      </c>
      <c r="P14" s="35" t="s">
        <v>51</v>
      </c>
      <c r="Q14" s="35"/>
      <c r="R14" s="35" t="s">
        <v>237</v>
      </c>
      <c r="S14" s="35" t="s">
        <v>79</v>
      </c>
      <c r="T14" s="35" t="s">
        <v>56</v>
      </c>
      <c r="U14" s="36">
        <v>23</v>
      </c>
      <c r="V14" s="36" t="s">
        <v>231</v>
      </c>
      <c r="W14" s="35" t="s">
        <v>46</v>
      </c>
      <c r="X14" s="29"/>
      <c r="Y14" s="36">
        <v>4200</v>
      </c>
      <c r="Z14" s="24">
        <f t="shared" si="0"/>
        <v>455.05375001357794</v>
      </c>
      <c r="AA14" s="19" t="s">
        <v>214</v>
      </c>
      <c r="AB14" s="36"/>
      <c r="AC14" s="35">
        <v>280</v>
      </c>
      <c r="AD14" s="35">
        <v>280</v>
      </c>
      <c r="AE14" s="35" t="s">
        <v>270</v>
      </c>
      <c r="AF14" s="35" t="s">
        <v>383</v>
      </c>
      <c r="AG14" s="35"/>
      <c r="AH14" s="35" t="s">
        <v>234</v>
      </c>
      <c r="AI14" s="35" t="s">
        <v>385</v>
      </c>
      <c r="AJ14" s="35" t="s">
        <v>270</v>
      </c>
      <c r="AK14" s="35" t="s">
        <v>234</v>
      </c>
      <c r="AL14" s="35" t="s">
        <v>90</v>
      </c>
      <c r="AM14" s="35" t="s">
        <v>386</v>
      </c>
    </row>
    <row r="15" spans="1:78" s="20" customFormat="1" ht="15.95" customHeight="1" x14ac:dyDescent="0.2">
      <c r="A15" s="18"/>
      <c r="B15" s="19">
        <v>194</v>
      </c>
      <c r="D15" s="36">
        <v>20727</v>
      </c>
      <c r="E15" s="36">
        <v>1999</v>
      </c>
      <c r="F15" s="36" t="s">
        <v>1224</v>
      </c>
      <c r="G15" s="35" t="s">
        <v>382</v>
      </c>
      <c r="H15" s="35"/>
      <c r="I15" s="35" t="s">
        <v>41</v>
      </c>
      <c r="J15" s="35" t="s">
        <v>89</v>
      </c>
      <c r="K15" s="35" t="s">
        <v>161</v>
      </c>
      <c r="L15" s="35" t="s">
        <v>82</v>
      </c>
      <c r="M15" s="35" t="s">
        <v>82</v>
      </c>
      <c r="N15" s="35" t="s">
        <v>66</v>
      </c>
      <c r="O15" s="35" t="s">
        <v>387</v>
      </c>
      <c r="P15" s="35" t="s">
        <v>51</v>
      </c>
      <c r="Q15" s="35"/>
      <c r="R15" s="35" t="s">
        <v>237</v>
      </c>
      <c r="S15" s="35" t="s">
        <v>79</v>
      </c>
      <c r="T15" s="35" t="s">
        <v>56</v>
      </c>
      <c r="U15" s="36">
        <v>23</v>
      </c>
      <c r="V15" s="36" t="s">
        <v>231</v>
      </c>
      <c r="W15" s="35" t="s">
        <v>46</v>
      </c>
      <c r="X15" s="29"/>
      <c r="Y15" s="36">
        <v>3300</v>
      </c>
      <c r="Z15" s="24">
        <f t="shared" si="0"/>
        <v>357.5422321535255</v>
      </c>
      <c r="AA15" s="19" t="s">
        <v>214</v>
      </c>
      <c r="AB15" s="36"/>
      <c r="AC15" s="35">
        <v>280</v>
      </c>
      <c r="AD15" s="35">
        <v>280</v>
      </c>
      <c r="AE15" s="35" t="s">
        <v>270</v>
      </c>
      <c r="AF15" s="35" t="s">
        <v>383</v>
      </c>
      <c r="AG15" s="35"/>
      <c r="AH15" s="35" t="s">
        <v>234</v>
      </c>
      <c r="AI15" s="35" t="s">
        <v>385</v>
      </c>
      <c r="AJ15" s="35" t="s">
        <v>270</v>
      </c>
      <c r="AK15" s="35" t="s">
        <v>234</v>
      </c>
      <c r="AL15" s="35" t="s">
        <v>90</v>
      </c>
      <c r="AM15" s="35" t="s">
        <v>386</v>
      </c>
    </row>
    <row r="16" spans="1:78" s="20" customFormat="1" ht="15.95" customHeight="1" x14ac:dyDescent="0.2">
      <c r="A16" s="18"/>
      <c r="B16" s="19">
        <v>194</v>
      </c>
      <c r="D16" s="36">
        <v>20727</v>
      </c>
      <c r="E16" s="36">
        <v>1999</v>
      </c>
      <c r="F16" s="36" t="s">
        <v>1224</v>
      </c>
      <c r="G16" s="35" t="s">
        <v>382</v>
      </c>
      <c r="H16" s="35"/>
      <c r="I16" s="35" t="s">
        <v>41</v>
      </c>
      <c r="J16" s="35" t="s">
        <v>89</v>
      </c>
      <c r="K16" s="35" t="s">
        <v>161</v>
      </c>
      <c r="L16" s="35" t="s">
        <v>82</v>
      </c>
      <c r="M16" s="35" t="s">
        <v>82</v>
      </c>
      <c r="N16" s="35" t="s">
        <v>66</v>
      </c>
      <c r="O16" s="35" t="s">
        <v>387</v>
      </c>
      <c r="P16" s="35" t="s">
        <v>51</v>
      </c>
      <c r="Q16" s="35"/>
      <c r="R16" s="35" t="s">
        <v>237</v>
      </c>
      <c r="S16" s="35" t="s">
        <v>79</v>
      </c>
      <c r="T16" s="35" t="s">
        <v>56</v>
      </c>
      <c r="U16" s="36">
        <v>23</v>
      </c>
      <c r="V16" s="36" t="s">
        <v>231</v>
      </c>
      <c r="W16" s="35" t="s">
        <v>46</v>
      </c>
      <c r="X16" s="29"/>
      <c r="Y16" s="36">
        <v>4200</v>
      </c>
      <c r="Z16" s="24">
        <f t="shared" si="0"/>
        <v>455.05375001357794</v>
      </c>
      <c r="AA16" s="19" t="s">
        <v>214</v>
      </c>
      <c r="AB16" s="36"/>
      <c r="AC16" s="35">
        <v>280</v>
      </c>
      <c r="AD16" s="35">
        <v>280</v>
      </c>
      <c r="AE16" s="35" t="s">
        <v>270</v>
      </c>
      <c r="AF16" s="35" t="s">
        <v>383</v>
      </c>
      <c r="AG16" s="35"/>
      <c r="AH16" s="35" t="s">
        <v>234</v>
      </c>
      <c r="AI16" s="35" t="s">
        <v>385</v>
      </c>
      <c r="AJ16" s="35" t="s">
        <v>270</v>
      </c>
      <c r="AK16" s="35" t="s">
        <v>234</v>
      </c>
      <c r="AL16" s="35" t="s">
        <v>90</v>
      </c>
      <c r="AM16" s="35" t="s">
        <v>386</v>
      </c>
    </row>
    <row r="17" spans="1:78" s="20" customFormat="1" ht="15.95" customHeight="1" x14ac:dyDescent="0.2">
      <c r="A17" s="18"/>
      <c r="B17" s="19">
        <v>194</v>
      </c>
      <c r="D17" s="36">
        <v>20727</v>
      </c>
      <c r="E17" s="36">
        <v>1999</v>
      </c>
      <c r="F17" s="36" t="s">
        <v>1224</v>
      </c>
      <c r="G17" s="35" t="s">
        <v>382</v>
      </c>
      <c r="H17" s="35"/>
      <c r="I17" s="35" t="s">
        <v>41</v>
      </c>
      <c r="J17" s="35" t="s">
        <v>89</v>
      </c>
      <c r="K17" s="35" t="s">
        <v>161</v>
      </c>
      <c r="L17" s="35" t="s">
        <v>82</v>
      </c>
      <c r="M17" s="35" t="s">
        <v>82</v>
      </c>
      <c r="N17" s="35" t="s">
        <v>66</v>
      </c>
      <c r="O17" s="35" t="s">
        <v>387</v>
      </c>
      <c r="P17" s="35" t="s">
        <v>51</v>
      </c>
      <c r="Q17" s="35"/>
      <c r="R17" s="35" t="s">
        <v>237</v>
      </c>
      <c r="S17" s="35" t="s">
        <v>79</v>
      </c>
      <c r="T17" s="35" t="s">
        <v>56</v>
      </c>
      <c r="U17" s="36">
        <v>23</v>
      </c>
      <c r="V17" s="36" t="s">
        <v>231</v>
      </c>
      <c r="W17" s="35" t="s">
        <v>46</v>
      </c>
      <c r="X17" s="29"/>
      <c r="Y17" s="36">
        <v>4700</v>
      </c>
      <c r="Z17" s="24">
        <f t="shared" si="0"/>
        <v>509.2268154913848</v>
      </c>
      <c r="AA17" s="19" t="s">
        <v>214</v>
      </c>
      <c r="AB17" s="36"/>
      <c r="AC17" s="35">
        <v>280</v>
      </c>
      <c r="AD17" s="35">
        <v>280</v>
      </c>
      <c r="AE17" s="35" t="s">
        <v>270</v>
      </c>
      <c r="AF17" s="35" t="s">
        <v>383</v>
      </c>
      <c r="AG17" s="35"/>
      <c r="AH17" s="35" t="s">
        <v>234</v>
      </c>
      <c r="AI17" s="35" t="s">
        <v>385</v>
      </c>
      <c r="AJ17" s="35" t="s">
        <v>270</v>
      </c>
      <c r="AK17" s="35" t="s">
        <v>234</v>
      </c>
      <c r="AL17" s="35" t="s">
        <v>90</v>
      </c>
      <c r="AM17" s="35" t="s">
        <v>386</v>
      </c>
    </row>
    <row r="18" spans="1:78" s="20" customFormat="1" ht="15.95" customHeight="1" x14ac:dyDescent="0.2">
      <c r="A18" s="18"/>
      <c r="B18" s="19">
        <v>194</v>
      </c>
      <c r="D18" s="36">
        <v>20727</v>
      </c>
      <c r="E18" s="36">
        <v>1999</v>
      </c>
      <c r="F18" s="36" t="s">
        <v>1224</v>
      </c>
      <c r="G18" s="35" t="s">
        <v>382</v>
      </c>
      <c r="H18" s="35"/>
      <c r="I18" s="35" t="s">
        <v>41</v>
      </c>
      <c r="J18" s="35" t="s">
        <v>89</v>
      </c>
      <c r="K18" s="35" t="s">
        <v>161</v>
      </c>
      <c r="L18" s="35" t="s">
        <v>82</v>
      </c>
      <c r="M18" s="35" t="s">
        <v>82</v>
      </c>
      <c r="N18" s="35" t="s">
        <v>66</v>
      </c>
      <c r="O18" s="35" t="s">
        <v>387</v>
      </c>
      <c r="P18" s="35" t="s">
        <v>51</v>
      </c>
      <c r="Q18" s="35"/>
      <c r="R18" s="35" t="s">
        <v>237</v>
      </c>
      <c r="S18" s="35" t="s">
        <v>79</v>
      </c>
      <c r="T18" s="35" t="s">
        <v>56</v>
      </c>
      <c r="U18" s="36">
        <v>23</v>
      </c>
      <c r="V18" s="36" t="s">
        <v>231</v>
      </c>
      <c r="W18" s="35" t="s">
        <v>46</v>
      </c>
      <c r="X18" s="29"/>
      <c r="Y18" s="36">
        <v>3200</v>
      </c>
      <c r="Z18" s="24">
        <f t="shared" si="0"/>
        <v>346.70761905796411</v>
      </c>
      <c r="AA18" s="19" t="s">
        <v>214</v>
      </c>
      <c r="AB18" s="36"/>
      <c r="AC18" s="35">
        <v>280</v>
      </c>
      <c r="AD18" s="35">
        <v>280</v>
      </c>
      <c r="AE18" s="35" t="s">
        <v>270</v>
      </c>
      <c r="AF18" s="35" t="s">
        <v>383</v>
      </c>
      <c r="AG18" s="35"/>
      <c r="AH18" s="35" t="s">
        <v>234</v>
      </c>
      <c r="AI18" s="35" t="s">
        <v>385</v>
      </c>
      <c r="AJ18" s="35" t="s">
        <v>270</v>
      </c>
      <c r="AK18" s="35" t="s">
        <v>234</v>
      </c>
      <c r="AL18" s="35" t="s">
        <v>90</v>
      </c>
      <c r="AM18" s="35" t="s">
        <v>386</v>
      </c>
    </row>
    <row r="19" spans="1:78" s="20" customFormat="1" ht="15.95" customHeight="1" x14ac:dyDescent="0.2">
      <c r="A19" s="18"/>
      <c r="B19" s="19">
        <v>194</v>
      </c>
      <c r="D19" s="36">
        <v>20727</v>
      </c>
      <c r="E19" s="36">
        <v>1999</v>
      </c>
      <c r="F19" s="36" t="s">
        <v>1224</v>
      </c>
      <c r="G19" s="35" t="s">
        <v>382</v>
      </c>
      <c r="H19" s="35"/>
      <c r="I19" s="35" t="s">
        <v>41</v>
      </c>
      <c r="J19" s="35" t="s">
        <v>89</v>
      </c>
      <c r="K19" s="35" t="s">
        <v>161</v>
      </c>
      <c r="L19" s="35" t="s">
        <v>82</v>
      </c>
      <c r="M19" s="35" t="s">
        <v>82</v>
      </c>
      <c r="N19" s="35" t="s">
        <v>66</v>
      </c>
      <c r="O19" s="35" t="s">
        <v>387</v>
      </c>
      <c r="P19" s="35" t="s">
        <v>51</v>
      </c>
      <c r="Q19" s="35"/>
      <c r="R19" s="35" t="s">
        <v>237</v>
      </c>
      <c r="S19" s="35" t="s">
        <v>79</v>
      </c>
      <c r="T19" s="35" t="s">
        <v>56</v>
      </c>
      <c r="U19" s="36">
        <v>23</v>
      </c>
      <c r="V19" s="36" t="s">
        <v>231</v>
      </c>
      <c r="W19" s="35" t="s">
        <v>46</v>
      </c>
      <c r="X19" s="29"/>
      <c r="Y19" s="36">
        <v>4000</v>
      </c>
      <c r="Z19" s="24">
        <f t="shared" si="0"/>
        <v>433.38452382245515</v>
      </c>
      <c r="AA19" s="19" t="s">
        <v>214</v>
      </c>
      <c r="AB19" s="36"/>
      <c r="AC19" s="35">
        <v>280</v>
      </c>
      <c r="AD19" s="35">
        <v>280</v>
      </c>
      <c r="AE19" s="35" t="s">
        <v>270</v>
      </c>
      <c r="AF19" s="35" t="s">
        <v>383</v>
      </c>
      <c r="AG19" s="35"/>
      <c r="AH19" s="35" t="s">
        <v>234</v>
      </c>
      <c r="AI19" s="35" t="s">
        <v>385</v>
      </c>
      <c r="AJ19" s="35" t="s">
        <v>270</v>
      </c>
      <c r="AK19" s="35" t="s">
        <v>234</v>
      </c>
      <c r="AL19" s="35" t="s">
        <v>90</v>
      </c>
      <c r="AM19" s="35" t="s">
        <v>386</v>
      </c>
    </row>
    <row r="20" spans="1:78" s="20" customFormat="1" ht="15.95" customHeight="1" x14ac:dyDescent="0.2">
      <c r="A20" s="18"/>
      <c r="B20" s="19">
        <v>194</v>
      </c>
      <c r="D20" s="36">
        <v>20727</v>
      </c>
      <c r="E20" s="36">
        <v>1999</v>
      </c>
      <c r="F20" s="36" t="s">
        <v>1224</v>
      </c>
      <c r="G20" s="35" t="s">
        <v>382</v>
      </c>
      <c r="H20" s="35"/>
      <c r="I20" s="35" t="s">
        <v>41</v>
      </c>
      <c r="J20" s="35" t="s">
        <v>89</v>
      </c>
      <c r="K20" s="35" t="s">
        <v>161</v>
      </c>
      <c r="L20" s="35" t="s">
        <v>82</v>
      </c>
      <c r="M20" s="35" t="s">
        <v>82</v>
      </c>
      <c r="N20" s="35" t="s">
        <v>66</v>
      </c>
      <c r="O20" s="35" t="s">
        <v>387</v>
      </c>
      <c r="P20" s="35" t="s">
        <v>51</v>
      </c>
      <c r="Q20" s="35"/>
      <c r="R20" s="35" t="s">
        <v>237</v>
      </c>
      <c r="S20" s="35" t="s">
        <v>79</v>
      </c>
      <c r="T20" s="35" t="s">
        <v>56</v>
      </c>
      <c r="U20" s="36">
        <v>23</v>
      </c>
      <c r="V20" s="36" t="s">
        <v>231</v>
      </c>
      <c r="W20" s="35" t="s">
        <v>46</v>
      </c>
      <c r="X20" s="29"/>
      <c r="Y20" s="36">
        <v>3100</v>
      </c>
      <c r="Z20" s="24">
        <f t="shared" si="0"/>
        <v>335.87300596240277</v>
      </c>
      <c r="AA20" s="19" t="s">
        <v>214</v>
      </c>
      <c r="AB20" s="36"/>
      <c r="AC20" s="35">
        <v>280</v>
      </c>
      <c r="AD20" s="35">
        <v>280</v>
      </c>
      <c r="AE20" s="35" t="s">
        <v>270</v>
      </c>
      <c r="AF20" s="35" t="s">
        <v>383</v>
      </c>
      <c r="AG20" s="35"/>
      <c r="AH20" s="35" t="s">
        <v>234</v>
      </c>
      <c r="AI20" s="35" t="s">
        <v>385</v>
      </c>
      <c r="AJ20" s="35" t="s">
        <v>270</v>
      </c>
      <c r="AK20" s="35" t="s">
        <v>234</v>
      </c>
      <c r="AL20" s="35" t="s">
        <v>90</v>
      </c>
      <c r="AM20" s="35" t="s">
        <v>386</v>
      </c>
    </row>
    <row r="21" spans="1:78" s="20" customFormat="1" ht="15.95" customHeight="1" x14ac:dyDescent="0.2">
      <c r="A21" s="18"/>
      <c r="B21" s="19">
        <v>194</v>
      </c>
      <c r="D21" s="36">
        <v>20727</v>
      </c>
      <c r="E21" s="36">
        <v>1999</v>
      </c>
      <c r="F21" s="36" t="s">
        <v>1224</v>
      </c>
      <c r="G21" s="35" t="s">
        <v>382</v>
      </c>
      <c r="H21" s="35"/>
      <c r="I21" s="35" t="s">
        <v>41</v>
      </c>
      <c r="J21" s="35" t="s">
        <v>89</v>
      </c>
      <c r="K21" s="35" t="s">
        <v>161</v>
      </c>
      <c r="L21" s="35" t="s">
        <v>82</v>
      </c>
      <c r="M21" s="35" t="s">
        <v>82</v>
      </c>
      <c r="N21" s="35" t="s">
        <v>66</v>
      </c>
      <c r="O21" s="35" t="s">
        <v>387</v>
      </c>
      <c r="P21" s="35" t="s">
        <v>51</v>
      </c>
      <c r="Q21" s="35"/>
      <c r="R21" s="35" t="s">
        <v>237</v>
      </c>
      <c r="S21" s="35" t="s">
        <v>79</v>
      </c>
      <c r="T21" s="35" t="s">
        <v>56</v>
      </c>
      <c r="U21" s="36">
        <v>23</v>
      </c>
      <c r="V21" s="36" t="s">
        <v>231</v>
      </c>
      <c r="W21" s="35" t="s">
        <v>46</v>
      </c>
      <c r="X21" s="29"/>
      <c r="Y21" s="36">
        <v>4000</v>
      </c>
      <c r="Z21" s="24">
        <f t="shared" si="0"/>
        <v>433.38452382245515</v>
      </c>
      <c r="AA21" s="19" t="s">
        <v>214</v>
      </c>
      <c r="AB21" s="36"/>
      <c r="AC21" s="35">
        <v>280</v>
      </c>
      <c r="AD21" s="35">
        <v>280</v>
      </c>
      <c r="AE21" s="35" t="s">
        <v>270</v>
      </c>
      <c r="AF21" s="35" t="s">
        <v>383</v>
      </c>
      <c r="AG21" s="35"/>
      <c r="AH21" s="35" t="s">
        <v>234</v>
      </c>
      <c r="AI21" s="35" t="s">
        <v>385</v>
      </c>
      <c r="AJ21" s="35" t="s">
        <v>270</v>
      </c>
      <c r="AK21" s="35" t="s">
        <v>234</v>
      </c>
      <c r="AL21" s="35" t="s">
        <v>90</v>
      </c>
      <c r="AM21" s="35" t="s">
        <v>386</v>
      </c>
    </row>
    <row r="22" spans="1:78" s="20" customFormat="1" ht="15.95" customHeight="1" x14ac:dyDescent="0.2">
      <c r="A22" s="18"/>
      <c r="B22" s="19">
        <v>194</v>
      </c>
      <c r="D22" s="36">
        <v>20727</v>
      </c>
      <c r="E22" s="36">
        <v>1999</v>
      </c>
      <c r="F22" s="36" t="s">
        <v>1224</v>
      </c>
      <c r="G22" s="35" t="s">
        <v>382</v>
      </c>
      <c r="H22" s="35"/>
      <c r="I22" s="35" t="s">
        <v>41</v>
      </c>
      <c r="J22" s="35" t="s">
        <v>89</v>
      </c>
      <c r="K22" s="35" t="s">
        <v>161</v>
      </c>
      <c r="L22" s="35" t="s">
        <v>82</v>
      </c>
      <c r="M22" s="35" t="s">
        <v>82</v>
      </c>
      <c r="N22" s="35" t="s">
        <v>66</v>
      </c>
      <c r="O22" s="35" t="s">
        <v>387</v>
      </c>
      <c r="P22" s="35" t="s">
        <v>51</v>
      </c>
      <c r="Q22" s="35"/>
      <c r="R22" s="35" t="s">
        <v>237</v>
      </c>
      <c r="S22" s="35" t="s">
        <v>79</v>
      </c>
      <c r="T22" s="35" t="s">
        <v>56</v>
      </c>
      <c r="U22" s="36">
        <v>23</v>
      </c>
      <c r="V22" s="36" t="s">
        <v>231</v>
      </c>
      <c r="W22" s="35" t="s">
        <v>46</v>
      </c>
      <c r="X22" s="29"/>
      <c r="Y22" s="36">
        <v>3600</v>
      </c>
      <c r="Z22" s="24">
        <f t="shared" si="0"/>
        <v>390.04607144020963</v>
      </c>
      <c r="AA22" s="19" t="s">
        <v>214</v>
      </c>
      <c r="AB22" s="36"/>
      <c r="AC22" s="35">
        <v>280</v>
      </c>
      <c r="AD22" s="35">
        <v>280</v>
      </c>
      <c r="AE22" s="35" t="s">
        <v>270</v>
      </c>
      <c r="AF22" s="35" t="s">
        <v>383</v>
      </c>
      <c r="AG22" s="35"/>
      <c r="AH22" s="35" t="s">
        <v>234</v>
      </c>
      <c r="AI22" s="35" t="s">
        <v>385</v>
      </c>
      <c r="AJ22" s="35" t="s">
        <v>270</v>
      </c>
      <c r="AK22" s="35" t="s">
        <v>234</v>
      </c>
      <c r="AL22" s="35" t="s">
        <v>90</v>
      </c>
      <c r="AM22" s="35" t="s">
        <v>386</v>
      </c>
    </row>
    <row r="23" spans="1:78" s="20" customFormat="1" ht="15.95" customHeight="1" x14ac:dyDescent="0.2">
      <c r="A23" s="18"/>
      <c r="B23" s="19">
        <v>194</v>
      </c>
      <c r="D23" s="36">
        <v>20727</v>
      </c>
      <c r="E23" s="36">
        <v>1999</v>
      </c>
      <c r="F23" s="36" t="s">
        <v>1224</v>
      </c>
      <c r="G23" s="35" t="s">
        <v>382</v>
      </c>
      <c r="H23" s="35"/>
      <c r="I23" s="35" t="s">
        <v>41</v>
      </c>
      <c r="J23" s="35" t="s">
        <v>89</v>
      </c>
      <c r="K23" s="35" t="s">
        <v>161</v>
      </c>
      <c r="L23" s="35" t="s">
        <v>82</v>
      </c>
      <c r="M23" s="35" t="s">
        <v>82</v>
      </c>
      <c r="N23" s="35" t="s">
        <v>66</v>
      </c>
      <c r="O23" s="35" t="s">
        <v>387</v>
      </c>
      <c r="P23" s="35" t="s">
        <v>51</v>
      </c>
      <c r="Q23" s="35"/>
      <c r="R23" s="35" t="s">
        <v>237</v>
      </c>
      <c r="S23" s="35" t="s">
        <v>79</v>
      </c>
      <c r="T23" s="35" t="s">
        <v>56</v>
      </c>
      <c r="U23" s="36">
        <v>23</v>
      </c>
      <c r="V23" s="36" t="s">
        <v>231</v>
      </c>
      <c r="W23" s="35" t="s">
        <v>46</v>
      </c>
      <c r="X23" s="29"/>
      <c r="Y23" s="36">
        <v>4200</v>
      </c>
      <c r="Z23" s="24">
        <f t="shared" si="0"/>
        <v>455.05375001357794</v>
      </c>
      <c r="AA23" s="19" t="s">
        <v>214</v>
      </c>
      <c r="AB23" s="36"/>
      <c r="AC23" s="35">
        <v>280</v>
      </c>
      <c r="AD23" s="35">
        <v>280</v>
      </c>
      <c r="AE23" s="35" t="s">
        <v>270</v>
      </c>
      <c r="AF23" s="35" t="s">
        <v>383</v>
      </c>
      <c r="AG23" s="35"/>
      <c r="AH23" s="35" t="s">
        <v>234</v>
      </c>
      <c r="AI23" s="35" t="s">
        <v>385</v>
      </c>
      <c r="AJ23" s="35" t="s">
        <v>270</v>
      </c>
      <c r="AK23" s="35" t="s">
        <v>234</v>
      </c>
      <c r="AL23" s="35" t="s">
        <v>90</v>
      </c>
      <c r="AM23" s="35" t="s">
        <v>386</v>
      </c>
    </row>
    <row r="24" spans="1:78" s="53" customFormat="1" ht="15.95" customHeight="1" x14ac:dyDescent="0.25">
      <c r="A24" s="46"/>
      <c r="B24" s="47"/>
      <c r="C24" s="47"/>
      <c r="D24" s="47"/>
      <c r="E24" s="48"/>
      <c r="F24" s="47"/>
      <c r="G24" s="47"/>
      <c r="H24" s="47"/>
      <c r="I24" s="49"/>
      <c r="J24" s="47"/>
      <c r="K24" s="47"/>
      <c r="L24" s="47"/>
      <c r="M24" s="47"/>
      <c r="N24" s="47"/>
      <c r="O24" s="47"/>
      <c r="P24" s="49"/>
      <c r="Q24" s="47"/>
      <c r="R24" s="47"/>
      <c r="S24" s="47"/>
      <c r="T24" s="47"/>
      <c r="U24" s="47"/>
      <c r="V24" s="47"/>
      <c r="W24" s="47"/>
      <c r="X24" s="50"/>
      <c r="Y24" s="47">
        <f>GEOMEAN(Y7:Y23)</f>
        <v>3939.1634039200603</v>
      </c>
      <c r="Z24" s="51"/>
      <c r="AA24" s="47"/>
      <c r="AB24" s="47"/>
      <c r="AC24" s="49"/>
      <c r="AD24" s="49"/>
      <c r="AE24" s="47"/>
      <c r="AF24" s="47"/>
      <c r="AG24" s="47"/>
      <c r="AH24" s="47"/>
      <c r="AI24" s="47"/>
      <c r="AJ24" s="47"/>
      <c r="AK24" s="47"/>
      <c r="AL24" s="47"/>
      <c r="AM24" s="47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</row>
    <row r="25" spans="1:78" s="20" customFormat="1" ht="15.95" customHeight="1" x14ac:dyDescent="0.2">
      <c r="A25" s="18"/>
      <c r="B25" s="19">
        <v>194</v>
      </c>
      <c r="D25" s="36">
        <v>20727</v>
      </c>
      <c r="E25" s="36">
        <v>1999</v>
      </c>
      <c r="F25" s="36" t="s">
        <v>1224</v>
      </c>
      <c r="G25" s="35" t="s">
        <v>382</v>
      </c>
      <c r="H25" s="35"/>
      <c r="I25" s="35" t="s">
        <v>41</v>
      </c>
      <c r="J25" s="35" t="s">
        <v>89</v>
      </c>
      <c r="K25" s="35" t="s">
        <v>161</v>
      </c>
      <c r="L25" s="35" t="s">
        <v>82</v>
      </c>
      <c r="M25" s="35" t="s">
        <v>82</v>
      </c>
      <c r="N25" s="35" t="s">
        <v>66</v>
      </c>
      <c r="O25" s="35" t="s">
        <v>387</v>
      </c>
      <c r="P25" s="35" t="s">
        <v>51</v>
      </c>
      <c r="Q25" s="35"/>
      <c r="R25" s="35" t="s">
        <v>237</v>
      </c>
      <c r="S25" s="35" t="s">
        <v>79</v>
      </c>
      <c r="T25" s="35" t="s">
        <v>56</v>
      </c>
      <c r="U25" s="36">
        <v>24</v>
      </c>
      <c r="V25" s="36" t="s">
        <v>231</v>
      </c>
      <c r="W25" s="35" t="s">
        <v>46</v>
      </c>
      <c r="X25" s="29"/>
      <c r="Y25" s="36">
        <v>5300</v>
      </c>
      <c r="Z25" s="24">
        <f t="shared" ref="Z25:Z50" si="1">Y25/((AC25/30)^0.995)</f>
        <v>574.23449406475311</v>
      </c>
      <c r="AA25" s="19" t="s">
        <v>214</v>
      </c>
      <c r="AB25" s="36"/>
      <c r="AC25" s="35">
        <v>280</v>
      </c>
      <c r="AD25" s="35">
        <v>280</v>
      </c>
      <c r="AE25" s="35" t="s">
        <v>270</v>
      </c>
      <c r="AF25" s="35" t="s">
        <v>383</v>
      </c>
      <c r="AG25" s="35"/>
      <c r="AH25" s="35" t="s">
        <v>234</v>
      </c>
      <c r="AI25" s="35" t="s">
        <v>385</v>
      </c>
      <c r="AJ25" s="35" t="s">
        <v>270</v>
      </c>
      <c r="AK25" s="35" t="s">
        <v>234</v>
      </c>
      <c r="AL25" s="35" t="s">
        <v>90</v>
      </c>
      <c r="AM25" s="35" t="s">
        <v>386</v>
      </c>
    </row>
    <row r="26" spans="1:78" s="20" customFormat="1" ht="15.95" customHeight="1" x14ac:dyDescent="0.2">
      <c r="A26" s="18"/>
      <c r="B26" s="19">
        <v>194</v>
      </c>
      <c r="D26" s="36">
        <v>20727</v>
      </c>
      <c r="E26" s="36">
        <v>1999</v>
      </c>
      <c r="F26" s="36" t="s">
        <v>1224</v>
      </c>
      <c r="G26" s="35" t="s">
        <v>382</v>
      </c>
      <c r="H26" s="35"/>
      <c r="I26" s="35" t="s">
        <v>41</v>
      </c>
      <c r="J26" s="35" t="s">
        <v>89</v>
      </c>
      <c r="K26" s="35" t="s">
        <v>161</v>
      </c>
      <c r="L26" s="35" t="s">
        <v>82</v>
      </c>
      <c r="M26" s="35" t="s">
        <v>82</v>
      </c>
      <c r="N26" s="35" t="s">
        <v>66</v>
      </c>
      <c r="O26" s="35" t="s">
        <v>387</v>
      </c>
      <c r="P26" s="35" t="s">
        <v>51</v>
      </c>
      <c r="Q26" s="35"/>
      <c r="R26" s="35" t="s">
        <v>237</v>
      </c>
      <c r="S26" s="35" t="s">
        <v>79</v>
      </c>
      <c r="T26" s="35" t="s">
        <v>56</v>
      </c>
      <c r="U26" s="36">
        <v>24</v>
      </c>
      <c r="V26" s="36" t="s">
        <v>231</v>
      </c>
      <c r="W26" s="35" t="s">
        <v>46</v>
      </c>
      <c r="X26" s="29"/>
      <c r="Y26" s="36">
        <v>1800</v>
      </c>
      <c r="Z26" s="24">
        <f t="shared" si="1"/>
        <v>195.02303572010482</v>
      </c>
      <c r="AA26" s="19" t="s">
        <v>214</v>
      </c>
      <c r="AB26" s="36"/>
      <c r="AC26" s="35">
        <v>280</v>
      </c>
      <c r="AD26" s="35">
        <v>280</v>
      </c>
      <c r="AE26" s="35" t="s">
        <v>270</v>
      </c>
      <c r="AF26" s="35" t="s">
        <v>383</v>
      </c>
      <c r="AG26" s="35"/>
      <c r="AH26" s="35" t="s">
        <v>234</v>
      </c>
      <c r="AI26" s="35" t="s">
        <v>385</v>
      </c>
      <c r="AJ26" s="35" t="s">
        <v>270</v>
      </c>
      <c r="AK26" s="35" t="s">
        <v>234</v>
      </c>
      <c r="AL26" s="35" t="s">
        <v>90</v>
      </c>
      <c r="AM26" s="35" t="s">
        <v>386</v>
      </c>
    </row>
    <row r="27" spans="1:78" s="20" customFormat="1" ht="15.95" customHeight="1" x14ac:dyDescent="0.2">
      <c r="A27" s="18"/>
      <c r="B27" s="19">
        <v>194</v>
      </c>
      <c r="D27" s="36">
        <v>20727</v>
      </c>
      <c r="E27" s="36">
        <v>1999</v>
      </c>
      <c r="F27" s="36" t="s">
        <v>1224</v>
      </c>
      <c r="G27" s="35" t="s">
        <v>382</v>
      </c>
      <c r="H27" s="35"/>
      <c r="I27" s="35" t="s">
        <v>41</v>
      </c>
      <c r="J27" s="35" t="s">
        <v>89</v>
      </c>
      <c r="K27" s="35" t="s">
        <v>161</v>
      </c>
      <c r="L27" s="35" t="s">
        <v>82</v>
      </c>
      <c r="M27" s="35" t="s">
        <v>82</v>
      </c>
      <c r="N27" s="35" t="s">
        <v>66</v>
      </c>
      <c r="O27" s="35" t="s">
        <v>387</v>
      </c>
      <c r="P27" s="35" t="s">
        <v>51</v>
      </c>
      <c r="Q27" s="35"/>
      <c r="R27" s="35" t="s">
        <v>237</v>
      </c>
      <c r="S27" s="35" t="s">
        <v>79</v>
      </c>
      <c r="T27" s="35" t="s">
        <v>56</v>
      </c>
      <c r="U27" s="36">
        <v>24</v>
      </c>
      <c r="V27" s="36" t="s">
        <v>231</v>
      </c>
      <c r="W27" s="35" t="s">
        <v>46</v>
      </c>
      <c r="X27" s="29"/>
      <c r="Y27" s="36">
        <v>1600</v>
      </c>
      <c r="Z27" s="24">
        <f t="shared" si="1"/>
        <v>173.35380952898205</v>
      </c>
      <c r="AA27" s="19" t="s">
        <v>214</v>
      </c>
      <c r="AB27" s="36"/>
      <c r="AC27" s="35">
        <v>280</v>
      </c>
      <c r="AD27" s="35">
        <v>280</v>
      </c>
      <c r="AE27" s="35" t="s">
        <v>270</v>
      </c>
      <c r="AF27" s="35" t="s">
        <v>383</v>
      </c>
      <c r="AG27" s="35"/>
      <c r="AH27" s="35" t="s">
        <v>234</v>
      </c>
      <c r="AI27" s="35" t="s">
        <v>385</v>
      </c>
      <c r="AJ27" s="35" t="s">
        <v>270</v>
      </c>
      <c r="AK27" s="35" t="s">
        <v>234</v>
      </c>
      <c r="AL27" s="35" t="s">
        <v>90</v>
      </c>
      <c r="AM27" s="35" t="s">
        <v>386</v>
      </c>
    </row>
    <row r="28" spans="1:78" s="20" customFormat="1" ht="15.95" customHeight="1" x14ac:dyDescent="0.2">
      <c r="A28" s="18"/>
      <c r="B28" s="19">
        <v>194</v>
      </c>
      <c r="D28" s="36">
        <v>20727</v>
      </c>
      <c r="E28" s="36">
        <v>1999</v>
      </c>
      <c r="F28" s="36" t="s">
        <v>1224</v>
      </c>
      <c r="G28" s="35" t="s">
        <v>382</v>
      </c>
      <c r="H28" s="35"/>
      <c r="I28" s="35" t="s">
        <v>41</v>
      </c>
      <c r="J28" s="35" t="s">
        <v>89</v>
      </c>
      <c r="K28" s="35" t="s">
        <v>161</v>
      </c>
      <c r="L28" s="35" t="s">
        <v>82</v>
      </c>
      <c r="M28" s="35" t="s">
        <v>82</v>
      </c>
      <c r="N28" s="35" t="s">
        <v>66</v>
      </c>
      <c r="O28" s="35" t="s">
        <v>387</v>
      </c>
      <c r="P28" s="35" t="s">
        <v>51</v>
      </c>
      <c r="Q28" s="35"/>
      <c r="R28" s="35" t="s">
        <v>237</v>
      </c>
      <c r="S28" s="35" t="s">
        <v>79</v>
      </c>
      <c r="T28" s="35" t="s">
        <v>56</v>
      </c>
      <c r="U28" s="36">
        <v>24</v>
      </c>
      <c r="V28" s="36" t="s">
        <v>231</v>
      </c>
      <c r="W28" s="35" t="s">
        <v>46</v>
      </c>
      <c r="X28" s="29"/>
      <c r="Y28" s="36">
        <v>2700</v>
      </c>
      <c r="Z28" s="24">
        <f t="shared" si="1"/>
        <v>292.53455358015725</v>
      </c>
      <c r="AA28" s="19" t="s">
        <v>214</v>
      </c>
      <c r="AB28" s="36"/>
      <c r="AC28" s="35">
        <v>280</v>
      </c>
      <c r="AD28" s="35">
        <v>280</v>
      </c>
      <c r="AE28" s="35" t="s">
        <v>270</v>
      </c>
      <c r="AF28" s="35" t="s">
        <v>383</v>
      </c>
      <c r="AG28" s="35"/>
      <c r="AH28" s="35" t="s">
        <v>234</v>
      </c>
      <c r="AI28" s="35" t="s">
        <v>385</v>
      </c>
      <c r="AJ28" s="35" t="s">
        <v>270</v>
      </c>
      <c r="AK28" s="35" t="s">
        <v>234</v>
      </c>
      <c r="AL28" s="35" t="s">
        <v>90</v>
      </c>
      <c r="AM28" s="35" t="s">
        <v>386</v>
      </c>
    </row>
    <row r="29" spans="1:78" s="20" customFormat="1" ht="15.95" customHeight="1" x14ac:dyDescent="0.2">
      <c r="A29" s="18"/>
      <c r="B29" s="19">
        <v>194</v>
      </c>
      <c r="D29" s="36">
        <v>20727</v>
      </c>
      <c r="E29" s="36">
        <v>1999</v>
      </c>
      <c r="F29" s="36" t="s">
        <v>1224</v>
      </c>
      <c r="G29" s="35" t="s">
        <v>382</v>
      </c>
      <c r="H29" s="35"/>
      <c r="I29" s="35" t="s">
        <v>41</v>
      </c>
      <c r="J29" s="35" t="s">
        <v>89</v>
      </c>
      <c r="K29" s="35" t="s">
        <v>161</v>
      </c>
      <c r="L29" s="35" t="s">
        <v>82</v>
      </c>
      <c r="M29" s="35" t="s">
        <v>82</v>
      </c>
      <c r="N29" s="35" t="s">
        <v>66</v>
      </c>
      <c r="O29" s="35" t="s">
        <v>387</v>
      </c>
      <c r="P29" s="35" t="s">
        <v>51</v>
      </c>
      <c r="Q29" s="35"/>
      <c r="R29" s="35" t="s">
        <v>237</v>
      </c>
      <c r="S29" s="35" t="s">
        <v>79</v>
      </c>
      <c r="T29" s="35" t="s">
        <v>56</v>
      </c>
      <c r="U29" s="36">
        <v>24</v>
      </c>
      <c r="V29" s="36" t="s">
        <v>231</v>
      </c>
      <c r="W29" s="35" t="s">
        <v>46</v>
      </c>
      <c r="X29" s="29"/>
      <c r="Y29" s="36">
        <v>2700</v>
      </c>
      <c r="Z29" s="24">
        <f t="shared" si="1"/>
        <v>292.53455358015725</v>
      </c>
      <c r="AA29" s="19" t="s">
        <v>214</v>
      </c>
      <c r="AB29" s="36"/>
      <c r="AC29" s="35">
        <v>280</v>
      </c>
      <c r="AD29" s="35">
        <v>280</v>
      </c>
      <c r="AE29" s="35" t="s">
        <v>270</v>
      </c>
      <c r="AF29" s="35" t="s">
        <v>383</v>
      </c>
      <c r="AG29" s="35"/>
      <c r="AH29" s="35" t="s">
        <v>234</v>
      </c>
      <c r="AI29" s="35" t="s">
        <v>385</v>
      </c>
      <c r="AJ29" s="35" t="s">
        <v>270</v>
      </c>
      <c r="AK29" s="35" t="s">
        <v>234</v>
      </c>
      <c r="AL29" s="35" t="s">
        <v>90</v>
      </c>
      <c r="AM29" s="35" t="s">
        <v>386</v>
      </c>
    </row>
    <row r="30" spans="1:78" s="20" customFormat="1" ht="15.95" customHeight="1" x14ac:dyDescent="0.2">
      <c r="A30" s="18"/>
      <c r="B30" s="19">
        <v>194</v>
      </c>
      <c r="D30" s="36">
        <v>20727</v>
      </c>
      <c r="E30" s="36">
        <v>1999</v>
      </c>
      <c r="F30" s="36" t="s">
        <v>1224</v>
      </c>
      <c r="G30" s="35" t="s">
        <v>382</v>
      </c>
      <c r="H30" s="35"/>
      <c r="I30" s="35" t="s">
        <v>41</v>
      </c>
      <c r="J30" s="35" t="s">
        <v>89</v>
      </c>
      <c r="K30" s="35" t="s">
        <v>161</v>
      </c>
      <c r="L30" s="35" t="s">
        <v>82</v>
      </c>
      <c r="M30" s="35" t="s">
        <v>82</v>
      </c>
      <c r="N30" s="35" t="s">
        <v>66</v>
      </c>
      <c r="O30" s="35" t="s">
        <v>387</v>
      </c>
      <c r="P30" s="35" t="s">
        <v>51</v>
      </c>
      <c r="Q30" s="35"/>
      <c r="R30" s="35" t="s">
        <v>237</v>
      </c>
      <c r="S30" s="35" t="s">
        <v>79</v>
      </c>
      <c r="T30" s="35" t="s">
        <v>56</v>
      </c>
      <c r="U30" s="36">
        <v>24</v>
      </c>
      <c r="V30" s="36" t="s">
        <v>231</v>
      </c>
      <c r="W30" s="35" t="s">
        <v>46</v>
      </c>
      <c r="X30" s="29"/>
      <c r="Y30" s="36" t="s">
        <v>391</v>
      </c>
      <c r="Z30" s="24" t="e">
        <f t="shared" si="1"/>
        <v>#VALUE!</v>
      </c>
      <c r="AA30" s="19" t="s">
        <v>214</v>
      </c>
      <c r="AB30" s="36"/>
      <c r="AC30" s="35">
        <v>280</v>
      </c>
      <c r="AD30" s="35">
        <v>280</v>
      </c>
      <c r="AE30" s="35" t="s">
        <v>270</v>
      </c>
      <c r="AF30" s="35" t="s">
        <v>383</v>
      </c>
      <c r="AG30" s="35"/>
      <c r="AH30" s="35" t="s">
        <v>234</v>
      </c>
      <c r="AI30" s="35" t="s">
        <v>385</v>
      </c>
      <c r="AJ30" s="35" t="s">
        <v>270</v>
      </c>
      <c r="AK30" s="35" t="s">
        <v>234</v>
      </c>
      <c r="AL30" s="35" t="s">
        <v>90</v>
      </c>
      <c r="AM30" s="35" t="s">
        <v>386</v>
      </c>
    </row>
    <row r="31" spans="1:78" s="20" customFormat="1" ht="15.95" customHeight="1" x14ac:dyDescent="0.2">
      <c r="A31" s="18"/>
      <c r="B31" s="19">
        <v>194</v>
      </c>
      <c r="D31" s="36">
        <v>20727</v>
      </c>
      <c r="E31" s="36">
        <v>1999</v>
      </c>
      <c r="F31" s="36" t="s">
        <v>1224</v>
      </c>
      <c r="G31" s="35" t="s">
        <v>382</v>
      </c>
      <c r="H31" s="35"/>
      <c r="I31" s="35" t="s">
        <v>41</v>
      </c>
      <c r="J31" s="35" t="s">
        <v>89</v>
      </c>
      <c r="K31" s="35" t="s">
        <v>161</v>
      </c>
      <c r="L31" s="35" t="s">
        <v>82</v>
      </c>
      <c r="M31" s="35" t="s">
        <v>82</v>
      </c>
      <c r="N31" s="35" t="s">
        <v>66</v>
      </c>
      <c r="O31" s="35" t="s">
        <v>387</v>
      </c>
      <c r="P31" s="35" t="s">
        <v>51</v>
      </c>
      <c r="Q31" s="35"/>
      <c r="R31" s="35" t="s">
        <v>237</v>
      </c>
      <c r="S31" s="35" t="s">
        <v>79</v>
      </c>
      <c r="T31" s="35" t="s">
        <v>56</v>
      </c>
      <c r="U31" s="36">
        <v>24</v>
      </c>
      <c r="V31" s="36" t="s">
        <v>231</v>
      </c>
      <c r="W31" s="35" t="s">
        <v>46</v>
      </c>
      <c r="X31" s="29"/>
      <c r="Y31" s="36">
        <v>2400</v>
      </c>
      <c r="Z31" s="24">
        <f t="shared" si="1"/>
        <v>260.03071429347307</v>
      </c>
      <c r="AA31" s="19" t="s">
        <v>214</v>
      </c>
      <c r="AB31" s="36"/>
      <c r="AC31" s="35">
        <v>280</v>
      </c>
      <c r="AD31" s="35">
        <v>280</v>
      </c>
      <c r="AE31" s="35" t="s">
        <v>270</v>
      </c>
      <c r="AF31" s="35" t="s">
        <v>383</v>
      </c>
      <c r="AG31" s="35"/>
      <c r="AH31" s="35" t="s">
        <v>234</v>
      </c>
      <c r="AI31" s="35" t="s">
        <v>385</v>
      </c>
      <c r="AJ31" s="35" t="s">
        <v>270</v>
      </c>
      <c r="AK31" s="35" t="s">
        <v>234</v>
      </c>
      <c r="AL31" s="35" t="s">
        <v>90</v>
      </c>
      <c r="AM31" s="35" t="s">
        <v>386</v>
      </c>
    </row>
    <row r="32" spans="1:78" s="20" customFormat="1" ht="15.95" customHeight="1" x14ac:dyDescent="0.2">
      <c r="A32" s="18"/>
      <c r="B32" s="19">
        <v>194</v>
      </c>
      <c r="D32" s="36">
        <v>20727</v>
      </c>
      <c r="E32" s="36">
        <v>1999</v>
      </c>
      <c r="F32" s="36" t="s">
        <v>1224</v>
      </c>
      <c r="G32" s="35" t="s">
        <v>382</v>
      </c>
      <c r="H32" s="35"/>
      <c r="I32" s="35" t="s">
        <v>41</v>
      </c>
      <c r="J32" s="35" t="s">
        <v>89</v>
      </c>
      <c r="K32" s="35" t="s">
        <v>161</v>
      </c>
      <c r="L32" s="35" t="s">
        <v>82</v>
      </c>
      <c r="M32" s="35" t="s">
        <v>82</v>
      </c>
      <c r="N32" s="35" t="s">
        <v>66</v>
      </c>
      <c r="O32" s="35" t="s">
        <v>387</v>
      </c>
      <c r="P32" s="35" t="s">
        <v>51</v>
      </c>
      <c r="Q32" s="35"/>
      <c r="R32" s="35" t="s">
        <v>237</v>
      </c>
      <c r="S32" s="35" t="s">
        <v>79</v>
      </c>
      <c r="T32" s="35" t="s">
        <v>56</v>
      </c>
      <c r="U32" s="36">
        <v>24</v>
      </c>
      <c r="V32" s="36" t="s">
        <v>231</v>
      </c>
      <c r="W32" s="35" t="s">
        <v>46</v>
      </c>
      <c r="X32" s="29"/>
      <c r="Y32" s="36">
        <v>2050</v>
      </c>
      <c r="Z32" s="24">
        <f t="shared" si="1"/>
        <v>222.10956845900827</v>
      </c>
      <c r="AA32" s="19" t="s">
        <v>214</v>
      </c>
      <c r="AB32" s="36"/>
      <c r="AC32" s="35">
        <v>280</v>
      </c>
      <c r="AD32" s="35">
        <v>280</v>
      </c>
      <c r="AE32" s="35" t="s">
        <v>270</v>
      </c>
      <c r="AF32" s="35" t="s">
        <v>383</v>
      </c>
      <c r="AG32" s="35"/>
      <c r="AH32" s="35" t="s">
        <v>234</v>
      </c>
      <c r="AI32" s="35" t="s">
        <v>385</v>
      </c>
      <c r="AJ32" s="35" t="s">
        <v>270</v>
      </c>
      <c r="AK32" s="35" t="s">
        <v>234</v>
      </c>
      <c r="AL32" s="35" t="s">
        <v>90</v>
      </c>
      <c r="AM32" s="35" t="s">
        <v>386</v>
      </c>
    </row>
    <row r="33" spans="1:39" s="20" customFormat="1" ht="15.95" customHeight="1" x14ac:dyDescent="0.2">
      <c r="A33" s="18"/>
      <c r="B33" s="19">
        <v>194</v>
      </c>
      <c r="D33" s="36">
        <v>20727</v>
      </c>
      <c r="E33" s="36">
        <v>1999</v>
      </c>
      <c r="F33" s="36" t="s">
        <v>1224</v>
      </c>
      <c r="G33" s="35" t="s">
        <v>382</v>
      </c>
      <c r="H33" s="35"/>
      <c r="I33" s="35" t="s">
        <v>41</v>
      </c>
      <c r="J33" s="35" t="s">
        <v>89</v>
      </c>
      <c r="K33" s="35" t="s">
        <v>161</v>
      </c>
      <c r="L33" s="35" t="s">
        <v>82</v>
      </c>
      <c r="M33" s="35" t="s">
        <v>82</v>
      </c>
      <c r="N33" s="35" t="s">
        <v>66</v>
      </c>
      <c r="O33" s="35" t="s">
        <v>387</v>
      </c>
      <c r="P33" s="35" t="s">
        <v>51</v>
      </c>
      <c r="Q33" s="35"/>
      <c r="R33" s="35" t="s">
        <v>237</v>
      </c>
      <c r="S33" s="35" t="s">
        <v>79</v>
      </c>
      <c r="T33" s="35" t="s">
        <v>56</v>
      </c>
      <c r="U33" s="36">
        <v>24</v>
      </c>
      <c r="V33" s="36" t="s">
        <v>231</v>
      </c>
      <c r="W33" s="35" t="s">
        <v>46</v>
      </c>
      <c r="X33" s="29"/>
      <c r="Y33" s="36">
        <v>5000</v>
      </c>
      <c r="Z33" s="24">
        <f t="shared" si="1"/>
        <v>541.73065477806892</v>
      </c>
      <c r="AA33" s="19" t="s">
        <v>214</v>
      </c>
      <c r="AB33" s="36"/>
      <c r="AC33" s="35">
        <v>280</v>
      </c>
      <c r="AD33" s="35">
        <v>280</v>
      </c>
      <c r="AE33" s="35" t="s">
        <v>270</v>
      </c>
      <c r="AF33" s="35" t="s">
        <v>383</v>
      </c>
      <c r="AG33" s="35"/>
      <c r="AH33" s="35" t="s">
        <v>234</v>
      </c>
      <c r="AI33" s="35" t="s">
        <v>385</v>
      </c>
      <c r="AJ33" s="35" t="s">
        <v>270</v>
      </c>
      <c r="AK33" s="35" t="s">
        <v>234</v>
      </c>
      <c r="AL33" s="35" t="s">
        <v>90</v>
      </c>
      <c r="AM33" s="35" t="s">
        <v>386</v>
      </c>
    </row>
    <row r="34" spans="1:39" s="20" customFormat="1" ht="15.95" customHeight="1" x14ac:dyDescent="0.2">
      <c r="A34" s="18"/>
      <c r="B34" s="19">
        <v>194</v>
      </c>
      <c r="D34" s="36">
        <v>20727</v>
      </c>
      <c r="E34" s="36">
        <v>1999</v>
      </c>
      <c r="F34" s="36" t="s">
        <v>1224</v>
      </c>
      <c r="G34" s="35" t="s">
        <v>382</v>
      </c>
      <c r="H34" s="35"/>
      <c r="I34" s="35" t="s">
        <v>41</v>
      </c>
      <c r="J34" s="35" t="s">
        <v>89</v>
      </c>
      <c r="K34" s="35" t="s">
        <v>161</v>
      </c>
      <c r="L34" s="35" t="s">
        <v>82</v>
      </c>
      <c r="M34" s="35" t="s">
        <v>82</v>
      </c>
      <c r="N34" s="35" t="s">
        <v>66</v>
      </c>
      <c r="O34" s="35" t="s">
        <v>387</v>
      </c>
      <c r="P34" s="35" t="s">
        <v>51</v>
      </c>
      <c r="Q34" s="35"/>
      <c r="R34" s="35" t="s">
        <v>237</v>
      </c>
      <c r="S34" s="35" t="s">
        <v>79</v>
      </c>
      <c r="T34" s="35" t="s">
        <v>56</v>
      </c>
      <c r="U34" s="36">
        <v>24</v>
      </c>
      <c r="V34" s="36" t="s">
        <v>231</v>
      </c>
      <c r="W34" s="35" t="s">
        <v>46</v>
      </c>
      <c r="X34" s="29"/>
      <c r="Y34" s="36">
        <v>2400</v>
      </c>
      <c r="Z34" s="24">
        <f t="shared" si="1"/>
        <v>260.03071429347307</v>
      </c>
      <c r="AA34" s="19" t="s">
        <v>214</v>
      </c>
      <c r="AB34" s="36"/>
      <c r="AC34" s="35">
        <v>280</v>
      </c>
      <c r="AD34" s="35">
        <v>280</v>
      </c>
      <c r="AE34" s="35" t="s">
        <v>270</v>
      </c>
      <c r="AF34" s="35" t="s">
        <v>383</v>
      </c>
      <c r="AG34" s="35"/>
      <c r="AH34" s="35" t="s">
        <v>234</v>
      </c>
      <c r="AI34" s="35" t="s">
        <v>385</v>
      </c>
      <c r="AJ34" s="35" t="s">
        <v>270</v>
      </c>
      <c r="AK34" s="35" t="s">
        <v>234</v>
      </c>
      <c r="AL34" s="35" t="s">
        <v>90</v>
      </c>
      <c r="AM34" s="35" t="s">
        <v>386</v>
      </c>
    </row>
    <row r="35" spans="1:39" s="20" customFormat="1" ht="15.95" customHeight="1" x14ac:dyDescent="0.2">
      <c r="A35" s="18"/>
      <c r="B35" s="19">
        <v>194</v>
      </c>
      <c r="D35" s="36">
        <v>20727</v>
      </c>
      <c r="E35" s="36">
        <v>1999</v>
      </c>
      <c r="F35" s="36" t="s">
        <v>1224</v>
      </c>
      <c r="G35" s="35" t="s">
        <v>382</v>
      </c>
      <c r="H35" s="35"/>
      <c r="I35" s="35" t="s">
        <v>41</v>
      </c>
      <c r="J35" s="35" t="s">
        <v>89</v>
      </c>
      <c r="K35" s="35" t="s">
        <v>161</v>
      </c>
      <c r="L35" s="35" t="s">
        <v>82</v>
      </c>
      <c r="M35" s="35" t="s">
        <v>82</v>
      </c>
      <c r="N35" s="35" t="s">
        <v>66</v>
      </c>
      <c r="O35" s="35" t="s">
        <v>387</v>
      </c>
      <c r="P35" s="35" t="s">
        <v>51</v>
      </c>
      <c r="Q35" s="35"/>
      <c r="R35" s="35" t="s">
        <v>237</v>
      </c>
      <c r="S35" s="35" t="s">
        <v>79</v>
      </c>
      <c r="T35" s="35" t="s">
        <v>56</v>
      </c>
      <c r="U35" s="36">
        <v>24</v>
      </c>
      <c r="V35" s="36" t="s">
        <v>231</v>
      </c>
      <c r="W35" s="35" t="s">
        <v>46</v>
      </c>
      <c r="X35" s="29"/>
      <c r="Y35" s="36">
        <v>2700</v>
      </c>
      <c r="Z35" s="24">
        <f t="shared" si="1"/>
        <v>292.53455358015725</v>
      </c>
      <c r="AA35" s="19" t="s">
        <v>214</v>
      </c>
      <c r="AB35" s="36"/>
      <c r="AC35" s="35">
        <v>280</v>
      </c>
      <c r="AD35" s="35">
        <v>280</v>
      </c>
      <c r="AE35" s="35" t="s">
        <v>270</v>
      </c>
      <c r="AF35" s="35" t="s">
        <v>383</v>
      </c>
      <c r="AG35" s="35"/>
      <c r="AH35" s="35" t="s">
        <v>234</v>
      </c>
      <c r="AI35" s="35" t="s">
        <v>385</v>
      </c>
      <c r="AJ35" s="35" t="s">
        <v>270</v>
      </c>
      <c r="AK35" s="35" t="s">
        <v>234</v>
      </c>
      <c r="AL35" s="35" t="s">
        <v>90</v>
      </c>
      <c r="AM35" s="35" t="s">
        <v>386</v>
      </c>
    </row>
    <row r="36" spans="1:39" s="20" customFormat="1" ht="15.95" customHeight="1" x14ac:dyDescent="0.2">
      <c r="A36" s="18"/>
      <c r="B36" s="19">
        <v>194</v>
      </c>
      <c r="D36" s="36">
        <v>20727</v>
      </c>
      <c r="E36" s="36">
        <v>1999</v>
      </c>
      <c r="F36" s="36" t="s">
        <v>1224</v>
      </c>
      <c r="G36" s="35" t="s">
        <v>382</v>
      </c>
      <c r="H36" s="35"/>
      <c r="I36" s="35" t="s">
        <v>41</v>
      </c>
      <c r="J36" s="35" t="s">
        <v>89</v>
      </c>
      <c r="K36" s="35" t="s">
        <v>161</v>
      </c>
      <c r="L36" s="35" t="s">
        <v>82</v>
      </c>
      <c r="M36" s="35" t="s">
        <v>82</v>
      </c>
      <c r="N36" s="35" t="s">
        <v>66</v>
      </c>
      <c r="O36" s="35" t="s">
        <v>387</v>
      </c>
      <c r="P36" s="35" t="s">
        <v>51</v>
      </c>
      <c r="Q36" s="35"/>
      <c r="R36" s="35" t="s">
        <v>237</v>
      </c>
      <c r="S36" s="35" t="s">
        <v>79</v>
      </c>
      <c r="T36" s="35" t="s">
        <v>56</v>
      </c>
      <c r="U36" s="36">
        <v>24</v>
      </c>
      <c r="V36" s="36" t="s">
        <v>231</v>
      </c>
      <c r="W36" s="35" t="s">
        <v>46</v>
      </c>
      <c r="X36" s="29"/>
      <c r="Y36" s="36">
        <v>2900</v>
      </c>
      <c r="Z36" s="24">
        <f t="shared" si="1"/>
        <v>314.20377977127998</v>
      </c>
      <c r="AA36" s="19" t="s">
        <v>214</v>
      </c>
      <c r="AB36" s="36"/>
      <c r="AC36" s="35">
        <v>280</v>
      </c>
      <c r="AD36" s="35">
        <v>280</v>
      </c>
      <c r="AE36" s="35" t="s">
        <v>270</v>
      </c>
      <c r="AF36" s="35" t="s">
        <v>383</v>
      </c>
      <c r="AG36" s="35"/>
      <c r="AH36" s="35" t="s">
        <v>234</v>
      </c>
      <c r="AI36" s="35" t="s">
        <v>385</v>
      </c>
      <c r="AJ36" s="35" t="s">
        <v>270</v>
      </c>
      <c r="AK36" s="35" t="s">
        <v>234</v>
      </c>
      <c r="AL36" s="35" t="s">
        <v>90</v>
      </c>
      <c r="AM36" s="35" t="s">
        <v>386</v>
      </c>
    </row>
    <row r="37" spans="1:39" s="20" customFormat="1" ht="15.95" customHeight="1" x14ac:dyDescent="0.2">
      <c r="A37" s="18"/>
      <c r="B37" s="19">
        <v>194</v>
      </c>
      <c r="D37" s="36">
        <v>20727</v>
      </c>
      <c r="E37" s="36">
        <v>1999</v>
      </c>
      <c r="F37" s="36" t="s">
        <v>1224</v>
      </c>
      <c r="G37" s="35" t="s">
        <v>382</v>
      </c>
      <c r="H37" s="35"/>
      <c r="I37" s="35" t="s">
        <v>41</v>
      </c>
      <c r="J37" s="35" t="s">
        <v>89</v>
      </c>
      <c r="K37" s="35" t="s">
        <v>161</v>
      </c>
      <c r="L37" s="35" t="s">
        <v>82</v>
      </c>
      <c r="M37" s="35" t="s">
        <v>82</v>
      </c>
      <c r="N37" s="35" t="s">
        <v>66</v>
      </c>
      <c r="O37" s="35" t="s">
        <v>387</v>
      </c>
      <c r="P37" s="35" t="s">
        <v>51</v>
      </c>
      <c r="Q37" s="35"/>
      <c r="R37" s="35" t="s">
        <v>237</v>
      </c>
      <c r="S37" s="35" t="s">
        <v>79</v>
      </c>
      <c r="T37" s="35" t="s">
        <v>56</v>
      </c>
      <c r="U37" s="36">
        <v>24</v>
      </c>
      <c r="V37" s="36" t="s">
        <v>231</v>
      </c>
      <c r="W37" s="35" t="s">
        <v>46</v>
      </c>
      <c r="X37" s="29"/>
      <c r="Y37" s="36">
        <v>5300</v>
      </c>
      <c r="Z37" s="24">
        <f t="shared" si="1"/>
        <v>574.23449406475311</v>
      </c>
      <c r="AA37" s="19" t="s">
        <v>214</v>
      </c>
      <c r="AB37" s="36"/>
      <c r="AC37" s="35">
        <v>280</v>
      </c>
      <c r="AD37" s="35">
        <v>280</v>
      </c>
      <c r="AE37" s="35" t="s">
        <v>270</v>
      </c>
      <c r="AF37" s="35" t="s">
        <v>383</v>
      </c>
      <c r="AG37" s="35"/>
      <c r="AH37" s="35" t="s">
        <v>234</v>
      </c>
      <c r="AI37" s="35" t="s">
        <v>385</v>
      </c>
      <c r="AJ37" s="35" t="s">
        <v>270</v>
      </c>
      <c r="AK37" s="35" t="s">
        <v>234</v>
      </c>
      <c r="AL37" s="35" t="s">
        <v>90</v>
      </c>
      <c r="AM37" s="35" t="s">
        <v>386</v>
      </c>
    </row>
    <row r="38" spans="1:39" s="20" customFormat="1" ht="15.95" customHeight="1" x14ac:dyDescent="0.2">
      <c r="A38" s="18"/>
      <c r="B38" s="19">
        <v>194</v>
      </c>
      <c r="D38" s="36">
        <v>20727</v>
      </c>
      <c r="E38" s="36">
        <v>1999</v>
      </c>
      <c r="F38" s="36" t="s">
        <v>1224</v>
      </c>
      <c r="G38" s="35" t="s">
        <v>382</v>
      </c>
      <c r="H38" s="35"/>
      <c r="I38" s="35" t="s">
        <v>41</v>
      </c>
      <c r="J38" s="35" t="s">
        <v>89</v>
      </c>
      <c r="K38" s="35" t="s">
        <v>161</v>
      </c>
      <c r="L38" s="35" t="s">
        <v>82</v>
      </c>
      <c r="M38" s="35" t="s">
        <v>82</v>
      </c>
      <c r="N38" s="35" t="s">
        <v>66</v>
      </c>
      <c r="O38" s="35" t="s">
        <v>387</v>
      </c>
      <c r="P38" s="35" t="s">
        <v>51</v>
      </c>
      <c r="Q38" s="35"/>
      <c r="R38" s="35" t="s">
        <v>237</v>
      </c>
      <c r="S38" s="35" t="s">
        <v>79</v>
      </c>
      <c r="T38" s="35" t="s">
        <v>56</v>
      </c>
      <c r="U38" s="36">
        <v>24</v>
      </c>
      <c r="V38" s="36" t="s">
        <v>231</v>
      </c>
      <c r="W38" s="35" t="s">
        <v>46</v>
      </c>
      <c r="X38" s="29"/>
      <c r="Y38" s="36">
        <v>4100</v>
      </c>
      <c r="Z38" s="24">
        <f t="shared" si="1"/>
        <v>444.21913691801655</v>
      </c>
      <c r="AA38" s="19" t="s">
        <v>214</v>
      </c>
      <c r="AB38" s="36"/>
      <c r="AC38" s="35">
        <v>280</v>
      </c>
      <c r="AD38" s="35">
        <v>280</v>
      </c>
      <c r="AE38" s="35" t="s">
        <v>270</v>
      </c>
      <c r="AF38" s="35" t="s">
        <v>383</v>
      </c>
      <c r="AG38" s="35"/>
      <c r="AH38" s="35" t="s">
        <v>234</v>
      </c>
      <c r="AI38" s="35" t="s">
        <v>385</v>
      </c>
      <c r="AJ38" s="35" t="s">
        <v>270</v>
      </c>
      <c r="AK38" s="35" t="s">
        <v>234</v>
      </c>
      <c r="AL38" s="35" t="s">
        <v>90</v>
      </c>
      <c r="AM38" s="35" t="s">
        <v>386</v>
      </c>
    </row>
    <row r="39" spans="1:39" s="20" customFormat="1" ht="15.95" customHeight="1" x14ac:dyDescent="0.2">
      <c r="A39" s="18"/>
      <c r="B39" s="19">
        <v>194</v>
      </c>
      <c r="D39" s="36">
        <v>20727</v>
      </c>
      <c r="E39" s="36">
        <v>1999</v>
      </c>
      <c r="F39" s="36" t="s">
        <v>1224</v>
      </c>
      <c r="G39" s="35" t="s">
        <v>382</v>
      </c>
      <c r="H39" s="35"/>
      <c r="I39" s="35" t="s">
        <v>41</v>
      </c>
      <c r="J39" s="35" t="s">
        <v>89</v>
      </c>
      <c r="K39" s="35" t="s">
        <v>161</v>
      </c>
      <c r="L39" s="35" t="s">
        <v>82</v>
      </c>
      <c r="M39" s="35" t="s">
        <v>82</v>
      </c>
      <c r="N39" s="35" t="s">
        <v>66</v>
      </c>
      <c r="O39" s="35" t="s">
        <v>387</v>
      </c>
      <c r="P39" s="35" t="s">
        <v>51</v>
      </c>
      <c r="Q39" s="35"/>
      <c r="R39" s="35" t="s">
        <v>237</v>
      </c>
      <c r="S39" s="35" t="s">
        <v>79</v>
      </c>
      <c r="T39" s="35" t="s">
        <v>56</v>
      </c>
      <c r="U39" s="36">
        <v>24</v>
      </c>
      <c r="V39" s="36" t="s">
        <v>231</v>
      </c>
      <c r="W39" s="35" t="s">
        <v>46</v>
      </c>
      <c r="X39" s="29"/>
      <c r="Y39" s="36">
        <v>4600</v>
      </c>
      <c r="Z39" s="24">
        <f t="shared" si="1"/>
        <v>498.3922023958234</v>
      </c>
      <c r="AA39" s="19" t="s">
        <v>214</v>
      </c>
      <c r="AB39" s="36"/>
      <c r="AC39" s="35">
        <v>280</v>
      </c>
      <c r="AD39" s="35">
        <v>280</v>
      </c>
      <c r="AE39" s="35" t="s">
        <v>270</v>
      </c>
      <c r="AF39" s="35" t="s">
        <v>383</v>
      </c>
      <c r="AG39" s="35"/>
      <c r="AH39" s="35" t="s">
        <v>234</v>
      </c>
      <c r="AI39" s="35" t="s">
        <v>385</v>
      </c>
      <c r="AJ39" s="35" t="s">
        <v>270</v>
      </c>
      <c r="AK39" s="35" t="s">
        <v>234</v>
      </c>
      <c r="AL39" s="35" t="s">
        <v>90</v>
      </c>
      <c r="AM39" s="35" t="s">
        <v>386</v>
      </c>
    </row>
    <row r="40" spans="1:39" s="20" customFormat="1" ht="15.95" customHeight="1" x14ac:dyDescent="0.2">
      <c r="A40" s="18"/>
      <c r="B40" s="19">
        <v>194</v>
      </c>
      <c r="D40" s="36">
        <v>20727</v>
      </c>
      <c r="E40" s="36">
        <v>1999</v>
      </c>
      <c r="F40" s="36" t="s">
        <v>1224</v>
      </c>
      <c r="G40" s="35" t="s">
        <v>382</v>
      </c>
      <c r="H40" s="35"/>
      <c r="I40" s="35" t="s">
        <v>41</v>
      </c>
      <c r="J40" s="35" t="s">
        <v>89</v>
      </c>
      <c r="K40" s="35" t="s">
        <v>161</v>
      </c>
      <c r="L40" s="35" t="s">
        <v>82</v>
      </c>
      <c r="M40" s="35" t="s">
        <v>82</v>
      </c>
      <c r="N40" s="35" t="s">
        <v>66</v>
      </c>
      <c r="O40" s="35" t="s">
        <v>387</v>
      </c>
      <c r="P40" s="35" t="s">
        <v>51</v>
      </c>
      <c r="Q40" s="35"/>
      <c r="R40" s="35" t="s">
        <v>237</v>
      </c>
      <c r="S40" s="35" t="s">
        <v>79</v>
      </c>
      <c r="T40" s="35" t="s">
        <v>56</v>
      </c>
      <c r="U40" s="36">
        <v>24</v>
      </c>
      <c r="V40" s="36" t="s">
        <v>231</v>
      </c>
      <c r="W40" s="35" t="s">
        <v>46</v>
      </c>
      <c r="X40" s="29"/>
      <c r="Y40" s="36">
        <v>1900</v>
      </c>
      <c r="Z40" s="24">
        <f t="shared" si="1"/>
        <v>205.85764881566621</v>
      </c>
      <c r="AA40" s="19" t="s">
        <v>214</v>
      </c>
      <c r="AB40" s="36"/>
      <c r="AC40" s="35">
        <v>280</v>
      </c>
      <c r="AD40" s="35">
        <v>280</v>
      </c>
      <c r="AE40" s="35" t="s">
        <v>270</v>
      </c>
      <c r="AF40" s="35" t="s">
        <v>383</v>
      </c>
      <c r="AG40" s="35"/>
      <c r="AH40" s="35" t="s">
        <v>234</v>
      </c>
      <c r="AI40" s="35" t="s">
        <v>385</v>
      </c>
      <c r="AJ40" s="35" t="s">
        <v>270</v>
      </c>
      <c r="AK40" s="35" t="s">
        <v>234</v>
      </c>
      <c r="AL40" s="35" t="s">
        <v>90</v>
      </c>
      <c r="AM40" s="35" t="s">
        <v>386</v>
      </c>
    </row>
    <row r="41" spans="1:39" s="20" customFormat="1" ht="15.95" customHeight="1" x14ac:dyDescent="0.2">
      <c r="A41" s="18"/>
      <c r="B41" s="19">
        <v>194</v>
      </c>
      <c r="D41" s="36">
        <v>20727</v>
      </c>
      <c r="E41" s="36">
        <v>1999</v>
      </c>
      <c r="F41" s="36" t="s">
        <v>1224</v>
      </c>
      <c r="G41" s="35" t="s">
        <v>382</v>
      </c>
      <c r="H41" s="35"/>
      <c r="I41" s="35" t="s">
        <v>41</v>
      </c>
      <c r="J41" s="35" t="s">
        <v>89</v>
      </c>
      <c r="K41" s="35" t="s">
        <v>161</v>
      </c>
      <c r="L41" s="35" t="s">
        <v>82</v>
      </c>
      <c r="M41" s="35" t="s">
        <v>82</v>
      </c>
      <c r="N41" s="35" t="s">
        <v>66</v>
      </c>
      <c r="O41" s="35" t="s">
        <v>387</v>
      </c>
      <c r="P41" s="35" t="s">
        <v>51</v>
      </c>
      <c r="Q41" s="35"/>
      <c r="R41" s="35" t="s">
        <v>237</v>
      </c>
      <c r="S41" s="35" t="s">
        <v>79</v>
      </c>
      <c r="T41" s="35" t="s">
        <v>56</v>
      </c>
      <c r="U41" s="36">
        <v>24</v>
      </c>
      <c r="V41" s="36" t="s">
        <v>231</v>
      </c>
      <c r="W41" s="35" t="s">
        <v>46</v>
      </c>
      <c r="X41" s="29"/>
      <c r="Y41" s="36">
        <v>5300</v>
      </c>
      <c r="Z41" s="24">
        <f t="shared" si="1"/>
        <v>574.23449406475311</v>
      </c>
      <c r="AA41" s="19" t="s">
        <v>214</v>
      </c>
      <c r="AB41" s="36"/>
      <c r="AC41" s="35">
        <v>280</v>
      </c>
      <c r="AD41" s="35">
        <v>280</v>
      </c>
      <c r="AE41" s="35" t="s">
        <v>270</v>
      </c>
      <c r="AF41" s="35" t="s">
        <v>383</v>
      </c>
      <c r="AG41" s="35"/>
      <c r="AH41" s="35" t="s">
        <v>234</v>
      </c>
      <c r="AI41" s="35" t="s">
        <v>385</v>
      </c>
      <c r="AJ41" s="35" t="s">
        <v>270</v>
      </c>
      <c r="AK41" s="35" t="s">
        <v>234</v>
      </c>
      <c r="AL41" s="35" t="s">
        <v>90</v>
      </c>
      <c r="AM41" s="35" t="s">
        <v>386</v>
      </c>
    </row>
    <row r="42" spans="1:39" s="20" customFormat="1" ht="15.95" customHeight="1" x14ac:dyDescent="0.2">
      <c r="A42" s="18"/>
      <c r="B42" s="19">
        <v>194</v>
      </c>
      <c r="D42" s="36">
        <v>20727</v>
      </c>
      <c r="E42" s="36">
        <v>1999</v>
      </c>
      <c r="F42" s="36" t="s">
        <v>1224</v>
      </c>
      <c r="G42" s="35" t="s">
        <v>382</v>
      </c>
      <c r="H42" s="35"/>
      <c r="I42" s="35" t="s">
        <v>41</v>
      </c>
      <c r="J42" s="35" t="s">
        <v>89</v>
      </c>
      <c r="K42" s="35" t="s">
        <v>161</v>
      </c>
      <c r="L42" s="35" t="s">
        <v>82</v>
      </c>
      <c r="M42" s="35" t="s">
        <v>82</v>
      </c>
      <c r="N42" s="35" t="s">
        <v>66</v>
      </c>
      <c r="O42" s="35" t="s">
        <v>387</v>
      </c>
      <c r="P42" s="35" t="s">
        <v>51</v>
      </c>
      <c r="Q42" s="35"/>
      <c r="R42" s="35" t="s">
        <v>237</v>
      </c>
      <c r="S42" s="35" t="s">
        <v>79</v>
      </c>
      <c r="T42" s="35" t="s">
        <v>56</v>
      </c>
      <c r="U42" s="36">
        <v>24</v>
      </c>
      <c r="V42" s="36" t="s">
        <v>231</v>
      </c>
      <c r="W42" s="35" t="s">
        <v>46</v>
      </c>
      <c r="X42" s="29"/>
      <c r="Y42" s="36">
        <v>2100</v>
      </c>
      <c r="Z42" s="24">
        <f t="shared" si="1"/>
        <v>227.52687500678897</v>
      </c>
      <c r="AA42" s="19" t="s">
        <v>214</v>
      </c>
      <c r="AB42" s="36"/>
      <c r="AC42" s="35">
        <v>280</v>
      </c>
      <c r="AD42" s="35">
        <v>280</v>
      </c>
      <c r="AE42" s="35" t="s">
        <v>270</v>
      </c>
      <c r="AF42" s="35" t="s">
        <v>383</v>
      </c>
      <c r="AG42" s="35"/>
      <c r="AH42" s="35" t="s">
        <v>234</v>
      </c>
      <c r="AI42" s="35" t="s">
        <v>385</v>
      </c>
      <c r="AJ42" s="35" t="s">
        <v>270</v>
      </c>
      <c r="AK42" s="35" t="s">
        <v>234</v>
      </c>
      <c r="AL42" s="35" t="s">
        <v>90</v>
      </c>
      <c r="AM42" s="35" t="s">
        <v>386</v>
      </c>
    </row>
    <row r="43" spans="1:39" s="20" customFormat="1" ht="15.95" customHeight="1" x14ac:dyDescent="0.2">
      <c r="A43" s="18"/>
      <c r="B43" s="19">
        <v>194</v>
      </c>
      <c r="D43" s="36">
        <v>20727</v>
      </c>
      <c r="E43" s="36">
        <v>1999</v>
      </c>
      <c r="F43" s="36" t="s">
        <v>1224</v>
      </c>
      <c r="G43" s="35" t="s">
        <v>382</v>
      </c>
      <c r="H43" s="35"/>
      <c r="I43" s="35" t="s">
        <v>41</v>
      </c>
      <c r="J43" s="35" t="s">
        <v>89</v>
      </c>
      <c r="K43" s="35" t="s">
        <v>161</v>
      </c>
      <c r="L43" s="35" t="s">
        <v>82</v>
      </c>
      <c r="M43" s="35" t="s">
        <v>82</v>
      </c>
      <c r="N43" s="35" t="s">
        <v>66</v>
      </c>
      <c r="O43" s="35" t="s">
        <v>387</v>
      </c>
      <c r="P43" s="35" t="s">
        <v>51</v>
      </c>
      <c r="Q43" s="35"/>
      <c r="R43" s="35" t="s">
        <v>237</v>
      </c>
      <c r="S43" s="35" t="s">
        <v>79</v>
      </c>
      <c r="T43" s="35" t="s">
        <v>56</v>
      </c>
      <c r="U43" s="36">
        <v>24</v>
      </c>
      <c r="V43" s="36" t="s">
        <v>231</v>
      </c>
      <c r="W43" s="35" t="s">
        <v>46</v>
      </c>
      <c r="X43" s="29"/>
      <c r="Y43" s="36">
        <v>1800</v>
      </c>
      <c r="Z43" s="24">
        <f t="shared" si="1"/>
        <v>195.02303572010482</v>
      </c>
      <c r="AA43" s="19" t="s">
        <v>214</v>
      </c>
      <c r="AB43" s="36"/>
      <c r="AC43" s="35">
        <v>280</v>
      </c>
      <c r="AD43" s="35">
        <v>280</v>
      </c>
      <c r="AE43" s="35" t="s">
        <v>270</v>
      </c>
      <c r="AF43" s="35" t="s">
        <v>383</v>
      </c>
      <c r="AG43" s="35"/>
      <c r="AH43" s="35" t="s">
        <v>234</v>
      </c>
      <c r="AI43" s="35" t="s">
        <v>385</v>
      </c>
      <c r="AJ43" s="35" t="s">
        <v>270</v>
      </c>
      <c r="AK43" s="35" t="s">
        <v>234</v>
      </c>
      <c r="AL43" s="35" t="s">
        <v>90</v>
      </c>
      <c r="AM43" s="35" t="s">
        <v>386</v>
      </c>
    </row>
    <row r="44" spans="1:39" s="20" customFormat="1" ht="15.95" customHeight="1" x14ac:dyDescent="0.2">
      <c r="A44" s="18"/>
      <c r="B44" s="19">
        <v>194</v>
      </c>
      <c r="D44" s="36">
        <v>20727</v>
      </c>
      <c r="E44" s="36">
        <v>1999</v>
      </c>
      <c r="F44" s="36" t="s">
        <v>1224</v>
      </c>
      <c r="G44" s="35" t="s">
        <v>382</v>
      </c>
      <c r="H44" s="35"/>
      <c r="I44" s="35" t="s">
        <v>41</v>
      </c>
      <c r="J44" s="35" t="s">
        <v>89</v>
      </c>
      <c r="K44" s="35" t="s">
        <v>161</v>
      </c>
      <c r="L44" s="35" t="s">
        <v>82</v>
      </c>
      <c r="M44" s="35" t="s">
        <v>82</v>
      </c>
      <c r="N44" s="35" t="s">
        <v>66</v>
      </c>
      <c r="O44" s="35" t="s">
        <v>387</v>
      </c>
      <c r="P44" s="35" t="s">
        <v>51</v>
      </c>
      <c r="Q44" s="35"/>
      <c r="R44" s="35" t="s">
        <v>237</v>
      </c>
      <c r="S44" s="35" t="s">
        <v>79</v>
      </c>
      <c r="T44" s="35" t="s">
        <v>56</v>
      </c>
      <c r="U44" s="36">
        <v>24</v>
      </c>
      <c r="V44" s="36" t="s">
        <v>231</v>
      </c>
      <c r="W44" s="35" t="s">
        <v>46</v>
      </c>
      <c r="X44" s="29"/>
      <c r="Y44" s="36">
        <v>4100</v>
      </c>
      <c r="Z44" s="24">
        <f t="shared" si="1"/>
        <v>444.21913691801655</v>
      </c>
      <c r="AA44" s="19" t="s">
        <v>214</v>
      </c>
      <c r="AB44" s="36"/>
      <c r="AC44" s="35">
        <v>280</v>
      </c>
      <c r="AD44" s="35">
        <v>280</v>
      </c>
      <c r="AE44" s="35" t="s">
        <v>270</v>
      </c>
      <c r="AF44" s="35" t="s">
        <v>383</v>
      </c>
      <c r="AG44" s="35"/>
      <c r="AH44" s="35" t="s">
        <v>234</v>
      </c>
      <c r="AI44" s="35" t="s">
        <v>385</v>
      </c>
      <c r="AJ44" s="35" t="s">
        <v>270</v>
      </c>
      <c r="AK44" s="35" t="s">
        <v>234</v>
      </c>
      <c r="AL44" s="35" t="s">
        <v>90</v>
      </c>
      <c r="AM44" s="35" t="s">
        <v>386</v>
      </c>
    </row>
    <row r="45" spans="1:39" s="20" customFormat="1" ht="15.95" customHeight="1" x14ac:dyDescent="0.2">
      <c r="A45" s="18"/>
      <c r="B45" s="19">
        <v>194</v>
      </c>
      <c r="D45" s="36">
        <v>20727</v>
      </c>
      <c r="E45" s="36">
        <v>1999</v>
      </c>
      <c r="F45" s="36" t="s">
        <v>1224</v>
      </c>
      <c r="G45" s="35" t="s">
        <v>382</v>
      </c>
      <c r="H45" s="35"/>
      <c r="I45" s="35" t="s">
        <v>41</v>
      </c>
      <c r="J45" s="35" t="s">
        <v>89</v>
      </c>
      <c r="K45" s="35" t="s">
        <v>161</v>
      </c>
      <c r="L45" s="35" t="s">
        <v>82</v>
      </c>
      <c r="M45" s="35" t="s">
        <v>82</v>
      </c>
      <c r="N45" s="35" t="s">
        <v>66</v>
      </c>
      <c r="O45" s="35" t="s">
        <v>387</v>
      </c>
      <c r="P45" s="35" t="s">
        <v>51</v>
      </c>
      <c r="Q45" s="35"/>
      <c r="R45" s="35" t="s">
        <v>237</v>
      </c>
      <c r="S45" s="35" t="s">
        <v>79</v>
      </c>
      <c r="T45" s="35" t="s">
        <v>56</v>
      </c>
      <c r="U45" s="36">
        <v>24</v>
      </c>
      <c r="V45" s="36" t="s">
        <v>231</v>
      </c>
      <c r="W45" s="35" t="s">
        <v>46</v>
      </c>
      <c r="X45" s="29"/>
      <c r="Y45" s="36">
        <v>2700</v>
      </c>
      <c r="Z45" s="24">
        <f t="shared" si="1"/>
        <v>292.53455358015725</v>
      </c>
      <c r="AA45" s="19" t="s">
        <v>214</v>
      </c>
      <c r="AB45" s="36"/>
      <c r="AC45" s="35">
        <v>280</v>
      </c>
      <c r="AD45" s="35">
        <v>280</v>
      </c>
      <c r="AE45" s="35" t="s">
        <v>270</v>
      </c>
      <c r="AF45" s="35" t="s">
        <v>383</v>
      </c>
      <c r="AG45" s="35"/>
      <c r="AH45" s="35" t="s">
        <v>234</v>
      </c>
      <c r="AI45" s="35" t="s">
        <v>385</v>
      </c>
      <c r="AJ45" s="35" t="s">
        <v>270</v>
      </c>
      <c r="AK45" s="35" t="s">
        <v>234</v>
      </c>
      <c r="AL45" s="35" t="s">
        <v>90</v>
      </c>
      <c r="AM45" s="35" t="s">
        <v>386</v>
      </c>
    </row>
    <row r="46" spans="1:39" s="20" customFormat="1" ht="15.95" customHeight="1" x14ac:dyDescent="0.2">
      <c r="A46" s="18"/>
      <c r="B46" s="19">
        <v>194</v>
      </c>
      <c r="D46" s="36">
        <v>20727</v>
      </c>
      <c r="E46" s="36">
        <v>1999</v>
      </c>
      <c r="F46" s="36" t="s">
        <v>1224</v>
      </c>
      <c r="G46" s="35" t="s">
        <v>382</v>
      </c>
      <c r="H46" s="35"/>
      <c r="I46" s="35" t="s">
        <v>41</v>
      </c>
      <c r="J46" s="35" t="s">
        <v>89</v>
      </c>
      <c r="K46" s="35" t="s">
        <v>161</v>
      </c>
      <c r="L46" s="35" t="s">
        <v>82</v>
      </c>
      <c r="M46" s="35" t="s">
        <v>82</v>
      </c>
      <c r="N46" s="35" t="s">
        <v>66</v>
      </c>
      <c r="O46" s="35" t="s">
        <v>387</v>
      </c>
      <c r="P46" s="35" t="s">
        <v>51</v>
      </c>
      <c r="Q46" s="35"/>
      <c r="R46" s="35" t="s">
        <v>237</v>
      </c>
      <c r="S46" s="35" t="s">
        <v>79</v>
      </c>
      <c r="T46" s="35" t="s">
        <v>56</v>
      </c>
      <c r="U46" s="36">
        <v>24</v>
      </c>
      <c r="V46" s="36" t="s">
        <v>231</v>
      </c>
      <c r="W46" s="35" t="s">
        <v>46</v>
      </c>
      <c r="X46" s="29"/>
      <c r="Y46" s="36">
        <v>2700</v>
      </c>
      <c r="Z46" s="24">
        <f t="shared" si="1"/>
        <v>292.53455358015725</v>
      </c>
      <c r="AA46" s="19" t="s">
        <v>214</v>
      </c>
      <c r="AB46" s="36"/>
      <c r="AC46" s="35">
        <v>280</v>
      </c>
      <c r="AD46" s="35">
        <v>280</v>
      </c>
      <c r="AE46" s="35" t="s">
        <v>270</v>
      </c>
      <c r="AF46" s="35" t="s">
        <v>383</v>
      </c>
      <c r="AG46" s="35"/>
      <c r="AH46" s="35" t="s">
        <v>234</v>
      </c>
      <c r="AI46" s="35" t="s">
        <v>385</v>
      </c>
      <c r="AJ46" s="35" t="s">
        <v>270</v>
      </c>
      <c r="AK46" s="35" t="s">
        <v>234</v>
      </c>
      <c r="AL46" s="35" t="s">
        <v>90</v>
      </c>
      <c r="AM46" s="35" t="s">
        <v>386</v>
      </c>
    </row>
    <row r="47" spans="1:39" s="20" customFormat="1" ht="15.95" customHeight="1" x14ac:dyDescent="0.2">
      <c r="A47" s="18"/>
      <c r="B47" s="19">
        <v>194</v>
      </c>
      <c r="D47" s="36">
        <v>20727</v>
      </c>
      <c r="E47" s="36">
        <v>1999</v>
      </c>
      <c r="F47" s="36" t="s">
        <v>1224</v>
      </c>
      <c r="G47" s="35" t="s">
        <v>382</v>
      </c>
      <c r="H47" s="35"/>
      <c r="I47" s="35" t="s">
        <v>41</v>
      </c>
      <c r="J47" s="35" t="s">
        <v>89</v>
      </c>
      <c r="K47" s="35" t="s">
        <v>161</v>
      </c>
      <c r="L47" s="35" t="s">
        <v>82</v>
      </c>
      <c r="M47" s="35" t="s">
        <v>82</v>
      </c>
      <c r="N47" s="35" t="s">
        <v>66</v>
      </c>
      <c r="O47" s="35" t="s">
        <v>387</v>
      </c>
      <c r="P47" s="35" t="s">
        <v>51</v>
      </c>
      <c r="Q47" s="35"/>
      <c r="R47" s="35" t="s">
        <v>237</v>
      </c>
      <c r="S47" s="35" t="s">
        <v>79</v>
      </c>
      <c r="T47" s="35" t="s">
        <v>56</v>
      </c>
      <c r="U47" s="36">
        <v>24</v>
      </c>
      <c r="V47" s="36" t="s">
        <v>231</v>
      </c>
      <c r="W47" s="35" t="s">
        <v>46</v>
      </c>
      <c r="X47" s="29"/>
      <c r="Y47" s="36">
        <v>3300</v>
      </c>
      <c r="Z47" s="24">
        <f t="shared" si="1"/>
        <v>357.5422321535255</v>
      </c>
      <c r="AA47" s="19" t="s">
        <v>214</v>
      </c>
      <c r="AB47" s="36"/>
      <c r="AC47" s="35">
        <v>280</v>
      </c>
      <c r="AD47" s="35">
        <v>280</v>
      </c>
      <c r="AE47" s="35" t="s">
        <v>270</v>
      </c>
      <c r="AF47" s="35" t="s">
        <v>383</v>
      </c>
      <c r="AG47" s="35"/>
      <c r="AH47" s="35" t="s">
        <v>234</v>
      </c>
      <c r="AI47" s="35" t="s">
        <v>385</v>
      </c>
      <c r="AJ47" s="35" t="s">
        <v>270</v>
      </c>
      <c r="AK47" s="35" t="s">
        <v>234</v>
      </c>
      <c r="AL47" s="35" t="s">
        <v>90</v>
      </c>
      <c r="AM47" s="35" t="s">
        <v>386</v>
      </c>
    </row>
    <row r="48" spans="1:39" s="20" customFormat="1" ht="15.95" customHeight="1" x14ac:dyDescent="0.2">
      <c r="A48" s="18"/>
      <c r="B48" s="19">
        <v>194</v>
      </c>
      <c r="D48" s="36">
        <v>20727</v>
      </c>
      <c r="E48" s="36">
        <v>1999</v>
      </c>
      <c r="F48" s="36" t="s">
        <v>1224</v>
      </c>
      <c r="G48" s="35" t="s">
        <v>382</v>
      </c>
      <c r="H48" s="35"/>
      <c r="I48" s="35" t="s">
        <v>41</v>
      </c>
      <c r="J48" s="35" t="s">
        <v>89</v>
      </c>
      <c r="K48" s="35" t="s">
        <v>161</v>
      </c>
      <c r="L48" s="35" t="s">
        <v>82</v>
      </c>
      <c r="M48" s="35" t="s">
        <v>82</v>
      </c>
      <c r="N48" s="35" t="s">
        <v>66</v>
      </c>
      <c r="O48" s="35" t="s">
        <v>387</v>
      </c>
      <c r="P48" s="35" t="s">
        <v>51</v>
      </c>
      <c r="Q48" s="35"/>
      <c r="R48" s="35" t="s">
        <v>237</v>
      </c>
      <c r="S48" s="35" t="s">
        <v>79</v>
      </c>
      <c r="T48" s="35" t="s">
        <v>56</v>
      </c>
      <c r="U48" s="36">
        <v>24</v>
      </c>
      <c r="V48" s="36" t="s">
        <v>231</v>
      </c>
      <c r="W48" s="35" t="s">
        <v>46</v>
      </c>
      <c r="X48" s="29"/>
      <c r="Y48" s="36">
        <v>3900</v>
      </c>
      <c r="Z48" s="24">
        <f t="shared" si="1"/>
        <v>422.54991072689376</v>
      </c>
      <c r="AA48" s="19" t="s">
        <v>214</v>
      </c>
      <c r="AB48" s="36"/>
      <c r="AC48" s="35">
        <v>280</v>
      </c>
      <c r="AD48" s="35">
        <v>280</v>
      </c>
      <c r="AE48" s="35" t="s">
        <v>270</v>
      </c>
      <c r="AF48" s="35" t="s">
        <v>383</v>
      </c>
      <c r="AG48" s="35"/>
      <c r="AH48" s="35" t="s">
        <v>234</v>
      </c>
      <c r="AI48" s="35" t="s">
        <v>385</v>
      </c>
      <c r="AJ48" s="35" t="s">
        <v>270</v>
      </c>
      <c r="AK48" s="35" t="s">
        <v>234</v>
      </c>
      <c r="AL48" s="35" t="s">
        <v>90</v>
      </c>
      <c r="AM48" s="35" t="s">
        <v>386</v>
      </c>
    </row>
    <row r="49" spans="1:78" s="20" customFormat="1" ht="15.95" customHeight="1" x14ac:dyDescent="0.2">
      <c r="A49" s="18"/>
      <c r="B49" s="19">
        <v>194</v>
      </c>
      <c r="D49" s="36">
        <v>20727</v>
      </c>
      <c r="E49" s="36">
        <v>1999</v>
      </c>
      <c r="F49" s="36" t="s">
        <v>1224</v>
      </c>
      <c r="G49" s="35" t="s">
        <v>382</v>
      </c>
      <c r="H49" s="35"/>
      <c r="I49" s="35" t="s">
        <v>41</v>
      </c>
      <c r="J49" s="35" t="s">
        <v>89</v>
      </c>
      <c r="K49" s="35" t="s">
        <v>161</v>
      </c>
      <c r="L49" s="35" t="s">
        <v>82</v>
      </c>
      <c r="M49" s="35" t="s">
        <v>82</v>
      </c>
      <c r="N49" s="35" t="s">
        <v>66</v>
      </c>
      <c r="O49" s="35" t="s">
        <v>387</v>
      </c>
      <c r="P49" s="35" t="s">
        <v>51</v>
      </c>
      <c r="Q49" s="35"/>
      <c r="R49" s="35" t="s">
        <v>237</v>
      </c>
      <c r="S49" s="35" t="s">
        <v>79</v>
      </c>
      <c r="T49" s="35" t="s">
        <v>56</v>
      </c>
      <c r="U49" s="36">
        <v>24</v>
      </c>
      <c r="V49" s="36" t="s">
        <v>231</v>
      </c>
      <c r="W49" s="35" t="s">
        <v>46</v>
      </c>
      <c r="X49" s="29"/>
      <c r="Y49" s="36">
        <v>2500</v>
      </c>
      <c r="Z49" s="24">
        <f t="shared" si="1"/>
        <v>270.86532738903446</v>
      </c>
      <c r="AA49" s="19" t="s">
        <v>214</v>
      </c>
      <c r="AB49" s="36"/>
      <c r="AC49" s="35">
        <v>280</v>
      </c>
      <c r="AD49" s="35">
        <v>280</v>
      </c>
      <c r="AE49" s="35" t="s">
        <v>270</v>
      </c>
      <c r="AF49" s="35" t="s">
        <v>383</v>
      </c>
      <c r="AG49" s="35"/>
      <c r="AH49" s="35" t="s">
        <v>234</v>
      </c>
      <c r="AI49" s="35" t="s">
        <v>385</v>
      </c>
      <c r="AJ49" s="35" t="s">
        <v>270</v>
      </c>
      <c r="AK49" s="35" t="s">
        <v>234</v>
      </c>
      <c r="AL49" s="35" t="s">
        <v>90</v>
      </c>
      <c r="AM49" s="35" t="s">
        <v>386</v>
      </c>
    </row>
    <row r="50" spans="1:78" s="20" customFormat="1" ht="15.95" customHeight="1" x14ac:dyDescent="0.2">
      <c r="A50" s="18"/>
      <c r="B50" s="19">
        <v>194</v>
      </c>
      <c r="D50" s="36">
        <v>20727</v>
      </c>
      <c r="E50" s="36">
        <v>1999</v>
      </c>
      <c r="F50" s="36" t="s">
        <v>1224</v>
      </c>
      <c r="G50" s="35" t="s">
        <v>382</v>
      </c>
      <c r="H50" s="35"/>
      <c r="I50" s="35" t="s">
        <v>41</v>
      </c>
      <c r="J50" s="35" t="s">
        <v>89</v>
      </c>
      <c r="K50" s="35" t="s">
        <v>161</v>
      </c>
      <c r="L50" s="35" t="s">
        <v>82</v>
      </c>
      <c r="M50" s="35" t="s">
        <v>82</v>
      </c>
      <c r="N50" s="35" t="s">
        <v>66</v>
      </c>
      <c r="O50" s="35" t="s">
        <v>387</v>
      </c>
      <c r="P50" s="35" t="s">
        <v>51</v>
      </c>
      <c r="Q50" s="35"/>
      <c r="R50" s="35" t="s">
        <v>237</v>
      </c>
      <c r="S50" s="35" t="s">
        <v>79</v>
      </c>
      <c r="T50" s="35" t="s">
        <v>56</v>
      </c>
      <c r="U50" s="36">
        <v>24</v>
      </c>
      <c r="V50" s="36" t="s">
        <v>231</v>
      </c>
      <c r="W50" s="35" t="s">
        <v>46</v>
      </c>
      <c r="X50" s="29"/>
      <c r="Y50" s="36">
        <v>2100</v>
      </c>
      <c r="Z50" s="24">
        <f t="shared" si="1"/>
        <v>227.52687500678897</v>
      </c>
      <c r="AA50" s="19" t="s">
        <v>214</v>
      </c>
      <c r="AB50" s="36"/>
      <c r="AC50" s="35">
        <v>280</v>
      </c>
      <c r="AD50" s="35">
        <v>280</v>
      </c>
      <c r="AE50" s="35" t="s">
        <v>270</v>
      </c>
      <c r="AF50" s="35" t="s">
        <v>383</v>
      </c>
      <c r="AG50" s="35"/>
      <c r="AH50" s="35" t="s">
        <v>234</v>
      </c>
      <c r="AI50" s="35" t="s">
        <v>385</v>
      </c>
      <c r="AJ50" s="35" t="s">
        <v>270</v>
      </c>
      <c r="AK50" s="35" t="s">
        <v>234</v>
      </c>
      <c r="AL50" s="35" t="s">
        <v>90</v>
      </c>
      <c r="AM50" s="35" t="s">
        <v>386</v>
      </c>
    </row>
    <row r="51" spans="1:78" s="53" customFormat="1" ht="15.95" customHeight="1" x14ac:dyDescent="0.25">
      <c r="A51" s="46"/>
      <c r="B51" s="47"/>
      <c r="C51" s="47"/>
      <c r="D51" s="47"/>
      <c r="E51" s="48"/>
      <c r="F51" s="47"/>
      <c r="G51" s="47"/>
      <c r="H51" s="47"/>
      <c r="I51" s="49"/>
      <c r="J51" s="47"/>
      <c r="K51" s="47"/>
      <c r="L51" s="47"/>
      <c r="M51" s="47"/>
      <c r="N51" s="47"/>
      <c r="O51" s="47"/>
      <c r="P51" s="49"/>
      <c r="Q51" s="47"/>
      <c r="R51" s="47"/>
      <c r="S51" s="47"/>
      <c r="T51" s="47"/>
      <c r="U51" s="47"/>
      <c r="V51" s="47"/>
      <c r="W51" s="47"/>
      <c r="X51" s="50"/>
      <c r="Y51" s="47">
        <f>GEOMEAN(Y31:Y50,Y25:Y29)</f>
        <v>2909.8840392184088</v>
      </c>
      <c r="Z51" s="51"/>
      <c r="AA51" s="47"/>
      <c r="AB51" s="47"/>
      <c r="AC51" s="49"/>
      <c r="AD51" s="49"/>
      <c r="AE51" s="47"/>
      <c r="AF51" s="47"/>
      <c r="AG51" s="47"/>
      <c r="AH51" s="47"/>
      <c r="AI51" s="47"/>
      <c r="AJ51" s="47"/>
      <c r="AK51" s="47"/>
      <c r="AL51" s="47"/>
      <c r="AM51" s="47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</row>
    <row r="52" spans="1:78" s="20" customFormat="1" ht="15.95" customHeight="1" x14ac:dyDescent="0.2">
      <c r="A52" s="18"/>
      <c r="B52" s="19">
        <v>194</v>
      </c>
      <c r="D52" s="36">
        <v>20727</v>
      </c>
      <c r="E52" s="36">
        <v>1999</v>
      </c>
      <c r="F52" s="36" t="s">
        <v>1224</v>
      </c>
      <c r="G52" s="35" t="s">
        <v>382</v>
      </c>
      <c r="H52" s="35"/>
      <c r="I52" s="35" t="s">
        <v>41</v>
      </c>
      <c r="J52" s="35" t="s">
        <v>89</v>
      </c>
      <c r="K52" s="35" t="s">
        <v>161</v>
      </c>
      <c r="L52" s="35" t="s">
        <v>82</v>
      </c>
      <c r="M52" s="35" t="s">
        <v>82</v>
      </c>
      <c r="N52" s="35" t="s">
        <v>66</v>
      </c>
      <c r="O52" s="35" t="s">
        <v>387</v>
      </c>
      <c r="P52" s="35" t="s">
        <v>51</v>
      </c>
      <c r="Q52" s="35"/>
      <c r="R52" s="35" t="s">
        <v>237</v>
      </c>
      <c r="S52" s="35" t="s">
        <v>79</v>
      </c>
      <c r="T52" s="35" t="s">
        <v>56</v>
      </c>
      <c r="U52" s="37">
        <f>(24.3333+24.75)/2</f>
        <v>24.541650000000001</v>
      </c>
      <c r="V52" s="36" t="s">
        <v>231</v>
      </c>
      <c r="W52" s="35" t="s">
        <v>46</v>
      </c>
      <c r="X52" s="29"/>
      <c r="Y52" s="36">
        <v>3700</v>
      </c>
      <c r="Z52" s="24">
        <f t="shared" ref="Z52:Z87" si="2">Y52/((AC52/30)^0.995)</f>
        <v>400.88068453577102</v>
      </c>
      <c r="AA52" s="19" t="s">
        <v>214</v>
      </c>
      <c r="AB52" s="36"/>
      <c r="AC52" s="35">
        <v>280</v>
      </c>
      <c r="AD52" s="35">
        <v>280</v>
      </c>
      <c r="AE52" s="35" t="s">
        <v>270</v>
      </c>
      <c r="AF52" s="35" t="s">
        <v>383</v>
      </c>
      <c r="AG52" s="35"/>
      <c r="AH52" s="35" t="s">
        <v>234</v>
      </c>
      <c r="AI52" s="35" t="s">
        <v>385</v>
      </c>
      <c r="AJ52" s="35" t="s">
        <v>270</v>
      </c>
      <c r="AK52" s="35" t="s">
        <v>234</v>
      </c>
      <c r="AL52" s="35" t="s">
        <v>90</v>
      </c>
      <c r="AM52" s="35" t="s">
        <v>386</v>
      </c>
    </row>
    <row r="53" spans="1:78" s="20" customFormat="1" ht="15.95" customHeight="1" x14ac:dyDescent="0.2">
      <c r="A53" s="18"/>
      <c r="B53" s="19">
        <v>194</v>
      </c>
      <c r="D53" s="36">
        <v>20727</v>
      </c>
      <c r="E53" s="36">
        <v>1999</v>
      </c>
      <c r="F53" s="36" t="s">
        <v>1224</v>
      </c>
      <c r="G53" s="35" t="s">
        <v>382</v>
      </c>
      <c r="H53" s="35"/>
      <c r="I53" s="35" t="s">
        <v>41</v>
      </c>
      <c r="J53" s="35" t="s">
        <v>89</v>
      </c>
      <c r="K53" s="35" t="s">
        <v>161</v>
      </c>
      <c r="L53" s="35" t="s">
        <v>82</v>
      </c>
      <c r="M53" s="35" t="s">
        <v>82</v>
      </c>
      <c r="N53" s="35" t="s">
        <v>66</v>
      </c>
      <c r="O53" s="35" t="s">
        <v>387</v>
      </c>
      <c r="P53" s="35" t="s">
        <v>51</v>
      </c>
      <c r="Q53" s="35"/>
      <c r="R53" s="35" t="s">
        <v>237</v>
      </c>
      <c r="S53" s="35" t="s">
        <v>79</v>
      </c>
      <c r="T53" s="35" t="s">
        <v>56</v>
      </c>
      <c r="U53" s="36">
        <v>25</v>
      </c>
      <c r="V53" s="36" t="s">
        <v>231</v>
      </c>
      <c r="W53" s="35" t="s">
        <v>46</v>
      </c>
      <c r="X53" s="29"/>
      <c r="Y53" s="36">
        <v>3700</v>
      </c>
      <c r="Z53" s="24">
        <f t="shared" si="2"/>
        <v>400.88068453577102</v>
      </c>
      <c r="AA53" s="19" t="s">
        <v>214</v>
      </c>
      <c r="AB53" s="36"/>
      <c r="AC53" s="35">
        <v>280</v>
      </c>
      <c r="AD53" s="35">
        <v>280</v>
      </c>
      <c r="AE53" s="35" t="s">
        <v>270</v>
      </c>
      <c r="AF53" s="35" t="s">
        <v>383</v>
      </c>
      <c r="AG53" s="35"/>
      <c r="AH53" s="35" t="s">
        <v>234</v>
      </c>
      <c r="AI53" s="35" t="s">
        <v>385</v>
      </c>
      <c r="AJ53" s="35" t="s">
        <v>270</v>
      </c>
      <c r="AK53" s="35" t="s">
        <v>234</v>
      </c>
      <c r="AL53" s="35" t="s">
        <v>90</v>
      </c>
      <c r="AM53" s="35" t="s">
        <v>386</v>
      </c>
    </row>
    <row r="54" spans="1:78" s="20" customFormat="1" ht="15.95" customHeight="1" x14ac:dyDescent="0.2">
      <c r="A54" s="18"/>
      <c r="B54" s="19">
        <v>194</v>
      </c>
      <c r="D54" s="36">
        <v>20727</v>
      </c>
      <c r="E54" s="36">
        <v>1999</v>
      </c>
      <c r="F54" s="36" t="s">
        <v>1224</v>
      </c>
      <c r="G54" s="35" t="s">
        <v>382</v>
      </c>
      <c r="H54" s="35"/>
      <c r="I54" s="35" t="s">
        <v>41</v>
      </c>
      <c r="J54" s="35" t="s">
        <v>89</v>
      </c>
      <c r="K54" s="35" t="s">
        <v>161</v>
      </c>
      <c r="L54" s="35" t="s">
        <v>82</v>
      </c>
      <c r="M54" s="35" t="s">
        <v>82</v>
      </c>
      <c r="N54" s="35" t="s">
        <v>66</v>
      </c>
      <c r="O54" s="35" t="s">
        <v>387</v>
      </c>
      <c r="P54" s="35" t="s">
        <v>51</v>
      </c>
      <c r="Q54" s="35"/>
      <c r="R54" s="35" t="s">
        <v>237</v>
      </c>
      <c r="S54" s="35" t="s">
        <v>79</v>
      </c>
      <c r="T54" s="35" t="s">
        <v>56</v>
      </c>
      <c r="U54" s="36">
        <v>25</v>
      </c>
      <c r="V54" s="36" t="s">
        <v>231</v>
      </c>
      <c r="W54" s="35" t="s">
        <v>46</v>
      </c>
      <c r="X54" s="29"/>
      <c r="Y54" s="36">
        <v>1300</v>
      </c>
      <c r="Z54" s="24">
        <f t="shared" si="2"/>
        <v>140.84997024229793</v>
      </c>
      <c r="AA54" s="19" t="s">
        <v>214</v>
      </c>
      <c r="AB54" s="36"/>
      <c r="AC54" s="35">
        <v>280</v>
      </c>
      <c r="AD54" s="35">
        <v>280</v>
      </c>
      <c r="AE54" s="35" t="s">
        <v>270</v>
      </c>
      <c r="AF54" s="35" t="s">
        <v>383</v>
      </c>
      <c r="AG54" s="35"/>
      <c r="AH54" s="35" t="s">
        <v>234</v>
      </c>
      <c r="AI54" s="35" t="s">
        <v>385</v>
      </c>
      <c r="AJ54" s="35" t="s">
        <v>270</v>
      </c>
      <c r="AK54" s="35" t="s">
        <v>234</v>
      </c>
      <c r="AL54" s="35" t="s">
        <v>90</v>
      </c>
      <c r="AM54" s="35" t="s">
        <v>386</v>
      </c>
    </row>
    <row r="55" spans="1:78" s="20" customFormat="1" ht="15.95" customHeight="1" x14ac:dyDescent="0.2">
      <c r="A55" s="18"/>
      <c r="B55" s="19">
        <v>194</v>
      </c>
      <c r="D55" s="36">
        <v>20727</v>
      </c>
      <c r="E55" s="36">
        <v>1999</v>
      </c>
      <c r="F55" s="36" t="s">
        <v>1224</v>
      </c>
      <c r="G55" s="35" t="s">
        <v>382</v>
      </c>
      <c r="H55" s="35"/>
      <c r="I55" s="35" t="s">
        <v>41</v>
      </c>
      <c r="J55" s="35" t="s">
        <v>89</v>
      </c>
      <c r="K55" s="35" t="s">
        <v>161</v>
      </c>
      <c r="L55" s="35" t="s">
        <v>82</v>
      </c>
      <c r="M55" s="35" t="s">
        <v>82</v>
      </c>
      <c r="N55" s="35" t="s">
        <v>66</v>
      </c>
      <c r="O55" s="35" t="s">
        <v>387</v>
      </c>
      <c r="P55" s="35" t="s">
        <v>51</v>
      </c>
      <c r="Q55" s="35"/>
      <c r="R55" s="35" t="s">
        <v>237</v>
      </c>
      <c r="S55" s="35" t="s">
        <v>79</v>
      </c>
      <c r="T55" s="35" t="s">
        <v>56</v>
      </c>
      <c r="U55" s="36">
        <v>25</v>
      </c>
      <c r="V55" s="36" t="s">
        <v>231</v>
      </c>
      <c r="W55" s="35" t="s">
        <v>46</v>
      </c>
      <c r="X55" s="29"/>
      <c r="Y55" s="36">
        <v>1700</v>
      </c>
      <c r="Z55" s="24">
        <f t="shared" si="2"/>
        <v>184.18842262454345</v>
      </c>
      <c r="AA55" s="19" t="s">
        <v>214</v>
      </c>
      <c r="AB55" s="36"/>
      <c r="AC55" s="35">
        <v>280</v>
      </c>
      <c r="AD55" s="35">
        <v>280</v>
      </c>
      <c r="AE55" s="35" t="s">
        <v>270</v>
      </c>
      <c r="AF55" s="35" t="s">
        <v>383</v>
      </c>
      <c r="AG55" s="35"/>
      <c r="AH55" s="35" t="s">
        <v>234</v>
      </c>
      <c r="AI55" s="35" t="s">
        <v>385</v>
      </c>
      <c r="AJ55" s="35" t="s">
        <v>270</v>
      </c>
      <c r="AK55" s="35" t="s">
        <v>234</v>
      </c>
      <c r="AL55" s="35" t="s">
        <v>90</v>
      </c>
      <c r="AM55" s="35" t="s">
        <v>386</v>
      </c>
    </row>
    <row r="56" spans="1:78" s="20" customFormat="1" ht="15.95" customHeight="1" x14ac:dyDescent="0.2">
      <c r="A56" s="18"/>
      <c r="B56" s="19">
        <v>194</v>
      </c>
      <c r="D56" s="36">
        <v>20727</v>
      </c>
      <c r="E56" s="36">
        <v>1999</v>
      </c>
      <c r="F56" s="36" t="s">
        <v>1224</v>
      </c>
      <c r="G56" s="35" t="s">
        <v>382</v>
      </c>
      <c r="H56" s="35"/>
      <c r="I56" s="35" t="s">
        <v>41</v>
      </c>
      <c r="J56" s="35" t="s">
        <v>89</v>
      </c>
      <c r="K56" s="35" t="s">
        <v>161</v>
      </c>
      <c r="L56" s="35" t="s">
        <v>82</v>
      </c>
      <c r="M56" s="35" t="s">
        <v>82</v>
      </c>
      <c r="N56" s="35" t="s">
        <v>66</v>
      </c>
      <c r="O56" s="35" t="s">
        <v>387</v>
      </c>
      <c r="P56" s="35" t="s">
        <v>51</v>
      </c>
      <c r="Q56" s="35"/>
      <c r="R56" s="35" t="s">
        <v>237</v>
      </c>
      <c r="S56" s="35" t="s">
        <v>79</v>
      </c>
      <c r="T56" s="35" t="s">
        <v>56</v>
      </c>
      <c r="U56" s="36">
        <v>25</v>
      </c>
      <c r="V56" s="36" t="s">
        <v>231</v>
      </c>
      <c r="W56" s="35" t="s">
        <v>46</v>
      </c>
      <c r="X56" s="29"/>
      <c r="Y56" s="36">
        <v>2500</v>
      </c>
      <c r="Z56" s="24">
        <f t="shared" si="2"/>
        <v>270.86532738903446</v>
      </c>
      <c r="AA56" s="19" t="s">
        <v>214</v>
      </c>
      <c r="AB56" s="36"/>
      <c r="AC56" s="35">
        <v>280</v>
      </c>
      <c r="AD56" s="35">
        <v>280</v>
      </c>
      <c r="AE56" s="35" t="s">
        <v>270</v>
      </c>
      <c r="AF56" s="35" t="s">
        <v>383</v>
      </c>
      <c r="AG56" s="35"/>
      <c r="AH56" s="35" t="s">
        <v>234</v>
      </c>
      <c r="AI56" s="35" t="s">
        <v>385</v>
      </c>
      <c r="AJ56" s="35" t="s">
        <v>270</v>
      </c>
      <c r="AK56" s="35" t="s">
        <v>234</v>
      </c>
      <c r="AL56" s="35" t="s">
        <v>90</v>
      </c>
      <c r="AM56" s="35" t="s">
        <v>386</v>
      </c>
    </row>
    <row r="57" spans="1:78" s="20" customFormat="1" ht="15.95" customHeight="1" x14ac:dyDescent="0.2">
      <c r="A57" s="18"/>
      <c r="B57" s="19">
        <v>194</v>
      </c>
      <c r="D57" s="36">
        <v>20727</v>
      </c>
      <c r="E57" s="36">
        <v>1999</v>
      </c>
      <c r="F57" s="36" t="s">
        <v>1224</v>
      </c>
      <c r="G57" s="35" t="s">
        <v>382</v>
      </c>
      <c r="H57" s="35"/>
      <c r="I57" s="35" t="s">
        <v>41</v>
      </c>
      <c r="J57" s="35" t="s">
        <v>89</v>
      </c>
      <c r="K57" s="35" t="s">
        <v>161</v>
      </c>
      <c r="L57" s="35" t="s">
        <v>82</v>
      </c>
      <c r="M57" s="35" t="s">
        <v>82</v>
      </c>
      <c r="N57" s="35" t="s">
        <v>66</v>
      </c>
      <c r="O57" s="35" t="s">
        <v>387</v>
      </c>
      <c r="P57" s="35" t="s">
        <v>51</v>
      </c>
      <c r="Q57" s="35"/>
      <c r="R57" s="35" t="s">
        <v>237</v>
      </c>
      <c r="S57" s="35" t="s">
        <v>79</v>
      </c>
      <c r="T57" s="35" t="s">
        <v>56</v>
      </c>
      <c r="U57" s="36">
        <v>25</v>
      </c>
      <c r="V57" s="36" t="s">
        <v>231</v>
      </c>
      <c r="W57" s="35" t="s">
        <v>46</v>
      </c>
      <c r="X57" s="29"/>
      <c r="Y57" s="36">
        <v>1600</v>
      </c>
      <c r="Z57" s="24">
        <f t="shared" si="2"/>
        <v>173.35380952898205</v>
      </c>
      <c r="AA57" s="19" t="s">
        <v>214</v>
      </c>
      <c r="AB57" s="36"/>
      <c r="AC57" s="35">
        <v>280</v>
      </c>
      <c r="AD57" s="35">
        <v>280</v>
      </c>
      <c r="AE57" s="35" t="s">
        <v>270</v>
      </c>
      <c r="AF57" s="35" t="s">
        <v>383</v>
      </c>
      <c r="AG57" s="35"/>
      <c r="AH57" s="35" t="s">
        <v>234</v>
      </c>
      <c r="AI57" s="35" t="s">
        <v>385</v>
      </c>
      <c r="AJ57" s="35" t="s">
        <v>270</v>
      </c>
      <c r="AK57" s="35" t="s">
        <v>234</v>
      </c>
      <c r="AL57" s="35" t="s">
        <v>90</v>
      </c>
      <c r="AM57" s="35" t="s">
        <v>386</v>
      </c>
    </row>
    <row r="58" spans="1:78" s="20" customFormat="1" ht="15.95" customHeight="1" x14ac:dyDescent="0.2">
      <c r="A58" s="18"/>
      <c r="B58" s="19">
        <v>194</v>
      </c>
      <c r="D58" s="36">
        <v>20727</v>
      </c>
      <c r="E58" s="36">
        <v>1999</v>
      </c>
      <c r="F58" s="36" t="s">
        <v>1224</v>
      </c>
      <c r="G58" s="35" t="s">
        <v>382</v>
      </c>
      <c r="H58" s="35"/>
      <c r="I58" s="35" t="s">
        <v>41</v>
      </c>
      <c r="J58" s="35" t="s">
        <v>89</v>
      </c>
      <c r="K58" s="35" t="s">
        <v>161</v>
      </c>
      <c r="L58" s="35" t="s">
        <v>82</v>
      </c>
      <c r="M58" s="35" t="s">
        <v>82</v>
      </c>
      <c r="N58" s="35" t="s">
        <v>66</v>
      </c>
      <c r="O58" s="35" t="s">
        <v>387</v>
      </c>
      <c r="P58" s="35" t="s">
        <v>51</v>
      </c>
      <c r="Q58" s="35"/>
      <c r="R58" s="35" t="s">
        <v>237</v>
      </c>
      <c r="S58" s="35" t="s">
        <v>79</v>
      </c>
      <c r="T58" s="35" t="s">
        <v>56</v>
      </c>
      <c r="U58" s="36">
        <v>25</v>
      </c>
      <c r="V58" s="36" t="s">
        <v>231</v>
      </c>
      <c r="W58" s="35" t="s">
        <v>46</v>
      </c>
      <c r="X58" s="29"/>
      <c r="Y58" s="36">
        <v>2100</v>
      </c>
      <c r="Z58" s="24">
        <f t="shared" si="2"/>
        <v>227.52687500678897</v>
      </c>
      <c r="AA58" s="19" t="s">
        <v>214</v>
      </c>
      <c r="AB58" s="36"/>
      <c r="AC58" s="35">
        <v>280</v>
      </c>
      <c r="AD58" s="35">
        <v>280</v>
      </c>
      <c r="AE58" s="35" t="s">
        <v>270</v>
      </c>
      <c r="AF58" s="35" t="s">
        <v>383</v>
      </c>
      <c r="AG58" s="35"/>
      <c r="AH58" s="35" t="s">
        <v>234</v>
      </c>
      <c r="AI58" s="35" t="s">
        <v>385</v>
      </c>
      <c r="AJ58" s="35" t="s">
        <v>270</v>
      </c>
      <c r="AK58" s="35" t="s">
        <v>234</v>
      </c>
      <c r="AL58" s="35" t="s">
        <v>90</v>
      </c>
      <c r="AM58" s="35" t="s">
        <v>386</v>
      </c>
    </row>
    <row r="59" spans="1:78" s="20" customFormat="1" ht="15.95" customHeight="1" x14ac:dyDescent="0.2">
      <c r="A59" s="18"/>
      <c r="B59" s="19">
        <v>194</v>
      </c>
      <c r="D59" s="36">
        <v>20727</v>
      </c>
      <c r="E59" s="36">
        <v>1999</v>
      </c>
      <c r="F59" s="36" t="s">
        <v>1224</v>
      </c>
      <c r="G59" s="35" t="s">
        <v>382</v>
      </c>
      <c r="H59" s="35"/>
      <c r="I59" s="35" t="s">
        <v>41</v>
      </c>
      <c r="J59" s="35" t="s">
        <v>89</v>
      </c>
      <c r="K59" s="35" t="s">
        <v>161</v>
      </c>
      <c r="L59" s="35" t="s">
        <v>82</v>
      </c>
      <c r="M59" s="35" t="s">
        <v>82</v>
      </c>
      <c r="N59" s="35" t="s">
        <v>66</v>
      </c>
      <c r="O59" s="35" t="s">
        <v>387</v>
      </c>
      <c r="P59" s="35" t="s">
        <v>51</v>
      </c>
      <c r="Q59" s="35"/>
      <c r="R59" s="35" t="s">
        <v>237</v>
      </c>
      <c r="S59" s="35" t="s">
        <v>79</v>
      </c>
      <c r="T59" s="35" t="s">
        <v>56</v>
      </c>
      <c r="U59" s="36">
        <v>25</v>
      </c>
      <c r="V59" s="36" t="s">
        <v>231</v>
      </c>
      <c r="W59" s="35" t="s">
        <v>46</v>
      </c>
      <c r="X59" s="29"/>
      <c r="Y59" s="36">
        <v>1600</v>
      </c>
      <c r="Z59" s="24">
        <f t="shared" si="2"/>
        <v>173.35380952898205</v>
      </c>
      <c r="AA59" s="19" t="s">
        <v>214</v>
      </c>
      <c r="AB59" s="36"/>
      <c r="AC59" s="35">
        <v>280</v>
      </c>
      <c r="AD59" s="35">
        <v>280</v>
      </c>
      <c r="AE59" s="35" t="s">
        <v>270</v>
      </c>
      <c r="AF59" s="35" t="s">
        <v>383</v>
      </c>
      <c r="AG59" s="35"/>
      <c r="AH59" s="35" t="s">
        <v>234</v>
      </c>
      <c r="AI59" s="35" t="s">
        <v>385</v>
      </c>
      <c r="AJ59" s="35" t="s">
        <v>270</v>
      </c>
      <c r="AK59" s="35" t="s">
        <v>234</v>
      </c>
      <c r="AL59" s="35" t="s">
        <v>90</v>
      </c>
      <c r="AM59" s="35" t="s">
        <v>386</v>
      </c>
    </row>
    <row r="60" spans="1:78" s="20" customFormat="1" ht="15.95" customHeight="1" x14ac:dyDescent="0.2">
      <c r="A60" s="18"/>
      <c r="B60" s="19">
        <v>194</v>
      </c>
      <c r="D60" s="36">
        <v>20727</v>
      </c>
      <c r="E60" s="36">
        <v>1999</v>
      </c>
      <c r="F60" s="36" t="s">
        <v>1224</v>
      </c>
      <c r="G60" s="35" t="s">
        <v>382</v>
      </c>
      <c r="H60" s="35"/>
      <c r="I60" s="35" t="s">
        <v>41</v>
      </c>
      <c r="J60" s="35" t="s">
        <v>89</v>
      </c>
      <c r="K60" s="35" t="s">
        <v>161</v>
      </c>
      <c r="L60" s="35" t="s">
        <v>82</v>
      </c>
      <c r="M60" s="35" t="s">
        <v>82</v>
      </c>
      <c r="N60" s="35" t="s">
        <v>66</v>
      </c>
      <c r="O60" s="35" t="s">
        <v>387</v>
      </c>
      <c r="P60" s="35" t="s">
        <v>51</v>
      </c>
      <c r="Q60" s="35"/>
      <c r="R60" s="35" t="s">
        <v>237</v>
      </c>
      <c r="S60" s="35" t="s">
        <v>79</v>
      </c>
      <c r="T60" s="35" t="s">
        <v>56</v>
      </c>
      <c r="U60" s="36">
        <v>25</v>
      </c>
      <c r="V60" s="36" t="s">
        <v>231</v>
      </c>
      <c r="W60" s="35" t="s">
        <v>46</v>
      </c>
      <c r="X60" s="29"/>
      <c r="Y60" s="36">
        <v>1700</v>
      </c>
      <c r="Z60" s="24">
        <f t="shared" si="2"/>
        <v>184.18842262454345</v>
      </c>
      <c r="AA60" s="19" t="s">
        <v>214</v>
      </c>
      <c r="AB60" s="36"/>
      <c r="AC60" s="35">
        <v>280</v>
      </c>
      <c r="AD60" s="35">
        <v>280</v>
      </c>
      <c r="AE60" s="35" t="s">
        <v>270</v>
      </c>
      <c r="AF60" s="35" t="s">
        <v>383</v>
      </c>
      <c r="AG60" s="35"/>
      <c r="AH60" s="35" t="s">
        <v>234</v>
      </c>
      <c r="AI60" s="35" t="s">
        <v>385</v>
      </c>
      <c r="AJ60" s="35" t="s">
        <v>270</v>
      </c>
      <c r="AK60" s="35" t="s">
        <v>234</v>
      </c>
      <c r="AL60" s="35" t="s">
        <v>90</v>
      </c>
      <c r="AM60" s="35" t="s">
        <v>386</v>
      </c>
    </row>
    <row r="61" spans="1:78" s="20" customFormat="1" ht="15.95" customHeight="1" x14ac:dyDescent="0.2">
      <c r="A61" s="18"/>
      <c r="B61" s="19">
        <v>194</v>
      </c>
      <c r="D61" s="36">
        <v>20727</v>
      </c>
      <c r="E61" s="36">
        <v>1999</v>
      </c>
      <c r="F61" s="36" t="s">
        <v>1224</v>
      </c>
      <c r="G61" s="35" t="s">
        <v>382</v>
      </c>
      <c r="H61" s="35"/>
      <c r="I61" s="35" t="s">
        <v>41</v>
      </c>
      <c r="J61" s="35" t="s">
        <v>89</v>
      </c>
      <c r="K61" s="35" t="s">
        <v>161</v>
      </c>
      <c r="L61" s="35" t="s">
        <v>82</v>
      </c>
      <c r="M61" s="35" t="s">
        <v>82</v>
      </c>
      <c r="N61" s="35" t="s">
        <v>66</v>
      </c>
      <c r="O61" s="35" t="s">
        <v>387</v>
      </c>
      <c r="P61" s="35" t="s">
        <v>51</v>
      </c>
      <c r="Q61" s="35"/>
      <c r="R61" s="35" t="s">
        <v>237</v>
      </c>
      <c r="S61" s="35" t="s">
        <v>79</v>
      </c>
      <c r="T61" s="35" t="s">
        <v>56</v>
      </c>
      <c r="U61" s="36">
        <v>25</v>
      </c>
      <c r="V61" s="36" t="s">
        <v>231</v>
      </c>
      <c r="W61" s="35" t="s">
        <v>46</v>
      </c>
      <c r="X61" s="29"/>
      <c r="Y61" s="36">
        <v>3300</v>
      </c>
      <c r="Z61" s="24">
        <f t="shared" si="2"/>
        <v>357.5422321535255</v>
      </c>
      <c r="AA61" s="19" t="s">
        <v>214</v>
      </c>
      <c r="AB61" s="36"/>
      <c r="AC61" s="35">
        <v>280</v>
      </c>
      <c r="AD61" s="35">
        <v>280</v>
      </c>
      <c r="AE61" s="35" t="s">
        <v>270</v>
      </c>
      <c r="AF61" s="35" t="s">
        <v>383</v>
      </c>
      <c r="AG61" s="35"/>
      <c r="AH61" s="35" t="s">
        <v>234</v>
      </c>
      <c r="AI61" s="35" t="s">
        <v>385</v>
      </c>
      <c r="AJ61" s="35" t="s">
        <v>270</v>
      </c>
      <c r="AK61" s="35" t="s">
        <v>234</v>
      </c>
      <c r="AL61" s="35" t="s">
        <v>90</v>
      </c>
      <c r="AM61" s="35" t="s">
        <v>386</v>
      </c>
    </row>
    <row r="62" spans="1:78" s="20" customFormat="1" ht="15.95" customHeight="1" x14ac:dyDescent="0.2">
      <c r="A62" s="18"/>
      <c r="B62" s="19">
        <v>194</v>
      </c>
      <c r="D62" s="36">
        <v>20727</v>
      </c>
      <c r="E62" s="36">
        <v>1999</v>
      </c>
      <c r="F62" s="36" t="s">
        <v>1224</v>
      </c>
      <c r="G62" s="35" t="s">
        <v>382</v>
      </c>
      <c r="H62" s="35"/>
      <c r="I62" s="35" t="s">
        <v>41</v>
      </c>
      <c r="J62" s="35" t="s">
        <v>89</v>
      </c>
      <c r="K62" s="35" t="s">
        <v>161</v>
      </c>
      <c r="L62" s="35" t="s">
        <v>82</v>
      </c>
      <c r="M62" s="35" t="s">
        <v>82</v>
      </c>
      <c r="N62" s="35" t="s">
        <v>66</v>
      </c>
      <c r="O62" s="35" t="s">
        <v>387</v>
      </c>
      <c r="P62" s="35" t="s">
        <v>51</v>
      </c>
      <c r="Q62" s="35"/>
      <c r="R62" s="35" t="s">
        <v>237</v>
      </c>
      <c r="S62" s="35" t="s">
        <v>79</v>
      </c>
      <c r="T62" s="35" t="s">
        <v>56</v>
      </c>
      <c r="U62" s="36">
        <v>25</v>
      </c>
      <c r="V62" s="36" t="s">
        <v>231</v>
      </c>
      <c r="W62" s="35" t="s">
        <v>46</v>
      </c>
      <c r="X62" s="29"/>
      <c r="Y62" s="36">
        <v>3700</v>
      </c>
      <c r="Z62" s="24">
        <f t="shared" si="2"/>
        <v>400.88068453577102</v>
      </c>
      <c r="AA62" s="19" t="s">
        <v>214</v>
      </c>
      <c r="AB62" s="36"/>
      <c r="AC62" s="35">
        <v>280</v>
      </c>
      <c r="AD62" s="35">
        <v>280</v>
      </c>
      <c r="AE62" s="35" t="s">
        <v>270</v>
      </c>
      <c r="AF62" s="35" t="s">
        <v>383</v>
      </c>
      <c r="AG62" s="35"/>
      <c r="AH62" s="35" t="s">
        <v>234</v>
      </c>
      <c r="AI62" s="35" t="s">
        <v>385</v>
      </c>
      <c r="AJ62" s="35" t="s">
        <v>270</v>
      </c>
      <c r="AK62" s="35" t="s">
        <v>234</v>
      </c>
      <c r="AL62" s="35" t="s">
        <v>90</v>
      </c>
      <c r="AM62" s="35" t="s">
        <v>386</v>
      </c>
    </row>
    <row r="63" spans="1:78" s="20" customFormat="1" ht="15.95" customHeight="1" x14ac:dyDescent="0.2">
      <c r="A63" s="18"/>
      <c r="B63" s="19">
        <v>194</v>
      </c>
      <c r="D63" s="36">
        <v>20727</v>
      </c>
      <c r="E63" s="36">
        <v>1999</v>
      </c>
      <c r="F63" s="36" t="s">
        <v>1224</v>
      </c>
      <c r="G63" s="35" t="s">
        <v>382</v>
      </c>
      <c r="H63" s="35"/>
      <c r="I63" s="35" t="s">
        <v>41</v>
      </c>
      <c r="J63" s="35" t="s">
        <v>89</v>
      </c>
      <c r="K63" s="35" t="s">
        <v>161</v>
      </c>
      <c r="L63" s="35" t="s">
        <v>82</v>
      </c>
      <c r="M63" s="35" t="s">
        <v>82</v>
      </c>
      <c r="N63" s="35" t="s">
        <v>66</v>
      </c>
      <c r="O63" s="35" t="s">
        <v>387</v>
      </c>
      <c r="P63" s="35" t="s">
        <v>51</v>
      </c>
      <c r="Q63" s="35"/>
      <c r="R63" s="35" t="s">
        <v>237</v>
      </c>
      <c r="S63" s="35" t="s">
        <v>79</v>
      </c>
      <c r="T63" s="35" t="s">
        <v>56</v>
      </c>
      <c r="U63" s="36">
        <v>25</v>
      </c>
      <c r="V63" s="36" t="s">
        <v>231</v>
      </c>
      <c r="W63" s="35" t="s">
        <v>46</v>
      </c>
      <c r="X63" s="29"/>
      <c r="Y63" s="36">
        <v>3300</v>
      </c>
      <c r="Z63" s="24">
        <f t="shared" si="2"/>
        <v>357.5422321535255</v>
      </c>
      <c r="AA63" s="19" t="s">
        <v>214</v>
      </c>
      <c r="AB63" s="36"/>
      <c r="AC63" s="35">
        <v>280</v>
      </c>
      <c r="AD63" s="35">
        <v>280</v>
      </c>
      <c r="AE63" s="35" t="s">
        <v>270</v>
      </c>
      <c r="AF63" s="35" t="s">
        <v>383</v>
      </c>
      <c r="AG63" s="35"/>
      <c r="AH63" s="35" t="s">
        <v>234</v>
      </c>
      <c r="AI63" s="35" t="s">
        <v>385</v>
      </c>
      <c r="AJ63" s="35" t="s">
        <v>270</v>
      </c>
      <c r="AK63" s="35" t="s">
        <v>234</v>
      </c>
      <c r="AL63" s="35" t="s">
        <v>90</v>
      </c>
      <c r="AM63" s="35" t="s">
        <v>386</v>
      </c>
    </row>
    <row r="64" spans="1:78" s="20" customFormat="1" ht="15.95" customHeight="1" x14ac:dyDescent="0.2">
      <c r="A64" s="18"/>
      <c r="B64" s="19">
        <v>194</v>
      </c>
      <c r="D64" s="36">
        <v>20727</v>
      </c>
      <c r="E64" s="36">
        <v>1999</v>
      </c>
      <c r="F64" s="36" t="s">
        <v>1224</v>
      </c>
      <c r="G64" s="35" t="s">
        <v>382</v>
      </c>
      <c r="H64" s="35"/>
      <c r="I64" s="35" t="s">
        <v>41</v>
      </c>
      <c r="J64" s="35" t="s">
        <v>89</v>
      </c>
      <c r="K64" s="35" t="s">
        <v>161</v>
      </c>
      <c r="L64" s="35" t="s">
        <v>82</v>
      </c>
      <c r="M64" s="35" t="s">
        <v>82</v>
      </c>
      <c r="N64" s="35" t="s">
        <v>66</v>
      </c>
      <c r="O64" s="35" t="s">
        <v>387</v>
      </c>
      <c r="P64" s="35" t="s">
        <v>51</v>
      </c>
      <c r="Q64" s="35"/>
      <c r="R64" s="35" t="s">
        <v>237</v>
      </c>
      <c r="S64" s="35" t="s">
        <v>79</v>
      </c>
      <c r="T64" s="35" t="s">
        <v>56</v>
      </c>
      <c r="U64" s="36">
        <v>25</v>
      </c>
      <c r="V64" s="36" t="s">
        <v>231</v>
      </c>
      <c r="W64" s="35" t="s">
        <v>46</v>
      </c>
      <c r="X64" s="29"/>
      <c r="Y64" s="36">
        <v>3000</v>
      </c>
      <c r="Z64" s="24">
        <f t="shared" si="2"/>
        <v>325.03839286684138</v>
      </c>
      <c r="AA64" s="19" t="s">
        <v>214</v>
      </c>
      <c r="AB64" s="36"/>
      <c r="AC64" s="35">
        <v>280</v>
      </c>
      <c r="AD64" s="35">
        <v>280</v>
      </c>
      <c r="AE64" s="35" t="s">
        <v>270</v>
      </c>
      <c r="AF64" s="35" t="s">
        <v>383</v>
      </c>
      <c r="AG64" s="35"/>
      <c r="AH64" s="35" t="s">
        <v>234</v>
      </c>
      <c r="AI64" s="35" t="s">
        <v>385</v>
      </c>
      <c r="AJ64" s="35" t="s">
        <v>270</v>
      </c>
      <c r="AK64" s="35" t="s">
        <v>234</v>
      </c>
      <c r="AL64" s="35" t="s">
        <v>90</v>
      </c>
      <c r="AM64" s="35" t="s">
        <v>386</v>
      </c>
    </row>
    <row r="65" spans="1:39" s="20" customFormat="1" ht="15.95" customHeight="1" x14ac:dyDescent="0.2">
      <c r="A65" s="18"/>
      <c r="B65" s="19">
        <v>194</v>
      </c>
      <c r="D65" s="36">
        <v>20727</v>
      </c>
      <c r="E65" s="36">
        <v>1999</v>
      </c>
      <c r="F65" s="36" t="s">
        <v>1224</v>
      </c>
      <c r="G65" s="35" t="s">
        <v>382</v>
      </c>
      <c r="H65" s="35"/>
      <c r="I65" s="35" t="s">
        <v>41</v>
      </c>
      <c r="J65" s="35" t="s">
        <v>89</v>
      </c>
      <c r="K65" s="35" t="s">
        <v>161</v>
      </c>
      <c r="L65" s="35" t="s">
        <v>82</v>
      </c>
      <c r="M65" s="35" t="s">
        <v>82</v>
      </c>
      <c r="N65" s="35" t="s">
        <v>66</v>
      </c>
      <c r="O65" s="35" t="s">
        <v>387</v>
      </c>
      <c r="P65" s="35" t="s">
        <v>51</v>
      </c>
      <c r="Q65" s="35"/>
      <c r="R65" s="35" t="s">
        <v>237</v>
      </c>
      <c r="S65" s="35" t="s">
        <v>79</v>
      </c>
      <c r="T65" s="35" t="s">
        <v>56</v>
      </c>
      <c r="U65" s="36">
        <v>25</v>
      </c>
      <c r="V65" s="36" t="s">
        <v>231</v>
      </c>
      <c r="W65" s="35" t="s">
        <v>46</v>
      </c>
      <c r="X65" s="29"/>
      <c r="Y65" s="36">
        <v>1700</v>
      </c>
      <c r="Z65" s="24">
        <f t="shared" si="2"/>
        <v>184.18842262454345</v>
      </c>
      <c r="AA65" s="19" t="s">
        <v>214</v>
      </c>
      <c r="AB65" s="36"/>
      <c r="AC65" s="35">
        <v>280</v>
      </c>
      <c r="AD65" s="35">
        <v>280</v>
      </c>
      <c r="AE65" s="35" t="s">
        <v>270</v>
      </c>
      <c r="AF65" s="35" t="s">
        <v>383</v>
      </c>
      <c r="AG65" s="35"/>
      <c r="AH65" s="35" t="s">
        <v>234</v>
      </c>
      <c r="AI65" s="35" t="s">
        <v>385</v>
      </c>
      <c r="AJ65" s="35" t="s">
        <v>270</v>
      </c>
      <c r="AK65" s="35" t="s">
        <v>234</v>
      </c>
      <c r="AL65" s="35" t="s">
        <v>90</v>
      </c>
      <c r="AM65" s="35" t="s">
        <v>386</v>
      </c>
    </row>
    <row r="66" spans="1:39" s="20" customFormat="1" ht="15.95" customHeight="1" x14ac:dyDescent="0.2">
      <c r="A66" s="18"/>
      <c r="B66" s="19">
        <v>194</v>
      </c>
      <c r="D66" s="36">
        <v>20727</v>
      </c>
      <c r="E66" s="36">
        <v>1999</v>
      </c>
      <c r="F66" s="36" t="s">
        <v>1224</v>
      </c>
      <c r="G66" s="35" t="s">
        <v>382</v>
      </c>
      <c r="H66" s="35"/>
      <c r="I66" s="35" t="s">
        <v>41</v>
      </c>
      <c r="J66" s="35" t="s">
        <v>89</v>
      </c>
      <c r="K66" s="35" t="s">
        <v>161</v>
      </c>
      <c r="L66" s="35" t="s">
        <v>82</v>
      </c>
      <c r="M66" s="35" t="s">
        <v>82</v>
      </c>
      <c r="N66" s="35" t="s">
        <v>66</v>
      </c>
      <c r="O66" s="35" t="s">
        <v>387</v>
      </c>
      <c r="P66" s="35" t="s">
        <v>51</v>
      </c>
      <c r="Q66" s="35"/>
      <c r="R66" s="35" t="s">
        <v>237</v>
      </c>
      <c r="S66" s="35" t="s">
        <v>79</v>
      </c>
      <c r="T66" s="35" t="s">
        <v>56</v>
      </c>
      <c r="U66" s="36">
        <v>25</v>
      </c>
      <c r="V66" s="36" t="s">
        <v>231</v>
      </c>
      <c r="W66" s="35" t="s">
        <v>46</v>
      </c>
      <c r="X66" s="29"/>
      <c r="Y66" s="36">
        <v>1700</v>
      </c>
      <c r="Z66" s="24">
        <f t="shared" si="2"/>
        <v>184.18842262454345</v>
      </c>
      <c r="AA66" s="19" t="s">
        <v>214</v>
      </c>
      <c r="AB66" s="36"/>
      <c r="AC66" s="35">
        <v>280</v>
      </c>
      <c r="AD66" s="35">
        <v>280</v>
      </c>
      <c r="AE66" s="35" t="s">
        <v>270</v>
      </c>
      <c r="AF66" s="35" t="s">
        <v>383</v>
      </c>
      <c r="AG66" s="35"/>
      <c r="AH66" s="35" t="s">
        <v>234</v>
      </c>
      <c r="AI66" s="35" t="s">
        <v>385</v>
      </c>
      <c r="AJ66" s="35" t="s">
        <v>270</v>
      </c>
      <c r="AK66" s="35" t="s">
        <v>234</v>
      </c>
      <c r="AL66" s="35" t="s">
        <v>90</v>
      </c>
      <c r="AM66" s="35" t="s">
        <v>386</v>
      </c>
    </row>
    <row r="67" spans="1:39" s="20" customFormat="1" ht="15.95" customHeight="1" x14ac:dyDescent="0.2">
      <c r="A67" s="18"/>
      <c r="B67" s="19">
        <v>194</v>
      </c>
      <c r="D67" s="36">
        <v>20727</v>
      </c>
      <c r="E67" s="36">
        <v>1999</v>
      </c>
      <c r="F67" s="36" t="s">
        <v>1224</v>
      </c>
      <c r="G67" s="35" t="s">
        <v>382</v>
      </c>
      <c r="H67" s="35"/>
      <c r="I67" s="35" t="s">
        <v>41</v>
      </c>
      <c r="J67" s="35" t="s">
        <v>89</v>
      </c>
      <c r="K67" s="35" t="s">
        <v>161</v>
      </c>
      <c r="L67" s="35" t="s">
        <v>82</v>
      </c>
      <c r="M67" s="35" t="s">
        <v>82</v>
      </c>
      <c r="N67" s="35" t="s">
        <v>66</v>
      </c>
      <c r="O67" s="35" t="s">
        <v>387</v>
      </c>
      <c r="P67" s="35" t="s">
        <v>51</v>
      </c>
      <c r="Q67" s="35"/>
      <c r="R67" s="35" t="s">
        <v>237</v>
      </c>
      <c r="S67" s="35" t="s">
        <v>79</v>
      </c>
      <c r="T67" s="35" t="s">
        <v>56</v>
      </c>
      <c r="U67" s="36">
        <v>25</v>
      </c>
      <c r="V67" s="36" t="s">
        <v>231</v>
      </c>
      <c r="W67" s="35" t="s">
        <v>46</v>
      </c>
      <c r="X67" s="29"/>
      <c r="Y67" s="36">
        <v>1500</v>
      </c>
      <c r="Z67" s="24">
        <f t="shared" si="2"/>
        <v>162.51919643342069</v>
      </c>
      <c r="AA67" s="19" t="s">
        <v>214</v>
      </c>
      <c r="AB67" s="36"/>
      <c r="AC67" s="35">
        <v>280</v>
      </c>
      <c r="AD67" s="35">
        <v>280</v>
      </c>
      <c r="AE67" s="35" t="s">
        <v>270</v>
      </c>
      <c r="AF67" s="35" t="s">
        <v>383</v>
      </c>
      <c r="AG67" s="35"/>
      <c r="AH67" s="35" t="s">
        <v>234</v>
      </c>
      <c r="AI67" s="35" t="s">
        <v>385</v>
      </c>
      <c r="AJ67" s="35" t="s">
        <v>270</v>
      </c>
      <c r="AK67" s="35" t="s">
        <v>234</v>
      </c>
      <c r="AL67" s="35" t="s">
        <v>90</v>
      </c>
      <c r="AM67" s="35" t="s">
        <v>386</v>
      </c>
    </row>
    <row r="68" spans="1:39" s="20" customFormat="1" ht="15.95" customHeight="1" x14ac:dyDescent="0.2">
      <c r="A68" s="18"/>
      <c r="B68" s="19">
        <v>194</v>
      </c>
      <c r="D68" s="36">
        <v>20727</v>
      </c>
      <c r="E68" s="36">
        <v>1999</v>
      </c>
      <c r="F68" s="36" t="s">
        <v>1224</v>
      </c>
      <c r="G68" s="35" t="s">
        <v>382</v>
      </c>
      <c r="H68" s="35"/>
      <c r="I68" s="35" t="s">
        <v>41</v>
      </c>
      <c r="J68" s="35" t="s">
        <v>89</v>
      </c>
      <c r="K68" s="35" t="s">
        <v>161</v>
      </c>
      <c r="L68" s="35" t="s">
        <v>82</v>
      </c>
      <c r="M68" s="35" t="s">
        <v>82</v>
      </c>
      <c r="N68" s="35" t="s">
        <v>66</v>
      </c>
      <c r="O68" s="35" t="s">
        <v>387</v>
      </c>
      <c r="P68" s="35" t="s">
        <v>51</v>
      </c>
      <c r="Q68" s="35"/>
      <c r="R68" s="35" t="s">
        <v>237</v>
      </c>
      <c r="S68" s="35" t="s">
        <v>79</v>
      </c>
      <c r="T68" s="35" t="s">
        <v>56</v>
      </c>
      <c r="U68" s="36">
        <v>25</v>
      </c>
      <c r="V68" s="36" t="s">
        <v>231</v>
      </c>
      <c r="W68" s="35" t="s">
        <v>46</v>
      </c>
      <c r="X68" s="29"/>
      <c r="Y68" s="36">
        <v>1500</v>
      </c>
      <c r="Z68" s="24">
        <f t="shared" si="2"/>
        <v>162.51919643342069</v>
      </c>
      <c r="AA68" s="19" t="s">
        <v>214</v>
      </c>
      <c r="AB68" s="36"/>
      <c r="AC68" s="35">
        <v>280</v>
      </c>
      <c r="AD68" s="35">
        <v>280</v>
      </c>
      <c r="AE68" s="35" t="s">
        <v>270</v>
      </c>
      <c r="AF68" s="35" t="s">
        <v>383</v>
      </c>
      <c r="AG68" s="35"/>
      <c r="AH68" s="35" t="s">
        <v>234</v>
      </c>
      <c r="AI68" s="35" t="s">
        <v>385</v>
      </c>
      <c r="AJ68" s="35" t="s">
        <v>270</v>
      </c>
      <c r="AK68" s="35" t="s">
        <v>234</v>
      </c>
      <c r="AL68" s="35" t="s">
        <v>90</v>
      </c>
      <c r="AM68" s="35" t="s">
        <v>386</v>
      </c>
    </row>
    <row r="69" spans="1:39" s="20" customFormat="1" ht="15.95" customHeight="1" x14ac:dyDescent="0.2">
      <c r="A69" s="18"/>
      <c r="B69" s="19">
        <v>194</v>
      </c>
      <c r="D69" s="36">
        <v>20727</v>
      </c>
      <c r="E69" s="36">
        <v>1999</v>
      </c>
      <c r="F69" s="36" t="s">
        <v>1224</v>
      </c>
      <c r="G69" s="35" t="s">
        <v>382</v>
      </c>
      <c r="H69" s="35"/>
      <c r="I69" s="35" t="s">
        <v>41</v>
      </c>
      <c r="J69" s="35" t="s">
        <v>89</v>
      </c>
      <c r="K69" s="35" t="s">
        <v>161</v>
      </c>
      <c r="L69" s="35" t="s">
        <v>82</v>
      </c>
      <c r="M69" s="35" t="s">
        <v>82</v>
      </c>
      <c r="N69" s="35" t="s">
        <v>66</v>
      </c>
      <c r="O69" s="35" t="s">
        <v>387</v>
      </c>
      <c r="P69" s="35" t="s">
        <v>51</v>
      </c>
      <c r="Q69" s="35"/>
      <c r="R69" s="35" t="s">
        <v>237</v>
      </c>
      <c r="S69" s="35" t="s">
        <v>79</v>
      </c>
      <c r="T69" s="35" t="s">
        <v>56</v>
      </c>
      <c r="U69" s="36">
        <v>25</v>
      </c>
      <c r="V69" s="36" t="s">
        <v>231</v>
      </c>
      <c r="W69" s="35" t="s">
        <v>46</v>
      </c>
      <c r="X69" s="29"/>
      <c r="Y69" s="36">
        <v>1500</v>
      </c>
      <c r="Z69" s="24">
        <f t="shared" si="2"/>
        <v>162.51919643342069</v>
      </c>
      <c r="AA69" s="19" t="s">
        <v>214</v>
      </c>
      <c r="AB69" s="36"/>
      <c r="AC69" s="35">
        <v>280</v>
      </c>
      <c r="AD69" s="35">
        <v>280</v>
      </c>
      <c r="AE69" s="35" t="s">
        <v>270</v>
      </c>
      <c r="AF69" s="35" t="s">
        <v>383</v>
      </c>
      <c r="AG69" s="35"/>
      <c r="AH69" s="35" t="s">
        <v>234</v>
      </c>
      <c r="AI69" s="35" t="s">
        <v>385</v>
      </c>
      <c r="AJ69" s="35" t="s">
        <v>270</v>
      </c>
      <c r="AK69" s="35" t="s">
        <v>234</v>
      </c>
      <c r="AL69" s="35" t="s">
        <v>90</v>
      </c>
      <c r="AM69" s="35" t="s">
        <v>386</v>
      </c>
    </row>
    <row r="70" spans="1:39" s="20" customFormat="1" ht="15.95" customHeight="1" x14ac:dyDescent="0.2">
      <c r="A70" s="18"/>
      <c r="B70" s="19">
        <v>194</v>
      </c>
      <c r="D70" s="36">
        <v>20727</v>
      </c>
      <c r="E70" s="36">
        <v>1999</v>
      </c>
      <c r="F70" s="36" t="s">
        <v>1224</v>
      </c>
      <c r="G70" s="35" t="s">
        <v>382</v>
      </c>
      <c r="H70" s="35"/>
      <c r="I70" s="35" t="s">
        <v>41</v>
      </c>
      <c r="J70" s="35" t="s">
        <v>89</v>
      </c>
      <c r="K70" s="35" t="s">
        <v>161</v>
      </c>
      <c r="L70" s="35" t="s">
        <v>82</v>
      </c>
      <c r="M70" s="35" t="s">
        <v>82</v>
      </c>
      <c r="N70" s="35" t="s">
        <v>66</v>
      </c>
      <c r="O70" s="35" t="s">
        <v>387</v>
      </c>
      <c r="P70" s="35" t="s">
        <v>51</v>
      </c>
      <c r="Q70" s="35"/>
      <c r="R70" s="35" t="s">
        <v>237</v>
      </c>
      <c r="S70" s="35" t="s">
        <v>79</v>
      </c>
      <c r="T70" s="35" t="s">
        <v>56</v>
      </c>
      <c r="U70" s="36">
        <v>25</v>
      </c>
      <c r="V70" s="36" t="s">
        <v>231</v>
      </c>
      <c r="W70" s="35" t="s">
        <v>46</v>
      </c>
      <c r="X70" s="29"/>
      <c r="Y70" s="36">
        <v>1900</v>
      </c>
      <c r="Z70" s="24">
        <f t="shared" si="2"/>
        <v>205.85764881566621</v>
      </c>
      <c r="AA70" s="19" t="s">
        <v>214</v>
      </c>
      <c r="AB70" s="36"/>
      <c r="AC70" s="35">
        <v>280</v>
      </c>
      <c r="AD70" s="35">
        <v>280</v>
      </c>
      <c r="AE70" s="35" t="s">
        <v>270</v>
      </c>
      <c r="AF70" s="35" t="s">
        <v>383</v>
      </c>
      <c r="AG70" s="35"/>
      <c r="AH70" s="35" t="s">
        <v>234</v>
      </c>
      <c r="AI70" s="35" t="s">
        <v>385</v>
      </c>
      <c r="AJ70" s="35" t="s">
        <v>270</v>
      </c>
      <c r="AK70" s="35" t="s">
        <v>234</v>
      </c>
      <c r="AL70" s="35" t="s">
        <v>90</v>
      </c>
      <c r="AM70" s="35" t="s">
        <v>386</v>
      </c>
    </row>
    <row r="71" spans="1:39" s="20" customFormat="1" ht="15.95" customHeight="1" x14ac:dyDescent="0.2">
      <c r="A71" s="18"/>
      <c r="B71" s="19">
        <v>194</v>
      </c>
      <c r="D71" s="36">
        <v>20727</v>
      </c>
      <c r="E71" s="36">
        <v>1999</v>
      </c>
      <c r="F71" s="36" t="s">
        <v>1224</v>
      </c>
      <c r="G71" s="35" t="s">
        <v>382</v>
      </c>
      <c r="H71" s="35"/>
      <c r="I71" s="35" t="s">
        <v>41</v>
      </c>
      <c r="J71" s="35" t="s">
        <v>89</v>
      </c>
      <c r="K71" s="35" t="s">
        <v>161</v>
      </c>
      <c r="L71" s="35" t="s">
        <v>82</v>
      </c>
      <c r="M71" s="35" t="s">
        <v>82</v>
      </c>
      <c r="N71" s="35" t="s">
        <v>66</v>
      </c>
      <c r="O71" s="35" t="s">
        <v>387</v>
      </c>
      <c r="P71" s="35" t="s">
        <v>51</v>
      </c>
      <c r="Q71" s="35"/>
      <c r="R71" s="35" t="s">
        <v>237</v>
      </c>
      <c r="S71" s="35" t="s">
        <v>79</v>
      </c>
      <c r="T71" s="35" t="s">
        <v>56</v>
      </c>
      <c r="U71" s="36">
        <v>25</v>
      </c>
      <c r="V71" s="36" t="s">
        <v>231</v>
      </c>
      <c r="W71" s="35" t="s">
        <v>46</v>
      </c>
      <c r="X71" s="29"/>
      <c r="Y71" s="36">
        <v>1700</v>
      </c>
      <c r="Z71" s="24">
        <f t="shared" si="2"/>
        <v>184.18842262454345</v>
      </c>
      <c r="AA71" s="19" t="s">
        <v>214</v>
      </c>
      <c r="AB71" s="36"/>
      <c r="AC71" s="35">
        <v>280</v>
      </c>
      <c r="AD71" s="35">
        <v>280</v>
      </c>
      <c r="AE71" s="35" t="s">
        <v>270</v>
      </c>
      <c r="AF71" s="35" t="s">
        <v>383</v>
      </c>
      <c r="AG71" s="35"/>
      <c r="AH71" s="35" t="s">
        <v>234</v>
      </c>
      <c r="AI71" s="35" t="s">
        <v>385</v>
      </c>
      <c r="AJ71" s="35" t="s">
        <v>270</v>
      </c>
      <c r="AK71" s="35" t="s">
        <v>234</v>
      </c>
      <c r="AL71" s="35" t="s">
        <v>90</v>
      </c>
      <c r="AM71" s="35" t="s">
        <v>386</v>
      </c>
    </row>
    <row r="72" spans="1:39" s="20" customFormat="1" ht="15.95" customHeight="1" x14ac:dyDescent="0.2">
      <c r="A72" s="18"/>
      <c r="B72" s="19">
        <v>194</v>
      </c>
      <c r="D72" s="36">
        <v>20727</v>
      </c>
      <c r="E72" s="36">
        <v>1999</v>
      </c>
      <c r="F72" s="36" t="s">
        <v>1224</v>
      </c>
      <c r="G72" s="35" t="s">
        <v>382</v>
      </c>
      <c r="H72" s="35"/>
      <c r="I72" s="35" t="s">
        <v>41</v>
      </c>
      <c r="J72" s="35" t="s">
        <v>89</v>
      </c>
      <c r="K72" s="35" t="s">
        <v>161</v>
      </c>
      <c r="L72" s="35" t="s">
        <v>82</v>
      </c>
      <c r="M72" s="35" t="s">
        <v>82</v>
      </c>
      <c r="N72" s="35" t="s">
        <v>66</v>
      </c>
      <c r="O72" s="35" t="s">
        <v>387</v>
      </c>
      <c r="P72" s="35" t="s">
        <v>51</v>
      </c>
      <c r="Q72" s="35"/>
      <c r="R72" s="35" t="s">
        <v>237</v>
      </c>
      <c r="S72" s="35" t="s">
        <v>79</v>
      </c>
      <c r="T72" s="35" t="s">
        <v>56</v>
      </c>
      <c r="U72" s="36">
        <v>25</v>
      </c>
      <c r="V72" s="36" t="s">
        <v>231</v>
      </c>
      <c r="W72" s="35" t="s">
        <v>46</v>
      </c>
      <c r="X72" s="29"/>
      <c r="Y72" s="36">
        <v>1500</v>
      </c>
      <c r="Z72" s="24">
        <f t="shared" si="2"/>
        <v>162.51919643342069</v>
      </c>
      <c r="AA72" s="19" t="s">
        <v>214</v>
      </c>
      <c r="AB72" s="36"/>
      <c r="AC72" s="35">
        <v>280</v>
      </c>
      <c r="AD72" s="35">
        <v>280</v>
      </c>
      <c r="AE72" s="35" t="s">
        <v>270</v>
      </c>
      <c r="AF72" s="35" t="s">
        <v>383</v>
      </c>
      <c r="AG72" s="35"/>
      <c r="AH72" s="35" t="s">
        <v>234</v>
      </c>
      <c r="AI72" s="35" t="s">
        <v>385</v>
      </c>
      <c r="AJ72" s="35" t="s">
        <v>270</v>
      </c>
      <c r="AK72" s="35" t="s">
        <v>234</v>
      </c>
      <c r="AL72" s="35" t="s">
        <v>90</v>
      </c>
      <c r="AM72" s="35" t="s">
        <v>386</v>
      </c>
    </row>
    <row r="73" spans="1:39" s="20" customFormat="1" ht="15.95" customHeight="1" x14ac:dyDescent="0.2">
      <c r="A73" s="18"/>
      <c r="B73" s="19">
        <v>194</v>
      </c>
      <c r="D73" s="36">
        <v>20727</v>
      </c>
      <c r="E73" s="36">
        <v>1999</v>
      </c>
      <c r="F73" s="36" t="s">
        <v>1224</v>
      </c>
      <c r="G73" s="35" t="s">
        <v>382</v>
      </c>
      <c r="H73" s="35"/>
      <c r="I73" s="35" t="s">
        <v>41</v>
      </c>
      <c r="J73" s="35" t="s">
        <v>89</v>
      </c>
      <c r="K73" s="35" t="s">
        <v>161</v>
      </c>
      <c r="L73" s="35" t="s">
        <v>82</v>
      </c>
      <c r="M73" s="35" t="s">
        <v>82</v>
      </c>
      <c r="N73" s="35" t="s">
        <v>66</v>
      </c>
      <c r="O73" s="35" t="s">
        <v>387</v>
      </c>
      <c r="P73" s="35" t="s">
        <v>51</v>
      </c>
      <c r="Q73" s="35"/>
      <c r="R73" s="35" t="s">
        <v>237</v>
      </c>
      <c r="S73" s="35" t="s">
        <v>79</v>
      </c>
      <c r="T73" s="35" t="s">
        <v>56</v>
      </c>
      <c r="U73" s="36">
        <v>25</v>
      </c>
      <c r="V73" s="36" t="s">
        <v>231</v>
      </c>
      <c r="W73" s="35" t="s">
        <v>46</v>
      </c>
      <c r="X73" s="29"/>
      <c r="Y73" s="36">
        <v>3000</v>
      </c>
      <c r="Z73" s="24">
        <f t="shared" si="2"/>
        <v>325.03839286684138</v>
      </c>
      <c r="AA73" s="19" t="s">
        <v>214</v>
      </c>
      <c r="AB73" s="36"/>
      <c r="AC73" s="35">
        <v>280</v>
      </c>
      <c r="AD73" s="35">
        <v>280</v>
      </c>
      <c r="AE73" s="35" t="s">
        <v>270</v>
      </c>
      <c r="AF73" s="35" t="s">
        <v>383</v>
      </c>
      <c r="AG73" s="35"/>
      <c r="AH73" s="35" t="s">
        <v>234</v>
      </c>
      <c r="AI73" s="35" t="s">
        <v>385</v>
      </c>
      <c r="AJ73" s="35" t="s">
        <v>270</v>
      </c>
      <c r="AK73" s="35" t="s">
        <v>234</v>
      </c>
      <c r="AL73" s="35" t="s">
        <v>90</v>
      </c>
      <c r="AM73" s="35" t="s">
        <v>386</v>
      </c>
    </row>
    <row r="74" spans="1:39" s="20" customFormat="1" ht="15.95" customHeight="1" x14ac:dyDescent="0.2">
      <c r="A74" s="18"/>
      <c r="B74" s="19">
        <v>194</v>
      </c>
      <c r="D74" s="36">
        <v>20727</v>
      </c>
      <c r="E74" s="36">
        <v>1999</v>
      </c>
      <c r="F74" s="36" t="s">
        <v>1224</v>
      </c>
      <c r="G74" s="35" t="s">
        <v>382</v>
      </c>
      <c r="H74" s="35"/>
      <c r="I74" s="35" t="s">
        <v>41</v>
      </c>
      <c r="J74" s="35" t="s">
        <v>89</v>
      </c>
      <c r="K74" s="35" t="s">
        <v>161</v>
      </c>
      <c r="L74" s="35" t="s">
        <v>82</v>
      </c>
      <c r="M74" s="35" t="s">
        <v>82</v>
      </c>
      <c r="N74" s="35" t="s">
        <v>66</v>
      </c>
      <c r="O74" s="35" t="s">
        <v>387</v>
      </c>
      <c r="P74" s="35" t="s">
        <v>51</v>
      </c>
      <c r="Q74" s="35"/>
      <c r="R74" s="35" t="s">
        <v>237</v>
      </c>
      <c r="S74" s="35" t="s">
        <v>79</v>
      </c>
      <c r="T74" s="35" t="s">
        <v>56</v>
      </c>
      <c r="U74" s="36">
        <v>25</v>
      </c>
      <c r="V74" s="36" t="s">
        <v>231</v>
      </c>
      <c r="W74" s="35" t="s">
        <v>46</v>
      </c>
      <c r="X74" s="29"/>
      <c r="Y74" s="36">
        <v>3000</v>
      </c>
      <c r="Z74" s="24">
        <f t="shared" si="2"/>
        <v>325.03839286684138</v>
      </c>
      <c r="AA74" s="19" t="s">
        <v>214</v>
      </c>
      <c r="AB74" s="36"/>
      <c r="AC74" s="35">
        <v>280</v>
      </c>
      <c r="AD74" s="35">
        <v>280</v>
      </c>
      <c r="AE74" s="35" t="s">
        <v>270</v>
      </c>
      <c r="AF74" s="35" t="s">
        <v>383</v>
      </c>
      <c r="AG74" s="35"/>
      <c r="AH74" s="35" t="s">
        <v>234</v>
      </c>
      <c r="AI74" s="35" t="s">
        <v>385</v>
      </c>
      <c r="AJ74" s="35" t="s">
        <v>270</v>
      </c>
      <c r="AK74" s="35" t="s">
        <v>234</v>
      </c>
      <c r="AL74" s="35" t="s">
        <v>90</v>
      </c>
      <c r="AM74" s="35" t="s">
        <v>386</v>
      </c>
    </row>
    <row r="75" spans="1:39" s="20" customFormat="1" ht="15.95" customHeight="1" x14ac:dyDescent="0.2">
      <c r="A75" s="18"/>
      <c r="B75" s="19">
        <v>194</v>
      </c>
      <c r="D75" s="36">
        <v>20727</v>
      </c>
      <c r="E75" s="36">
        <v>1999</v>
      </c>
      <c r="F75" s="36" t="s">
        <v>1224</v>
      </c>
      <c r="G75" s="35" t="s">
        <v>382</v>
      </c>
      <c r="H75" s="35"/>
      <c r="I75" s="35" t="s">
        <v>41</v>
      </c>
      <c r="J75" s="35" t="s">
        <v>89</v>
      </c>
      <c r="K75" s="35" t="s">
        <v>161</v>
      </c>
      <c r="L75" s="35" t="s">
        <v>82</v>
      </c>
      <c r="M75" s="35" t="s">
        <v>82</v>
      </c>
      <c r="N75" s="35" t="s">
        <v>66</v>
      </c>
      <c r="O75" s="35" t="s">
        <v>387</v>
      </c>
      <c r="P75" s="35" t="s">
        <v>51</v>
      </c>
      <c r="Q75" s="35"/>
      <c r="R75" s="35" t="s">
        <v>237</v>
      </c>
      <c r="S75" s="35" t="s">
        <v>79</v>
      </c>
      <c r="T75" s="35" t="s">
        <v>56</v>
      </c>
      <c r="U75" s="36">
        <v>25</v>
      </c>
      <c r="V75" s="36" t="s">
        <v>231</v>
      </c>
      <c r="W75" s="35" t="s">
        <v>46</v>
      </c>
      <c r="X75" s="29"/>
      <c r="Y75" s="36">
        <v>3300</v>
      </c>
      <c r="Z75" s="24">
        <f t="shared" si="2"/>
        <v>357.5422321535255</v>
      </c>
      <c r="AA75" s="19" t="s">
        <v>214</v>
      </c>
      <c r="AB75" s="36"/>
      <c r="AC75" s="35">
        <v>280</v>
      </c>
      <c r="AD75" s="35">
        <v>280</v>
      </c>
      <c r="AE75" s="35" t="s">
        <v>270</v>
      </c>
      <c r="AF75" s="35" t="s">
        <v>383</v>
      </c>
      <c r="AG75" s="35"/>
      <c r="AH75" s="35" t="s">
        <v>234</v>
      </c>
      <c r="AI75" s="35" t="s">
        <v>385</v>
      </c>
      <c r="AJ75" s="35" t="s">
        <v>270</v>
      </c>
      <c r="AK75" s="35" t="s">
        <v>234</v>
      </c>
      <c r="AL75" s="35" t="s">
        <v>90</v>
      </c>
      <c r="AM75" s="35" t="s">
        <v>386</v>
      </c>
    </row>
    <row r="76" spans="1:39" s="20" customFormat="1" ht="15.95" customHeight="1" x14ac:dyDescent="0.2">
      <c r="A76" s="18"/>
      <c r="B76" s="19">
        <v>194</v>
      </c>
      <c r="D76" s="36">
        <v>20727</v>
      </c>
      <c r="E76" s="36">
        <v>1999</v>
      </c>
      <c r="F76" s="36" t="s">
        <v>1224</v>
      </c>
      <c r="G76" s="35" t="s">
        <v>382</v>
      </c>
      <c r="H76" s="35"/>
      <c r="I76" s="35" t="s">
        <v>41</v>
      </c>
      <c r="J76" s="35" t="s">
        <v>89</v>
      </c>
      <c r="K76" s="35" t="s">
        <v>161</v>
      </c>
      <c r="L76" s="35" t="s">
        <v>82</v>
      </c>
      <c r="M76" s="35" t="s">
        <v>82</v>
      </c>
      <c r="N76" s="35" t="s">
        <v>66</v>
      </c>
      <c r="O76" s="35" t="s">
        <v>387</v>
      </c>
      <c r="P76" s="35" t="s">
        <v>51</v>
      </c>
      <c r="Q76" s="35"/>
      <c r="R76" s="35" t="s">
        <v>237</v>
      </c>
      <c r="S76" s="35" t="s">
        <v>79</v>
      </c>
      <c r="T76" s="35" t="s">
        <v>56</v>
      </c>
      <c r="U76" s="36">
        <v>25</v>
      </c>
      <c r="V76" s="36" t="s">
        <v>231</v>
      </c>
      <c r="W76" s="35" t="s">
        <v>46</v>
      </c>
      <c r="X76" s="29"/>
      <c r="Y76" s="36">
        <v>3700</v>
      </c>
      <c r="Z76" s="24">
        <f t="shared" si="2"/>
        <v>400.88068453577102</v>
      </c>
      <c r="AA76" s="19" t="s">
        <v>214</v>
      </c>
      <c r="AB76" s="36"/>
      <c r="AC76" s="35">
        <v>280</v>
      </c>
      <c r="AD76" s="35">
        <v>280</v>
      </c>
      <c r="AE76" s="35" t="s">
        <v>270</v>
      </c>
      <c r="AF76" s="35" t="s">
        <v>383</v>
      </c>
      <c r="AG76" s="35"/>
      <c r="AH76" s="35" t="s">
        <v>234</v>
      </c>
      <c r="AI76" s="35" t="s">
        <v>385</v>
      </c>
      <c r="AJ76" s="35" t="s">
        <v>270</v>
      </c>
      <c r="AK76" s="35" t="s">
        <v>234</v>
      </c>
      <c r="AL76" s="35" t="s">
        <v>90</v>
      </c>
      <c r="AM76" s="35" t="s">
        <v>386</v>
      </c>
    </row>
    <row r="77" spans="1:39" s="20" customFormat="1" ht="15.95" customHeight="1" x14ac:dyDescent="0.2">
      <c r="A77" s="18"/>
      <c r="B77" s="19">
        <v>194</v>
      </c>
      <c r="D77" s="36">
        <v>20727</v>
      </c>
      <c r="E77" s="36">
        <v>1999</v>
      </c>
      <c r="F77" s="36" t="s">
        <v>1224</v>
      </c>
      <c r="G77" s="35" t="s">
        <v>382</v>
      </c>
      <c r="H77" s="35"/>
      <c r="I77" s="35" t="s">
        <v>41</v>
      </c>
      <c r="J77" s="35" t="s">
        <v>89</v>
      </c>
      <c r="K77" s="35" t="s">
        <v>161</v>
      </c>
      <c r="L77" s="35" t="s">
        <v>82</v>
      </c>
      <c r="M77" s="35" t="s">
        <v>82</v>
      </c>
      <c r="N77" s="35" t="s">
        <v>66</v>
      </c>
      <c r="O77" s="35" t="s">
        <v>387</v>
      </c>
      <c r="P77" s="35" t="s">
        <v>51</v>
      </c>
      <c r="Q77" s="35"/>
      <c r="R77" s="35" t="s">
        <v>237</v>
      </c>
      <c r="S77" s="35" t="s">
        <v>79</v>
      </c>
      <c r="T77" s="35" t="s">
        <v>56</v>
      </c>
      <c r="U77" s="36">
        <v>25</v>
      </c>
      <c r="V77" s="36" t="s">
        <v>231</v>
      </c>
      <c r="W77" s="35" t="s">
        <v>46</v>
      </c>
      <c r="X77" s="29"/>
      <c r="Y77" s="36">
        <v>1300</v>
      </c>
      <c r="Z77" s="24">
        <f t="shared" si="2"/>
        <v>140.84997024229793</v>
      </c>
      <c r="AA77" s="19" t="s">
        <v>214</v>
      </c>
      <c r="AB77" s="36"/>
      <c r="AC77" s="35">
        <v>280</v>
      </c>
      <c r="AD77" s="35">
        <v>280</v>
      </c>
      <c r="AE77" s="35" t="s">
        <v>270</v>
      </c>
      <c r="AF77" s="35" t="s">
        <v>383</v>
      </c>
      <c r="AG77" s="35"/>
      <c r="AH77" s="35" t="s">
        <v>234</v>
      </c>
      <c r="AI77" s="35" t="s">
        <v>385</v>
      </c>
      <c r="AJ77" s="35" t="s">
        <v>270</v>
      </c>
      <c r="AK77" s="35" t="s">
        <v>234</v>
      </c>
      <c r="AL77" s="35" t="s">
        <v>90</v>
      </c>
      <c r="AM77" s="35" t="s">
        <v>386</v>
      </c>
    </row>
    <row r="78" spans="1:39" s="20" customFormat="1" ht="15.95" customHeight="1" x14ac:dyDescent="0.2">
      <c r="A78" s="18"/>
      <c r="B78" s="19">
        <v>194</v>
      </c>
      <c r="D78" s="36">
        <v>20727</v>
      </c>
      <c r="E78" s="36">
        <v>1999</v>
      </c>
      <c r="F78" s="36" t="s">
        <v>1224</v>
      </c>
      <c r="G78" s="35" t="s">
        <v>382</v>
      </c>
      <c r="H78" s="35"/>
      <c r="I78" s="35" t="s">
        <v>41</v>
      </c>
      <c r="J78" s="35" t="s">
        <v>89</v>
      </c>
      <c r="K78" s="35" t="s">
        <v>161</v>
      </c>
      <c r="L78" s="35" t="s">
        <v>82</v>
      </c>
      <c r="M78" s="35" t="s">
        <v>82</v>
      </c>
      <c r="N78" s="35" t="s">
        <v>66</v>
      </c>
      <c r="O78" s="35" t="s">
        <v>387</v>
      </c>
      <c r="P78" s="35" t="s">
        <v>51</v>
      </c>
      <c r="Q78" s="35"/>
      <c r="R78" s="35" t="s">
        <v>237</v>
      </c>
      <c r="S78" s="35" t="s">
        <v>79</v>
      </c>
      <c r="T78" s="35" t="s">
        <v>56</v>
      </c>
      <c r="U78" s="36">
        <v>25</v>
      </c>
      <c r="V78" s="36" t="s">
        <v>231</v>
      </c>
      <c r="W78" s="35" t="s">
        <v>46</v>
      </c>
      <c r="X78" s="29"/>
      <c r="Y78" s="36">
        <v>1500</v>
      </c>
      <c r="Z78" s="24">
        <f t="shared" si="2"/>
        <v>162.51919643342069</v>
      </c>
      <c r="AA78" s="19" t="s">
        <v>214</v>
      </c>
      <c r="AB78" s="36"/>
      <c r="AC78" s="35">
        <v>280</v>
      </c>
      <c r="AD78" s="35">
        <v>280</v>
      </c>
      <c r="AE78" s="35" t="s">
        <v>270</v>
      </c>
      <c r="AF78" s="35" t="s">
        <v>383</v>
      </c>
      <c r="AG78" s="35"/>
      <c r="AH78" s="35" t="s">
        <v>234</v>
      </c>
      <c r="AI78" s="35" t="s">
        <v>385</v>
      </c>
      <c r="AJ78" s="35" t="s">
        <v>270</v>
      </c>
      <c r="AK78" s="35" t="s">
        <v>234</v>
      </c>
      <c r="AL78" s="35" t="s">
        <v>90</v>
      </c>
      <c r="AM78" s="35" t="s">
        <v>386</v>
      </c>
    </row>
    <row r="79" spans="1:39" s="20" customFormat="1" ht="15.95" customHeight="1" x14ac:dyDescent="0.2">
      <c r="A79" s="18"/>
      <c r="B79" s="19">
        <v>194</v>
      </c>
      <c r="D79" s="36">
        <v>20727</v>
      </c>
      <c r="E79" s="36">
        <v>1999</v>
      </c>
      <c r="F79" s="36" t="s">
        <v>1224</v>
      </c>
      <c r="G79" s="35" t="s">
        <v>382</v>
      </c>
      <c r="H79" s="35"/>
      <c r="I79" s="35" t="s">
        <v>41</v>
      </c>
      <c r="J79" s="35" t="s">
        <v>89</v>
      </c>
      <c r="K79" s="35" t="s">
        <v>161</v>
      </c>
      <c r="L79" s="35" t="s">
        <v>82</v>
      </c>
      <c r="M79" s="35" t="s">
        <v>82</v>
      </c>
      <c r="N79" s="35" t="s">
        <v>66</v>
      </c>
      <c r="O79" s="35" t="s">
        <v>387</v>
      </c>
      <c r="P79" s="35" t="s">
        <v>51</v>
      </c>
      <c r="Q79" s="35"/>
      <c r="R79" s="35" t="s">
        <v>237</v>
      </c>
      <c r="S79" s="35" t="s">
        <v>79</v>
      </c>
      <c r="T79" s="35" t="s">
        <v>56</v>
      </c>
      <c r="U79" s="36">
        <v>25</v>
      </c>
      <c r="V79" s="36" t="s">
        <v>231</v>
      </c>
      <c r="W79" s="35" t="s">
        <v>46</v>
      </c>
      <c r="X79" s="29"/>
      <c r="Y79" s="36">
        <v>1500</v>
      </c>
      <c r="Z79" s="24">
        <f t="shared" si="2"/>
        <v>162.51919643342069</v>
      </c>
      <c r="AA79" s="19" t="s">
        <v>214</v>
      </c>
      <c r="AB79" s="36"/>
      <c r="AC79" s="35">
        <v>280</v>
      </c>
      <c r="AD79" s="35">
        <v>280</v>
      </c>
      <c r="AE79" s="35" t="s">
        <v>270</v>
      </c>
      <c r="AF79" s="35" t="s">
        <v>383</v>
      </c>
      <c r="AG79" s="35"/>
      <c r="AH79" s="35" t="s">
        <v>234</v>
      </c>
      <c r="AI79" s="35" t="s">
        <v>385</v>
      </c>
      <c r="AJ79" s="35" t="s">
        <v>270</v>
      </c>
      <c r="AK79" s="35" t="s">
        <v>234</v>
      </c>
      <c r="AL79" s="35" t="s">
        <v>90</v>
      </c>
      <c r="AM79" s="35" t="s">
        <v>386</v>
      </c>
    </row>
    <row r="80" spans="1:39" s="20" customFormat="1" ht="15.95" customHeight="1" x14ac:dyDescent="0.2">
      <c r="A80" s="18"/>
      <c r="B80" s="19">
        <v>194</v>
      </c>
      <c r="D80" s="36">
        <v>20727</v>
      </c>
      <c r="E80" s="36">
        <v>1999</v>
      </c>
      <c r="F80" s="36" t="s">
        <v>1224</v>
      </c>
      <c r="G80" s="35" t="s">
        <v>382</v>
      </c>
      <c r="H80" s="35"/>
      <c r="I80" s="35" t="s">
        <v>41</v>
      </c>
      <c r="J80" s="35" t="s">
        <v>89</v>
      </c>
      <c r="K80" s="35" t="s">
        <v>161</v>
      </c>
      <c r="L80" s="35" t="s">
        <v>82</v>
      </c>
      <c r="M80" s="35" t="s">
        <v>82</v>
      </c>
      <c r="N80" s="35" t="s">
        <v>66</v>
      </c>
      <c r="O80" s="35" t="s">
        <v>387</v>
      </c>
      <c r="P80" s="35" t="s">
        <v>51</v>
      </c>
      <c r="Q80" s="35"/>
      <c r="R80" s="35" t="s">
        <v>237</v>
      </c>
      <c r="S80" s="35" t="s">
        <v>79</v>
      </c>
      <c r="T80" s="35" t="s">
        <v>56</v>
      </c>
      <c r="U80" s="36">
        <v>25</v>
      </c>
      <c r="V80" s="36" t="s">
        <v>231</v>
      </c>
      <c r="W80" s="35" t="s">
        <v>46</v>
      </c>
      <c r="X80" s="29"/>
      <c r="Y80" s="36">
        <v>1700</v>
      </c>
      <c r="Z80" s="24">
        <f t="shared" si="2"/>
        <v>184.18842262454345</v>
      </c>
      <c r="AA80" s="19" t="s">
        <v>214</v>
      </c>
      <c r="AB80" s="36"/>
      <c r="AC80" s="35">
        <v>280</v>
      </c>
      <c r="AD80" s="35">
        <v>280</v>
      </c>
      <c r="AE80" s="35" t="s">
        <v>270</v>
      </c>
      <c r="AF80" s="35" t="s">
        <v>383</v>
      </c>
      <c r="AG80" s="35"/>
      <c r="AH80" s="35" t="s">
        <v>234</v>
      </c>
      <c r="AI80" s="35" t="s">
        <v>385</v>
      </c>
      <c r="AJ80" s="35" t="s">
        <v>270</v>
      </c>
      <c r="AK80" s="35" t="s">
        <v>234</v>
      </c>
      <c r="AL80" s="35" t="s">
        <v>90</v>
      </c>
      <c r="AM80" s="35" t="s">
        <v>386</v>
      </c>
    </row>
    <row r="81" spans="1:78" s="20" customFormat="1" ht="15.95" customHeight="1" x14ac:dyDescent="0.2">
      <c r="A81" s="18"/>
      <c r="B81" s="19">
        <v>194</v>
      </c>
      <c r="D81" s="36">
        <v>20727</v>
      </c>
      <c r="E81" s="36">
        <v>1999</v>
      </c>
      <c r="F81" s="36" t="s">
        <v>1224</v>
      </c>
      <c r="G81" s="35" t="s">
        <v>382</v>
      </c>
      <c r="H81" s="35"/>
      <c r="I81" s="35" t="s">
        <v>41</v>
      </c>
      <c r="J81" s="35" t="s">
        <v>89</v>
      </c>
      <c r="K81" s="35" t="s">
        <v>161</v>
      </c>
      <c r="L81" s="35" t="s">
        <v>82</v>
      </c>
      <c r="M81" s="35" t="s">
        <v>82</v>
      </c>
      <c r="N81" s="35" t="s">
        <v>66</v>
      </c>
      <c r="O81" s="35" t="s">
        <v>387</v>
      </c>
      <c r="P81" s="35" t="s">
        <v>51</v>
      </c>
      <c r="Q81" s="35"/>
      <c r="R81" s="35" t="s">
        <v>237</v>
      </c>
      <c r="S81" s="35" t="s">
        <v>79</v>
      </c>
      <c r="T81" s="35" t="s">
        <v>56</v>
      </c>
      <c r="U81" s="36">
        <v>25</v>
      </c>
      <c r="V81" s="36" t="s">
        <v>231</v>
      </c>
      <c r="W81" s="35" t="s">
        <v>46</v>
      </c>
      <c r="X81" s="29"/>
      <c r="Y81" s="36">
        <v>1500</v>
      </c>
      <c r="Z81" s="24">
        <f t="shared" si="2"/>
        <v>162.51919643342069</v>
      </c>
      <c r="AA81" s="19" t="s">
        <v>214</v>
      </c>
      <c r="AB81" s="36"/>
      <c r="AC81" s="35">
        <v>280</v>
      </c>
      <c r="AD81" s="35">
        <v>280</v>
      </c>
      <c r="AE81" s="35" t="s">
        <v>270</v>
      </c>
      <c r="AF81" s="35" t="s">
        <v>383</v>
      </c>
      <c r="AG81" s="35"/>
      <c r="AH81" s="35" t="s">
        <v>234</v>
      </c>
      <c r="AI81" s="35" t="s">
        <v>385</v>
      </c>
      <c r="AJ81" s="35" t="s">
        <v>270</v>
      </c>
      <c r="AK81" s="35" t="s">
        <v>234</v>
      </c>
      <c r="AL81" s="35" t="s">
        <v>90</v>
      </c>
      <c r="AM81" s="35" t="s">
        <v>386</v>
      </c>
    </row>
    <row r="82" spans="1:78" s="20" customFormat="1" ht="15.95" customHeight="1" x14ac:dyDescent="0.2">
      <c r="A82" s="18"/>
      <c r="B82" s="19">
        <v>194</v>
      </c>
      <c r="D82" s="36">
        <v>20727</v>
      </c>
      <c r="E82" s="36">
        <v>1999</v>
      </c>
      <c r="F82" s="36" t="s">
        <v>1224</v>
      </c>
      <c r="G82" s="35" t="s">
        <v>382</v>
      </c>
      <c r="H82" s="35"/>
      <c r="I82" s="35" t="s">
        <v>41</v>
      </c>
      <c r="J82" s="35" t="s">
        <v>89</v>
      </c>
      <c r="K82" s="35" t="s">
        <v>161</v>
      </c>
      <c r="L82" s="35" t="s">
        <v>82</v>
      </c>
      <c r="M82" s="35" t="s">
        <v>82</v>
      </c>
      <c r="N82" s="35" t="s">
        <v>66</v>
      </c>
      <c r="O82" s="35" t="s">
        <v>387</v>
      </c>
      <c r="P82" s="35" t="s">
        <v>51</v>
      </c>
      <c r="Q82" s="35"/>
      <c r="R82" s="35" t="s">
        <v>237</v>
      </c>
      <c r="S82" s="35" t="s">
        <v>79</v>
      </c>
      <c r="T82" s="35" t="s">
        <v>56</v>
      </c>
      <c r="U82" s="36">
        <v>25</v>
      </c>
      <c r="V82" s="36" t="s">
        <v>231</v>
      </c>
      <c r="W82" s="35" t="s">
        <v>46</v>
      </c>
      <c r="X82" s="29"/>
      <c r="Y82" s="36">
        <v>1050</v>
      </c>
      <c r="Z82" s="24">
        <f t="shared" si="2"/>
        <v>113.76343750339448</v>
      </c>
      <c r="AA82" s="19" t="s">
        <v>214</v>
      </c>
      <c r="AB82" s="36"/>
      <c r="AC82" s="35">
        <v>280</v>
      </c>
      <c r="AD82" s="35">
        <v>280</v>
      </c>
      <c r="AE82" s="35" t="s">
        <v>270</v>
      </c>
      <c r="AF82" s="35" t="s">
        <v>383</v>
      </c>
      <c r="AG82" s="35"/>
      <c r="AH82" s="35" t="s">
        <v>234</v>
      </c>
      <c r="AI82" s="35" t="s">
        <v>385</v>
      </c>
      <c r="AJ82" s="35" t="s">
        <v>270</v>
      </c>
      <c r="AK82" s="35" t="s">
        <v>234</v>
      </c>
      <c r="AL82" s="35" t="s">
        <v>90</v>
      </c>
      <c r="AM82" s="35" t="s">
        <v>386</v>
      </c>
    </row>
    <row r="83" spans="1:78" s="20" customFormat="1" ht="15.95" customHeight="1" x14ac:dyDescent="0.2">
      <c r="A83" s="18"/>
      <c r="B83" s="19">
        <v>194</v>
      </c>
      <c r="D83" s="36">
        <v>20727</v>
      </c>
      <c r="E83" s="36">
        <v>1999</v>
      </c>
      <c r="F83" s="36" t="s">
        <v>1224</v>
      </c>
      <c r="G83" s="35" t="s">
        <v>382</v>
      </c>
      <c r="H83" s="35"/>
      <c r="I83" s="35" t="s">
        <v>41</v>
      </c>
      <c r="J83" s="35" t="s">
        <v>89</v>
      </c>
      <c r="K83" s="35" t="s">
        <v>161</v>
      </c>
      <c r="L83" s="35" t="s">
        <v>82</v>
      </c>
      <c r="M83" s="35" t="s">
        <v>82</v>
      </c>
      <c r="N83" s="35" t="s">
        <v>66</v>
      </c>
      <c r="O83" s="35" t="s">
        <v>387</v>
      </c>
      <c r="P83" s="35" t="s">
        <v>51</v>
      </c>
      <c r="Q83" s="35"/>
      <c r="R83" s="35" t="s">
        <v>237</v>
      </c>
      <c r="S83" s="35" t="s">
        <v>79</v>
      </c>
      <c r="T83" s="35" t="s">
        <v>56</v>
      </c>
      <c r="U83" s="36">
        <v>25</v>
      </c>
      <c r="V83" s="36" t="s">
        <v>231</v>
      </c>
      <c r="W83" s="35" t="s">
        <v>46</v>
      </c>
      <c r="X83" s="29"/>
      <c r="Y83" s="36">
        <v>3000</v>
      </c>
      <c r="Z83" s="24">
        <f t="shared" si="2"/>
        <v>325.03839286684138</v>
      </c>
      <c r="AA83" s="19" t="s">
        <v>214</v>
      </c>
      <c r="AB83" s="36"/>
      <c r="AC83" s="35">
        <v>280</v>
      </c>
      <c r="AD83" s="35">
        <v>280</v>
      </c>
      <c r="AE83" s="35" t="s">
        <v>270</v>
      </c>
      <c r="AF83" s="35" t="s">
        <v>383</v>
      </c>
      <c r="AG83" s="35"/>
      <c r="AH83" s="35" t="s">
        <v>234</v>
      </c>
      <c r="AI83" s="35" t="s">
        <v>385</v>
      </c>
      <c r="AJ83" s="35" t="s">
        <v>270</v>
      </c>
      <c r="AK83" s="35" t="s">
        <v>234</v>
      </c>
      <c r="AL83" s="35" t="s">
        <v>90</v>
      </c>
      <c r="AM83" s="35" t="s">
        <v>386</v>
      </c>
    </row>
    <row r="84" spans="1:78" s="20" customFormat="1" ht="15.95" customHeight="1" x14ac:dyDescent="0.2">
      <c r="A84" s="18"/>
      <c r="B84" s="19">
        <v>194</v>
      </c>
      <c r="D84" s="36">
        <v>20727</v>
      </c>
      <c r="E84" s="36">
        <v>1999</v>
      </c>
      <c r="F84" s="36" t="s">
        <v>1224</v>
      </c>
      <c r="G84" s="35" t="s">
        <v>382</v>
      </c>
      <c r="H84" s="35"/>
      <c r="I84" s="35" t="s">
        <v>41</v>
      </c>
      <c r="J84" s="35" t="s">
        <v>89</v>
      </c>
      <c r="K84" s="35" t="s">
        <v>161</v>
      </c>
      <c r="L84" s="35" t="s">
        <v>82</v>
      </c>
      <c r="M84" s="35" t="s">
        <v>82</v>
      </c>
      <c r="N84" s="35" t="s">
        <v>66</v>
      </c>
      <c r="O84" s="35" t="s">
        <v>387</v>
      </c>
      <c r="P84" s="35" t="s">
        <v>51</v>
      </c>
      <c r="Q84" s="35"/>
      <c r="R84" s="35" t="s">
        <v>237</v>
      </c>
      <c r="S84" s="35" t="s">
        <v>79</v>
      </c>
      <c r="T84" s="35" t="s">
        <v>56</v>
      </c>
      <c r="U84" s="36">
        <v>25</v>
      </c>
      <c r="V84" s="36" t="s">
        <v>231</v>
      </c>
      <c r="W84" s="35" t="s">
        <v>46</v>
      </c>
      <c r="X84" s="29"/>
      <c r="Y84" s="36">
        <v>1000</v>
      </c>
      <c r="Z84" s="24">
        <f t="shared" si="2"/>
        <v>108.34613095561379</v>
      </c>
      <c r="AA84" s="19" t="s">
        <v>214</v>
      </c>
      <c r="AB84" s="36"/>
      <c r="AC84" s="35">
        <v>280</v>
      </c>
      <c r="AD84" s="35">
        <v>280</v>
      </c>
      <c r="AE84" s="35" t="s">
        <v>270</v>
      </c>
      <c r="AF84" s="35" t="s">
        <v>383</v>
      </c>
      <c r="AG84" s="35"/>
      <c r="AH84" s="35" t="s">
        <v>234</v>
      </c>
      <c r="AI84" s="35" t="s">
        <v>385</v>
      </c>
      <c r="AJ84" s="35" t="s">
        <v>270</v>
      </c>
      <c r="AK84" s="35" t="s">
        <v>234</v>
      </c>
      <c r="AL84" s="35" t="s">
        <v>90</v>
      </c>
      <c r="AM84" s="35" t="s">
        <v>386</v>
      </c>
    </row>
    <row r="85" spans="1:78" s="20" customFormat="1" ht="15.95" customHeight="1" x14ac:dyDescent="0.2">
      <c r="A85" s="18"/>
      <c r="B85" s="19">
        <v>194</v>
      </c>
      <c r="D85" s="36">
        <v>20727</v>
      </c>
      <c r="E85" s="36">
        <v>1999</v>
      </c>
      <c r="F85" s="36" t="s">
        <v>1224</v>
      </c>
      <c r="G85" s="35" t="s">
        <v>382</v>
      </c>
      <c r="H85" s="35"/>
      <c r="I85" s="35" t="s">
        <v>41</v>
      </c>
      <c r="J85" s="35" t="s">
        <v>89</v>
      </c>
      <c r="K85" s="35" t="s">
        <v>161</v>
      </c>
      <c r="L85" s="35" t="s">
        <v>82</v>
      </c>
      <c r="M85" s="35" t="s">
        <v>82</v>
      </c>
      <c r="N85" s="35" t="s">
        <v>66</v>
      </c>
      <c r="O85" s="35" t="s">
        <v>387</v>
      </c>
      <c r="P85" s="35" t="s">
        <v>51</v>
      </c>
      <c r="Q85" s="35"/>
      <c r="R85" s="35" t="s">
        <v>237</v>
      </c>
      <c r="S85" s="35" t="s">
        <v>79</v>
      </c>
      <c r="T85" s="35" t="s">
        <v>56</v>
      </c>
      <c r="U85" s="36">
        <v>25</v>
      </c>
      <c r="V85" s="36" t="s">
        <v>231</v>
      </c>
      <c r="W85" s="35" t="s">
        <v>46</v>
      </c>
      <c r="X85" s="29"/>
      <c r="Y85" s="36">
        <v>3300</v>
      </c>
      <c r="Z85" s="24">
        <f t="shared" si="2"/>
        <v>357.5422321535255</v>
      </c>
      <c r="AA85" s="19" t="s">
        <v>214</v>
      </c>
      <c r="AB85" s="36"/>
      <c r="AC85" s="35">
        <v>280</v>
      </c>
      <c r="AD85" s="35">
        <v>280</v>
      </c>
      <c r="AE85" s="35" t="s">
        <v>270</v>
      </c>
      <c r="AF85" s="35" t="s">
        <v>383</v>
      </c>
      <c r="AG85" s="35"/>
      <c r="AH85" s="35" t="s">
        <v>234</v>
      </c>
      <c r="AI85" s="35" t="s">
        <v>385</v>
      </c>
      <c r="AJ85" s="35" t="s">
        <v>270</v>
      </c>
      <c r="AK85" s="35" t="s">
        <v>234</v>
      </c>
      <c r="AL85" s="35" t="s">
        <v>90</v>
      </c>
      <c r="AM85" s="35" t="s">
        <v>386</v>
      </c>
    </row>
    <row r="86" spans="1:78" s="20" customFormat="1" ht="15.95" customHeight="1" x14ac:dyDescent="0.2">
      <c r="A86" s="18"/>
      <c r="B86" s="19">
        <v>194</v>
      </c>
      <c r="D86" s="36">
        <v>20727</v>
      </c>
      <c r="E86" s="36">
        <v>1999</v>
      </c>
      <c r="F86" s="36" t="s">
        <v>1224</v>
      </c>
      <c r="G86" s="35" t="s">
        <v>382</v>
      </c>
      <c r="H86" s="35"/>
      <c r="I86" s="35" t="s">
        <v>41</v>
      </c>
      <c r="J86" s="35" t="s">
        <v>89</v>
      </c>
      <c r="K86" s="35" t="s">
        <v>161</v>
      </c>
      <c r="L86" s="35" t="s">
        <v>82</v>
      </c>
      <c r="M86" s="35" t="s">
        <v>82</v>
      </c>
      <c r="N86" s="35" t="s">
        <v>66</v>
      </c>
      <c r="O86" s="35" t="s">
        <v>387</v>
      </c>
      <c r="P86" s="35" t="s">
        <v>51</v>
      </c>
      <c r="Q86" s="35"/>
      <c r="R86" s="35" t="s">
        <v>237</v>
      </c>
      <c r="S86" s="35" t="s">
        <v>79</v>
      </c>
      <c r="T86" s="35" t="s">
        <v>56</v>
      </c>
      <c r="U86" s="36">
        <v>25</v>
      </c>
      <c r="V86" s="36" t="s">
        <v>231</v>
      </c>
      <c r="W86" s="35" t="s">
        <v>46</v>
      </c>
      <c r="X86" s="29"/>
      <c r="Y86" s="36">
        <v>3300</v>
      </c>
      <c r="Z86" s="24">
        <f t="shared" si="2"/>
        <v>357.5422321535255</v>
      </c>
      <c r="AA86" s="19" t="s">
        <v>214</v>
      </c>
      <c r="AB86" s="36"/>
      <c r="AC86" s="35">
        <v>280</v>
      </c>
      <c r="AD86" s="35">
        <v>280</v>
      </c>
      <c r="AE86" s="35" t="s">
        <v>270</v>
      </c>
      <c r="AF86" s="35" t="s">
        <v>383</v>
      </c>
      <c r="AG86" s="35"/>
      <c r="AH86" s="35" t="s">
        <v>234</v>
      </c>
      <c r="AI86" s="35" t="s">
        <v>385</v>
      </c>
      <c r="AJ86" s="35" t="s">
        <v>270</v>
      </c>
      <c r="AK86" s="35" t="s">
        <v>234</v>
      </c>
      <c r="AL86" s="35" t="s">
        <v>90</v>
      </c>
      <c r="AM86" s="35" t="s">
        <v>386</v>
      </c>
    </row>
    <row r="87" spans="1:78" s="20" customFormat="1" ht="15.95" customHeight="1" x14ac:dyDescent="0.2">
      <c r="A87" s="18"/>
      <c r="B87" s="19">
        <v>194</v>
      </c>
      <c r="D87" s="36">
        <v>20727</v>
      </c>
      <c r="E87" s="36">
        <v>1999</v>
      </c>
      <c r="F87" s="36" t="s">
        <v>1224</v>
      </c>
      <c r="G87" s="35" t="s">
        <v>382</v>
      </c>
      <c r="H87" s="35"/>
      <c r="I87" s="35" t="s">
        <v>41</v>
      </c>
      <c r="J87" s="35" t="s">
        <v>89</v>
      </c>
      <c r="K87" s="35" t="s">
        <v>161</v>
      </c>
      <c r="L87" s="35" t="s">
        <v>82</v>
      </c>
      <c r="M87" s="35" t="s">
        <v>82</v>
      </c>
      <c r="N87" s="35" t="s">
        <v>66</v>
      </c>
      <c r="O87" s="35" t="s">
        <v>387</v>
      </c>
      <c r="P87" s="35" t="s">
        <v>51</v>
      </c>
      <c r="Q87" s="35"/>
      <c r="R87" s="35" t="s">
        <v>237</v>
      </c>
      <c r="S87" s="35" t="s">
        <v>79</v>
      </c>
      <c r="T87" s="35" t="s">
        <v>56</v>
      </c>
      <c r="U87" s="36">
        <v>25</v>
      </c>
      <c r="V87" s="36" t="s">
        <v>231</v>
      </c>
      <c r="W87" s="35" t="s">
        <v>46</v>
      </c>
      <c r="X87" s="29"/>
      <c r="Y87" s="36">
        <v>2800</v>
      </c>
      <c r="Z87" s="24">
        <f t="shared" si="2"/>
        <v>303.36916667571859</v>
      </c>
      <c r="AA87" s="19" t="s">
        <v>214</v>
      </c>
      <c r="AB87" s="36"/>
      <c r="AC87" s="35">
        <v>280</v>
      </c>
      <c r="AD87" s="35">
        <v>280</v>
      </c>
      <c r="AE87" s="35" t="s">
        <v>270</v>
      </c>
      <c r="AF87" s="35" t="s">
        <v>383</v>
      </c>
      <c r="AG87" s="35"/>
      <c r="AH87" s="35" t="s">
        <v>234</v>
      </c>
      <c r="AI87" s="35" t="s">
        <v>385</v>
      </c>
      <c r="AJ87" s="35" t="s">
        <v>270</v>
      </c>
      <c r="AK87" s="35" t="s">
        <v>234</v>
      </c>
      <c r="AL87" s="35" t="s">
        <v>90</v>
      </c>
      <c r="AM87" s="35" t="s">
        <v>386</v>
      </c>
    </row>
    <row r="88" spans="1:78" s="53" customFormat="1" ht="15.95" customHeight="1" x14ac:dyDescent="0.25">
      <c r="A88" s="46"/>
      <c r="B88" s="47"/>
      <c r="C88" s="47"/>
      <c r="D88" s="47"/>
      <c r="E88" s="48"/>
      <c r="F88" s="47"/>
      <c r="G88" s="47"/>
      <c r="H88" s="47"/>
      <c r="I88" s="49"/>
      <c r="J88" s="47"/>
      <c r="K88" s="47"/>
      <c r="L88" s="47"/>
      <c r="M88" s="47"/>
      <c r="N88" s="47"/>
      <c r="O88" s="47"/>
      <c r="P88" s="49"/>
      <c r="Q88" s="47"/>
      <c r="R88" s="47"/>
      <c r="S88" s="47"/>
      <c r="T88" s="47"/>
      <c r="U88" s="47"/>
      <c r="V88" s="47"/>
      <c r="W88" s="47"/>
      <c r="X88" s="50"/>
      <c r="Y88" s="47">
        <f>GEOMEAN(Y52:Y87)</f>
        <v>2085.635244584596</v>
      </c>
      <c r="Z88" s="51"/>
      <c r="AA88" s="47"/>
      <c r="AB88" s="47"/>
      <c r="AC88" s="49"/>
      <c r="AD88" s="49"/>
      <c r="AE88" s="47"/>
      <c r="AF88" s="47"/>
      <c r="AG88" s="47"/>
      <c r="AH88" s="47"/>
      <c r="AI88" s="47"/>
      <c r="AJ88" s="47"/>
      <c r="AK88" s="47"/>
      <c r="AL88" s="47"/>
      <c r="AM88" s="47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  <c r="BM88" s="52"/>
      <c r="BN88" s="52"/>
      <c r="BO88" s="52"/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</row>
    <row r="89" spans="1:78" s="20" customFormat="1" ht="15.95" customHeight="1" x14ac:dyDescent="0.2">
      <c r="A89" s="18"/>
      <c r="B89" s="19">
        <v>194</v>
      </c>
      <c r="D89" s="36">
        <v>20727</v>
      </c>
      <c r="E89" s="36">
        <v>1999</v>
      </c>
      <c r="F89" s="36" t="s">
        <v>1224</v>
      </c>
      <c r="G89" s="35" t="s">
        <v>382</v>
      </c>
      <c r="H89" s="35"/>
      <c r="I89" s="35" t="s">
        <v>41</v>
      </c>
      <c r="J89" s="35" t="s">
        <v>89</v>
      </c>
      <c r="K89" s="35" t="s">
        <v>161</v>
      </c>
      <c r="L89" s="35" t="s">
        <v>82</v>
      </c>
      <c r="M89" s="35" t="s">
        <v>82</v>
      </c>
      <c r="N89" s="35" t="s">
        <v>66</v>
      </c>
      <c r="O89" s="35" t="s">
        <v>387</v>
      </c>
      <c r="P89" s="35" t="s">
        <v>51</v>
      </c>
      <c r="Q89" s="35"/>
      <c r="R89" s="35" t="s">
        <v>237</v>
      </c>
      <c r="S89" s="35" t="s">
        <v>79</v>
      </c>
      <c r="T89" s="35" t="s">
        <v>56</v>
      </c>
      <c r="U89" s="36">
        <v>26</v>
      </c>
      <c r="V89" s="36" t="s">
        <v>231</v>
      </c>
      <c r="W89" s="35" t="s">
        <v>46</v>
      </c>
      <c r="X89" s="29"/>
      <c r="Y89" s="36">
        <v>2900</v>
      </c>
      <c r="Z89" s="24">
        <f t="shared" ref="Z89:Z112" si="3">Y89/((AC89/30)^0.995)</f>
        <v>314.20377977127998</v>
      </c>
      <c r="AA89" s="19" t="s">
        <v>214</v>
      </c>
      <c r="AB89" s="36"/>
      <c r="AC89" s="35">
        <v>280</v>
      </c>
      <c r="AD89" s="35">
        <v>280</v>
      </c>
      <c r="AE89" s="35" t="s">
        <v>270</v>
      </c>
      <c r="AF89" s="35" t="s">
        <v>383</v>
      </c>
      <c r="AG89" s="35"/>
      <c r="AH89" s="35" t="s">
        <v>234</v>
      </c>
      <c r="AI89" s="35" t="s">
        <v>385</v>
      </c>
      <c r="AJ89" s="35" t="s">
        <v>270</v>
      </c>
      <c r="AK89" s="35" t="s">
        <v>234</v>
      </c>
      <c r="AL89" s="35" t="s">
        <v>90</v>
      </c>
      <c r="AM89" s="35" t="s">
        <v>386</v>
      </c>
    </row>
    <row r="90" spans="1:78" s="20" customFormat="1" ht="15.95" customHeight="1" x14ac:dyDescent="0.2">
      <c r="A90" s="18"/>
      <c r="B90" s="19">
        <v>194</v>
      </c>
      <c r="D90" s="36">
        <v>20727</v>
      </c>
      <c r="E90" s="36">
        <v>1999</v>
      </c>
      <c r="F90" s="36" t="s">
        <v>1224</v>
      </c>
      <c r="G90" s="35" t="s">
        <v>382</v>
      </c>
      <c r="H90" s="35"/>
      <c r="I90" s="35" t="s">
        <v>41</v>
      </c>
      <c r="J90" s="35" t="s">
        <v>89</v>
      </c>
      <c r="K90" s="35" t="s">
        <v>161</v>
      </c>
      <c r="L90" s="35" t="s">
        <v>82</v>
      </c>
      <c r="M90" s="35" t="s">
        <v>82</v>
      </c>
      <c r="N90" s="35" t="s">
        <v>66</v>
      </c>
      <c r="O90" s="35" t="s">
        <v>387</v>
      </c>
      <c r="P90" s="35" t="s">
        <v>51</v>
      </c>
      <c r="Q90" s="35"/>
      <c r="R90" s="35" t="s">
        <v>237</v>
      </c>
      <c r="S90" s="35" t="s">
        <v>79</v>
      </c>
      <c r="T90" s="35" t="s">
        <v>56</v>
      </c>
      <c r="U90" s="36">
        <v>26</v>
      </c>
      <c r="V90" s="36" t="s">
        <v>231</v>
      </c>
      <c r="W90" s="35" t="s">
        <v>46</v>
      </c>
      <c r="X90" s="29"/>
      <c r="Y90" s="36">
        <v>2800</v>
      </c>
      <c r="Z90" s="24">
        <f t="shared" si="3"/>
        <v>303.36916667571859</v>
      </c>
      <c r="AA90" s="19" t="s">
        <v>214</v>
      </c>
      <c r="AB90" s="36"/>
      <c r="AC90" s="35">
        <v>280</v>
      </c>
      <c r="AD90" s="35">
        <v>280</v>
      </c>
      <c r="AE90" s="35" t="s">
        <v>270</v>
      </c>
      <c r="AF90" s="35" t="s">
        <v>383</v>
      </c>
      <c r="AG90" s="35"/>
      <c r="AH90" s="35" t="s">
        <v>234</v>
      </c>
      <c r="AI90" s="35" t="s">
        <v>385</v>
      </c>
      <c r="AJ90" s="35" t="s">
        <v>270</v>
      </c>
      <c r="AK90" s="35" t="s">
        <v>234</v>
      </c>
      <c r="AL90" s="35" t="s">
        <v>90</v>
      </c>
      <c r="AM90" s="35" t="s">
        <v>386</v>
      </c>
    </row>
    <row r="91" spans="1:78" s="20" customFormat="1" ht="15.95" customHeight="1" x14ac:dyDescent="0.2">
      <c r="A91" s="18"/>
      <c r="B91" s="19">
        <v>194</v>
      </c>
      <c r="D91" s="36">
        <v>20727</v>
      </c>
      <c r="E91" s="36">
        <v>1999</v>
      </c>
      <c r="F91" s="36" t="s">
        <v>1224</v>
      </c>
      <c r="G91" s="35" t="s">
        <v>382</v>
      </c>
      <c r="H91" s="35"/>
      <c r="I91" s="35" t="s">
        <v>41</v>
      </c>
      <c r="J91" s="35" t="s">
        <v>89</v>
      </c>
      <c r="K91" s="35" t="s">
        <v>161</v>
      </c>
      <c r="L91" s="35" t="s">
        <v>82</v>
      </c>
      <c r="M91" s="35" t="s">
        <v>82</v>
      </c>
      <c r="N91" s="35" t="s">
        <v>66</v>
      </c>
      <c r="O91" s="35" t="s">
        <v>387</v>
      </c>
      <c r="P91" s="35" t="s">
        <v>51</v>
      </c>
      <c r="Q91" s="35"/>
      <c r="R91" s="35" t="s">
        <v>237</v>
      </c>
      <c r="S91" s="35" t="s">
        <v>79</v>
      </c>
      <c r="T91" s="35" t="s">
        <v>56</v>
      </c>
      <c r="U91" s="36">
        <v>26</v>
      </c>
      <c r="V91" s="36" t="s">
        <v>231</v>
      </c>
      <c r="W91" s="35" t="s">
        <v>46</v>
      </c>
      <c r="X91" s="29"/>
      <c r="Y91" s="36">
        <v>2800</v>
      </c>
      <c r="Z91" s="24">
        <f t="shared" si="3"/>
        <v>303.36916667571859</v>
      </c>
      <c r="AA91" s="19" t="s">
        <v>214</v>
      </c>
      <c r="AB91" s="36"/>
      <c r="AC91" s="35">
        <v>280</v>
      </c>
      <c r="AD91" s="35">
        <v>280</v>
      </c>
      <c r="AE91" s="35" t="s">
        <v>270</v>
      </c>
      <c r="AF91" s="35" t="s">
        <v>383</v>
      </c>
      <c r="AG91" s="35"/>
      <c r="AH91" s="35" t="s">
        <v>234</v>
      </c>
      <c r="AI91" s="35" t="s">
        <v>385</v>
      </c>
      <c r="AJ91" s="35" t="s">
        <v>270</v>
      </c>
      <c r="AK91" s="35" t="s">
        <v>234</v>
      </c>
      <c r="AL91" s="35" t="s">
        <v>90</v>
      </c>
      <c r="AM91" s="35" t="s">
        <v>386</v>
      </c>
    </row>
    <row r="92" spans="1:78" s="20" customFormat="1" ht="15.95" customHeight="1" x14ac:dyDescent="0.2">
      <c r="A92" s="18"/>
      <c r="B92" s="19">
        <v>194</v>
      </c>
      <c r="D92" s="36">
        <v>20727</v>
      </c>
      <c r="E92" s="36">
        <v>1999</v>
      </c>
      <c r="F92" s="36" t="s">
        <v>1224</v>
      </c>
      <c r="G92" s="35" t="s">
        <v>382</v>
      </c>
      <c r="H92" s="35"/>
      <c r="I92" s="35" t="s">
        <v>41</v>
      </c>
      <c r="J92" s="35" t="s">
        <v>89</v>
      </c>
      <c r="K92" s="35" t="s">
        <v>161</v>
      </c>
      <c r="L92" s="35" t="s">
        <v>82</v>
      </c>
      <c r="M92" s="35" t="s">
        <v>82</v>
      </c>
      <c r="N92" s="35" t="s">
        <v>66</v>
      </c>
      <c r="O92" s="35" t="s">
        <v>387</v>
      </c>
      <c r="P92" s="35" t="s">
        <v>51</v>
      </c>
      <c r="Q92" s="35"/>
      <c r="R92" s="35" t="s">
        <v>237</v>
      </c>
      <c r="S92" s="35" t="s">
        <v>79</v>
      </c>
      <c r="T92" s="35" t="s">
        <v>56</v>
      </c>
      <c r="U92" s="36">
        <v>26</v>
      </c>
      <c r="V92" s="36" t="s">
        <v>231</v>
      </c>
      <c r="W92" s="35" t="s">
        <v>46</v>
      </c>
      <c r="X92" s="29"/>
      <c r="Y92" s="36">
        <v>1500</v>
      </c>
      <c r="Z92" s="24">
        <f t="shared" si="3"/>
        <v>162.51919643342069</v>
      </c>
      <c r="AA92" s="19" t="s">
        <v>214</v>
      </c>
      <c r="AB92" s="36"/>
      <c r="AC92" s="35">
        <v>280</v>
      </c>
      <c r="AD92" s="35">
        <v>280</v>
      </c>
      <c r="AE92" s="35" t="s">
        <v>270</v>
      </c>
      <c r="AF92" s="35" t="s">
        <v>383</v>
      </c>
      <c r="AG92" s="35"/>
      <c r="AH92" s="35" t="s">
        <v>234</v>
      </c>
      <c r="AI92" s="35" t="s">
        <v>385</v>
      </c>
      <c r="AJ92" s="35" t="s">
        <v>270</v>
      </c>
      <c r="AK92" s="35" t="s">
        <v>234</v>
      </c>
      <c r="AL92" s="35" t="s">
        <v>90</v>
      </c>
      <c r="AM92" s="35" t="s">
        <v>386</v>
      </c>
    </row>
    <row r="93" spans="1:78" s="20" customFormat="1" ht="15.95" customHeight="1" x14ac:dyDescent="0.2">
      <c r="A93" s="18"/>
      <c r="B93" s="19">
        <v>194</v>
      </c>
      <c r="D93" s="36">
        <v>20727</v>
      </c>
      <c r="E93" s="36">
        <v>1999</v>
      </c>
      <c r="F93" s="36" t="s">
        <v>1224</v>
      </c>
      <c r="G93" s="35" t="s">
        <v>382</v>
      </c>
      <c r="H93" s="35"/>
      <c r="I93" s="35" t="s">
        <v>41</v>
      </c>
      <c r="J93" s="35" t="s">
        <v>89</v>
      </c>
      <c r="K93" s="35" t="s">
        <v>161</v>
      </c>
      <c r="L93" s="35" t="s">
        <v>82</v>
      </c>
      <c r="M93" s="35" t="s">
        <v>82</v>
      </c>
      <c r="N93" s="35" t="s">
        <v>66</v>
      </c>
      <c r="O93" s="35" t="s">
        <v>387</v>
      </c>
      <c r="P93" s="35" t="s">
        <v>51</v>
      </c>
      <c r="Q93" s="35"/>
      <c r="R93" s="35" t="s">
        <v>237</v>
      </c>
      <c r="S93" s="35" t="s">
        <v>79</v>
      </c>
      <c r="T93" s="35" t="s">
        <v>56</v>
      </c>
      <c r="U93" s="36">
        <v>26</v>
      </c>
      <c r="V93" s="36" t="s">
        <v>231</v>
      </c>
      <c r="W93" s="35" t="s">
        <v>46</v>
      </c>
      <c r="X93" s="29"/>
      <c r="Y93" s="36">
        <v>3100</v>
      </c>
      <c r="Z93" s="24">
        <f t="shared" si="3"/>
        <v>335.87300596240277</v>
      </c>
      <c r="AA93" s="19" t="s">
        <v>214</v>
      </c>
      <c r="AB93" s="36"/>
      <c r="AC93" s="35">
        <v>280</v>
      </c>
      <c r="AD93" s="35">
        <v>280</v>
      </c>
      <c r="AE93" s="35" t="s">
        <v>270</v>
      </c>
      <c r="AF93" s="35" t="s">
        <v>383</v>
      </c>
      <c r="AG93" s="35"/>
      <c r="AH93" s="35" t="s">
        <v>234</v>
      </c>
      <c r="AI93" s="35" t="s">
        <v>385</v>
      </c>
      <c r="AJ93" s="35" t="s">
        <v>270</v>
      </c>
      <c r="AK93" s="35" t="s">
        <v>234</v>
      </c>
      <c r="AL93" s="35" t="s">
        <v>90</v>
      </c>
      <c r="AM93" s="35" t="s">
        <v>386</v>
      </c>
    </row>
    <row r="94" spans="1:78" s="20" customFormat="1" ht="15.95" customHeight="1" x14ac:dyDescent="0.2">
      <c r="A94" s="18"/>
      <c r="B94" s="19">
        <v>194</v>
      </c>
      <c r="D94" s="36">
        <v>20727</v>
      </c>
      <c r="E94" s="36">
        <v>1999</v>
      </c>
      <c r="F94" s="36" t="s">
        <v>1224</v>
      </c>
      <c r="G94" s="35" t="s">
        <v>382</v>
      </c>
      <c r="H94" s="35"/>
      <c r="I94" s="35" t="s">
        <v>41</v>
      </c>
      <c r="J94" s="35" t="s">
        <v>89</v>
      </c>
      <c r="K94" s="35" t="s">
        <v>161</v>
      </c>
      <c r="L94" s="35" t="s">
        <v>82</v>
      </c>
      <c r="M94" s="35" t="s">
        <v>82</v>
      </c>
      <c r="N94" s="35" t="s">
        <v>66</v>
      </c>
      <c r="O94" s="35" t="s">
        <v>387</v>
      </c>
      <c r="P94" s="35" t="s">
        <v>51</v>
      </c>
      <c r="Q94" s="35"/>
      <c r="R94" s="35" t="s">
        <v>237</v>
      </c>
      <c r="S94" s="35" t="s">
        <v>79</v>
      </c>
      <c r="T94" s="35" t="s">
        <v>56</v>
      </c>
      <c r="U94" s="36">
        <v>26</v>
      </c>
      <c r="V94" s="36" t="s">
        <v>231</v>
      </c>
      <c r="W94" s="35" t="s">
        <v>46</v>
      </c>
      <c r="X94" s="29"/>
      <c r="Y94" s="36">
        <v>1500</v>
      </c>
      <c r="Z94" s="24">
        <f t="shared" si="3"/>
        <v>162.51919643342069</v>
      </c>
      <c r="AA94" s="19" t="s">
        <v>214</v>
      </c>
      <c r="AB94" s="36"/>
      <c r="AC94" s="35">
        <v>280</v>
      </c>
      <c r="AD94" s="35">
        <v>280</v>
      </c>
      <c r="AE94" s="35" t="s">
        <v>270</v>
      </c>
      <c r="AF94" s="35" t="s">
        <v>383</v>
      </c>
      <c r="AG94" s="35"/>
      <c r="AH94" s="35" t="s">
        <v>234</v>
      </c>
      <c r="AI94" s="35" t="s">
        <v>385</v>
      </c>
      <c r="AJ94" s="35" t="s">
        <v>270</v>
      </c>
      <c r="AK94" s="35" t="s">
        <v>234</v>
      </c>
      <c r="AL94" s="35" t="s">
        <v>90</v>
      </c>
      <c r="AM94" s="35" t="s">
        <v>386</v>
      </c>
    </row>
    <row r="95" spans="1:78" s="20" customFormat="1" ht="15.95" customHeight="1" x14ac:dyDescent="0.2">
      <c r="A95" s="18"/>
      <c r="B95" s="19">
        <v>194</v>
      </c>
      <c r="D95" s="36">
        <v>20727</v>
      </c>
      <c r="E95" s="36">
        <v>1999</v>
      </c>
      <c r="F95" s="36" t="s">
        <v>1224</v>
      </c>
      <c r="G95" s="35" t="s">
        <v>382</v>
      </c>
      <c r="H95" s="35"/>
      <c r="I95" s="35" t="s">
        <v>41</v>
      </c>
      <c r="J95" s="35" t="s">
        <v>89</v>
      </c>
      <c r="K95" s="35" t="s">
        <v>161</v>
      </c>
      <c r="L95" s="35" t="s">
        <v>82</v>
      </c>
      <c r="M95" s="35" t="s">
        <v>82</v>
      </c>
      <c r="N95" s="35" t="s">
        <v>66</v>
      </c>
      <c r="O95" s="35" t="s">
        <v>387</v>
      </c>
      <c r="P95" s="35" t="s">
        <v>51</v>
      </c>
      <c r="Q95" s="35"/>
      <c r="R95" s="35" t="s">
        <v>237</v>
      </c>
      <c r="S95" s="35" t="s">
        <v>79</v>
      </c>
      <c r="T95" s="35" t="s">
        <v>56</v>
      </c>
      <c r="U95" s="36">
        <v>26</v>
      </c>
      <c r="V95" s="36" t="s">
        <v>231</v>
      </c>
      <c r="W95" s="35" t="s">
        <v>46</v>
      </c>
      <c r="X95" s="29"/>
      <c r="Y95" s="36">
        <v>1100</v>
      </c>
      <c r="Z95" s="24">
        <f t="shared" si="3"/>
        <v>119.18074405117517</v>
      </c>
      <c r="AA95" s="19" t="s">
        <v>214</v>
      </c>
      <c r="AB95" s="36"/>
      <c r="AC95" s="35">
        <v>280</v>
      </c>
      <c r="AD95" s="35">
        <v>280</v>
      </c>
      <c r="AE95" s="35" t="s">
        <v>270</v>
      </c>
      <c r="AF95" s="35" t="s">
        <v>383</v>
      </c>
      <c r="AG95" s="35"/>
      <c r="AH95" s="35" t="s">
        <v>234</v>
      </c>
      <c r="AI95" s="35" t="s">
        <v>385</v>
      </c>
      <c r="AJ95" s="35" t="s">
        <v>270</v>
      </c>
      <c r="AK95" s="35" t="s">
        <v>234</v>
      </c>
      <c r="AL95" s="35" t="s">
        <v>90</v>
      </c>
      <c r="AM95" s="35" t="s">
        <v>386</v>
      </c>
    </row>
    <row r="96" spans="1:78" s="20" customFormat="1" ht="15.95" customHeight="1" x14ac:dyDescent="0.2">
      <c r="A96" s="18"/>
      <c r="B96" s="19">
        <v>194</v>
      </c>
      <c r="D96" s="36">
        <v>20727</v>
      </c>
      <c r="E96" s="36">
        <v>1999</v>
      </c>
      <c r="F96" s="36" t="s">
        <v>1224</v>
      </c>
      <c r="G96" s="35" t="s">
        <v>382</v>
      </c>
      <c r="H96" s="35"/>
      <c r="I96" s="35" t="s">
        <v>41</v>
      </c>
      <c r="J96" s="35" t="s">
        <v>89</v>
      </c>
      <c r="K96" s="35" t="s">
        <v>161</v>
      </c>
      <c r="L96" s="35" t="s">
        <v>82</v>
      </c>
      <c r="M96" s="35" t="s">
        <v>82</v>
      </c>
      <c r="N96" s="35" t="s">
        <v>66</v>
      </c>
      <c r="O96" s="35" t="s">
        <v>387</v>
      </c>
      <c r="P96" s="35" t="s">
        <v>51</v>
      </c>
      <c r="Q96" s="35"/>
      <c r="R96" s="35" t="s">
        <v>237</v>
      </c>
      <c r="S96" s="35" t="s">
        <v>79</v>
      </c>
      <c r="T96" s="35" t="s">
        <v>56</v>
      </c>
      <c r="U96" s="36">
        <v>26</v>
      </c>
      <c r="V96" s="36" t="s">
        <v>231</v>
      </c>
      <c r="W96" s="35" t="s">
        <v>46</v>
      </c>
      <c r="X96" s="29"/>
      <c r="Y96" s="36">
        <v>1500</v>
      </c>
      <c r="Z96" s="24">
        <f t="shared" si="3"/>
        <v>162.51919643342069</v>
      </c>
      <c r="AA96" s="19" t="s">
        <v>214</v>
      </c>
      <c r="AB96" s="36"/>
      <c r="AC96" s="35">
        <v>280</v>
      </c>
      <c r="AD96" s="35">
        <v>280</v>
      </c>
      <c r="AE96" s="35" t="s">
        <v>270</v>
      </c>
      <c r="AF96" s="35" t="s">
        <v>383</v>
      </c>
      <c r="AG96" s="35"/>
      <c r="AH96" s="35" t="s">
        <v>234</v>
      </c>
      <c r="AI96" s="35" t="s">
        <v>385</v>
      </c>
      <c r="AJ96" s="35" t="s">
        <v>270</v>
      </c>
      <c r="AK96" s="35" t="s">
        <v>234</v>
      </c>
      <c r="AL96" s="35" t="s">
        <v>90</v>
      </c>
      <c r="AM96" s="35" t="s">
        <v>386</v>
      </c>
    </row>
    <row r="97" spans="1:78" s="20" customFormat="1" ht="15.95" customHeight="1" x14ac:dyDescent="0.2">
      <c r="A97" s="18"/>
      <c r="B97" s="19">
        <v>194</v>
      </c>
      <c r="D97" s="36">
        <v>20727</v>
      </c>
      <c r="E97" s="36">
        <v>1999</v>
      </c>
      <c r="F97" s="36" t="s">
        <v>1224</v>
      </c>
      <c r="G97" s="35" t="s">
        <v>382</v>
      </c>
      <c r="H97" s="35"/>
      <c r="I97" s="35" t="s">
        <v>41</v>
      </c>
      <c r="J97" s="35" t="s">
        <v>89</v>
      </c>
      <c r="K97" s="35" t="s">
        <v>161</v>
      </c>
      <c r="L97" s="35" t="s">
        <v>82</v>
      </c>
      <c r="M97" s="35" t="s">
        <v>82</v>
      </c>
      <c r="N97" s="35" t="s">
        <v>66</v>
      </c>
      <c r="O97" s="35" t="s">
        <v>387</v>
      </c>
      <c r="P97" s="35" t="s">
        <v>51</v>
      </c>
      <c r="Q97" s="35"/>
      <c r="R97" s="35" t="s">
        <v>237</v>
      </c>
      <c r="S97" s="35" t="s">
        <v>79</v>
      </c>
      <c r="T97" s="35" t="s">
        <v>56</v>
      </c>
      <c r="U97" s="36">
        <v>26</v>
      </c>
      <c r="V97" s="36" t="s">
        <v>231</v>
      </c>
      <c r="W97" s="35" t="s">
        <v>46</v>
      </c>
      <c r="X97" s="29"/>
      <c r="Y97" s="36">
        <v>950</v>
      </c>
      <c r="Z97" s="24">
        <f t="shared" si="3"/>
        <v>102.9288244078331</v>
      </c>
      <c r="AA97" s="19" t="s">
        <v>214</v>
      </c>
      <c r="AB97" s="36"/>
      <c r="AC97" s="35">
        <v>280</v>
      </c>
      <c r="AD97" s="35">
        <v>280</v>
      </c>
      <c r="AE97" s="35" t="s">
        <v>270</v>
      </c>
      <c r="AF97" s="35" t="s">
        <v>383</v>
      </c>
      <c r="AG97" s="35"/>
      <c r="AH97" s="35" t="s">
        <v>234</v>
      </c>
      <c r="AI97" s="35" t="s">
        <v>385</v>
      </c>
      <c r="AJ97" s="35" t="s">
        <v>270</v>
      </c>
      <c r="AK97" s="35" t="s">
        <v>234</v>
      </c>
      <c r="AL97" s="35" t="s">
        <v>90</v>
      </c>
      <c r="AM97" s="35" t="s">
        <v>386</v>
      </c>
    </row>
    <row r="98" spans="1:78" s="20" customFormat="1" ht="15.95" customHeight="1" x14ac:dyDescent="0.2">
      <c r="A98" s="18"/>
      <c r="B98" s="19">
        <v>194</v>
      </c>
      <c r="D98" s="36">
        <v>20727</v>
      </c>
      <c r="E98" s="36">
        <v>1999</v>
      </c>
      <c r="F98" s="36" t="s">
        <v>1224</v>
      </c>
      <c r="G98" s="35" t="s">
        <v>382</v>
      </c>
      <c r="H98" s="35"/>
      <c r="I98" s="35" t="s">
        <v>41</v>
      </c>
      <c r="J98" s="35" t="s">
        <v>89</v>
      </c>
      <c r="K98" s="35" t="s">
        <v>161</v>
      </c>
      <c r="L98" s="35" t="s">
        <v>82</v>
      </c>
      <c r="M98" s="35" t="s">
        <v>82</v>
      </c>
      <c r="N98" s="35" t="s">
        <v>66</v>
      </c>
      <c r="O98" s="35" t="s">
        <v>387</v>
      </c>
      <c r="P98" s="35" t="s">
        <v>51</v>
      </c>
      <c r="Q98" s="35"/>
      <c r="R98" s="35" t="s">
        <v>237</v>
      </c>
      <c r="S98" s="35" t="s">
        <v>79</v>
      </c>
      <c r="T98" s="35" t="s">
        <v>56</v>
      </c>
      <c r="U98" s="36">
        <v>26</v>
      </c>
      <c r="V98" s="36" t="s">
        <v>231</v>
      </c>
      <c r="W98" s="35" t="s">
        <v>46</v>
      </c>
      <c r="X98" s="29"/>
      <c r="Y98" s="36">
        <v>2800</v>
      </c>
      <c r="Z98" s="24">
        <f t="shared" si="3"/>
        <v>303.36916667571859</v>
      </c>
      <c r="AA98" s="19" t="s">
        <v>214</v>
      </c>
      <c r="AB98" s="36"/>
      <c r="AC98" s="35">
        <v>280</v>
      </c>
      <c r="AD98" s="35">
        <v>280</v>
      </c>
      <c r="AE98" s="35" t="s">
        <v>270</v>
      </c>
      <c r="AF98" s="35" t="s">
        <v>383</v>
      </c>
      <c r="AG98" s="35"/>
      <c r="AH98" s="35" t="s">
        <v>234</v>
      </c>
      <c r="AI98" s="35" t="s">
        <v>385</v>
      </c>
      <c r="AJ98" s="35" t="s">
        <v>270</v>
      </c>
      <c r="AK98" s="35" t="s">
        <v>234</v>
      </c>
      <c r="AL98" s="35" t="s">
        <v>90</v>
      </c>
      <c r="AM98" s="35" t="s">
        <v>386</v>
      </c>
    </row>
    <row r="99" spans="1:78" s="20" customFormat="1" ht="15.95" customHeight="1" x14ac:dyDescent="0.2">
      <c r="A99" s="18"/>
      <c r="B99" s="19">
        <v>194</v>
      </c>
      <c r="D99" s="36">
        <v>20727</v>
      </c>
      <c r="E99" s="36">
        <v>1999</v>
      </c>
      <c r="F99" s="36" t="s">
        <v>1224</v>
      </c>
      <c r="G99" s="35" t="s">
        <v>382</v>
      </c>
      <c r="H99" s="35"/>
      <c r="I99" s="35" t="s">
        <v>41</v>
      </c>
      <c r="J99" s="35" t="s">
        <v>89</v>
      </c>
      <c r="K99" s="35" t="s">
        <v>161</v>
      </c>
      <c r="L99" s="35" t="s">
        <v>82</v>
      </c>
      <c r="M99" s="35" t="s">
        <v>82</v>
      </c>
      <c r="N99" s="35" t="s">
        <v>66</v>
      </c>
      <c r="O99" s="35" t="s">
        <v>387</v>
      </c>
      <c r="P99" s="35" t="s">
        <v>51</v>
      </c>
      <c r="Q99" s="35"/>
      <c r="R99" s="35" t="s">
        <v>237</v>
      </c>
      <c r="S99" s="35" t="s">
        <v>79</v>
      </c>
      <c r="T99" s="35" t="s">
        <v>56</v>
      </c>
      <c r="U99" s="36">
        <v>26</v>
      </c>
      <c r="V99" s="36" t="s">
        <v>231</v>
      </c>
      <c r="W99" s="35" t="s">
        <v>46</v>
      </c>
      <c r="X99" s="29"/>
      <c r="Y99" s="36">
        <v>1300</v>
      </c>
      <c r="Z99" s="24">
        <f t="shared" si="3"/>
        <v>140.84997024229793</v>
      </c>
      <c r="AA99" s="19" t="s">
        <v>214</v>
      </c>
      <c r="AB99" s="36"/>
      <c r="AC99" s="35">
        <v>280</v>
      </c>
      <c r="AD99" s="35">
        <v>280</v>
      </c>
      <c r="AE99" s="35" t="s">
        <v>270</v>
      </c>
      <c r="AF99" s="35" t="s">
        <v>383</v>
      </c>
      <c r="AG99" s="35"/>
      <c r="AH99" s="35" t="s">
        <v>234</v>
      </c>
      <c r="AI99" s="35" t="s">
        <v>385</v>
      </c>
      <c r="AJ99" s="35" t="s">
        <v>270</v>
      </c>
      <c r="AK99" s="35" t="s">
        <v>234</v>
      </c>
      <c r="AL99" s="35" t="s">
        <v>90</v>
      </c>
      <c r="AM99" s="35" t="s">
        <v>386</v>
      </c>
    </row>
    <row r="100" spans="1:78" s="20" customFormat="1" ht="15.95" customHeight="1" x14ac:dyDescent="0.25">
      <c r="A100" s="18"/>
      <c r="B100" s="19">
        <v>194</v>
      </c>
      <c r="D100" s="36">
        <v>20727</v>
      </c>
      <c r="E100" s="36">
        <v>1999</v>
      </c>
      <c r="F100" s="36" t="s">
        <v>1224</v>
      </c>
      <c r="G100" s="35" t="s">
        <v>382</v>
      </c>
      <c r="H100" s="35"/>
      <c r="I100" s="35" t="s">
        <v>41</v>
      </c>
      <c r="J100" s="35" t="s">
        <v>89</v>
      </c>
      <c r="K100" s="35" t="s">
        <v>161</v>
      </c>
      <c r="L100" s="35" t="s">
        <v>82</v>
      </c>
      <c r="M100" s="35" t="s">
        <v>82</v>
      </c>
      <c r="N100" s="35" t="s">
        <v>66</v>
      </c>
      <c r="O100" s="35" t="s">
        <v>387</v>
      </c>
      <c r="P100" s="35" t="s">
        <v>51</v>
      </c>
      <c r="Q100" s="35"/>
      <c r="R100" s="35" t="s">
        <v>237</v>
      </c>
      <c r="S100" s="35" t="s">
        <v>79</v>
      </c>
      <c r="T100" s="35" t="s">
        <v>56</v>
      </c>
      <c r="U100" s="36">
        <v>26</v>
      </c>
      <c r="V100" s="36" t="s">
        <v>231</v>
      </c>
      <c r="W100" s="35" t="s">
        <v>46</v>
      </c>
      <c r="X100" s="29"/>
      <c r="Y100" s="36">
        <v>950</v>
      </c>
      <c r="Z100" s="24">
        <f t="shared" si="3"/>
        <v>102.9288244078331</v>
      </c>
      <c r="AA100" s="19" t="s">
        <v>214</v>
      </c>
      <c r="AB100" s="36"/>
      <c r="AC100" s="35">
        <v>280</v>
      </c>
      <c r="AD100" s="35">
        <v>280</v>
      </c>
      <c r="AE100" s="35" t="s">
        <v>270</v>
      </c>
      <c r="AF100" s="35" t="s">
        <v>383</v>
      </c>
      <c r="AG100" s="35"/>
      <c r="AH100" s="35" t="s">
        <v>234</v>
      </c>
      <c r="AI100" s="35" t="s">
        <v>385</v>
      </c>
      <c r="AJ100" s="35" t="s">
        <v>270</v>
      </c>
      <c r="AK100" s="35" t="s">
        <v>234</v>
      </c>
      <c r="AL100" s="35" t="s">
        <v>90</v>
      </c>
      <c r="AM100" s="35" t="s">
        <v>386</v>
      </c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20" customFormat="1" ht="15.95" customHeight="1" x14ac:dyDescent="0.25">
      <c r="A101" s="18"/>
      <c r="B101" s="19">
        <v>194</v>
      </c>
      <c r="C101" s="19"/>
      <c r="D101" s="19">
        <v>20727</v>
      </c>
      <c r="E101" s="36">
        <v>1999</v>
      </c>
      <c r="F101" s="19" t="s">
        <v>1224</v>
      </c>
      <c r="G101" s="19" t="s">
        <v>382</v>
      </c>
      <c r="H101" s="19"/>
      <c r="I101" s="35" t="s">
        <v>41</v>
      </c>
      <c r="J101" s="19" t="s">
        <v>89</v>
      </c>
      <c r="K101" s="19" t="s">
        <v>161</v>
      </c>
      <c r="L101" s="19" t="s">
        <v>82</v>
      </c>
      <c r="M101" s="19" t="s">
        <v>82</v>
      </c>
      <c r="N101" s="19" t="s">
        <v>66</v>
      </c>
      <c r="O101" s="19" t="s">
        <v>387</v>
      </c>
      <c r="P101" s="35" t="s">
        <v>51</v>
      </c>
      <c r="Q101" s="19"/>
      <c r="R101" s="19" t="s">
        <v>237</v>
      </c>
      <c r="S101" s="19" t="s">
        <v>79</v>
      </c>
      <c r="T101" s="19" t="s">
        <v>56</v>
      </c>
      <c r="U101" s="36">
        <v>26</v>
      </c>
      <c r="V101" s="19" t="s">
        <v>231</v>
      </c>
      <c r="W101" s="19" t="s">
        <v>46</v>
      </c>
      <c r="X101" s="29"/>
      <c r="Y101" s="19">
        <v>1500</v>
      </c>
      <c r="Z101" s="24">
        <f t="shared" si="3"/>
        <v>162.51919643342069</v>
      </c>
      <c r="AA101" s="19" t="s">
        <v>214</v>
      </c>
      <c r="AB101" s="19"/>
      <c r="AC101" s="35">
        <v>280</v>
      </c>
      <c r="AD101" s="35">
        <v>280</v>
      </c>
      <c r="AE101" s="19" t="s">
        <v>270</v>
      </c>
      <c r="AF101" s="19" t="s">
        <v>383</v>
      </c>
      <c r="AG101" s="19"/>
      <c r="AH101" s="19" t="s">
        <v>234</v>
      </c>
      <c r="AI101" s="19" t="s">
        <v>385</v>
      </c>
      <c r="AJ101" s="19" t="s">
        <v>270</v>
      </c>
      <c r="AK101" s="19" t="s">
        <v>234</v>
      </c>
      <c r="AL101" s="19" t="s">
        <v>90</v>
      </c>
      <c r="AM101" s="19" t="s">
        <v>386</v>
      </c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20" customFormat="1" ht="15.95" customHeight="1" x14ac:dyDescent="0.25">
      <c r="A102" s="18"/>
      <c r="B102" s="19">
        <v>194</v>
      </c>
      <c r="C102" s="19"/>
      <c r="D102" s="19">
        <v>20727</v>
      </c>
      <c r="E102" s="36">
        <v>1999</v>
      </c>
      <c r="F102" s="19" t="s">
        <v>1224</v>
      </c>
      <c r="G102" s="19" t="s">
        <v>382</v>
      </c>
      <c r="H102" s="19"/>
      <c r="I102" s="35" t="s">
        <v>41</v>
      </c>
      <c r="J102" s="19" t="s">
        <v>89</v>
      </c>
      <c r="K102" s="19" t="s">
        <v>161</v>
      </c>
      <c r="L102" s="19" t="s">
        <v>82</v>
      </c>
      <c r="M102" s="19" t="s">
        <v>82</v>
      </c>
      <c r="N102" s="19" t="s">
        <v>66</v>
      </c>
      <c r="O102" s="19" t="s">
        <v>387</v>
      </c>
      <c r="P102" s="35" t="s">
        <v>51</v>
      </c>
      <c r="Q102" s="19"/>
      <c r="R102" s="19" t="s">
        <v>237</v>
      </c>
      <c r="S102" s="19" t="s">
        <v>79</v>
      </c>
      <c r="T102" s="19" t="s">
        <v>56</v>
      </c>
      <c r="U102" s="36">
        <v>26</v>
      </c>
      <c r="V102" s="19" t="s">
        <v>231</v>
      </c>
      <c r="W102" s="19" t="s">
        <v>46</v>
      </c>
      <c r="X102" s="29"/>
      <c r="Y102" s="19">
        <v>2900</v>
      </c>
      <c r="Z102" s="24">
        <f t="shared" si="3"/>
        <v>314.20377977127998</v>
      </c>
      <c r="AA102" s="19" t="s">
        <v>214</v>
      </c>
      <c r="AB102" s="19"/>
      <c r="AC102" s="35">
        <v>280</v>
      </c>
      <c r="AD102" s="35">
        <v>280</v>
      </c>
      <c r="AE102" s="19" t="s">
        <v>270</v>
      </c>
      <c r="AF102" s="19" t="s">
        <v>383</v>
      </c>
      <c r="AG102" s="19"/>
      <c r="AH102" s="19" t="s">
        <v>234</v>
      </c>
      <c r="AI102" s="19" t="s">
        <v>385</v>
      </c>
      <c r="AJ102" s="19" t="s">
        <v>270</v>
      </c>
      <c r="AK102" s="19" t="s">
        <v>234</v>
      </c>
      <c r="AL102" s="19" t="s">
        <v>90</v>
      </c>
      <c r="AM102" s="19" t="s">
        <v>386</v>
      </c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20" customFormat="1" ht="15.95" customHeight="1" x14ac:dyDescent="0.25">
      <c r="A103" s="18"/>
      <c r="B103" s="19">
        <v>194</v>
      </c>
      <c r="C103" s="19"/>
      <c r="D103" s="19">
        <v>20727</v>
      </c>
      <c r="E103" s="36">
        <v>1999</v>
      </c>
      <c r="F103" s="19" t="s">
        <v>1224</v>
      </c>
      <c r="G103" s="19" t="s">
        <v>382</v>
      </c>
      <c r="H103" s="19"/>
      <c r="I103" s="35" t="s">
        <v>41</v>
      </c>
      <c r="J103" s="19" t="s">
        <v>89</v>
      </c>
      <c r="K103" s="19" t="s">
        <v>161</v>
      </c>
      <c r="L103" s="19" t="s">
        <v>82</v>
      </c>
      <c r="M103" s="19" t="s">
        <v>82</v>
      </c>
      <c r="N103" s="19" t="s">
        <v>66</v>
      </c>
      <c r="O103" s="19" t="s">
        <v>387</v>
      </c>
      <c r="P103" s="35" t="s">
        <v>51</v>
      </c>
      <c r="Q103" s="19"/>
      <c r="R103" s="19" t="s">
        <v>237</v>
      </c>
      <c r="S103" s="19" t="s">
        <v>79</v>
      </c>
      <c r="T103" s="19" t="s">
        <v>56</v>
      </c>
      <c r="U103" s="19">
        <v>26</v>
      </c>
      <c r="V103" s="19" t="s">
        <v>231</v>
      </c>
      <c r="W103" s="19" t="s">
        <v>46</v>
      </c>
      <c r="X103" s="29"/>
      <c r="Y103" s="19">
        <v>1100</v>
      </c>
      <c r="Z103" s="24">
        <f t="shared" si="3"/>
        <v>119.18074405117517</v>
      </c>
      <c r="AA103" s="19" t="s">
        <v>214</v>
      </c>
      <c r="AB103" s="19"/>
      <c r="AC103" s="35">
        <v>280</v>
      </c>
      <c r="AD103" s="35">
        <v>280</v>
      </c>
      <c r="AE103" s="19" t="s">
        <v>270</v>
      </c>
      <c r="AF103" s="19" t="s">
        <v>383</v>
      </c>
      <c r="AG103" s="19"/>
      <c r="AH103" s="19" t="s">
        <v>234</v>
      </c>
      <c r="AI103" s="19" t="s">
        <v>385</v>
      </c>
      <c r="AJ103" s="19" t="s">
        <v>270</v>
      </c>
      <c r="AK103" s="19" t="s">
        <v>234</v>
      </c>
      <c r="AL103" s="19" t="s">
        <v>90</v>
      </c>
      <c r="AM103" s="19" t="s">
        <v>386</v>
      </c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20" customFormat="1" ht="15.95" customHeight="1" x14ac:dyDescent="0.25">
      <c r="A104" s="18"/>
      <c r="B104" s="19">
        <v>194</v>
      </c>
      <c r="C104" s="19"/>
      <c r="D104" s="19">
        <v>20727</v>
      </c>
      <c r="E104" s="36">
        <v>1999</v>
      </c>
      <c r="F104" s="19" t="s">
        <v>1224</v>
      </c>
      <c r="G104" s="19" t="s">
        <v>382</v>
      </c>
      <c r="H104" s="19"/>
      <c r="I104" s="35" t="s">
        <v>41</v>
      </c>
      <c r="J104" s="19" t="s">
        <v>89</v>
      </c>
      <c r="K104" s="19" t="s">
        <v>161</v>
      </c>
      <c r="L104" s="19" t="s">
        <v>82</v>
      </c>
      <c r="M104" s="19" t="s">
        <v>82</v>
      </c>
      <c r="N104" s="19" t="s">
        <v>66</v>
      </c>
      <c r="O104" s="19" t="s">
        <v>387</v>
      </c>
      <c r="P104" s="35" t="s">
        <v>51</v>
      </c>
      <c r="Q104" s="19"/>
      <c r="R104" s="19" t="s">
        <v>237</v>
      </c>
      <c r="S104" s="19" t="s">
        <v>79</v>
      </c>
      <c r="T104" s="19" t="s">
        <v>56</v>
      </c>
      <c r="U104" s="19">
        <v>26</v>
      </c>
      <c r="V104" s="19" t="s">
        <v>231</v>
      </c>
      <c r="W104" s="19" t="s">
        <v>46</v>
      </c>
      <c r="X104" s="29"/>
      <c r="Y104" s="19">
        <v>2900</v>
      </c>
      <c r="Z104" s="24">
        <f t="shared" si="3"/>
        <v>314.20377977127998</v>
      </c>
      <c r="AA104" s="19" t="s">
        <v>214</v>
      </c>
      <c r="AB104" s="19"/>
      <c r="AC104" s="35">
        <v>280</v>
      </c>
      <c r="AD104" s="35">
        <v>280</v>
      </c>
      <c r="AE104" s="19" t="s">
        <v>270</v>
      </c>
      <c r="AF104" s="19" t="s">
        <v>383</v>
      </c>
      <c r="AG104" s="19"/>
      <c r="AH104" s="19" t="s">
        <v>234</v>
      </c>
      <c r="AI104" s="19" t="s">
        <v>385</v>
      </c>
      <c r="AJ104" s="19" t="s">
        <v>270</v>
      </c>
      <c r="AK104" s="19" t="s">
        <v>234</v>
      </c>
      <c r="AL104" s="19" t="s">
        <v>90</v>
      </c>
      <c r="AM104" s="19" t="s">
        <v>386</v>
      </c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20" customFormat="1" ht="15.95" customHeight="1" x14ac:dyDescent="0.25">
      <c r="A105" s="18"/>
      <c r="B105" s="19">
        <v>194</v>
      </c>
      <c r="C105" s="19"/>
      <c r="D105" s="19">
        <v>20727</v>
      </c>
      <c r="E105" s="36">
        <v>1999</v>
      </c>
      <c r="F105" s="19" t="s">
        <v>1224</v>
      </c>
      <c r="G105" s="19" t="s">
        <v>382</v>
      </c>
      <c r="H105" s="19"/>
      <c r="I105" s="35" t="s">
        <v>41</v>
      </c>
      <c r="J105" s="19" t="s">
        <v>89</v>
      </c>
      <c r="K105" s="19" t="s">
        <v>161</v>
      </c>
      <c r="L105" s="19" t="s">
        <v>82</v>
      </c>
      <c r="M105" s="19" t="s">
        <v>82</v>
      </c>
      <c r="N105" s="19" t="s">
        <v>66</v>
      </c>
      <c r="O105" s="19" t="s">
        <v>387</v>
      </c>
      <c r="P105" s="35" t="s">
        <v>51</v>
      </c>
      <c r="Q105" s="19"/>
      <c r="R105" s="19" t="s">
        <v>237</v>
      </c>
      <c r="S105" s="19" t="s">
        <v>79</v>
      </c>
      <c r="T105" s="19" t="s">
        <v>56</v>
      </c>
      <c r="U105" s="19">
        <v>26</v>
      </c>
      <c r="V105" s="19" t="s">
        <v>231</v>
      </c>
      <c r="W105" s="19" t="s">
        <v>46</v>
      </c>
      <c r="X105" s="29"/>
      <c r="Y105" s="19">
        <v>2700</v>
      </c>
      <c r="Z105" s="24">
        <f t="shared" si="3"/>
        <v>292.53455358015725</v>
      </c>
      <c r="AA105" s="19" t="s">
        <v>214</v>
      </c>
      <c r="AB105" s="19"/>
      <c r="AC105" s="35">
        <v>280</v>
      </c>
      <c r="AD105" s="35">
        <v>280</v>
      </c>
      <c r="AE105" s="19" t="s">
        <v>270</v>
      </c>
      <c r="AF105" s="19" t="s">
        <v>383</v>
      </c>
      <c r="AG105" s="19"/>
      <c r="AH105" s="19" t="s">
        <v>234</v>
      </c>
      <c r="AI105" s="19" t="s">
        <v>385</v>
      </c>
      <c r="AJ105" s="19" t="s">
        <v>270</v>
      </c>
      <c r="AK105" s="19" t="s">
        <v>234</v>
      </c>
      <c r="AL105" s="19" t="s">
        <v>90</v>
      </c>
      <c r="AM105" s="19" t="s">
        <v>386</v>
      </c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20" customFormat="1" ht="15.95" customHeight="1" x14ac:dyDescent="0.25">
      <c r="A106" s="18"/>
      <c r="B106" s="19">
        <v>194</v>
      </c>
      <c r="C106" s="19"/>
      <c r="D106" s="19">
        <v>20727</v>
      </c>
      <c r="E106" s="36">
        <v>1999</v>
      </c>
      <c r="F106" s="19" t="s">
        <v>1224</v>
      </c>
      <c r="G106" s="19" t="s">
        <v>382</v>
      </c>
      <c r="H106" s="19"/>
      <c r="I106" s="35" t="s">
        <v>41</v>
      </c>
      <c r="J106" s="19" t="s">
        <v>89</v>
      </c>
      <c r="K106" s="19" t="s">
        <v>161</v>
      </c>
      <c r="L106" s="19" t="s">
        <v>82</v>
      </c>
      <c r="M106" s="19" t="s">
        <v>82</v>
      </c>
      <c r="N106" s="19" t="s">
        <v>66</v>
      </c>
      <c r="O106" s="19" t="s">
        <v>387</v>
      </c>
      <c r="P106" s="35" t="s">
        <v>51</v>
      </c>
      <c r="Q106" s="19"/>
      <c r="R106" s="19" t="s">
        <v>237</v>
      </c>
      <c r="S106" s="19" t="s">
        <v>79</v>
      </c>
      <c r="T106" s="19" t="s">
        <v>56</v>
      </c>
      <c r="U106" s="19">
        <v>26</v>
      </c>
      <c r="V106" s="19" t="s">
        <v>231</v>
      </c>
      <c r="W106" s="19" t="s">
        <v>46</v>
      </c>
      <c r="X106" s="29"/>
      <c r="Y106" s="19">
        <v>1000</v>
      </c>
      <c r="Z106" s="24">
        <f t="shared" si="3"/>
        <v>108.34613095561379</v>
      </c>
      <c r="AA106" s="19" t="s">
        <v>214</v>
      </c>
      <c r="AB106" s="19"/>
      <c r="AC106" s="35">
        <v>280</v>
      </c>
      <c r="AD106" s="35">
        <v>280</v>
      </c>
      <c r="AE106" s="19" t="s">
        <v>270</v>
      </c>
      <c r="AF106" s="19" t="s">
        <v>383</v>
      </c>
      <c r="AG106" s="19"/>
      <c r="AH106" s="19" t="s">
        <v>234</v>
      </c>
      <c r="AI106" s="19" t="s">
        <v>385</v>
      </c>
      <c r="AJ106" s="19" t="s">
        <v>270</v>
      </c>
      <c r="AK106" s="19" t="s">
        <v>234</v>
      </c>
      <c r="AL106" s="19" t="s">
        <v>90</v>
      </c>
      <c r="AM106" s="19" t="s">
        <v>386</v>
      </c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20" customFormat="1" ht="15.95" customHeight="1" x14ac:dyDescent="0.25">
      <c r="A107" s="18"/>
      <c r="B107" s="19">
        <v>194</v>
      </c>
      <c r="C107" s="19"/>
      <c r="D107" s="19">
        <v>20727</v>
      </c>
      <c r="E107" s="36">
        <v>1999</v>
      </c>
      <c r="F107" s="19" t="s">
        <v>1224</v>
      </c>
      <c r="G107" s="19" t="s">
        <v>382</v>
      </c>
      <c r="H107" s="19"/>
      <c r="I107" s="35" t="s">
        <v>41</v>
      </c>
      <c r="J107" s="19" t="s">
        <v>89</v>
      </c>
      <c r="K107" s="19" t="s">
        <v>161</v>
      </c>
      <c r="L107" s="19" t="s">
        <v>82</v>
      </c>
      <c r="M107" s="19" t="s">
        <v>82</v>
      </c>
      <c r="N107" s="19" t="s">
        <v>66</v>
      </c>
      <c r="O107" s="19" t="s">
        <v>387</v>
      </c>
      <c r="P107" s="35" t="s">
        <v>51</v>
      </c>
      <c r="Q107" s="19"/>
      <c r="R107" s="19" t="s">
        <v>237</v>
      </c>
      <c r="S107" s="19" t="s">
        <v>79</v>
      </c>
      <c r="T107" s="19" t="s">
        <v>56</v>
      </c>
      <c r="U107" s="19">
        <v>26</v>
      </c>
      <c r="V107" s="19" t="s">
        <v>231</v>
      </c>
      <c r="W107" s="19" t="s">
        <v>46</v>
      </c>
      <c r="X107" s="29"/>
      <c r="Y107" s="19">
        <v>1400</v>
      </c>
      <c r="Z107" s="24">
        <f t="shared" si="3"/>
        <v>151.68458333785929</v>
      </c>
      <c r="AA107" s="19" t="s">
        <v>214</v>
      </c>
      <c r="AB107" s="19"/>
      <c r="AC107" s="35">
        <v>280</v>
      </c>
      <c r="AD107" s="35">
        <v>280</v>
      </c>
      <c r="AE107" s="19" t="s">
        <v>270</v>
      </c>
      <c r="AF107" s="19" t="s">
        <v>383</v>
      </c>
      <c r="AG107" s="19"/>
      <c r="AH107" s="19" t="s">
        <v>234</v>
      </c>
      <c r="AI107" s="19" t="s">
        <v>385</v>
      </c>
      <c r="AJ107" s="19" t="s">
        <v>270</v>
      </c>
      <c r="AK107" s="19" t="s">
        <v>234</v>
      </c>
      <c r="AL107" s="19" t="s">
        <v>90</v>
      </c>
      <c r="AM107" s="19" t="s">
        <v>386</v>
      </c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20" customFormat="1" ht="15.95" customHeight="1" x14ac:dyDescent="0.25">
      <c r="A108" s="18"/>
      <c r="B108" s="19">
        <v>194</v>
      </c>
      <c r="C108" s="19"/>
      <c r="D108" s="19">
        <v>20727</v>
      </c>
      <c r="E108" s="36">
        <v>1999</v>
      </c>
      <c r="F108" s="19" t="s">
        <v>1224</v>
      </c>
      <c r="G108" s="19" t="s">
        <v>382</v>
      </c>
      <c r="H108" s="19"/>
      <c r="I108" s="35" t="s">
        <v>41</v>
      </c>
      <c r="J108" s="19" t="s">
        <v>89</v>
      </c>
      <c r="K108" s="19" t="s">
        <v>161</v>
      </c>
      <c r="L108" s="19" t="s">
        <v>82</v>
      </c>
      <c r="M108" s="19" t="s">
        <v>82</v>
      </c>
      <c r="N108" s="19" t="s">
        <v>66</v>
      </c>
      <c r="O108" s="19" t="s">
        <v>387</v>
      </c>
      <c r="P108" s="35" t="s">
        <v>51</v>
      </c>
      <c r="Q108" s="19"/>
      <c r="R108" s="19" t="s">
        <v>237</v>
      </c>
      <c r="S108" s="19" t="s">
        <v>79</v>
      </c>
      <c r="T108" s="19" t="s">
        <v>56</v>
      </c>
      <c r="U108" s="19">
        <v>26</v>
      </c>
      <c r="V108" s="19" t="s">
        <v>231</v>
      </c>
      <c r="W108" s="19" t="s">
        <v>46</v>
      </c>
      <c r="X108" s="29"/>
      <c r="Y108" s="19">
        <v>1400</v>
      </c>
      <c r="Z108" s="24">
        <f t="shared" si="3"/>
        <v>151.68458333785929</v>
      </c>
      <c r="AA108" s="19" t="s">
        <v>214</v>
      </c>
      <c r="AB108" s="19"/>
      <c r="AC108" s="35">
        <v>280</v>
      </c>
      <c r="AD108" s="35">
        <v>280</v>
      </c>
      <c r="AE108" s="19" t="s">
        <v>270</v>
      </c>
      <c r="AF108" s="19" t="s">
        <v>383</v>
      </c>
      <c r="AG108" s="19"/>
      <c r="AH108" s="19" t="s">
        <v>234</v>
      </c>
      <c r="AI108" s="19" t="s">
        <v>385</v>
      </c>
      <c r="AJ108" s="19" t="s">
        <v>270</v>
      </c>
      <c r="AK108" s="19" t="s">
        <v>234</v>
      </c>
      <c r="AL108" s="19" t="s">
        <v>90</v>
      </c>
      <c r="AM108" s="19" t="s">
        <v>386</v>
      </c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20" customFormat="1" ht="15.95" customHeight="1" x14ac:dyDescent="0.25">
      <c r="A109" s="18"/>
      <c r="B109" s="19">
        <v>194</v>
      </c>
      <c r="C109" s="19"/>
      <c r="D109" s="19">
        <v>20727</v>
      </c>
      <c r="E109" s="36">
        <v>1999</v>
      </c>
      <c r="F109" s="19" t="s">
        <v>1224</v>
      </c>
      <c r="G109" s="19" t="s">
        <v>382</v>
      </c>
      <c r="H109" s="19"/>
      <c r="I109" s="35" t="s">
        <v>41</v>
      </c>
      <c r="J109" s="19" t="s">
        <v>89</v>
      </c>
      <c r="K109" s="19" t="s">
        <v>161</v>
      </c>
      <c r="L109" s="19" t="s">
        <v>82</v>
      </c>
      <c r="M109" s="19" t="s">
        <v>82</v>
      </c>
      <c r="N109" s="19" t="s">
        <v>66</v>
      </c>
      <c r="O109" s="19" t="s">
        <v>387</v>
      </c>
      <c r="P109" s="35" t="s">
        <v>51</v>
      </c>
      <c r="Q109" s="19"/>
      <c r="R109" s="19" t="s">
        <v>237</v>
      </c>
      <c r="S109" s="19" t="s">
        <v>79</v>
      </c>
      <c r="T109" s="19" t="s">
        <v>56</v>
      </c>
      <c r="U109" s="19">
        <v>26</v>
      </c>
      <c r="V109" s="19" t="s">
        <v>231</v>
      </c>
      <c r="W109" s="19" t="s">
        <v>46</v>
      </c>
      <c r="X109" s="29"/>
      <c r="Y109" s="19">
        <v>700</v>
      </c>
      <c r="Z109" s="24">
        <f t="shared" si="3"/>
        <v>75.842291668929647</v>
      </c>
      <c r="AA109" s="19" t="s">
        <v>214</v>
      </c>
      <c r="AB109" s="19"/>
      <c r="AC109" s="35">
        <v>280</v>
      </c>
      <c r="AD109" s="35">
        <v>280</v>
      </c>
      <c r="AE109" s="19" t="s">
        <v>270</v>
      </c>
      <c r="AF109" s="19" t="s">
        <v>383</v>
      </c>
      <c r="AG109" s="19"/>
      <c r="AH109" s="19" t="s">
        <v>234</v>
      </c>
      <c r="AI109" s="19" t="s">
        <v>385</v>
      </c>
      <c r="AJ109" s="19" t="s">
        <v>270</v>
      </c>
      <c r="AK109" s="19" t="s">
        <v>234</v>
      </c>
      <c r="AL109" s="19" t="s">
        <v>90</v>
      </c>
      <c r="AM109" s="19" t="s">
        <v>386</v>
      </c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20" customFormat="1" ht="15.95" customHeight="1" x14ac:dyDescent="0.25">
      <c r="A110" s="18"/>
      <c r="B110" s="19">
        <v>194</v>
      </c>
      <c r="C110" s="19"/>
      <c r="D110" s="19">
        <v>20727</v>
      </c>
      <c r="E110" s="36">
        <v>1999</v>
      </c>
      <c r="F110" s="19" t="s">
        <v>1224</v>
      </c>
      <c r="G110" s="19" t="s">
        <v>382</v>
      </c>
      <c r="H110" s="19"/>
      <c r="I110" s="35" t="s">
        <v>41</v>
      </c>
      <c r="J110" s="19" t="s">
        <v>89</v>
      </c>
      <c r="K110" s="19" t="s">
        <v>161</v>
      </c>
      <c r="L110" s="19" t="s">
        <v>82</v>
      </c>
      <c r="M110" s="19" t="s">
        <v>82</v>
      </c>
      <c r="N110" s="19" t="s">
        <v>66</v>
      </c>
      <c r="O110" s="19" t="s">
        <v>387</v>
      </c>
      <c r="P110" s="35" t="s">
        <v>51</v>
      </c>
      <c r="Q110" s="19"/>
      <c r="R110" s="19" t="s">
        <v>237</v>
      </c>
      <c r="S110" s="19" t="s">
        <v>79</v>
      </c>
      <c r="T110" s="19" t="s">
        <v>56</v>
      </c>
      <c r="U110" s="19">
        <v>26</v>
      </c>
      <c r="V110" s="19" t="s">
        <v>231</v>
      </c>
      <c r="W110" s="19" t="s">
        <v>46</v>
      </c>
      <c r="X110" s="29"/>
      <c r="Y110" s="19">
        <v>2900</v>
      </c>
      <c r="Z110" s="24">
        <f t="shared" si="3"/>
        <v>314.20377977127998</v>
      </c>
      <c r="AA110" s="19" t="s">
        <v>214</v>
      </c>
      <c r="AB110" s="19"/>
      <c r="AC110" s="35">
        <v>280</v>
      </c>
      <c r="AD110" s="35">
        <v>280</v>
      </c>
      <c r="AE110" s="19" t="s">
        <v>270</v>
      </c>
      <c r="AF110" s="19" t="s">
        <v>383</v>
      </c>
      <c r="AG110" s="19"/>
      <c r="AH110" s="19" t="s">
        <v>234</v>
      </c>
      <c r="AI110" s="19" t="s">
        <v>385</v>
      </c>
      <c r="AJ110" s="19" t="s">
        <v>270</v>
      </c>
      <c r="AK110" s="19" t="s">
        <v>234</v>
      </c>
      <c r="AL110" s="19" t="s">
        <v>90</v>
      </c>
      <c r="AM110" s="19" t="s">
        <v>386</v>
      </c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20" customFormat="1" ht="15.95" customHeight="1" x14ac:dyDescent="0.25">
      <c r="A111" s="18"/>
      <c r="B111" s="19">
        <v>194</v>
      </c>
      <c r="C111" s="19"/>
      <c r="D111" s="19">
        <v>20727</v>
      </c>
      <c r="E111" s="36">
        <v>1999</v>
      </c>
      <c r="F111" s="19" t="s">
        <v>1224</v>
      </c>
      <c r="G111" s="19" t="s">
        <v>382</v>
      </c>
      <c r="H111" s="19"/>
      <c r="I111" s="35" t="s">
        <v>41</v>
      </c>
      <c r="J111" s="19" t="s">
        <v>89</v>
      </c>
      <c r="K111" s="19" t="s">
        <v>161</v>
      </c>
      <c r="L111" s="19" t="s">
        <v>82</v>
      </c>
      <c r="M111" s="19" t="s">
        <v>82</v>
      </c>
      <c r="N111" s="19" t="s">
        <v>66</v>
      </c>
      <c r="O111" s="19" t="s">
        <v>387</v>
      </c>
      <c r="P111" s="35" t="s">
        <v>51</v>
      </c>
      <c r="Q111" s="19"/>
      <c r="R111" s="19" t="s">
        <v>237</v>
      </c>
      <c r="S111" s="19" t="s">
        <v>79</v>
      </c>
      <c r="T111" s="19" t="s">
        <v>56</v>
      </c>
      <c r="U111" s="19">
        <v>26</v>
      </c>
      <c r="V111" s="19" t="s">
        <v>231</v>
      </c>
      <c r="W111" s="19" t="s">
        <v>46</v>
      </c>
      <c r="X111" s="29"/>
      <c r="Y111" s="19">
        <v>800</v>
      </c>
      <c r="Z111" s="24">
        <f t="shared" si="3"/>
        <v>86.676904764491027</v>
      </c>
      <c r="AA111" s="19" t="s">
        <v>214</v>
      </c>
      <c r="AB111" s="19"/>
      <c r="AC111" s="35">
        <v>280</v>
      </c>
      <c r="AD111" s="35">
        <v>280</v>
      </c>
      <c r="AE111" s="19" t="s">
        <v>270</v>
      </c>
      <c r="AF111" s="19" t="s">
        <v>383</v>
      </c>
      <c r="AG111" s="19"/>
      <c r="AH111" s="19" t="s">
        <v>234</v>
      </c>
      <c r="AI111" s="19" t="s">
        <v>385</v>
      </c>
      <c r="AJ111" s="19" t="s">
        <v>270</v>
      </c>
      <c r="AK111" s="19" t="s">
        <v>234</v>
      </c>
      <c r="AL111" s="19" t="s">
        <v>90</v>
      </c>
      <c r="AM111" s="19" t="s">
        <v>386</v>
      </c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20" customFormat="1" ht="15.95" customHeight="1" x14ac:dyDescent="0.25">
      <c r="A112" s="18"/>
      <c r="B112" s="19">
        <v>194</v>
      </c>
      <c r="C112" s="19"/>
      <c r="D112" s="19">
        <v>20727</v>
      </c>
      <c r="E112" s="36">
        <v>1999</v>
      </c>
      <c r="F112" s="19" t="s">
        <v>1224</v>
      </c>
      <c r="G112" s="19" t="s">
        <v>382</v>
      </c>
      <c r="H112" s="19"/>
      <c r="I112" s="35" t="s">
        <v>41</v>
      </c>
      <c r="J112" s="19" t="s">
        <v>89</v>
      </c>
      <c r="K112" s="19" t="s">
        <v>161</v>
      </c>
      <c r="L112" s="19" t="s">
        <v>82</v>
      </c>
      <c r="M112" s="19" t="s">
        <v>82</v>
      </c>
      <c r="N112" s="19" t="s">
        <v>66</v>
      </c>
      <c r="O112" s="19" t="s">
        <v>387</v>
      </c>
      <c r="P112" s="35" t="s">
        <v>51</v>
      </c>
      <c r="Q112" s="19"/>
      <c r="R112" s="19" t="s">
        <v>237</v>
      </c>
      <c r="S112" s="19" t="s">
        <v>79</v>
      </c>
      <c r="T112" s="19" t="s">
        <v>56</v>
      </c>
      <c r="U112" s="19">
        <v>26</v>
      </c>
      <c r="V112" s="19" t="s">
        <v>231</v>
      </c>
      <c r="W112" s="19" t="s">
        <v>46</v>
      </c>
      <c r="X112" s="29"/>
      <c r="Y112" s="19">
        <v>2700</v>
      </c>
      <c r="Z112" s="24">
        <f t="shared" si="3"/>
        <v>292.53455358015725</v>
      </c>
      <c r="AA112" s="19" t="s">
        <v>214</v>
      </c>
      <c r="AB112" s="19"/>
      <c r="AC112" s="35">
        <v>280</v>
      </c>
      <c r="AD112" s="35">
        <v>280</v>
      </c>
      <c r="AE112" s="19" t="s">
        <v>270</v>
      </c>
      <c r="AF112" s="19" t="s">
        <v>383</v>
      </c>
      <c r="AG112" s="19"/>
      <c r="AH112" s="19" t="s">
        <v>234</v>
      </c>
      <c r="AI112" s="19" t="s">
        <v>385</v>
      </c>
      <c r="AJ112" s="19" t="s">
        <v>270</v>
      </c>
      <c r="AK112" s="19" t="s">
        <v>234</v>
      </c>
      <c r="AL112" s="19" t="s">
        <v>90</v>
      </c>
      <c r="AM112" s="19" t="s">
        <v>386</v>
      </c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3" customFormat="1" ht="15.95" customHeight="1" x14ac:dyDescent="0.25">
      <c r="A113" s="46"/>
      <c r="B113" s="47"/>
      <c r="C113" s="47"/>
      <c r="D113" s="47"/>
      <c r="E113" s="48"/>
      <c r="F113" s="47"/>
      <c r="G113" s="47"/>
      <c r="H113" s="47"/>
      <c r="I113" s="49"/>
      <c r="J113" s="47"/>
      <c r="K113" s="47"/>
      <c r="L113" s="47"/>
      <c r="M113" s="47"/>
      <c r="N113" s="47"/>
      <c r="O113" s="47"/>
      <c r="P113" s="49"/>
      <c r="Q113" s="47"/>
      <c r="R113" s="47"/>
      <c r="S113" s="47"/>
      <c r="T113" s="47"/>
      <c r="U113" s="47"/>
      <c r="V113" s="47"/>
      <c r="W113" s="47"/>
      <c r="X113" s="50"/>
      <c r="Y113" s="47">
        <f>GEOMEAN(Y89:Y112)</f>
        <v>1685.6051480100462</v>
      </c>
      <c r="Z113" s="51"/>
      <c r="AA113" s="47"/>
      <c r="AB113" s="47"/>
      <c r="AC113" s="49"/>
      <c r="AD113" s="49"/>
      <c r="AE113" s="47"/>
      <c r="AF113" s="47"/>
      <c r="AG113" s="47"/>
      <c r="AH113" s="47"/>
      <c r="AI113" s="47"/>
      <c r="AJ113" s="47"/>
      <c r="AK113" s="47"/>
      <c r="AL113" s="47"/>
      <c r="AM113" s="47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</row>
    <row r="114" spans="1:78" s="20" customFormat="1" ht="15.95" customHeight="1" x14ac:dyDescent="0.2">
      <c r="A114" s="18"/>
      <c r="B114" s="19">
        <v>194</v>
      </c>
      <c r="D114" s="36">
        <v>20727</v>
      </c>
      <c r="E114" s="36">
        <v>1999</v>
      </c>
      <c r="F114" s="36" t="s">
        <v>1224</v>
      </c>
      <c r="G114" s="35" t="s">
        <v>382</v>
      </c>
      <c r="H114" s="35"/>
      <c r="I114" s="35" t="s">
        <v>41</v>
      </c>
      <c r="J114" s="35" t="s">
        <v>89</v>
      </c>
      <c r="K114" s="35" t="s">
        <v>161</v>
      </c>
      <c r="L114" s="35" t="s">
        <v>82</v>
      </c>
      <c r="M114" s="35" t="s">
        <v>82</v>
      </c>
      <c r="N114" s="35" t="s">
        <v>66</v>
      </c>
      <c r="O114" s="35" t="s">
        <v>387</v>
      </c>
      <c r="P114" s="35" t="s">
        <v>51</v>
      </c>
      <c r="Q114" s="35"/>
      <c r="R114" s="35" t="s">
        <v>237</v>
      </c>
      <c r="S114" s="35" t="s">
        <v>79</v>
      </c>
      <c r="T114" s="35" t="s">
        <v>56</v>
      </c>
      <c r="U114" s="36">
        <v>27</v>
      </c>
      <c r="V114" s="36" t="s">
        <v>231</v>
      </c>
      <c r="W114" s="35" t="s">
        <v>46</v>
      </c>
      <c r="X114" s="29"/>
      <c r="Y114" s="36">
        <v>2800</v>
      </c>
      <c r="Z114" s="24">
        <f t="shared" ref="Z114:Z150" si="4">Y114/((AC114/30)^0.995)</f>
        <v>303.36916667571859</v>
      </c>
      <c r="AA114" s="19" t="s">
        <v>214</v>
      </c>
      <c r="AB114" s="36"/>
      <c r="AC114" s="35">
        <v>280</v>
      </c>
      <c r="AD114" s="35">
        <v>280</v>
      </c>
      <c r="AE114" s="35" t="s">
        <v>270</v>
      </c>
      <c r="AF114" s="35" t="s">
        <v>383</v>
      </c>
      <c r="AG114" s="35"/>
      <c r="AH114" s="35" t="s">
        <v>234</v>
      </c>
      <c r="AI114" s="35" t="s">
        <v>385</v>
      </c>
      <c r="AJ114" s="35" t="s">
        <v>270</v>
      </c>
      <c r="AK114" s="35" t="s">
        <v>234</v>
      </c>
      <c r="AL114" s="35" t="s">
        <v>90</v>
      </c>
      <c r="AM114" s="35" t="s">
        <v>386</v>
      </c>
    </row>
    <row r="115" spans="1:78" s="20" customFormat="1" ht="15.95" customHeight="1" x14ac:dyDescent="0.2">
      <c r="A115" s="18"/>
      <c r="B115" s="19">
        <v>194</v>
      </c>
      <c r="D115" s="36">
        <v>20727</v>
      </c>
      <c r="E115" s="36">
        <v>1999</v>
      </c>
      <c r="F115" s="36" t="s">
        <v>1224</v>
      </c>
      <c r="G115" s="35" t="s">
        <v>382</v>
      </c>
      <c r="H115" s="35"/>
      <c r="I115" s="35" t="s">
        <v>41</v>
      </c>
      <c r="J115" s="35" t="s">
        <v>89</v>
      </c>
      <c r="K115" s="35" t="s">
        <v>161</v>
      </c>
      <c r="L115" s="35" t="s">
        <v>82</v>
      </c>
      <c r="M115" s="35" t="s">
        <v>82</v>
      </c>
      <c r="N115" s="35" t="s">
        <v>66</v>
      </c>
      <c r="O115" s="35" t="s">
        <v>387</v>
      </c>
      <c r="P115" s="35" t="s">
        <v>51</v>
      </c>
      <c r="Q115" s="35"/>
      <c r="R115" s="35" t="s">
        <v>237</v>
      </c>
      <c r="S115" s="35" t="s">
        <v>79</v>
      </c>
      <c r="T115" s="35" t="s">
        <v>56</v>
      </c>
      <c r="U115" s="36">
        <v>27</v>
      </c>
      <c r="V115" s="36" t="s">
        <v>231</v>
      </c>
      <c r="W115" s="35" t="s">
        <v>46</v>
      </c>
      <c r="X115" s="29"/>
      <c r="Y115" s="36">
        <v>800</v>
      </c>
      <c r="Z115" s="24">
        <f t="shared" si="4"/>
        <v>86.676904764491027</v>
      </c>
      <c r="AA115" s="19" t="s">
        <v>214</v>
      </c>
      <c r="AB115" s="36"/>
      <c r="AC115" s="35">
        <v>280</v>
      </c>
      <c r="AD115" s="35">
        <v>280</v>
      </c>
      <c r="AE115" s="35" t="s">
        <v>270</v>
      </c>
      <c r="AF115" s="35" t="s">
        <v>383</v>
      </c>
      <c r="AG115" s="35"/>
      <c r="AH115" s="35" t="s">
        <v>234</v>
      </c>
      <c r="AI115" s="35" t="s">
        <v>385</v>
      </c>
      <c r="AJ115" s="35" t="s">
        <v>270</v>
      </c>
      <c r="AK115" s="35" t="s">
        <v>234</v>
      </c>
      <c r="AL115" s="35" t="s">
        <v>90</v>
      </c>
      <c r="AM115" s="35" t="s">
        <v>386</v>
      </c>
    </row>
    <row r="116" spans="1:78" s="20" customFormat="1" ht="15.95" customHeight="1" x14ac:dyDescent="0.2">
      <c r="A116" s="18"/>
      <c r="B116" s="19">
        <v>194</v>
      </c>
      <c r="D116" s="36">
        <v>20727</v>
      </c>
      <c r="E116" s="36">
        <v>1999</v>
      </c>
      <c r="F116" s="36" t="s">
        <v>1224</v>
      </c>
      <c r="G116" s="35" t="s">
        <v>382</v>
      </c>
      <c r="H116" s="35"/>
      <c r="I116" s="35" t="s">
        <v>41</v>
      </c>
      <c r="J116" s="35" t="s">
        <v>89</v>
      </c>
      <c r="K116" s="35" t="s">
        <v>161</v>
      </c>
      <c r="L116" s="35" t="s">
        <v>82</v>
      </c>
      <c r="M116" s="35" t="s">
        <v>82</v>
      </c>
      <c r="N116" s="35" t="s">
        <v>66</v>
      </c>
      <c r="O116" s="35" t="s">
        <v>387</v>
      </c>
      <c r="P116" s="35" t="s">
        <v>51</v>
      </c>
      <c r="Q116" s="35"/>
      <c r="R116" s="35" t="s">
        <v>237</v>
      </c>
      <c r="S116" s="35" t="s">
        <v>79</v>
      </c>
      <c r="T116" s="35" t="s">
        <v>56</v>
      </c>
      <c r="U116" s="36">
        <v>27</v>
      </c>
      <c r="V116" s="36" t="s">
        <v>231</v>
      </c>
      <c r="W116" s="35" t="s">
        <v>46</v>
      </c>
      <c r="X116" s="29"/>
      <c r="Y116" s="36">
        <v>700</v>
      </c>
      <c r="Z116" s="24">
        <f t="shared" si="4"/>
        <v>75.842291668929647</v>
      </c>
      <c r="AA116" s="19" t="s">
        <v>214</v>
      </c>
      <c r="AB116" s="36"/>
      <c r="AC116" s="35">
        <v>280</v>
      </c>
      <c r="AD116" s="35">
        <v>280</v>
      </c>
      <c r="AE116" s="35" t="s">
        <v>270</v>
      </c>
      <c r="AF116" s="35" t="s">
        <v>383</v>
      </c>
      <c r="AG116" s="35"/>
      <c r="AH116" s="35" t="s">
        <v>234</v>
      </c>
      <c r="AI116" s="35" t="s">
        <v>385</v>
      </c>
      <c r="AJ116" s="35" t="s">
        <v>270</v>
      </c>
      <c r="AK116" s="35" t="s">
        <v>234</v>
      </c>
      <c r="AL116" s="35" t="s">
        <v>90</v>
      </c>
      <c r="AM116" s="35" t="s">
        <v>386</v>
      </c>
    </row>
    <row r="117" spans="1:78" s="20" customFormat="1" ht="15.95" customHeight="1" x14ac:dyDescent="0.2">
      <c r="A117" s="18"/>
      <c r="B117" s="19">
        <v>194</v>
      </c>
      <c r="D117" s="36">
        <v>20727</v>
      </c>
      <c r="E117" s="36">
        <v>1999</v>
      </c>
      <c r="F117" s="36" t="s">
        <v>1224</v>
      </c>
      <c r="G117" s="35" t="s">
        <v>382</v>
      </c>
      <c r="H117" s="35"/>
      <c r="I117" s="35" t="s">
        <v>41</v>
      </c>
      <c r="J117" s="35" t="s">
        <v>89</v>
      </c>
      <c r="K117" s="35" t="s">
        <v>161</v>
      </c>
      <c r="L117" s="35" t="s">
        <v>82</v>
      </c>
      <c r="M117" s="35" t="s">
        <v>82</v>
      </c>
      <c r="N117" s="35" t="s">
        <v>66</v>
      </c>
      <c r="O117" s="35" t="s">
        <v>387</v>
      </c>
      <c r="P117" s="35" t="s">
        <v>51</v>
      </c>
      <c r="Q117" s="35"/>
      <c r="R117" s="35" t="s">
        <v>237</v>
      </c>
      <c r="S117" s="35" t="s">
        <v>79</v>
      </c>
      <c r="T117" s="35" t="s">
        <v>56</v>
      </c>
      <c r="U117" s="36">
        <v>27</v>
      </c>
      <c r="V117" s="36" t="s">
        <v>231</v>
      </c>
      <c r="W117" s="35" t="s">
        <v>46</v>
      </c>
      <c r="X117" s="29"/>
      <c r="Y117" s="36">
        <v>2300</v>
      </c>
      <c r="Z117" s="24">
        <f t="shared" si="4"/>
        <v>249.1961011979117</v>
      </c>
      <c r="AA117" s="19" t="s">
        <v>214</v>
      </c>
      <c r="AB117" s="36"/>
      <c r="AC117" s="35">
        <v>280</v>
      </c>
      <c r="AD117" s="35">
        <v>280</v>
      </c>
      <c r="AE117" s="35" t="s">
        <v>270</v>
      </c>
      <c r="AF117" s="35" t="s">
        <v>383</v>
      </c>
      <c r="AG117" s="35"/>
      <c r="AH117" s="35" t="s">
        <v>234</v>
      </c>
      <c r="AI117" s="35" t="s">
        <v>385</v>
      </c>
      <c r="AJ117" s="35" t="s">
        <v>270</v>
      </c>
      <c r="AK117" s="35" t="s">
        <v>234</v>
      </c>
      <c r="AL117" s="35" t="s">
        <v>90</v>
      </c>
      <c r="AM117" s="35" t="s">
        <v>386</v>
      </c>
    </row>
    <row r="118" spans="1:78" s="20" customFormat="1" ht="15.95" customHeight="1" x14ac:dyDescent="0.25">
      <c r="A118" s="18"/>
      <c r="B118" s="19">
        <v>194</v>
      </c>
      <c r="C118" s="19"/>
      <c r="D118" s="19">
        <v>20727</v>
      </c>
      <c r="E118" s="36">
        <v>1999</v>
      </c>
      <c r="F118" s="19" t="s">
        <v>1224</v>
      </c>
      <c r="G118" s="19" t="s">
        <v>382</v>
      </c>
      <c r="H118" s="19"/>
      <c r="I118" s="35" t="s">
        <v>41</v>
      </c>
      <c r="J118" s="19" t="s">
        <v>89</v>
      </c>
      <c r="K118" s="19" t="s">
        <v>161</v>
      </c>
      <c r="L118" s="19" t="s">
        <v>82</v>
      </c>
      <c r="M118" s="19" t="s">
        <v>82</v>
      </c>
      <c r="N118" s="19" t="s">
        <v>66</v>
      </c>
      <c r="O118" s="19" t="s">
        <v>387</v>
      </c>
      <c r="P118" s="35" t="s">
        <v>51</v>
      </c>
      <c r="Q118" s="19"/>
      <c r="R118" s="19" t="s">
        <v>237</v>
      </c>
      <c r="S118" s="19" t="s">
        <v>79</v>
      </c>
      <c r="T118" s="19" t="s">
        <v>56</v>
      </c>
      <c r="U118" s="19">
        <v>27</v>
      </c>
      <c r="V118" s="19" t="s">
        <v>231</v>
      </c>
      <c r="W118" s="19" t="s">
        <v>46</v>
      </c>
      <c r="X118" s="29"/>
      <c r="Y118" s="19">
        <v>1300</v>
      </c>
      <c r="Z118" s="24">
        <f t="shared" si="4"/>
        <v>140.84997024229793</v>
      </c>
      <c r="AA118" s="19" t="s">
        <v>214</v>
      </c>
      <c r="AB118" s="19"/>
      <c r="AC118" s="35">
        <v>280</v>
      </c>
      <c r="AD118" s="35">
        <v>280</v>
      </c>
      <c r="AE118" s="19" t="s">
        <v>270</v>
      </c>
      <c r="AF118" s="19" t="s">
        <v>383</v>
      </c>
      <c r="AG118" s="19"/>
      <c r="AH118" s="19" t="s">
        <v>234</v>
      </c>
      <c r="AI118" s="19" t="s">
        <v>385</v>
      </c>
      <c r="AJ118" s="19" t="s">
        <v>270</v>
      </c>
      <c r="AK118" s="19" t="s">
        <v>234</v>
      </c>
      <c r="AL118" s="19" t="s">
        <v>90</v>
      </c>
      <c r="AM118" s="19" t="s">
        <v>386</v>
      </c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20" customFormat="1" ht="15.95" customHeight="1" x14ac:dyDescent="0.25">
      <c r="A119" s="18"/>
      <c r="B119" s="19">
        <v>194</v>
      </c>
      <c r="C119" s="19"/>
      <c r="D119" s="19">
        <v>20727</v>
      </c>
      <c r="E119" s="36">
        <v>1999</v>
      </c>
      <c r="F119" s="19" t="s">
        <v>1224</v>
      </c>
      <c r="G119" s="19" t="s">
        <v>382</v>
      </c>
      <c r="H119" s="19"/>
      <c r="I119" s="35" t="s">
        <v>41</v>
      </c>
      <c r="J119" s="19" t="s">
        <v>89</v>
      </c>
      <c r="K119" s="19" t="s">
        <v>161</v>
      </c>
      <c r="L119" s="19" t="s">
        <v>82</v>
      </c>
      <c r="M119" s="19" t="s">
        <v>82</v>
      </c>
      <c r="N119" s="19" t="s">
        <v>66</v>
      </c>
      <c r="O119" s="19" t="s">
        <v>387</v>
      </c>
      <c r="P119" s="35" t="s">
        <v>51</v>
      </c>
      <c r="Q119" s="19"/>
      <c r="R119" s="19" t="s">
        <v>237</v>
      </c>
      <c r="S119" s="19" t="s">
        <v>79</v>
      </c>
      <c r="T119" s="19" t="s">
        <v>56</v>
      </c>
      <c r="U119" s="19">
        <v>27</v>
      </c>
      <c r="V119" s="19" t="s">
        <v>231</v>
      </c>
      <c r="W119" s="19" t="s">
        <v>46</v>
      </c>
      <c r="X119" s="29"/>
      <c r="Y119" s="19">
        <v>700</v>
      </c>
      <c r="Z119" s="24">
        <f t="shared" si="4"/>
        <v>75.842291668929647</v>
      </c>
      <c r="AA119" s="19" t="s">
        <v>214</v>
      </c>
      <c r="AB119" s="19"/>
      <c r="AC119" s="35">
        <v>280</v>
      </c>
      <c r="AD119" s="35">
        <v>280</v>
      </c>
      <c r="AE119" s="19" t="s">
        <v>270</v>
      </c>
      <c r="AF119" s="19" t="s">
        <v>383</v>
      </c>
      <c r="AG119" s="19"/>
      <c r="AH119" s="19" t="s">
        <v>234</v>
      </c>
      <c r="AI119" s="19" t="s">
        <v>385</v>
      </c>
      <c r="AJ119" s="19" t="s">
        <v>270</v>
      </c>
      <c r="AK119" s="19" t="s">
        <v>234</v>
      </c>
      <c r="AL119" s="19" t="s">
        <v>90</v>
      </c>
      <c r="AM119" s="19" t="s">
        <v>386</v>
      </c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20" customFormat="1" ht="15.95" customHeight="1" x14ac:dyDescent="0.25">
      <c r="A120" s="18"/>
      <c r="B120" s="19">
        <v>194</v>
      </c>
      <c r="C120" s="19"/>
      <c r="D120" s="19">
        <v>20727</v>
      </c>
      <c r="E120" s="36">
        <v>1999</v>
      </c>
      <c r="F120" s="19" t="s">
        <v>1224</v>
      </c>
      <c r="G120" s="19" t="s">
        <v>382</v>
      </c>
      <c r="H120" s="19"/>
      <c r="I120" s="35" t="s">
        <v>41</v>
      </c>
      <c r="J120" s="19" t="s">
        <v>89</v>
      </c>
      <c r="K120" s="19" t="s">
        <v>161</v>
      </c>
      <c r="L120" s="19" t="s">
        <v>82</v>
      </c>
      <c r="M120" s="19" t="s">
        <v>82</v>
      </c>
      <c r="N120" s="19" t="s">
        <v>66</v>
      </c>
      <c r="O120" s="19" t="s">
        <v>387</v>
      </c>
      <c r="P120" s="35" t="s">
        <v>51</v>
      </c>
      <c r="Q120" s="19"/>
      <c r="R120" s="19" t="s">
        <v>237</v>
      </c>
      <c r="S120" s="19" t="s">
        <v>79</v>
      </c>
      <c r="T120" s="19" t="s">
        <v>56</v>
      </c>
      <c r="U120" s="19">
        <v>27</v>
      </c>
      <c r="V120" s="19" t="s">
        <v>231</v>
      </c>
      <c r="W120" s="19" t="s">
        <v>46</v>
      </c>
      <c r="X120" s="29"/>
      <c r="Y120" s="19">
        <v>700</v>
      </c>
      <c r="Z120" s="24">
        <f t="shared" si="4"/>
        <v>75.842291668929647</v>
      </c>
      <c r="AA120" s="19" t="s">
        <v>214</v>
      </c>
      <c r="AB120" s="19"/>
      <c r="AC120" s="35">
        <v>280</v>
      </c>
      <c r="AD120" s="35">
        <v>280</v>
      </c>
      <c r="AE120" s="19" t="s">
        <v>270</v>
      </c>
      <c r="AF120" s="19" t="s">
        <v>383</v>
      </c>
      <c r="AG120" s="19"/>
      <c r="AH120" s="19" t="s">
        <v>234</v>
      </c>
      <c r="AI120" s="19" t="s">
        <v>385</v>
      </c>
      <c r="AJ120" s="19" t="s">
        <v>270</v>
      </c>
      <c r="AK120" s="19" t="s">
        <v>234</v>
      </c>
      <c r="AL120" s="19" t="s">
        <v>90</v>
      </c>
      <c r="AM120" s="19" t="s">
        <v>386</v>
      </c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20" customFormat="1" ht="15.95" customHeight="1" x14ac:dyDescent="0.25">
      <c r="A121" s="18"/>
      <c r="B121" s="19">
        <v>194</v>
      </c>
      <c r="C121" s="19"/>
      <c r="D121" s="19">
        <v>20727</v>
      </c>
      <c r="E121" s="36">
        <v>1999</v>
      </c>
      <c r="F121" s="19" t="s">
        <v>1224</v>
      </c>
      <c r="G121" s="19" t="s">
        <v>382</v>
      </c>
      <c r="H121" s="19"/>
      <c r="I121" s="35" t="s">
        <v>41</v>
      </c>
      <c r="J121" s="19" t="s">
        <v>89</v>
      </c>
      <c r="K121" s="19" t="s">
        <v>161</v>
      </c>
      <c r="L121" s="19" t="s">
        <v>82</v>
      </c>
      <c r="M121" s="19" t="s">
        <v>82</v>
      </c>
      <c r="N121" s="19" t="s">
        <v>66</v>
      </c>
      <c r="O121" s="19" t="s">
        <v>387</v>
      </c>
      <c r="P121" s="35" t="s">
        <v>51</v>
      </c>
      <c r="Q121" s="19"/>
      <c r="R121" s="19" t="s">
        <v>237</v>
      </c>
      <c r="S121" s="19" t="s">
        <v>79</v>
      </c>
      <c r="T121" s="19" t="s">
        <v>56</v>
      </c>
      <c r="U121" s="19">
        <v>27</v>
      </c>
      <c r="V121" s="19" t="s">
        <v>231</v>
      </c>
      <c r="W121" s="19" t="s">
        <v>46</v>
      </c>
      <c r="X121" s="29"/>
      <c r="Y121" s="19">
        <v>1400</v>
      </c>
      <c r="Z121" s="24">
        <f t="shared" si="4"/>
        <v>151.68458333785929</v>
      </c>
      <c r="AA121" s="19" t="s">
        <v>214</v>
      </c>
      <c r="AB121" s="19"/>
      <c r="AC121" s="35">
        <v>280</v>
      </c>
      <c r="AD121" s="35">
        <v>280</v>
      </c>
      <c r="AE121" s="19" t="s">
        <v>270</v>
      </c>
      <c r="AF121" s="19" t="s">
        <v>383</v>
      </c>
      <c r="AG121" s="19"/>
      <c r="AH121" s="19" t="s">
        <v>234</v>
      </c>
      <c r="AI121" s="19" t="s">
        <v>385</v>
      </c>
      <c r="AJ121" s="19" t="s">
        <v>270</v>
      </c>
      <c r="AK121" s="19" t="s">
        <v>234</v>
      </c>
      <c r="AL121" s="19" t="s">
        <v>90</v>
      </c>
      <c r="AM121" s="19" t="s">
        <v>386</v>
      </c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20" customFormat="1" ht="15.95" customHeight="1" x14ac:dyDescent="0.25">
      <c r="A122" s="18"/>
      <c r="B122" s="19">
        <v>194</v>
      </c>
      <c r="C122" s="19"/>
      <c r="D122" s="19">
        <v>20727</v>
      </c>
      <c r="E122" s="36">
        <v>1999</v>
      </c>
      <c r="F122" s="19" t="s">
        <v>1224</v>
      </c>
      <c r="G122" s="19" t="s">
        <v>382</v>
      </c>
      <c r="H122" s="19"/>
      <c r="I122" s="35" t="s">
        <v>41</v>
      </c>
      <c r="J122" s="19" t="s">
        <v>89</v>
      </c>
      <c r="K122" s="19" t="s">
        <v>161</v>
      </c>
      <c r="L122" s="19" t="s">
        <v>82</v>
      </c>
      <c r="M122" s="19" t="s">
        <v>82</v>
      </c>
      <c r="N122" s="19" t="s">
        <v>66</v>
      </c>
      <c r="O122" s="19" t="s">
        <v>387</v>
      </c>
      <c r="P122" s="35" t="s">
        <v>51</v>
      </c>
      <c r="Q122" s="19"/>
      <c r="R122" s="19" t="s">
        <v>237</v>
      </c>
      <c r="S122" s="19" t="s">
        <v>79</v>
      </c>
      <c r="T122" s="19" t="s">
        <v>56</v>
      </c>
      <c r="U122" s="19">
        <v>27</v>
      </c>
      <c r="V122" s="19" t="s">
        <v>231</v>
      </c>
      <c r="W122" s="19" t="s">
        <v>46</v>
      </c>
      <c r="X122" s="29"/>
      <c r="Y122" s="19">
        <v>2500</v>
      </c>
      <c r="Z122" s="24">
        <f t="shared" si="4"/>
        <v>270.86532738903446</v>
      </c>
      <c r="AA122" s="19" t="s">
        <v>214</v>
      </c>
      <c r="AB122" s="19"/>
      <c r="AC122" s="35">
        <v>280</v>
      </c>
      <c r="AD122" s="35">
        <v>280</v>
      </c>
      <c r="AE122" s="19" t="s">
        <v>270</v>
      </c>
      <c r="AF122" s="19" t="s">
        <v>383</v>
      </c>
      <c r="AG122" s="19"/>
      <c r="AH122" s="19" t="s">
        <v>234</v>
      </c>
      <c r="AI122" s="19" t="s">
        <v>385</v>
      </c>
      <c r="AJ122" s="19" t="s">
        <v>270</v>
      </c>
      <c r="AK122" s="19" t="s">
        <v>234</v>
      </c>
      <c r="AL122" s="19" t="s">
        <v>90</v>
      </c>
      <c r="AM122" s="19" t="s">
        <v>386</v>
      </c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20" customFormat="1" ht="15.95" customHeight="1" x14ac:dyDescent="0.25">
      <c r="A123" s="18"/>
      <c r="B123" s="19">
        <v>194</v>
      </c>
      <c r="C123" s="19"/>
      <c r="D123" s="19">
        <v>20727</v>
      </c>
      <c r="E123" s="36">
        <v>1999</v>
      </c>
      <c r="F123" s="19" t="s">
        <v>1224</v>
      </c>
      <c r="G123" s="19" t="s">
        <v>382</v>
      </c>
      <c r="H123" s="19"/>
      <c r="I123" s="35" t="s">
        <v>41</v>
      </c>
      <c r="J123" s="19" t="s">
        <v>89</v>
      </c>
      <c r="K123" s="19" t="s">
        <v>161</v>
      </c>
      <c r="L123" s="19" t="s">
        <v>82</v>
      </c>
      <c r="M123" s="19" t="s">
        <v>82</v>
      </c>
      <c r="N123" s="19" t="s">
        <v>66</v>
      </c>
      <c r="O123" s="19" t="s">
        <v>387</v>
      </c>
      <c r="P123" s="35" t="s">
        <v>51</v>
      </c>
      <c r="Q123" s="19"/>
      <c r="R123" s="19" t="s">
        <v>237</v>
      </c>
      <c r="S123" s="19" t="s">
        <v>79</v>
      </c>
      <c r="T123" s="19" t="s">
        <v>56</v>
      </c>
      <c r="U123" s="19">
        <v>27</v>
      </c>
      <c r="V123" s="19" t="s">
        <v>231</v>
      </c>
      <c r="W123" s="19" t="s">
        <v>46</v>
      </c>
      <c r="X123" s="29"/>
      <c r="Y123" s="19">
        <v>1000</v>
      </c>
      <c r="Z123" s="24">
        <f t="shared" si="4"/>
        <v>108.34613095561379</v>
      </c>
      <c r="AA123" s="19" t="s">
        <v>214</v>
      </c>
      <c r="AB123" s="19"/>
      <c r="AC123" s="35">
        <v>280</v>
      </c>
      <c r="AD123" s="35">
        <v>280</v>
      </c>
      <c r="AE123" s="19" t="s">
        <v>270</v>
      </c>
      <c r="AF123" s="19" t="s">
        <v>383</v>
      </c>
      <c r="AG123" s="19"/>
      <c r="AH123" s="19" t="s">
        <v>234</v>
      </c>
      <c r="AI123" s="19" t="s">
        <v>385</v>
      </c>
      <c r="AJ123" s="19" t="s">
        <v>270</v>
      </c>
      <c r="AK123" s="19" t="s">
        <v>234</v>
      </c>
      <c r="AL123" s="19" t="s">
        <v>90</v>
      </c>
      <c r="AM123" s="19" t="s">
        <v>386</v>
      </c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20" customFormat="1" ht="15.95" customHeight="1" x14ac:dyDescent="0.25">
      <c r="A124" s="18"/>
      <c r="B124" s="19">
        <v>194</v>
      </c>
      <c r="C124" s="19"/>
      <c r="D124" s="19">
        <v>20727</v>
      </c>
      <c r="E124" s="36">
        <v>1999</v>
      </c>
      <c r="F124" s="19" t="s">
        <v>1224</v>
      </c>
      <c r="G124" s="19" t="s">
        <v>382</v>
      </c>
      <c r="H124" s="19"/>
      <c r="I124" s="35" t="s">
        <v>41</v>
      </c>
      <c r="J124" s="19" t="s">
        <v>89</v>
      </c>
      <c r="K124" s="19" t="s">
        <v>161</v>
      </c>
      <c r="L124" s="19" t="s">
        <v>82</v>
      </c>
      <c r="M124" s="19" t="s">
        <v>82</v>
      </c>
      <c r="N124" s="19" t="s">
        <v>66</v>
      </c>
      <c r="O124" s="19" t="s">
        <v>387</v>
      </c>
      <c r="P124" s="35" t="s">
        <v>51</v>
      </c>
      <c r="Q124" s="19"/>
      <c r="R124" s="19" t="s">
        <v>237</v>
      </c>
      <c r="S124" s="19" t="s">
        <v>79</v>
      </c>
      <c r="T124" s="19" t="s">
        <v>56</v>
      </c>
      <c r="U124" s="19">
        <v>27</v>
      </c>
      <c r="V124" s="19" t="s">
        <v>231</v>
      </c>
      <c r="W124" s="19" t="s">
        <v>46</v>
      </c>
      <c r="X124" s="29"/>
      <c r="Y124" s="19">
        <v>2800</v>
      </c>
      <c r="Z124" s="24">
        <f t="shared" si="4"/>
        <v>303.36916667571859</v>
      </c>
      <c r="AA124" s="19" t="s">
        <v>214</v>
      </c>
      <c r="AB124" s="19"/>
      <c r="AC124" s="35">
        <v>280</v>
      </c>
      <c r="AD124" s="35">
        <v>280</v>
      </c>
      <c r="AE124" s="19" t="s">
        <v>270</v>
      </c>
      <c r="AF124" s="19" t="s">
        <v>383</v>
      </c>
      <c r="AG124" s="19"/>
      <c r="AH124" s="19" t="s">
        <v>234</v>
      </c>
      <c r="AI124" s="19" t="s">
        <v>385</v>
      </c>
      <c r="AJ124" s="19" t="s">
        <v>270</v>
      </c>
      <c r="AK124" s="19" t="s">
        <v>234</v>
      </c>
      <c r="AL124" s="19" t="s">
        <v>90</v>
      </c>
      <c r="AM124" s="19" t="s">
        <v>386</v>
      </c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20" customFormat="1" ht="15.95" customHeight="1" x14ac:dyDescent="0.25">
      <c r="A125" s="18"/>
      <c r="B125" s="19">
        <v>194</v>
      </c>
      <c r="C125" s="19"/>
      <c r="D125" s="19">
        <v>20727</v>
      </c>
      <c r="E125" s="36">
        <v>1999</v>
      </c>
      <c r="F125" s="19" t="s">
        <v>1224</v>
      </c>
      <c r="G125" s="19" t="s">
        <v>382</v>
      </c>
      <c r="H125" s="19"/>
      <c r="I125" s="35" t="s">
        <v>41</v>
      </c>
      <c r="J125" s="19" t="s">
        <v>89</v>
      </c>
      <c r="K125" s="19" t="s">
        <v>161</v>
      </c>
      <c r="L125" s="19" t="s">
        <v>82</v>
      </c>
      <c r="M125" s="19" t="s">
        <v>82</v>
      </c>
      <c r="N125" s="19" t="s">
        <v>66</v>
      </c>
      <c r="O125" s="19" t="s">
        <v>387</v>
      </c>
      <c r="P125" s="35" t="s">
        <v>51</v>
      </c>
      <c r="Q125" s="19"/>
      <c r="R125" s="19" t="s">
        <v>237</v>
      </c>
      <c r="S125" s="19" t="s">
        <v>79</v>
      </c>
      <c r="T125" s="19" t="s">
        <v>56</v>
      </c>
      <c r="U125" s="19">
        <v>27</v>
      </c>
      <c r="V125" s="19" t="s">
        <v>231</v>
      </c>
      <c r="W125" s="19" t="s">
        <v>46</v>
      </c>
      <c r="X125" s="29"/>
      <c r="Y125" s="19">
        <v>800</v>
      </c>
      <c r="Z125" s="24">
        <f t="shared" si="4"/>
        <v>86.676904764491027</v>
      </c>
      <c r="AA125" s="19" t="s">
        <v>214</v>
      </c>
      <c r="AB125" s="19"/>
      <c r="AC125" s="35">
        <v>280</v>
      </c>
      <c r="AD125" s="35">
        <v>280</v>
      </c>
      <c r="AE125" s="19" t="s">
        <v>270</v>
      </c>
      <c r="AF125" s="19" t="s">
        <v>383</v>
      </c>
      <c r="AG125" s="19"/>
      <c r="AH125" s="19" t="s">
        <v>234</v>
      </c>
      <c r="AI125" s="19" t="s">
        <v>385</v>
      </c>
      <c r="AJ125" s="19" t="s">
        <v>270</v>
      </c>
      <c r="AK125" s="19" t="s">
        <v>234</v>
      </c>
      <c r="AL125" s="19" t="s">
        <v>90</v>
      </c>
      <c r="AM125" s="19" t="s">
        <v>386</v>
      </c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20" customFormat="1" ht="15.95" customHeight="1" x14ac:dyDescent="0.25">
      <c r="A126" s="18"/>
      <c r="B126" s="19">
        <v>194</v>
      </c>
      <c r="C126" s="19"/>
      <c r="D126" s="19">
        <v>20727</v>
      </c>
      <c r="E126" s="36">
        <v>1999</v>
      </c>
      <c r="F126" s="19" t="s">
        <v>1224</v>
      </c>
      <c r="G126" s="19" t="s">
        <v>382</v>
      </c>
      <c r="H126" s="19"/>
      <c r="I126" s="35" t="s">
        <v>41</v>
      </c>
      <c r="J126" s="19" t="s">
        <v>89</v>
      </c>
      <c r="K126" s="19" t="s">
        <v>161</v>
      </c>
      <c r="L126" s="19" t="s">
        <v>82</v>
      </c>
      <c r="M126" s="19" t="s">
        <v>82</v>
      </c>
      <c r="N126" s="19" t="s">
        <v>66</v>
      </c>
      <c r="O126" s="19" t="s">
        <v>387</v>
      </c>
      <c r="P126" s="35" t="s">
        <v>51</v>
      </c>
      <c r="Q126" s="19"/>
      <c r="R126" s="19" t="s">
        <v>237</v>
      </c>
      <c r="S126" s="19" t="s">
        <v>79</v>
      </c>
      <c r="T126" s="19" t="s">
        <v>56</v>
      </c>
      <c r="U126" s="19">
        <v>27</v>
      </c>
      <c r="V126" s="19" t="s">
        <v>231</v>
      </c>
      <c r="W126" s="19" t="s">
        <v>46</v>
      </c>
      <c r="X126" s="29"/>
      <c r="Y126" s="19">
        <v>2500</v>
      </c>
      <c r="Z126" s="24">
        <f t="shared" si="4"/>
        <v>270.86532738903446</v>
      </c>
      <c r="AA126" s="19" t="s">
        <v>214</v>
      </c>
      <c r="AB126" s="19"/>
      <c r="AC126" s="35">
        <v>280</v>
      </c>
      <c r="AD126" s="35">
        <v>280</v>
      </c>
      <c r="AE126" s="19" t="s">
        <v>270</v>
      </c>
      <c r="AF126" s="19" t="s">
        <v>383</v>
      </c>
      <c r="AG126" s="19"/>
      <c r="AH126" s="19" t="s">
        <v>234</v>
      </c>
      <c r="AI126" s="19" t="s">
        <v>385</v>
      </c>
      <c r="AJ126" s="19" t="s">
        <v>270</v>
      </c>
      <c r="AK126" s="19" t="s">
        <v>234</v>
      </c>
      <c r="AL126" s="19" t="s">
        <v>90</v>
      </c>
      <c r="AM126" s="19" t="s">
        <v>386</v>
      </c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20" customFormat="1" ht="15.95" customHeight="1" x14ac:dyDescent="0.25">
      <c r="A127" s="18"/>
      <c r="B127" s="19">
        <v>194</v>
      </c>
      <c r="C127" s="19"/>
      <c r="D127" s="19">
        <v>20727</v>
      </c>
      <c r="E127" s="36">
        <v>1999</v>
      </c>
      <c r="F127" s="19" t="s">
        <v>1224</v>
      </c>
      <c r="G127" s="19" t="s">
        <v>382</v>
      </c>
      <c r="H127" s="19"/>
      <c r="I127" s="35" t="s">
        <v>41</v>
      </c>
      <c r="J127" s="19" t="s">
        <v>89</v>
      </c>
      <c r="K127" s="19" t="s">
        <v>161</v>
      </c>
      <c r="L127" s="19" t="s">
        <v>82</v>
      </c>
      <c r="M127" s="19" t="s">
        <v>82</v>
      </c>
      <c r="N127" s="19" t="s">
        <v>66</v>
      </c>
      <c r="O127" s="19" t="s">
        <v>387</v>
      </c>
      <c r="P127" s="35" t="s">
        <v>51</v>
      </c>
      <c r="Q127" s="19"/>
      <c r="R127" s="19" t="s">
        <v>237</v>
      </c>
      <c r="S127" s="19" t="s">
        <v>79</v>
      </c>
      <c r="T127" s="19" t="s">
        <v>56</v>
      </c>
      <c r="U127" s="19">
        <v>27</v>
      </c>
      <c r="V127" s="19" t="s">
        <v>231</v>
      </c>
      <c r="W127" s="19" t="s">
        <v>46</v>
      </c>
      <c r="X127" s="29"/>
      <c r="Y127" s="19">
        <v>2900</v>
      </c>
      <c r="Z127" s="24">
        <f t="shared" si="4"/>
        <v>314.20377977127998</v>
      </c>
      <c r="AA127" s="19" t="s">
        <v>214</v>
      </c>
      <c r="AB127" s="19"/>
      <c r="AC127" s="35">
        <v>280</v>
      </c>
      <c r="AD127" s="35">
        <v>280</v>
      </c>
      <c r="AE127" s="19" t="s">
        <v>270</v>
      </c>
      <c r="AF127" s="19" t="s">
        <v>383</v>
      </c>
      <c r="AG127" s="19"/>
      <c r="AH127" s="19" t="s">
        <v>234</v>
      </c>
      <c r="AI127" s="19" t="s">
        <v>385</v>
      </c>
      <c r="AJ127" s="19" t="s">
        <v>270</v>
      </c>
      <c r="AK127" s="19" t="s">
        <v>234</v>
      </c>
      <c r="AL127" s="19" t="s">
        <v>90</v>
      </c>
      <c r="AM127" s="19" t="s">
        <v>386</v>
      </c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20" customFormat="1" ht="15.95" customHeight="1" x14ac:dyDescent="0.25">
      <c r="A128" s="18"/>
      <c r="B128" s="19">
        <v>194</v>
      </c>
      <c r="C128" s="19"/>
      <c r="D128" s="19">
        <v>20727</v>
      </c>
      <c r="E128" s="36">
        <v>1999</v>
      </c>
      <c r="F128" s="19" t="s">
        <v>1224</v>
      </c>
      <c r="G128" s="19" t="s">
        <v>382</v>
      </c>
      <c r="H128" s="19"/>
      <c r="I128" s="35" t="s">
        <v>41</v>
      </c>
      <c r="J128" s="19" t="s">
        <v>89</v>
      </c>
      <c r="K128" s="19" t="s">
        <v>161</v>
      </c>
      <c r="L128" s="19" t="s">
        <v>82</v>
      </c>
      <c r="M128" s="19" t="s">
        <v>82</v>
      </c>
      <c r="N128" s="19" t="s">
        <v>66</v>
      </c>
      <c r="O128" s="19" t="s">
        <v>387</v>
      </c>
      <c r="P128" s="35" t="s">
        <v>51</v>
      </c>
      <c r="Q128" s="19"/>
      <c r="R128" s="19" t="s">
        <v>237</v>
      </c>
      <c r="S128" s="19" t="s">
        <v>79</v>
      </c>
      <c r="T128" s="19" t="s">
        <v>56</v>
      </c>
      <c r="U128" s="19">
        <v>27</v>
      </c>
      <c r="V128" s="19" t="s">
        <v>231</v>
      </c>
      <c r="W128" s="19" t="s">
        <v>46</v>
      </c>
      <c r="X128" s="29"/>
      <c r="Y128" s="19">
        <v>80</v>
      </c>
      <c r="Z128" s="24">
        <f t="shared" si="4"/>
        <v>8.6676904764491027</v>
      </c>
      <c r="AA128" s="19" t="s">
        <v>214</v>
      </c>
      <c r="AB128" s="19"/>
      <c r="AC128" s="35">
        <v>280</v>
      </c>
      <c r="AD128" s="35">
        <v>280</v>
      </c>
      <c r="AE128" s="19" t="s">
        <v>270</v>
      </c>
      <c r="AF128" s="19" t="s">
        <v>383</v>
      </c>
      <c r="AG128" s="19"/>
      <c r="AH128" s="19" t="s">
        <v>234</v>
      </c>
      <c r="AI128" s="19" t="s">
        <v>385</v>
      </c>
      <c r="AJ128" s="19" t="s">
        <v>270</v>
      </c>
      <c r="AK128" s="19" t="s">
        <v>234</v>
      </c>
      <c r="AL128" s="19" t="s">
        <v>90</v>
      </c>
      <c r="AM128" s="19" t="s">
        <v>386</v>
      </c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20" customFormat="1" ht="15.95" customHeight="1" x14ac:dyDescent="0.25">
      <c r="A129" s="18"/>
      <c r="B129" s="19">
        <v>194</v>
      </c>
      <c r="C129" s="19"/>
      <c r="D129" s="19">
        <v>20727</v>
      </c>
      <c r="E129" s="36">
        <v>1999</v>
      </c>
      <c r="F129" s="19" t="s">
        <v>1224</v>
      </c>
      <c r="G129" s="19" t="s">
        <v>382</v>
      </c>
      <c r="H129" s="19"/>
      <c r="I129" s="35" t="s">
        <v>41</v>
      </c>
      <c r="J129" s="19" t="s">
        <v>89</v>
      </c>
      <c r="K129" s="19" t="s">
        <v>161</v>
      </c>
      <c r="L129" s="19" t="s">
        <v>82</v>
      </c>
      <c r="M129" s="19" t="s">
        <v>82</v>
      </c>
      <c r="N129" s="19" t="s">
        <v>66</v>
      </c>
      <c r="O129" s="19" t="s">
        <v>387</v>
      </c>
      <c r="P129" s="35" t="s">
        <v>51</v>
      </c>
      <c r="Q129" s="19"/>
      <c r="R129" s="19" t="s">
        <v>237</v>
      </c>
      <c r="S129" s="19" t="s">
        <v>79</v>
      </c>
      <c r="T129" s="19" t="s">
        <v>56</v>
      </c>
      <c r="U129" s="19">
        <v>27</v>
      </c>
      <c r="V129" s="19" t="s">
        <v>231</v>
      </c>
      <c r="W129" s="19" t="s">
        <v>46</v>
      </c>
      <c r="X129" s="29"/>
      <c r="Y129" s="19">
        <v>2200</v>
      </c>
      <c r="Z129" s="24">
        <f t="shared" si="4"/>
        <v>238.36148810235034</v>
      </c>
      <c r="AA129" s="19" t="s">
        <v>214</v>
      </c>
      <c r="AB129" s="19"/>
      <c r="AC129" s="35">
        <v>280</v>
      </c>
      <c r="AD129" s="35">
        <v>280</v>
      </c>
      <c r="AE129" s="19" t="s">
        <v>270</v>
      </c>
      <c r="AF129" s="19" t="s">
        <v>383</v>
      </c>
      <c r="AG129" s="19"/>
      <c r="AH129" s="19" t="s">
        <v>234</v>
      </c>
      <c r="AI129" s="19" t="s">
        <v>385</v>
      </c>
      <c r="AJ129" s="19" t="s">
        <v>270</v>
      </c>
      <c r="AK129" s="19" t="s">
        <v>234</v>
      </c>
      <c r="AL129" s="19" t="s">
        <v>90</v>
      </c>
      <c r="AM129" s="19" t="s">
        <v>386</v>
      </c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20" customFormat="1" ht="15.95" customHeight="1" x14ac:dyDescent="0.25">
      <c r="A130" s="18"/>
      <c r="B130" s="19">
        <v>194</v>
      </c>
      <c r="C130" s="19"/>
      <c r="D130" s="19">
        <v>20727</v>
      </c>
      <c r="E130" s="36">
        <v>1999</v>
      </c>
      <c r="F130" s="19" t="s">
        <v>1224</v>
      </c>
      <c r="G130" s="19" t="s">
        <v>382</v>
      </c>
      <c r="H130" s="19"/>
      <c r="I130" s="35" t="s">
        <v>41</v>
      </c>
      <c r="J130" s="19" t="s">
        <v>89</v>
      </c>
      <c r="K130" s="19" t="s">
        <v>161</v>
      </c>
      <c r="L130" s="19" t="s">
        <v>82</v>
      </c>
      <c r="M130" s="19" t="s">
        <v>82</v>
      </c>
      <c r="N130" s="19" t="s">
        <v>66</v>
      </c>
      <c r="O130" s="19" t="s">
        <v>387</v>
      </c>
      <c r="P130" s="35" t="s">
        <v>51</v>
      </c>
      <c r="Q130" s="19"/>
      <c r="R130" s="19" t="s">
        <v>237</v>
      </c>
      <c r="S130" s="19" t="s">
        <v>79</v>
      </c>
      <c r="T130" s="19" t="s">
        <v>56</v>
      </c>
      <c r="U130" s="19">
        <v>27</v>
      </c>
      <c r="V130" s="19" t="s">
        <v>231</v>
      </c>
      <c r="W130" s="19" t="s">
        <v>46</v>
      </c>
      <c r="X130" s="29"/>
      <c r="Y130" s="19">
        <v>1200</v>
      </c>
      <c r="Z130" s="24">
        <f t="shared" si="4"/>
        <v>130.01535714673653</v>
      </c>
      <c r="AA130" s="19" t="s">
        <v>214</v>
      </c>
      <c r="AB130" s="19"/>
      <c r="AC130" s="35">
        <v>280</v>
      </c>
      <c r="AD130" s="35">
        <v>280</v>
      </c>
      <c r="AE130" s="19" t="s">
        <v>270</v>
      </c>
      <c r="AF130" s="19" t="s">
        <v>383</v>
      </c>
      <c r="AG130" s="19"/>
      <c r="AH130" s="19" t="s">
        <v>234</v>
      </c>
      <c r="AI130" s="19" t="s">
        <v>385</v>
      </c>
      <c r="AJ130" s="19" t="s">
        <v>270</v>
      </c>
      <c r="AK130" s="19" t="s">
        <v>234</v>
      </c>
      <c r="AL130" s="19" t="s">
        <v>90</v>
      </c>
      <c r="AM130" s="19" t="s">
        <v>386</v>
      </c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20" customFormat="1" ht="15.95" customHeight="1" x14ac:dyDescent="0.25">
      <c r="A131" s="18"/>
      <c r="B131" s="19">
        <v>194</v>
      </c>
      <c r="C131" s="19"/>
      <c r="D131" s="19">
        <v>20727</v>
      </c>
      <c r="E131" s="36">
        <v>1999</v>
      </c>
      <c r="F131" s="19" t="s">
        <v>1224</v>
      </c>
      <c r="G131" s="19" t="s">
        <v>382</v>
      </c>
      <c r="H131" s="19"/>
      <c r="I131" s="35" t="s">
        <v>41</v>
      </c>
      <c r="J131" s="19" t="s">
        <v>89</v>
      </c>
      <c r="K131" s="19" t="s">
        <v>161</v>
      </c>
      <c r="L131" s="19" t="s">
        <v>82</v>
      </c>
      <c r="M131" s="19" t="s">
        <v>82</v>
      </c>
      <c r="N131" s="19" t="s">
        <v>66</v>
      </c>
      <c r="O131" s="19" t="s">
        <v>387</v>
      </c>
      <c r="P131" s="35" t="s">
        <v>51</v>
      </c>
      <c r="Q131" s="19"/>
      <c r="R131" s="19" t="s">
        <v>237</v>
      </c>
      <c r="S131" s="19" t="s">
        <v>79</v>
      </c>
      <c r="T131" s="19" t="s">
        <v>56</v>
      </c>
      <c r="U131" s="19">
        <v>27</v>
      </c>
      <c r="V131" s="19" t="s">
        <v>231</v>
      </c>
      <c r="W131" s="19" t="s">
        <v>46</v>
      </c>
      <c r="X131" s="29"/>
      <c r="Y131" s="19">
        <v>1200</v>
      </c>
      <c r="Z131" s="24">
        <f t="shared" si="4"/>
        <v>130.01535714673653</v>
      </c>
      <c r="AA131" s="19" t="s">
        <v>214</v>
      </c>
      <c r="AB131" s="19"/>
      <c r="AC131" s="35">
        <v>280</v>
      </c>
      <c r="AD131" s="35">
        <v>280</v>
      </c>
      <c r="AE131" s="19" t="s">
        <v>270</v>
      </c>
      <c r="AF131" s="19" t="s">
        <v>383</v>
      </c>
      <c r="AG131" s="19"/>
      <c r="AH131" s="19" t="s">
        <v>234</v>
      </c>
      <c r="AI131" s="19" t="s">
        <v>385</v>
      </c>
      <c r="AJ131" s="19" t="s">
        <v>270</v>
      </c>
      <c r="AK131" s="19" t="s">
        <v>234</v>
      </c>
      <c r="AL131" s="19" t="s">
        <v>90</v>
      </c>
      <c r="AM131" s="19" t="s">
        <v>386</v>
      </c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20" customFormat="1" ht="15.95" customHeight="1" x14ac:dyDescent="0.25">
      <c r="A132" s="18"/>
      <c r="B132" s="19">
        <v>194</v>
      </c>
      <c r="C132" s="19"/>
      <c r="D132" s="19">
        <v>20727</v>
      </c>
      <c r="E132" s="36">
        <v>1999</v>
      </c>
      <c r="F132" s="19" t="s">
        <v>1224</v>
      </c>
      <c r="G132" s="19" t="s">
        <v>382</v>
      </c>
      <c r="H132" s="19"/>
      <c r="I132" s="35" t="s">
        <v>41</v>
      </c>
      <c r="J132" s="19" t="s">
        <v>89</v>
      </c>
      <c r="K132" s="19" t="s">
        <v>161</v>
      </c>
      <c r="L132" s="19" t="s">
        <v>82</v>
      </c>
      <c r="M132" s="19" t="s">
        <v>82</v>
      </c>
      <c r="N132" s="19" t="s">
        <v>66</v>
      </c>
      <c r="O132" s="19" t="s">
        <v>387</v>
      </c>
      <c r="P132" s="35" t="s">
        <v>51</v>
      </c>
      <c r="Q132" s="19"/>
      <c r="R132" s="19" t="s">
        <v>237</v>
      </c>
      <c r="S132" s="19" t="s">
        <v>79</v>
      </c>
      <c r="T132" s="19" t="s">
        <v>56</v>
      </c>
      <c r="U132" s="19">
        <v>27</v>
      </c>
      <c r="V132" s="19" t="s">
        <v>231</v>
      </c>
      <c r="W132" s="19" t="s">
        <v>46</v>
      </c>
      <c r="X132" s="29"/>
      <c r="Y132" s="19">
        <v>700</v>
      </c>
      <c r="Z132" s="24">
        <f t="shared" si="4"/>
        <v>75.842291668929647</v>
      </c>
      <c r="AA132" s="19" t="s">
        <v>214</v>
      </c>
      <c r="AB132" s="19"/>
      <c r="AC132" s="35">
        <v>280</v>
      </c>
      <c r="AD132" s="35">
        <v>280</v>
      </c>
      <c r="AE132" s="19" t="s">
        <v>270</v>
      </c>
      <c r="AF132" s="19" t="s">
        <v>383</v>
      </c>
      <c r="AG132" s="19"/>
      <c r="AH132" s="19" t="s">
        <v>234</v>
      </c>
      <c r="AI132" s="19" t="s">
        <v>385</v>
      </c>
      <c r="AJ132" s="19" t="s">
        <v>270</v>
      </c>
      <c r="AK132" s="19" t="s">
        <v>234</v>
      </c>
      <c r="AL132" s="19" t="s">
        <v>90</v>
      </c>
      <c r="AM132" s="19" t="s">
        <v>386</v>
      </c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20" customFormat="1" ht="15.95" customHeight="1" x14ac:dyDescent="0.25">
      <c r="A133" s="18"/>
      <c r="B133" s="19">
        <v>194</v>
      </c>
      <c r="C133" s="19"/>
      <c r="D133" s="19">
        <v>20727</v>
      </c>
      <c r="E133" s="36">
        <v>1999</v>
      </c>
      <c r="F133" s="19" t="s">
        <v>1224</v>
      </c>
      <c r="G133" s="19" t="s">
        <v>382</v>
      </c>
      <c r="H133" s="19"/>
      <c r="I133" s="35" t="s">
        <v>41</v>
      </c>
      <c r="J133" s="19" t="s">
        <v>89</v>
      </c>
      <c r="K133" s="19" t="s">
        <v>161</v>
      </c>
      <c r="L133" s="19" t="s">
        <v>82</v>
      </c>
      <c r="M133" s="19" t="s">
        <v>82</v>
      </c>
      <c r="N133" s="19" t="s">
        <v>66</v>
      </c>
      <c r="O133" s="19" t="s">
        <v>387</v>
      </c>
      <c r="P133" s="35" t="s">
        <v>51</v>
      </c>
      <c r="Q133" s="19"/>
      <c r="R133" s="19" t="s">
        <v>237</v>
      </c>
      <c r="S133" s="19" t="s">
        <v>79</v>
      </c>
      <c r="T133" s="19" t="s">
        <v>56</v>
      </c>
      <c r="U133" s="19">
        <v>27</v>
      </c>
      <c r="V133" s="19" t="s">
        <v>231</v>
      </c>
      <c r="W133" s="19" t="s">
        <v>46</v>
      </c>
      <c r="X133" s="29"/>
      <c r="Y133" s="19">
        <v>2500</v>
      </c>
      <c r="Z133" s="24">
        <f t="shared" si="4"/>
        <v>270.86532738903446</v>
      </c>
      <c r="AA133" s="19" t="s">
        <v>214</v>
      </c>
      <c r="AB133" s="19"/>
      <c r="AC133" s="35">
        <v>280</v>
      </c>
      <c r="AD133" s="35">
        <v>280</v>
      </c>
      <c r="AE133" s="19" t="s">
        <v>270</v>
      </c>
      <c r="AF133" s="19" t="s">
        <v>383</v>
      </c>
      <c r="AG133" s="19"/>
      <c r="AH133" s="19" t="s">
        <v>234</v>
      </c>
      <c r="AI133" s="19" t="s">
        <v>385</v>
      </c>
      <c r="AJ133" s="19" t="s">
        <v>270</v>
      </c>
      <c r="AK133" s="19" t="s">
        <v>234</v>
      </c>
      <c r="AL133" s="19" t="s">
        <v>90</v>
      </c>
      <c r="AM133" s="19" t="s">
        <v>386</v>
      </c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20" customFormat="1" ht="15.95" customHeight="1" x14ac:dyDescent="0.25">
      <c r="A134" s="18"/>
      <c r="B134" s="19">
        <v>194</v>
      </c>
      <c r="C134" s="19"/>
      <c r="D134" s="19">
        <v>20727</v>
      </c>
      <c r="E134" s="36">
        <v>1999</v>
      </c>
      <c r="F134" s="19" t="s">
        <v>1224</v>
      </c>
      <c r="G134" s="19" t="s">
        <v>382</v>
      </c>
      <c r="H134" s="19"/>
      <c r="I134" s="35" t="s">
        <v>41</v>
      </c>
      <c r="J134" s="19" t="s">
        <v>89</v>
      </c>
      <c r="K134" s="19" t="s">
        <v>161</v>
      </c>
      <c r="L134" s="19" t="s">
        <v>82</v>
      </c>
      <c r="M134" s="19" t="s">
        <v>82</v>
      </c>
      <c r="N134" s="19" t="s">
        <v>66</v>
      </c>
      <c r="O134" s="19" t="s">
        <v>387</v>
      </c>
      <c r="P134" s="35" t="s">
        <v>51</v>
      </c>
      <c r="Q134" s="19"/>
      <c r="R134" s="19" t="s">
        <v>237</v>
      </c>
      <c r="S134" s="19" t="s">
        <v>79</v>
      </c>
      <c r="T134" s="19" t="s">
        <v>56</v>
      </c>
      <c r="U134" s="19">
        <v>27</v>
      </c>
      <c r="V134" s="19" t="s">
        <v>231</v>
      </c>
      <c r="W134" s="19" t="s">
        <v>46</v>
      </c>
      <c r="X134" s="29"/>
      <c r="Y134" s="19">
        <v>2600</v>
      </c>
      <c r="Z134" s="24">
        <f t="shared" si="4"/>
        <v>281.69994048459586</v>
      </c>
      <c r="AA134" s="19" t="s">
        <v>214</v>
      </c>
      <c r="AB134" s="19"/>
      <c r="AC134" s="35">
        <v>280</v>
      </c>
      <c r="AD134" s="35">
        <v>280</v>
      </c>
      <c r="AE134" s="19" t="s">
        <v>270</v>
      </c>
      <c r="AF134" s="19" t="s">
        <v>383</v>
      </c>
      <c r="AG134" s="19"/>
      <c r="AH134" s="19" t="s">
        <v>234</v>
      </c>
      <c r="AI134" s="19" t="s">
        <v>385</v>
      </c>
      <c r="AJ134" s="19" t="s">
        <v>270</v>
      </c>
      <c r="AK134" s="19" t="s">
        <v>234</v>
      </c>
      <c r="AL134" s="19" t="s">
        <v>90</v>
      </c>
      <c r="AM134" s="19" t="s">
        <v>386</v>
      </c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20" customFormat="1" ht="15.95" customHeight="1" x14ac:dyDescent="0.25">
      <c r="A135" s="18"/>
      <c r="B135" s="19">
        <v>194</v>
      </c>
      <c r="C135" s="19"/>
      <c r="D135" s="19">
        <v>20727</v>
      </c>
      <c r="E135" s="36">
        <v>1999</v>
      </c>
      <c r="F135" s="19" t="s">
        <v>1224</v>
      </c>
      <c r="G135" s="19" t="s">
        <v>382</v>
      </c>
      <c r="H135" s="19"/>
      <c r="I135" s="35" t="s">
        <v>41</v>
      </c>
      <c r="J135" s="19" t="s">
        <v>89</v>
      </c>
      <c r="K135" s="19" t="s">
        <v>161</v>
      </c>
      <c r="L135" s="19" t="s">
        <v>82</v>
      </c>
      <c r="M135" s="19" t="s">
        <v>82</v>
      </c>
      <c r="N135" s="19" t="s">
        <v>66</v>
      </c>
      <c r="O135" s="19" t="s">
        <v>387</v>
      </c>
      <c r="P135" s="35" t="s">
        <v>51</v>
      </c>
      <c r="Q135" s="19"/>
      <c r="R135" s="19" t="s">
        <v>237</v>
      </c>
      <c r="S135" s="19" t="s">
        <v>79</v>
      </c>
      <c r="T135" s="19" t="s">
        <v>56</v>
      </c>
      <c r="U135" s="19">
        <v>27</v>
      </c>
      <c r="V135" s="19" t="s">
        <v>231</v>
      </c>
      <c r="W135" s="19" t="s">
        <v>46</v>
      </c>
      <c r="X135" s="29"/>
      <c r="Y135" s="19">
        <v>2500</v>
      </c>
      <c r="Z135" s="24">
        <f t="shared" si="4"/>
        <v>270.86532738903446</v>
      </c>
      <c r="AA135" s="19" t="s">
        <v>214</v>
      </c>
      <c r="AB135" s="19"/>
      <c r="AC135" s="35">
        <v>280</v>
      </c>
      <c r="AD135" s="35">
        <v>280</v>
      </c>
      <c r="AE135" s="19" t="s">
        <v>270</v>
      </c>
      <c r="AF135" s="19" t="s">
        <v>383</v>
      </c>
      <c r="AG135" s="19"/>
      <c r="AH135" s="19" t="s">
        <v>234</v>
      </c>
      <c r="AI135" s="19" t="s">
        <v>385</v>
      </c>
      <c r="AJ135" s="19" t="s">
        <v>270</v>
      </c>
      <c r="AK135" s="19" t="s">
        <v>234</v>
      </c>
      <c r="AL135" s="19" t="s">
        <v>90</v>
      </c>
      <c r="AM135" s="19" t="s">
        <v>386</v>
      </c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20" customFormat="1" ht="15.95" customHeight="1" x14ac:dyDescent="0.25">
      <c r="A136" s="18"/>
      <c r="B136" s="19">
        <v>194</v>
      </c>
      <c r="C136" s="19"/>
      <c r="D136" s="19">
        <v>20727</v>
      </c>
      <c r="E136" s="36">
        <v>1999</v>
      </c>
      <c r="F136" s="19" t="s">
        <v>1224</v>
      </c>
      <c r="G136" s="19" t="s">
        <v>382</v>
      </c>
      <c r="H136" s="19"/>
      <c r="I136" s="35" t="s">
        <v>41</v>
      </c>
      <c r="J136" s="19" t="s">
        <v>89</v>
      </c>
      <c r="K136" s="19" t="s">
        <v>161</v>
      </c>
      <c r="L136" s="19" t="s">
        <v>82</v>
      </c>
      <c r="M136" s="19" t="s">
        <v>82</v>
      </c>
      <c r="N136" s="19" t="s">
        <v>66</v>
      </c>
      <c r="O136" s="19" t="s">
        <v>387</v>
      </c>
      <c r="P136" s="35" t="s">
        <v>51</v>
      </c>
      <c r="Q136" s="19"/>
      <c r="R136" s="19" t="s">
        <v>237</v>
      </c>
      <c r="S136" s="19" t="s">
        <v>79</v>
      </c>
      <c r="T136" s="19" t="s">
        <v>56</v>
      </c>
      <c r="U136" s="19">
        <v>27</v>
      </c>
      <c r="V136" s="19" t="s">
        <v>231</v>
      </c>
      <c r="W136" s="19" t="s">
        <v>46</v>
      </c>
      <c r="X136" s="29"/>
      <c r="Y136" s="19">
        <v>600</v>
      </c>
      <c r="Z136" s="24">
        <f t="shared" si="4"/>
        <v>65.007678573368267</v>
      </c>
      <c r="AA136" s="19" t="s">
        <v>214</v>
      </c>
      <c r="AB136" s="19"/>
      <c r="AC136" s="35">
        <v>280</v>
      </c>
      <c r="AD136" s="35">
        <v>280</v>
      </c>
      <c r="AE136" s="19" t="s">
        <v>270</v>
      </c>
      <c r="AF136" s="19" t="s">
        <v>383</v>
      </c>
      <c r="AG136" s="19"/>
      <c r="AH136" s="19" t="s">
        <v>234</v>
      </c>
      <c r="AI136" s="19" t="s">
        <v>385</v>
      </c>
      <c r="AJ136" s="19" t="s">
        <v>270</v>
      </c>
      <c r="AK136" s="19" t="s">
        <v>234</v>
      </c>
      <c r="AL136" s="19" t="s">
        <v>90</v>
      </c>
      <c r="AM136" s="19" t="s">
        <v>386</v>
      </c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20" customFormat="1" ht="15.95" customHeight="1" x14ac:dyDescent="0.25">
      <c r="A137" s="18"/>
      <c r="B137" s="19">
        <v>194</v>
      </c>
      <c r="C137" s="19"/>
      <c r="D137" s="19">
        <v>20727</v>
      </c>
      <c r="E137" s="36">
        <v>1999</v>
      </c>
      <c r="F137" s="19" t="s">
        <v>1224</v>
      </c>
      <c r="G137" s="19" t="s">
        <v>382</v>
      </c>
      <c r="H137" s="19"/>
      <c r="I137" s="35" t="s">
        <v>41</v>
      </c>
      <c r="J137" s="19" t="s">
        <v>89</v>
      </c>
      <c r="K137" s="19" t="s">
        <v>161</v>
      </c>
      <c r="L137" s="19" t="s">
        <v>82</v>
      </c>
      <c r="M137" s="19" t="s">
        <v>82</v>
      </c>
      <c r="N137" s="19" t="s">
        <v>66</v>
      </c>
      <c r="O137" s="19" t="s">
        <v>387</v>
      </c>
      <c r="P137" s="35" t="s">
        <v>51</v>
      </c>
      <c r="Q137" s="19"/>
      <c r="R137" s="19" t="s">
        <v>237</v>
      </c>
      <c r="S137" s="19" t="s">
        <v>79</v>
      </c>
      <c r="T137" s="19" t="s">
        <v>56</v>
      </c>
      <c r="U137" s="19">
        <v>27</v>
      </c>
      <c r="V137" s="19" t="s">
        <v>231</v>
      </c>
      <c r="W137" s="19" t="s">
        <v>46</v>
      </c>
      <c r="X137" s="29"/>
      <c r="Y137" s="19">
        <v>2800</v>
      </c>
      <c r="Z137" s="24">
        <f t="shared" si="4"/>
        <v>303.36916667571859</v>
      </c>
      <c r="AA137" s="19" t="s">
        <v>214</v>
      </c>
      <c r="AB137" s="19"/>
      <c r="AC137" s="35">
        <v>280</v>
      </c>
      <c r="AD137" s="35">
        <v>280</v>
      </c>
      <c r="AE137" s="19" t="s">
        <v>270</v>
      </c>
      <c r="AF137" s="19" t="s">
        <v>383</v>
      </c>
      <c r="AG137" s="19"/>
      <c r="AH137" s="19" t="s">
        <v>234</v>
      </c>
      <c r="AI137" s="19" t="s">
        <v>385</v>
      </c>
      <c r="AJ137" s="19" t="s">
        <v>270</v>
      </c>
      <c r="AK137" s="19" t="s">
        <v>234</v>
      </c>
      <c r="AL137" s="19" t="s">
        <v>90</v>
      </c>
      <c r="AM137" s="19" t="s">
        <v>386</v>
      </c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20" customFormat="1" ht="15.95" customHeight="1" x14ac:dyDescent="0.25">
      <c r="A138" s="18"/>
      <c r="B138" s="19">
        <v>194</v>
      </c>
      <c r="C138" s="19"/>
      <c r="D138" s="19">
        <v>20727</v>
      </c>
      <c r="E138" s="36">
        <v>1999</v>
      </c>
      <c r="F138" s="19" t="s">
        <v>1224</v>
      </c>
      <c r="G138" s="19" t="s">
        <v>382</v>
      </c>
      <c r="H138" s="19"/>
      <c r="I138" s="35" t="s">
        <v>41</v>
      </c>
      <c r="J138" s="19" t="s">
        <v>89</v>
      </c>
      <c r="K138" s="19" t="s">
        <v>161</v>
      </c>
      <c r="L138" s="19" t="s">
        <v>82</v>
      </c>
      <c r="M138" s="19" t="s">
        <v>82</v>
      </c>
      <c r="N138" s="19" t="s">
        <v>66</v>
      </c>
      <c r="O138" s="19" t="s">
        <v>387</v>
      </c>
      <c r="P138" s="35" t="s">
        <v>51</v>
      </c>
      <c r="Q138" s="19"/>
      <c r="R138" s="19" t="s">
        <v>237</v>
      </c>
      <c r="S138" s="19" t="s">
        <v>79</v>
      </c>
      <c r="T138" s="19" t="s">
        <v>56</v>
      </c>
      <c r="U138" s="19">
        <v>27</v>
      </c>
      <c r="V138" s="19" t="s">
        <v>231</v>
      </c>
      <c r="W138" s="19" t="s">
        <v>46</v>
      </c>
      <c r="X138" s="29"/>
      <c r="Y138" s="19">
        <v>1200</v>
      </c>
      <c r="Z138" s="24">
        <f t="shared" si="4"/>
        <v>130.01535714673653</v>
      </c>
      <c r="AA138" s="19" t="s">
        <v>214</v>
      </c>
      <c r="AB138" s="19"/>
      <c r="AC138" s="35">
        <v>280</v>
      </c>
      <c r="AD138" s="35">
        <v>280</v>
      </c>
      <c r="AE138" s="19" t="s">
        <v>270</v>
      </c>
      <c r="AF138" s="19" t="s">
        <v>383</v>
      </c>
      <c r="AG138" s="19"/>
      <c r="AH138" s="19" t="s">
        <v>234</v>
      </c>
      <c r="AI138" s="19" t="s">
        <v>385</v>
      </c>
      <c r="AJ138" s="19" t="s">
        <v>270</v>
      </c>
      <c r="AK138" s="19" t="s">
        <v>234</v>
      </c>
      <c r="AL138" s="19" t="s">
        <v>90</v>
      </c>
      <c r="AM138" s="19" t="s">
        <v>386</v>
      </c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20" customFormat="1" ht="15.95" customHeight="1" x14ac:dyDescent="0.25">
      <c r="A139" s="18"/>
      <c r="B139" s="19">
        <v>194</v>
      </c>
      <c r="C139" s="19"/>
      <c r="D139" s="19">
        <v>20727</v>
      </c>
      <c r="E139" s="36">
        <v>1999</v>
      </c>
      <c r="F139" s="19" t="s">
        <v>1224</v>
      </c>
      <c r="G139" s="19" t="s">
        <v>382</v>
      </c>
      <c r="H139" s="19"/>
      <c r="I139" s="35" t="s">
        <v>41</v>
      </c>
      <c r="J139" s="19" t="s">
        <v>89</v>
      </c>
      <c r="K139" s="19" t="s">
        <v>161</v>
      </c>
      <c r="L139" s="19" t="s">
        <v>82</v>
      </c>
      <c r="M139" s="19" t="s">
        <v>82</v>
      </c>
      <c r="N139" s="19" t="s">
        <v>66</v>
      </c>
      <c r="O139" s="19" t="s">
        <v>387</v>
      </c>
      <c r="P139" s="35" t="s">
        <v>51</v>
      </c>
      <c r="Q139" s="19"/>
      <c r="R139" s="19" t="s">
        <v>237</v>
      </c>
      <c r="S139" s="19" t="s">
        <v>79</v>
      </c>
      <c r="T139" s="19" t="s">
        <v>56</v>
      </c>
      <c r="U139" s="19">
        <v>27</v>
      </c>
      <c r="V139" s="19" t="s">
        <v>231</v>
      </c>
      <c r="W139" s="19" t="s">
        <v>46</v>
      </c>
      <c r="X139" s="29"/>
      <c r="Y139" s="19">
        <v>800</v>
      </c>
      <c r="Z139" s="24">
        <f t="shared" si="4"/>
        <v>86.676904764491027</v>
      </c>
      <c r="AA139" s="19" t="s">
        <v>214</v>
      </c>
      <c r="AB139" s="19"/>
      <c r="AC139" s="35">
        <v>280</v>
      </c>
      <c r="AD139" s="35">
        <v>280</v>
      </c>
      <c r="AE139" s="19" t="s">
        <v>270</v>
      </c>
      <c r="AF139" s="19" t="s">
        <v>383</v>
      </c>
      <c r="AG139" s="19"/>
      <c r="AH139" s="19" t="s">
        <v>234</v>
      </c>
      <c r="AI139" s="19" t="s">
        <v>385</v>
      </c>
      <c r="AJ139" s="19" t="s">
        <v>270</v>
      </c>
      <c r="AK139" s="19" t="s">
        <v>234</v>
      </c>
      <c r="AL139" s="19" t="s">
        <v>90</v>
      </c>
      <c r="AM139" s="19" t="s">
        <v>386</v>
      </c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20" customFormat="1" ht="15.95" customHeight="1" x14ac:dyDescent="0.25">
      <c r="A140" s="18"/>
      <c r="B140" s="19">
        <v>194</v>
      </c>
      <c r="C140" s="19"/>
      <c r="D140" s="19">
        <v>20727</v>
      </c>
      <c r="E140" s="36">
        <v>1999</v>
      </c>
      <c r="F140" s="19" t="s">
        <v>1224</v>
      </c>
      <c r="G140" s="19" t="s">
        <v>382</v>
      </c>
      <c r="H140" s="19"/>
      <c r="I140" s="35" t="s">
        <v>41</v>
      </c>
      <c r="J140" s="19" t="s">
        <v>89</v>
      </c>
      <c r="K140" s="19" t="s">
        <v>161</v>
      </c>
      <c r="L140" s="19" t="s">
        <v>82</v>
      </c>
      <c r="M140" s="19" t="s">
        <v>82</v>
      </c>
      <c r="N140" s="19" t="s">
        <v>66</v>
      </c>
      <c r="O140" s="19" t="s">
        <v>387</v>
      </c>
      <c r="P140" s="35" t="s">
        <v>51</v>
      </c>
      <c r="Q140" s="19"/>
      <c r="R140" s="19" t="s">
        <v>237</v>
      </c>
      <c r="S140" s="19" t="s">
        <v>79</v>
      </c>
      <c r="T140" s="19" t="s">
        <v>56</v>
      </c>
      <c r="U140" s="19">
        <v>27</v>
      </c>
      <c r="V140" s="19" t="s">
        <v>231</v>
      </c>
      <c r="W140" s="19" t="s">
        <v>46</v>
      </c>
      <c r="X140" s="29"/>
      <c r="Y140" s="19">
        <v>1000</v>
      </c>
      <c r="Z140" s="24">
        <f t="shared" si="4"/>
        <v>108.34613095561379</v>
      </c>
      <c r="AA140" s="19" t="s">
        <v>214</v>
      </c>
      <c r="AB140" s="19"/>
      <c r="AC140" s="35">
        <v>280</v>
      </c>
      <c r="AD140" s="35">
        <v>280</v>
      </c>
      <c r="AE140" s="19" t="s">
        <v>270</v>
      </c>
      <c r="AF140" s="19" t="s">
        <v>383</v>
      </c>
      <c r="AG140" s="19"/>
      <c r="AH140" s="19" t="s">
        <v>234</v>
      </c>
      <c r="AI140" s="19" t="s">
        <v>385</v>
      </c>
      <c r="AJ140" s="19" t="s">
        <v>270</v>
      </c>
      <c r="AK140" s="19" t="s">
        <v>234</v>
      </c>
      <c r="AL140" s="19" t="s">
        <v>90</v>
      </c>
      <c r="AM140" s="19" t="s">
        <v>386</v>
      </c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20" customFormat="1" ht="15.95" customHeight="1" x14ac:dyDescent="0.25">
      <c r="A141" s="18"/>
      <c r="B141" s="19">
        <v>194</v>
      </c>
      <c r="C141" s="19"/>
      <c r="D141" s="19">
        <v>20727</v>
      </c>
      <c r="E141" s="36">
        <v>1999</v>
      </c>
      <c r="F141" s="19" t="s">
        <v>1224</v>
      </c>
      <c r="G141" s="19" t="s">
        <v>382</v>
      </c>
      <c r="H141" s="19"/>
      <c r="I141" s="35" t="s">
        <v>41</v>
      </c>
      <c r="J141" s="19" t="s">
        <v>89</v>
      </c>
      <c r="K141" s="19" t="s">
        <v>161</v>
      </c>
      <c r="L141" s="19" t="s">
        <v>82</v>
      </c>
      <c r="M141" s="19" t="s">
        <v>82</v>
      </c>
      <c r="N141" s="19" t="s">
        <v>66</v>
      </c>
      <c r="O141" s="19" t="s">
        <v>387</v>
      </c>
      <c r="P141" s="35" t="s">
        <v>51</v>
      </c>
      <c r="Q141" s="19"/>
      <c r="R141" s="19" t="s">
        <v>237</v>
      </c>
      <c r="S141" s="19" t="s">
        <v>79</v>
      </c>
      <c r="T141" s="19" t="s">
        <v>56</v>
      </c>
      <c r="U141" s="19">
        <v>27</v>
      </c>
      <c r="V141" s="19" t="s">
        <v>231</v>
      </c>
      <c r="W141" s="19" t="s">
        <v>46</v>
      </c>
      <c r="X141" s="29"/>
      <c r="Y141" s="19">
        <v>600</v>
      </c>
      <c r="Z141" s="24">
        <f t="shared" si="4"/>
        <v>65.007678573368267</v>
      </c>
      <c r="AA141" s="19" t="s">
        <v>214</v>
      </c>
      <c r="AB141" s="19"/>
      <c r="AC141" s="35">
        <v>280</v>
      </c>
      <c r="AD141" s="35">
        <v>280</v>
      </c>
      <c r="AE141" s="19" t="s">
        <v>270</v>
      </c>
      <c r="AF141" s="19" t="s">
        <v>383</v>
      </c>
      <c r="AG141" s="19"/>
      <c r="AH141" s="19" t="s">
        <v>234</v>
      </c>
      <c r="AI141" s="19" t="s">
        <v>385</v>
      </c>
      <c r="AJ141" s="19" t="s">
        <v>270</v>
      </c>
      <c r="AK141" s="19" t="s">
        <v>234</v>
      </c>
      <c r="AL141" s="19" t="s">
        <v>90</v>
      </c>
      <c r="AM141" s="19" t="s">
        <v>386</v>
      </c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20" customFormat="1" ht="15.95" customHeight="1" x14ac:dyDescent="0.25">
      <c r="A142" s="18"/>
      <c r="B142" s="19">
        <v>194</v>
      </c>
      <c r="C142" s="19"/>
      <c r="D142" s="19">
        <v>20727</v>
      </c>
      <c r="E142" s="36">
        <v>1999</v>
      </c>
      <c r="F142" s="19" t="s">
        <v>1224</v>
      </c>
      <c r="G142" s="19" t="s">
        <v>382</v>
      </c>
      <c r="H142" s="19"/>
      <c r="I142" s="35" t="s">
        <v>41</v>
      </c>
      <c r="J142" s="19" t="s">
        <v>89</v>
      </c>
      <c r="K142" s="19" t="s">
        <v>161</v>
      </c>
      <c r="L142" s="19" t="s">
        <v>82</v>
      </c>
      <c r="M142" s="19" t="s">
        <v>82</v>
      </c>
      <c r="N142" s="19" t="s">
        <v>66</v>
      </c>
      <c r="O142" s="19" t="s">
        <v>387</v>
      </c>
      <c r="P142" s="35" t="s">
        <v>51</v>
      </c>
      <c r="Q142" s="19"/>
      <c r="R142" s="19" t="s">
        <v>237</v>
      </c>
      <c r="S142" s="19" t="s">
        <v>79</v>
      </c>
      <c r="T142" s="19" t="s">
        <v>56</v>
      </c>
      <c r="U142" s="19">
        <v>27</v>
      </c>
      <c r="V142" s="19" t="s">
        <v>231</v>
      </c>
      <c r="W142" s="19" t="s">
        <v>46</v>
      </c>
      <c r="X142" s="29"/>
      <c r="Y142" s="19">
        <v>2100</v>
      </c>
      <c r="Z142" s="24">
        <f t="shared" si="4"/>
        <v>227.52687500678897</v>
      </c>
      <c r="AA142" s="19" t="s">
        <v>214</v>
      </c>
      <c r="AB142" s="19"/>
      <c r="AC142" s="35">
        <v>280</v>
      </c>
      <c r="AD142" s="35">
        <v>280</v>
      </c>
      <c r="AE142" s="19" t="s">
        <v>270</v>
      </c>
      <c r="AF142" s="19" t="s">
        <v>383</v>
      </c>
      <c r="AG142" s="19"/>
      <c r="AH142" s="19" t="s">
        <v>234</v>
      </c>
      <c r="AI142" s="19" t="s">
        <v>385</v>
      </c>
      <c r="AJ142" s="19" t="s">
        <v>270</v>
      </c>
      <c r="AK142" s="19" t="s">
        <v>234</v>
      </c>
      <c r="AL142" s="19" t="s">
        <v>90</v>
      </c>
      <c r="AM142" s="19" t="s">
        <v>386</v>
      </c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20" customFormat="1" ht="15.95" customHeight="1" x14ac:dyDescent="0.25">
      <c r="A143" s="18"/>
      <c r="B143" s="19">
        <v>194</v>
      </c>
      <c r="C143" s="19"/>
      <c r="D143" s="19">
        <v>20727</v>
      </c>
      <c r="E143" s="36">
        <v>1999</v>
      </c>
      <c r="F143" s="19" t="s">
        <v>1224</v>
      </c>
      <c r="G143" s="19" t="s">
        <v>382</v>
      </c>
      <c r="H143" s="19"/>
      <c r="I143" s="35" t="s">
        <v>41</v>
      </c>
      <c r="J143" s="19" t="s">
        <v>89</v>
      </c>
      <c r="K143" s="19" t="s">
        <v>161</v>
      </c>
      <c r="L143" s="19" t="s">
        <v>82</v>
      </c>
      <c r="M143" s="19" t="s">
        <v>82</v>
      </c>
      <c r="N143" s="19" t="s">
        <v>66</v>
      </c>
      <c r="O143" s="19" t="s">
        <v>387</v>
      </c>
      <c r="P143" s="35" t="s">
        <v>51</v>
      </c>
      <c r="Q143" s="19"/>
      <c r="R143" s="19" t="s">
        <v>237</v>
      </c>
      <c r="S143" s="19" t="s">
        <v>79</v>
      </c>
      <c r="T143" s="19" t="s">
        <v>56</v>
      </c>
      <c r="U143" s="19">
        <v>27</v>
      </c>
      <c r="V143" s="19" t="s">
        <v>231</v>
      </c>
      <c r="W143" s="19" t="s">
        <v>46</v>
      </c>
      <c r="X143" s="29"/>
      <c r="Y143" s="19">
        <v>2300</v>
      </c>
      <c r="Z143" s="24">
        <f t="shared" si="4"/>
        <v>249.1961011979117</v>
      </c>
      <c r="AA143" s="19" t="s">
        <v>214</v>
      </c>
      <c r="AB143" s="19"/>
      <c r="AC143" s="35">
        <v>280</v>
      </c>
      <c r="AD143" s="35">
        <v>280</v>
      </c>
      <c r="AE143" s="19" t="s">
        <v>270</v>
      </c>
      <c r="AF143" s="19" t="s">
        <v>383</v>
      </c>
      <c r="AG143" s="19"/>
      <c r="AH143" s="19" t="s">
        <v>234</v>
      </c>
      <c r="AI143" s="19" t="s">
        <v>385</v>
      </c>
      <c r="AJ143" s="19" t="s">
        <v>270</v>
      </c>
      <c r="AK143" s="19" t="s">
        <v>234</v>
      </c>
      <c r="AL143" s="19" t="s">
        <v>90</v>
      </c>
      <c r="AM143" s="19" t="s">
        <v>386</v>
      </c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20" customFormat="1" ht="15.95" customHeight="1" x14ac:dyDescent="0.25">
      <c r="A144" s="18"/>
      <c r="B144" s="19">
        <v>194</v>
      </c>
      <c r="C144" s="19"/>
      <c r="D144" s="19">
        <v>20727</v>
      </c>
      <c r="E144" s="36">
        <v>1999</v>
      </c>
      <c r="F144" s="19" t="s">
        <v>1224</v>
      </c>
      <c r="G144" s="19" t="s">
        <v>382</v>
      </c>
      <c r="H144" s="19"/>
      <c r="I144" s="35" t="s">
        <v>41</v>
      </c>
      <c r="J144" s="19" t="s">
        <v>89</v>
      </c>
      <c r="K144" s="19" t="s">
        <v>161</v>
      </c>
      <c r="L144" s="19" t="s">
        <v>82</v>
      </c>
      <c r="M144" s="19" t="s">
        <v>82</v>
      </c>
      <c r="N144" s="19" t="s">
        <v>66</v>
      </c>
      <c r="O144" s="19" t="s">
        <v>387</v>
      </c>
      <c r="P144" s="35" t="s">
        <v>51</v>
      </c>
      <c r="Q144" s="19"/>
      <c r="R144" s="19" t="s">
        <v>237</v>
      </c>
      <c r="S144" s="19" t="s">
        <v>79</v>
      </c>
      <c r="T144" s="19" t="s">
        <v>56</v>
      </c>
      <c r="U144" s="19">
        <v>27</v>
      </c>
      <c r="V144" s="19" t="s">
        <v>231</v>
      </c>
      <c r="W144" s="19" t="s">
        <v>46</v>
      </c>
      <c r="X144" s="29"/>
      <c r="Y144" s="19">
        <v>800</v>
      </c>
      <c r="Z144" s="24">
        <f t="shared" si="4"/>
        <v>86.676904764491027</v>
      </c>
      <c r="AA144" s="19" t="s">
        <v>214</v>
      </c>
      <c r="AB144" s="19"/>
      <c r="AC144" s="35">
        <v>280</v>
      </c>
      <c r="AD144" s="35">
        <v>280</v>
      </c>
      <c r="AE144" s="19" t="s">
        <v>270</v>
      </c>
      <c r="AF144" s="19" t="s">
        <v>383</v>
      </c>
      <c r="AG144" s="19"/>
      <c r="AH144" s="19" t="s">
        <v>234</v>
      </c>
      <c r="AI144" s="19" t="s">
        <v>385</v>
      </c>
      <c r="AJ144" s="19" t="s">
        <v>270</v>
      </c>
      <c r="AK144" s="19" t="s">
        <v>234</v>
      </c>
      <c r="AL144" s="19" t="s">
        <v>90</v>
      </c>
      <c r="AM144" s="19" t="s">
        <v>386</v>
      </c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20" customFormat="1" ht="15.95" customHeight="1" x14ac:dyDescent="0.25">
      <c r="A145" s="18"/>
      <c r="B145" s="19">
        <v>194</v>
      </c>
      <c r="C145" s="19"/>
      <c r="D145" s="19">
        <v>20727</v>
      </c>
      <c r="E145" s="36">
        <v>1999</v>
      </c>
      <c r="F145" s="19" t="s">
        <v>1224</v>
      </c>
      <c r="G145" s="19" t="s">
        <v>382</v>
      </c>
      <c r="H145" s="19"/>
      <c r="I145" s="35" t="s">
        <v>41</v>
      </c>
      <c r="J145" s="19" t="s">
        <v>89</v>
      </c>
      <c r="K145" s="19" t="s">
        <v>161</v>
      </c>
      <c r="L145" s="19" t="s">
        <v>82</v>
      </c>
      <c r="M145" s="19" t="s">
        <v>82</v>
      </c>
      <c r="N145" s="19" t="s">
        <v>66</v>
      </c>
      <c r="O145" s="19" t="s">
        <v>387</v>
      </c>
      <c r="P145" s="35" t="s">
        <v>51</v>
      </c>
      <c r="Q145" s="19"/>
      <c r="R145" s="19" t="s">
        <v>237</v>
      </c>
      <c r="S145" s="19" t="s">
        <v>79</v>
      </c>
      <c r="T145" s="19" t="s">
        <v>56</v>
      </c>
      <c r="U145" s="19">
        <v>27</v>
      </c>
      <c r="V145" s="19" t="s">
        <v>231</v>
      </c>
      <c r="W145" s="19" t="s">
        <v>46</v>
      </c>
      <c r="X145" s="29"/>
      <c r="Y145" s="19">
        <v>2100</v>
      </c>
      <c r="Z145" s="24">
        <f t="shared" si="4"/>
        <v>227.52687500678897</v>
      </c>
      <c r="AA145" s="19" t="s">
        <v>214</v>
      </c>
      <c r="AB145" s="19"/>
      <c r="AC145" s="35">
        <v>280</v>
      </c>
      <c r="AD145" s="35">
        <v>280</v>
      </c>
      <c r="AE145" s="19" t="s">
        <v>270</v>
      </c>
      <c r="AF145" s="19" t="s">
        <v>383</v>
      </c>
      <c r="AG145" s="19"/>
      <c r="AH145" s="19" t="s">
        <v>234</v>
      </c>
      <c r="AI145" s="19" t="s">
        <v>385</v>
      </c>
      <c r="AJ145" s="19" t="s">
        <v>270</v>
      </c>
      <c r="AK145" s="19" t="s">
        <v>234</v>
      </c>
      <c r="AL145" s="19" t="s">
        <v>90</v>
      </c>
      <c r="AM145" s="19" t="s">
        <v>386</v>
      </c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20" customFormat="1" ht="15.95" customHeight="1" x14ac:dyDescent="0.25">
      <c r="A146" s="18"/>
      <c r="B146" s="19">
        <v>194</v>
      </c>
      <c r="C146" s="19"/>
      <c r="D146" s="19">
        <v>20727</v>
      </c>
      <c r="E146" s="36">
        <v>1999</v>
      </c>
      <c r="F146" s="19" t="s">
        <v>1224</v>
      </c>
      <c r="G146" s="19" t="s">
        <v>382</v>
      </c>
      <c r="H146" s="19"/>
      <c r="I146" s="35" t="s">
        <v>41</v>
      </c>
      <c r="J146" s="19" t="s">
        <v>89</v>
      </c>
      <c r="K146" s="19" t="s">
        <v>161</v>
      </c>
      <c r="L146" s="19" t="s">
        <v>82</v>
      </c>
      <c r="M146" s="19" t="s">
        <v>82</v>
      </c>
      <c r="N146" s="19" t="s">
        <v>66</v>
      </c>
      <c r="O146" s="19" t="s">
        <v>387</v>
      </c>
      <c r="P146" s="35" t="s">
        <v>51</v>
      </c>
      <c r="Q146" s="19"/>
      <c r="R146" s="19" t="s">
        <v>237</v>
      </c>
      <c r="S146" s="19" t="s">
        <v>79</v>
      </c>
      <c r="T146" s="19" t="s">
        <v>56</v>
      </c>
      <c r="U146" s="19">
        <v>27</v>
      </c>
      <c r="V146" s="19" t="s">
        <v>231</v>
      </c>
      <c r="W146" s="19" t="s">
        <v>46</v>
      </c>
      <c r="X146" s="29"/>
      <c r="Y146" s="19">
        <v>800</v>
      </c>
      <c r="Z146" s="24">
        <f t="shared" si="4"/>
        <v>86.676904764491027</v>
      </c>
      <c r="AA146" s="19" t="s">
        <v>214</v>
      </c>
      <c r="AB146" s="19"/>
      <c r="AC146" s="35">
        <v>280</v>
      </c>
      <c r="AD146" s="35">
        <v>280</v>
      </c>
      <c r="AE146" s="19" t="s">
        <v>270</v>
      </c>
      <c r="AF146" s="19" t="s">
        <v>383</v>
      </c>
      <c r="AG146" s="19"/>
      <c r="AH146" s="19" t="s">
        <v>234</v>
      </c>
      <c r="AI146" s="19" t="s">
        <v>385</v>
      </c>
      <c r="AJ146" s="19" t="s">
        <v>270</v>
      </c>
      <c r="AK146" s="19" t="s">
        <v>234</v>
      </c>
      <c r="AL146" s="19" t="s">
        <v>90</v>
      </c>
      <c r="AM146" s="19" t="s">
        <v>386</v>
      </c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20" customFormat="1" ht="15.95" customHeight="1" x14ac:dyDescent="0.25">
      <c r="A147" s="18"/>
      <c r="B147" s="19">
        <v>194</v>
      </c>
      <c r="C147" s="19"/>
      <c r="D147" s="19">
        <v>20727</v>
      </c>
      <c r="E147" s="36">
        <v>1999</v>
      </c>
      <c r="F147" s="19" t="s">
        <v>1224</v>
      </c>
      <c r="G147" s="19" t="s">
        <v>382</v>
      </c>
      <c r="H147" s="19"/>
      <c r="I147" s="35" t="s">
        <v>41</v>
      </c>
      <c r="J147" s="19" t="s">
        <v>89</v>
      </c>
      <c r="K147" s="19" t="s">
        <v>161</v>
      </c>
      <c r="L147" s="19" t="s">
        <v>82</v>
      </c>
      <c r="M147" s="19" t="s">
        <v>82</v>
      </c>
      <c r="N147" s="19" t="s">
        <v>66</v>
      </c>
      <c r="O147" s="19" t="s">
        <v>387</v>
      </c>
      <c r="P147" s="35" t="s">
        <v>51</v>
      </c>
      <c r="Q147" s="19"/>
      <c r="R147" s="19" t="s">
        <v>237</v>
      </c>
      <c r="S147" s="19" t="s">
        <v>79</v>
      </c>
      <c r="T147" s="19" t="s">
        <v>56</v>
      </c>
      <c r="U147" s="19">
        <v>27</v>
      </c>
      <c r="V147" s="19" t="s">
        <v>231</v>
      </c>
      <c r="W147" s="19" t="s">
        <v>46</v>
      </c>
      <c r="X147" s="29"/>
      <c r="Y147" s="19">
        <v>2100</v>
      </c>
      <c r="Z147" s="24">
        <f t="shared" si="4"/>
        <v>227.52687500678897</v>
      </c>
      <c r="AA147" s="19" t="s">
        <v>214</v>
      </c>
      <c r="AB147" s="19"/>
      <c r="AC147" s="35">
        <v>280</v>
      </c>
      <c r="AD147" s="35">
        <v>280</v>
      </c>
      <c r="AE147" s="19" t="s">
        <v>270</v>
      </c>
      <c r="AF147" s="19" t="s">
        <v>383</v>
      </c>
      <c r="AG147" s="19"/>
      <c r="AH147" s="19" t="s">
        <v>234</v>
      </c>
      <c r="AI147" s="19" t="s">
        <v>385</v>
      </c>
      <c r="AJ147" s="19" t="s">
        <v>270</v>
      </c>
      <c r="AK147" s="19" t="s">
        <v>234</v>
      </c>
      <c r="AL147" s="19" t="s">
        <v>90</v>
      </c>
      <c r="AM147" s="19" t="s">
        <v>386</v>
      </c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20" customFormat="1" ht="15.95" customHeight="1" x14ac:dyDescent="0.25">
      <c r="A148" s="18"/>
      <c r="B148" s="19">
        <v>194</v>
      </c>
      <c r="C148" s="19"/>
      <c r="D148" s="19">
        <v>20727</v>
      </c>
      <c r="E148" s="36">
        <v>1999</v>
      </c>
      <c r="F148" s="19" t="s">
        <v>1224</v>
      </c>
      <c r="G148" s="19" t="s">
        <v>382</v>
      </c>
      <c r="H148" s="19"/>
      <c r="I148" s="35" t="s">
        <v>41</v>
      </c>
      <c r="J148" s="19" t="s">
        <v>89</v>
      </c>
      <c r="K148" s="19" t="s">
        <v>161</v>
      </c>
      <c r="L148" s="19" t="s">
        <v>82</v>
      </c>
      <c r="M148" s="19" t="s">
        <v>82</v>
      </c>
      <c r="N148" s="19" t="s">
        <v>66</v>
      </c>
      <c r="O148" s="19" t="s">
        <v>387</v>
      </c>
      <c r="P148" s="35" t="s">
        <v>51</v>
      </c>
      <c r="Q148" s="19"/>
      <c r="R148" s="19" t="s">
        <v>237</v>
      </c>
      <c r="S148" s="19" t="s">
        <v>79</v>
      </c>
      <c r="T148" s="19" t="s">
        <v>56</v>
      </c>
      <c r="U148" s="19">
        <v>27</v>
      </c>
      <c r="V148" s="19" t="s">
        <v>231</v>
      </c>
      <c r="W148" s="19" t="s">
        <v>46</v>
      </c>
      <c r="X148" s="29"/>
      <c r="Y148" s="19">
        <v>600</v>
      </c>
      <c r="Z148" s="24">
        <f t="shared" si="4"/>
        <v>65.007678573368267</v>
      </c>
      <c r="AA148" s="19" t="s">
        <v>214</v>
      </c>
      <c r="AB148" s="19"/>
      <c r="AC148" s="35">
        <v>280</v>
      </c>
      <c r="AD148" s="35">
        <v>280</v>
      </c>
      <c r="AE148" s="19" t="s">
        <v>270</v>
      </c>
      <c r="AF148" s="19" t="s">
        <v>383</v>
      </c>
      <c r="AG148" s="19"/>
      <c r="AH148" s="19" t="s">
        <v>234</v>
      </c>
      <c r="AI148" s="19" t="s">
        <v>385</v>
      </c>
      <c r="AJ148" s="19" t="s">
        <v>270</v>
      </c>
      <c r="AK148" s="19" t="s">
        <v>234</v>
      </c>
      <c r="AL148" s="19" t="s">
        <v>90</v>
      </c>
      <c r="AM148" s="19" t="s">
        <v>386</v>
      </c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20" customFormat="1" ht="15.95" customHeight="1" x14ac:dyDescent="0.25">
      <c r="A149" s="18"/>
      <c r="B149" s="19">
        <v>194</v>
      </c>
      <c r="C149" s="19"/>
      <c r="D149" s="19">
        <v>20727</v>
      </c>
      <c r="E149" s="36">
        <v>1999</v>
      </c>
      <c r="F149" s="19" t="s">
        <v>1224</v>
      </c>
      <c r="G149" s="19" t="s">
        <v>382</v>
      </c>
      <c r="H149" s="19"/>
      <c r="I149" s="35" t="s">
        <v>41</v>
      </c>
      <c r="J149" s="19" t="s">
        <v>89</v>
      </c>
      <c r="K149" s="19" t="s">
        <v>161</v>
      </c>
      <c r="L149" s="19" t="s">
        <v>82</v>
      </c>
      <c r="M149" s="19" t="s">
        <v>82</v>
      </c>
      <c r="N149" s="19" t="s">
        <v>66</v>
      </c>
      <c r="O149" s="19" t="s">
        <v>387</v>
      </c>
      <c r="P149" s="35" t="s">
        <v>51</v>
      </c>
      <c r="Q149" s="19"/>
      <c r="R149" s="19" t="s">
        <v>237</v>
      </c>
      <c r="S149" s="19" t="s">
        <v>79</v>
      </c>
      <c r="T149" s="19" t="s">
        <v>56</v>
      </c>
      <c r="U149" s="19">
        <v>27</v>
      </c>
      <c r="V149" s="19" t="s">
        <v>231</v>
      </c>
      <c r="W149" s="19" t="s">
        <v>46</v>
      </c>
      <c r="X149" s="29"/>
      <c r="Y149" s="19">
        <v>2300</v>
      </c>
      <c r="Z149" s="24">
        <f t="shared" si="4"/>
        <v>249.1961011979117</v>
      </c>
      <c r="AA149" s="19" t="s">
        <v>214</v>
      </c>
      <c r="AB149" s="19"/>
      <c r="AC149" s="35">
        <v>280</v>
      </c>
      <c r="AD149" s="35">
        <v>280</v>
      </c>
      <c r="AE149" s="19" t="s">
        <v>270</v>
      </c>
      <c r="AF149" s="19" t="s">
        <v>383</v>
      </c>
      <c r="AG149" s="19"/>
      <c r="AH149" s="19" t="s">
        <v>234</v>
      </c>
      <c r="AI149" s="19" t="s">
        <v>385</v>
      </c>
      <c r="AJ149" s="19" t="s">
        <v>270</v>
      </c>
      <c r="AK149" s="19" t="s">
        <v>234</v>
      </c>
      <c r="AL149" s="19" t="s">
        <v>90</v>
      </c>
      <c r="AM149" s="19" t="s">
        <v>386</v>
      </c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20" customFormat="1" ht="15.95" customHeight="1" x14ac:dyDescent="0.25">
      <c r="A150" s="18"/>
      <c r="B150" s="19">
        <v>194</v>
      </c>
      <c r="C150" s="19"/>
      <c r="D150" s="19">
        <v>20727</v>
      </c>
      <c r="E150" s="36">
        <v>1999</v>
      </c>
      <c r="F150" s="19" t="s">
        <v>1224</v>
      </c>
      <c r="G150" s="19" t="s">
        <v>382</v>
      </c>
      <c r="H150" s="19"/>
      <c r="I150" s="35" t="s">
        <v>41</v>
      </c>
      <c r="J150" s="19" t="s">
        <v>89</v>
      </c>
      <c r="K150" s="19" t="s">
        <v>161</v>
      </c>
      <c r="L150" s="19" t="s">
        <v>82</v>
      </c>
      <c r="M150" s="19" t="s">
        <v>82</v>
      </c>
      <c r="N150" s="19" t="s">
        <v>66</v>
      </c>
      <c r="O150" s="19" t="s">
        <v>387</v>
      </c>
      <c r="P150" s="35" t="s">
        <v>51</v>
      </c>
      <c r="Q150" s="19"/>
      <c r="R150" s="19" t="s">
        <v>237</v>
      </c>
      <c r="S150" s="19" t="s">
        <v>79</v>
      </c>
      <c r="T150" s="19" t="s">
        <v>56</v>
      </c>
      <c r="U150" s="19">
        <v>27</v>
      </c>
      <c r="V150" s="19" t="s">
        <v>231</v>
      </c>
      <c r="W150" s="19" t="s">
        <v>46</v>
      </c>
      <c r="X150" s="29"/>
      <c r="Y150" s="19">
        <v>1000</v>
      </c>
      <c r="Z150" s="24">
        <f t="shared" si="4"/>
        <v>108.34613095561379</v>
      </c>
      <c r="AA150" s="19" t="s">
        <v>214</v>
      </c>
      <c r="AB150" s="19"/>
      <c r="AC150" s="35">
        <v>280</v>
      </c>
      <c r="AD150" s="35">
        <v>280</v>
      </c>
      <c r="AE150" s="19" t="s">
        <v>270</v>
      </c>
      <c r="AF150" s="19" t="s">
        <v>383</v>
      </c>
      <c r="AG150" s="19"/>
      <c r="AH150" s="19" t="s">
        <v>234</v>
      </c>
      <c r="AI150" s="19" t="s">
        <v>385</v>
      </c>
      <c r="AJ150" s="19" t="s">
        <v>270</v>
      </c>
      <c r="AK150" s="19" t="s">
        <v>234</v>
      </c>
      <c r="AL150" s="19" t="s">
        <v>90</v>
      </c>
      <c r="AM150" s="19" t="s">
        <v>386</v>
      </c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3" customFormat="1" ht="15.95" customHeight="1" x14ac:dyDescent="0.25">
      <c r="A151" s="46"/>
      <c r="B151" s="47"/>
      <c r="C151" s="47"/>
      <c r="D151" s="47"/>
      <c r="E151" s="48"/>
      <c r="F151" s="47"/>
      <c r="G151" s="47"/>
      <c r="H151" s="47"/>
      <c r="I151" s="49"/>
      <c r="J151" s="47"/>
      <c r="K151" s="47"/>
      <c r="L151" s="47"/>
      <c r="M151" s="47"/>
      <c r="N151" s="47"/>
      <c r="O151" s="47"/>
      <c r="P151" s="49"/>
      <c r="Q151" s="47"/>
      <c r="R151" s="47"/>
      <c r="S151" s="47"/>
      <c r="T151" s="47"/>
      <c r="U151" s="47"/>
      <c r="V151" s="47"/>
      <c r="W151" s="47"/>
      <c r="X151" s="50"/>
      <c r="Y151" s="47">
        <f>GEOMEAN(Y114:Y150)</f>
        <v>1269.6153831653505</v>
      </c>
      <c r="Z151" s="51"/>
      <c r="AA151" s="47"/>
      <c r="AB151" s="47"/>
      <c r="AC151" s="49"/>
      <c r="AD151" s="49"/>
      <c r="AE151" s="47"/>
      <c r="AF151" s="47"/>
      <c r="AG151" s="47"/>
      <c r="AH151" s="47"/>
      <c r="AI151" s="47"/>
      <c r="AJ151" s="47"/>
      <c r="AK151" s="47"/>
      <c r="AL151" s="47"/>
      <c r="AM151" s="47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2"/>
      <c r="BT151" s="52"/>
      <c r="BU151" s="52"/>
      <c r="BV151" s="52"/>
      <c r="BW151" s="52"/>
      <c r="BX151" s="52"/>
      <c r="BY151" s="52"/>
      <c r="BZ151" s="52"/>
    </row>
    <row r="152" spans="1:78" s="20" customFormat="1" ht="15.95" customHeight="1" x14ac:dyDescent="0.2">
      <c r="A152" s="18"/>
      <c r="B152" s="19">
        <v>194</v>
      </c>
      <c r="D152" s="36">
        <v>20727</v>
      </c>
      <c r="E152" s="36">
        <v>1999</v>
      </c>
      <c r="F152" s="36" t="s">
        <v>1224</v>
      </c>
      <c r="G152" s="35" t="s">
        <v>382</v>
      </c>
      <c r="H152" s="35"/>
      <c r="I152" s="35" t="s">
        <v>41</v>
      </c>
      <c r="J152" s="35" t="s">
        <v>89</v>
      </c>
      <c r="K152" s="35" t="s">
        <v>161</v>
      </c>
      <c r="L152" s="35" t="s">
        <v>82</v>
      </c>
      <c r="M152" s="35" t="s">
        <v>82</v>
      </c>
      <c r="N152" s="35" t="s">
        <v>66</v>
      </c>
      <c r="O152" s="35" t="s">
        <v>387</v>
      </c>
      <c r="P152" s="35" t="s">
        <v>51</v>
      </c>
      <c r="Q152" s="35"/>
      <c r="R152" s="35" t="s">
        <v>237</v>
      </c>
      <c r="S152" s="35" t="s">
        <v>79</v>
      </c>
      <c r="T152" s="35" t="s">
        <v>56</v>
      </c>
      <c r="U152" s="36">
        <v>28</v>
      </c>
      <c r="V152" s="36" t="s">
        <v>231</v>
      </c>
      <c r="W152" s="35" t="s">
        <v>46</v>
      </c>
      <c r="X152" s="29"/>
      <c r="Y152" s="36">
        <v>1000</v>
      </c>
      <c r="Z152" s="24">
        <f t="shared" ref="Z152:Z175" si="5">Y152/((AC152/30)^0.995)</f>
        <v>108.34613095561379</v>
      </c>
      <c r="AA152" s="19" t="s">
        <v>214</v>
      </c>
      <c r="AB152" s="36"/>
      <c r="AC152" s="35">
        <v>280</v>
      </c>
      <c r="AD152" s="35">
        <v>280</v>
      </c>
      <c r="AE152" s="35" t="s">
        <v>270</v>
      </c>
      <c r="AF152" s="35" t="s">
        <v>383</v>
      </c>
      <c r="AG152" s="35"/>
      <c r="AH152" s="35" t="s">
        <v>234</v>
      </c>
      <c r="AI152" s="35" t="s">
        <v>385</v>
      </c>
      <c r="AJ152" s="35" t="s">
        <v>270</v>
      </c>
      <c r="AK152" s="35" t="s">
        <v>234</v>
      </c>
      <c r="AL152" s="35" t="s">
        <v>90</v>
      </c>
      <c r="AM152" s="35" t="s">
        <v>386</v>
      </c>
    </row>
    <row r="153" spans="1:78" s="20" customFormat="1" ht="15.95" customHeight="1" x14ac:dyDescent="0.2">
      <c r="A153" s="18"/>
      <c r="B153" s="19">
        <v>194</v>
      </c>
      <c r="D153" s="36">
        <v>20727</v>
      </c>
      <c r="E153" s="36">
        <v>1999</v>
      </c>
      <c r="F153" s="36" t="s">
        <v>1224</v>
      </c>
      <c r="G153" s="35" t="s">
        <v>382</v>
      </c>
      <c r="H153" s="35"/>
      <c r="I153" s="35" t="s">
        <v>41</v>
      </c>
      <c r="J153" s="35" t="s">
        <v>89</v>
      </c>
      <c r="K153" s="35" t="s">
        <v>161</v>
      </c>
      <c r="L153" s="35" t="s">
        <v>82</v>
      </c>
      <c r="M153" s="35" t="s">
        <v>82</v>
      </c>
      <c r="N153" s="35" t="s">
        <v>66</v>
      </c>
      <c r="O153" s="35" t="s">
        <v>387</v>
      </c>
      <c r="P153" s="35" t="s">
        <v>51</v>
      </c>
      <c r="Q153" s="35"/>
      <c r="R153" s="35" t="s">
        <v>237</v>
      </c>
      <c r="S153" s="35" t="s">
        <v>79</v>
      </c>
      <c r="T153" s="35" t="s">
        <v>56</v>
      </c>
      <c r="U153" s="36">
        <v>28</v>
      </c>
      <c r="V153" s="36" t="s">
        <v>231</v>
      </c>
      <c r="W153" s="35" t="s">
        <v>46</v>
      </c>
      <c r="X153" s="29"/>
      <c r="Y153" s="36">
        <v>700</v>
      </c>
      <c r="Z153" s="24">
        <f t="shared" si="5"/>
        <v>75.842291668929647</v>
      </c>
      <c r="AA153" s="19" t="s">
        <v>214</v>
      </c>
      <c r="AB153" s="36"/>
      <c r="AC153" s="35">
        <v>280</v>
      </c>
      <c r="AD153" s="35">
        <v>280</v>
      </c>
      <c r="AE153" s="35" t="s">
        <v>270</v>
      </c>
      <c r="AF153" s="35" t="s">
        <v>383</v>
      </c>
      <c r="AG153" s="35"/>
      <c r="AH153" s="35" t="s">
        <v>234</v>
      </c>
      <c r="AI153" s="35" t="s">
        <v>385</v>
      </c>
      <c r="AJ153" s="35" t="s">
        <v>270</v>
      </c>
      <c r="AK153" s="35" t="s">
        <v>234</v>
      </c>
      <c r="AL153" s="35" t="s">
        <v>90</v>
      </c>
      <c r="AM153" s="35" t="s">
        <v>386</v>
      </c>
    </row>
    <row r="154" spans="1:78" s="20" customFormat="1" ht="15.95" customHeight="1" x14ac:dyDescent="0.2">
      <c r="A154" s="18"/>
      <c r="B154" s="19">
        <v>194</v>
      </c>
      <c r="D154" s="36">
        <v>20727</v>
      </c>
      <c r="E154" s="36">
        <v>1999</v>
      </c>
      <c r="F154" s="36" t="s">
        <v>1224</v>
      </c>
      <c r="G154" s="35" t="s">
        <v>382</v>
      </c>
      <c r="H154" s="35"/>
      <c r="I154" s="35" t="s">
        <v>41</v>
      </c>
      <c r="J154" s="35" t="s">
        <v>89</v>
      </c>
      <c r="K154" s="35" t="s">
        <v>161</v>
      </c>
      <c r="L154" s="35" t="s">
        <v>82</v>
      </c>
      <c r="M154" s="35" t="s">
        <v>82</v>
      </c>
      <c r="N154" s="35" t="s">
        <v>66</v>
      </c>
      <c r="O154" s="35" t="s">
        <v>387</v>
      </c>
      <c r="P154" s="35" t="s">
        <v>51</v>
      </c>
      <c r="Q154" s="35"/>
      <c r="R154" s="35" t="s">
        <v>237</v>
      </c>
      <c r="S154" s="35" t="s">
        <v>79</v>
      </c>
      <c r="T154" s="35" t="s">
        <v>56</v>
      </c>
      <c r="U154" s="36">
        <v>28</v>
      </c>
      <c r="V154" s="36" t="s">
        <v>231</v>
      </c>
      <c r="W154" s="35" t="s">
        <v>46</v>
      </c>
      <c r="X154" s="29"/>
      <c r="Y154" s="36">
        <v>600</v>
      </c>
      <c r="Z154" s="24">
        <f t="shared" si="5"/>
        <v>65.007678573368267</v>
      </c>
      <c r="AA154" s="19" t="s">
        <v>214</v>
      </c>
      <c r="AB154" s="36"/>
      <c r="AC154" s="35">
        <v>280</v>
      </c>
      <c r="AD154" s="35">
        <v>280</v>
      </c>
      <c r="AE154" s="35" t="s">
        <v>270</v>
      </c>
      <c r="AF154" s="35" t="s">
        <v>383</v>
      </c>
      <c r="AG154" s="35"/>
      <c r="AH154" s="35" t="s">
        <v>234</v>
      </c>
      <c r="AI154" s="35" t="s">
        <v>385</v>
      </c>
      <c r="AJ154" s="35" t="s">
        <v>270</v>
      </c>
      <c r="AK154" s="35" t="s">
        <v>234</v>
      </c>
      <c r="AL154" s="35" t="s">
        <v>90</v>
      </c>
      <c r="AM154" s="35" t="s">
        <v>386</v>
      </c>
    </row>
    <row r="155" spans="1:78" s="20" customFormat="1" ht="15.95" customHeight="1" x14ac:dyDescent="0.25">
      <c r="A155" s="18"/>
      <c r="B155" s="19">
        <v>194</v>
      </c>
      <c r="C155" s="19"/>
      <c r="D155" s="19">
        <v>20727</v>
      </c>
      <c r="E155" s="36">
        <v>1999</v>
      </c>
      <c r="F155" s="19" t="s">
        <v>1224</v>
      </c>
      <c r="G155" s="19" t="s">
        <v>382</v>
      </c>
      <c r="H155" s="19"/>
      <c r="I155" s="35" t="s">
        <v>41</v>
      </c>
      <c r="J155" s="19" t="s">
        <v>89</v>
      </c>
      <c r="K155" s="19" t="s">
        <v>161</v>
      </c>
      <c r="L155" s="19" t="s">
        <v>82</v>
      </c>
      <c r="M155" s="19" t="s">
        <v>82</v>
      </c>
      <c r="N155" s="19" t="s">
        <v>66</v>
      </c>
      <c r="O155" s="19" t="s">
        <v>387</v>
      </c>
      <c r="P155" s="35" t="s">
        <v>51</v>
      </c>
      <c r="Q155" s="19"/>
      <c r="R155" s="19" t="s">
        <v>237</v>
      </c>
      <c r="S155" s="19" t="s">
        <v>79</v>
      </c>
      <c r="T155" s="19" t="s">
        <v>56</v>
      </c>
      <c r="U155" s="19">
        <v>28</v>
      </c>
      <c r="V155" s="19" t="s">
        <v>231</v>
      </c>
      <c r="W155" s="19" t="s">
        <v>46</v>
      </c>
      <c r="X155" s="29"/>
      <c r="Y155" s="19">
        <v>2200</v>
      </c>
      <c r="Z155" s="24">
        <f t="shared" si="5"/>
        <v>238.36148810235034</v>
      </c>
      <c r="AA155" s="19" t="s">
        <v>214</v>
      </c>
      <c r="AB155" s="19"/>
      <c r="AC155" s="35">
        <v>280</v>
      </c>
      <c r="AD155" s="35">
        <v>280</v>
      </c>
      <c r="AE155" s="19" t="s">
        <v>270</v>
      </c>
      <c r="AF155" s="19" t="s">
        <v>383</v>
      </c>
      <c r="AG155" s="19"/>
      <c r="AH155" s="19" t="s">
        <v>234</v>
      </c>
      <c r="AI155" s="19" t="s">
        <v>385</v>
      </c>
      <c r="AJ155" s="19" t="s">
        <v>270</v>
      </c>
      <c r="AK155" s="19" t="s">
        <v>234</v>
      </c>
      <c r="AL155" s="19" t="s">
        <v>90</v>
      </c>
      <c r="AM155" s="19" t="s">
        <v>386</v>
      </c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20" customFormat="1" ht="15.95" customHeight="1" x14ac:dyDescent="0.25">
      <c r="A156" s="18"/>
      <c r="B156" s="19">
        <v>194</v>
      </c>
      <c r="C156" s="19"/>
      <c r="D156" s="19">
        <v>20727</v>
      </c>
      <c r="E156" s="36">
        <v>1999</v>
      </c>
      <c r="F156" s="19" t="s">
        <v>1224</v>
      </c>
      <c r="G156" s="19" t="s">
        <v>382</v>
      </c>
      <c r="H156" s="19"/>
      <c r="I156" s="35" t="s">
        <v>41</v>
      </c>
      <c r="J156" s="19" t="s">
        <v>89</v>
      </c>
      <c r="K156" s="19" t="s">
        <v>161</v>
      </c>
      <c r="L156" s="19" t="s">
        <v>82</v>
      </c>
      <c r="M156" s="19" t="s">
        <v>82</v>
      </c>
      <c r="N156" s="19" t="s">
        <v>66</v>
      </c>
      <c r="O156" s="19" t="s">
        <v>387</v>
      </c>
      <c r="P156" s="35" t="s">
        <v>51</v>
      </c>
      <c r="Q156" s="19"/>
      <c r="R156" s="19" t="s">
        <v>237</v>
      </c>
      <c r="S156" s="19" t="s">
        <v>79</v>
      </c>
      <c r="T156" s="19" t="s">
        <v>56</v>
      </c>
      <c r="U156" s="19">
        <v>28</v>
      </c>
      <c r="V156" s="19" t="s">
        <v>231</v>
      </c>
      <c r="W156" s="19" t="s">
        <v>46</v>
      </c>
      <c r="X156" s="29"/>
      <c r="Y156" s="19">
        <v>900</v>
      </c>
      <c r="Z156" s="24">
        <f t="shared" si="5"/>
        <v>97.511517860052408</v>
      </c>
      <c r="AA156" s="19" t="s">
        <v>214</v>
      </c>
      <c r="AB156" s="19"/>
      <c r="AC156" s="35">
        <v>280</v>
      </c>
      <c r="AD156" s="35">
        <v>280</v>
      </c>
      <c r="AE156" s="19" t="s">
        <v>270</v>
      </c>
      <c r="AF156" s="19" t="s">
        <v>383</v>
      </c>
      <c r="AG156" s="19"/>
      <c r="AH156" s="19" t="s">
        <v>234</v>
      </c>
      <c r="AI156" s="19" t="s">
        <v>385</v>
      </c>
      <c r="AJ156" s="19" t="s">
        <v>270</v>
      </c>
      <c r="AK156" s="19" t="s">
        <v>234</v>
      </c>
      <c r="AL156" s="19" t="s">
        <v>90</v>
      </c>
      <c r="AM156" s="19" t="s">
        <v>386</v>
      </c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20" customFormat="1" ht="15.95" customHeight="1" x14ac:dyDescent="0.25">
      <c r="A157" s="18"/>
      <c r="B157" s="19">
        <v>194</v>
      </c>
      <c r="C157" s="19"/>
      <c r="D157" s="19">
        <v>20727</v>
      </c>
      <c r="E157" s="36">
        <v>1999</v>
      </c>
      <c r="F157" s="19" t="s">
        <v>1224</v>
      </c>
      <c r="G157" s="19" t="s">
        <v>382</v>
      </c>
      <c r="H157" s="19"/>
      <c r="I157" s="35" t="s">
        <v>41</v>
      </c>
      <c r="J157" s="19" t="s">
        <v>89</v>
      </c>
      <c r="K157" s="19" t="s">
        <v>161</v>
      </c>
      <c r="L157" s="19" t="s">
        <v>82</v>
      </c>
      <c r="M157" s="19" t="s">
        <v>82</v>
      </c>
      <c r="N157" s="19" t="s">
        <v>66</v>
      </c>
      <c r="O157" s="19" t="s">
        <v>387</v>
      </c>
      <c r="P157" s="35" t="s">
        <v>51</v>
      </c>
      <c r="Q157" s="19"/>
      <c r="R157" s="19" t="s">
        <v>237</v>
      </c>
      <c r="S157" s="19" t="s">
        <v>79</v>
      </c>
      <c r="T157" s="19" t="s">
        <v>56</v>
      </c>
      <c r="U157" s="19">
        <v>28</v>
      </c>
      <c r="V157" s="19" t="s">
        <v>231</v>
      </c>
      <c r="W157" s="19" t="s">
        <v>46</v>
      </c>
      <c r="X157" s="29"/>
      <c r="Y157" s="19">
        <v>600</v>
      </c>
      <c r="Z157" s="24">
        <f t="shared" si="5"/>
        <v>65.007678573368267</v>
      </c>
      <c r="AA157" s="19" t="s">
        <v>214</v>
      </c>
      <c r="AB157" s="19"/>
      <c r="AC157" s="35">
        <v>280</v>
      </c>
      <c r="AD157" s="35">
        <v>280</v>
      </c>
      <c r="AE157" s="19" t="s">
        <v>270</v>
      </c>
      <c r="AF157" s="19" t="s">
        <v>383</v>
      </c>
      <c r="AG157" s="19"/>
      <c r="AH157" s="19" t="s">
        <v>234</v>
      </c>
      <c r="AI157" s="19" t="s">
        <v>385</v>
      </c>
      <c r="AJ157" s="19" t="s">
        <v>270</v>
      </c>
      <c r="AK157" s="19" t="s">
        <v>234</v>
      </c>
      <c r="AL157" s="19" t="s">
        <v>90</v>
      </c>
      <c r="AM157" s="19" t="s">
        <v>386</v>
      </c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20" customFormat="1" ht="15.95" customHeight="1" x14ac:dyDescent="0.25">
      <c r="A158" s="18"/>
      <c r="B158" s="19">
        <v>194</v>
      </c>
      <c r="C158" s="19"/>
      <c r="D158" s="19">
        <v>20727</v>
      </c>
      <c r="E158" s="36">
        <v>1999</v>
      </c>
      <c r="F158" s="19" t="s">
        <v>1224</v>
      </c>
      <c r="G158" s="19" t="s">
        <v>382</v>
      </c>
      <c r="H158" s="19"/>
      <c r="I158" s="35" t="s">
        <v>41</v>
      </c>
      <c r="J158" s="19" t="s">
        <v>89</v>
      </c>
      <c r="K158" s="19" t="s">
        <v>161</v>
      </c>
      <c r="L158" s="19" t="s">
        <v>82</v>
      </c>
      <c r="M158" s="19" t="s">
        <v>82</v>
      </c>
      <c r="N158" s="19" t="s">
        <v>66</v>
      </c>
      <c r="O158" s="19" t="s">
        <v>387</v>
      </c>
      <c r="P158" s="35" t="s">
        <v>51</v>
      </c>
      <c r="Q158" s="19"/>
      <c r="R158" s="19" t="s">
        <v>237</v>
      </c>
      <c r="S158" s="19" t="s">
        <v>79</v>
      </c>
      <c r="T158" s="19" t="s">
        <v>56</v>
      </c>
      <c r="U158" s="19">
        <v>28</v>
      </c>
      <c r="V158" s="19" t="s">
        <v>231</v>
      </c>
      <c r="W158" s="19" t="s">
        <v>46</v>
      </c>
      <c r="X158" s="29"/>
      <c r="Y158" s="19">
        <v>600</v>
      </c>
      <c r="Z158" s="24">
        <f t="shared" si="5"/>
        <v>65.007678573368267</v>
      </c>
      <c r="AA158" s="19" t="s">
        <v>214</v>
      </c>
      <c r="AB158" s="19"/>
      <c r="AC158" s="35">
        <v>280</v>
      </c>
      <c r="AD158" s="35">
        <v>280</v>
      </c>
      <c r="AE158" s="19" t="s">
        <v>270</v>
      </c>
      <c r="AF158" s="19" t="s">
        <v>383</v>
      </c>
      <c r="AG158" s="19"/>
      <c r="AH158" s="19" t="s">
        <v>234</v>
      </c>
      <c r="AI158" s="19" t="s">
        <v>385</v>
      </c>
      <c r="AJ158" s="19" t="s">
        <v>270</v>
      </c>
      <c r="AK158" s="19" t="s">
        <v>234</v>
      </c>
      <c r="AL158" s="19" t="s">
        <v>90</v>
      </c>
      <c r="AM158" s="19" t="s">
        <v>386</v>
      </c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20" customFormat="1" ht="15.95" customHeight="1" x14ac:dyDescent="0.25">
      <c r="A159" s="18"/>
      <c r="B159" s="19">
        <v>194</v>
      </c>
      <c r="C159" s="19"/>
      <c r="D159" s="19">
        <v>20727</v>
      </c>
      <c r="E159" s="36">
        <v>1999</v>
      </c>
      <c r="F159" s="19" t="s">
        <v>1224</v>
      </c>
      <c r="G159" s="19" t="s">
        <v>382</v>
      </c>
      <c r="H159" s="19"/>
      <c r="I159" s="35" t="s">
        <v>41</v>
      </c>
      <c r="J159" s="19" t="s">
        <v>89</v>
      </c>
      <c r="K159" s="19" t="s">
        <v>161</v>
      </c>
      <c r="L159" s="19" t="s">
        <v>82</v>
      </c>
      <c r="M159" s="19" t="s">
        <v>82</v>
      </c>
      <c r="N159" s="19" t="s">
        <v>66</v>
      </c>
      <c r="O159" s="19" t="s">
        <v>387</v>
      </c>
      <c r="P159" s="35" t="s">
        <v>51</v>
      </c>
      <c r="Q159" s="19"/>
      <c r="R159" s="19" t="s">
        <v>237</v>
      </c>
      <c r="S159" s="19" t="s">
        <v>79</v>
      </c>
      <c r="T159" s="19" t="s">
        <v>56</v>
      </c>
      <c r="U159" s="19">
        <v>28</v>
      </c>
      <c r="V159" s="19" t="s">
        <v>231</v>
      </c>
      <c r="W159" s="19" t="s">
        <v>46</v>
      </c>
      <c r="X159" s="29"/>
      <c r="Y159" s="19">
        <v>2300</v>
      </c>
      <c r="Z159" s="24">
        <f t="shared" si="5"/>
        <v>249.1961011979117</v>
      </c>
      <c r="AA159" s="19" t="s">
        <v>214</v>
      </c>
      <c r="AB159" s="19"/>
      <c r="AC159" s="35">
        <v>280</v>
      </c>
      <c r="AD159" s="35">
        <v>280</v>
      </c>
      <c r="AE159" s="19" t="s">
        <v>270</v>
      </c>
      <c r="AF159" s="19" t="s">
        <v>383</v>
      </c>
      <c r="AG159" s="19"/>
      <c r="AH159" s="19" t="s">
        <v>234</v>
      </c>
      <c r="AI159" s="19" t="s">
        <v>385</v>
      </c>
      <c r="AJ159" s="19" t="s">
        <v>270</v>
      </c>
      <c r="AK159" s="19" t="s">
        <v>234</v>
      </c>
      <c r="AL159" s="19" t="s">
        <v>90</v>
      </c>
      <c r="AM159" s="19" t="s">
        <v>386</v>
      </c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20" customFormat="1" ht="15.95" customHeight="1" x14ac:dyDescent="0.25">
      <c r="A160" s="18"/>
      <c r="B160" s="19">
        <v>194</v>
      </c>
      <c r="C160" s="19"/>
      <c r="D160" s="19">
        <v>20727</v>
      </c>
      <c r="E160" s="36">
        <v>1999</v>
      </c>
      <c r="F160" s="19" t="s">
        <v>1224</v>
      </c>
      <c r="G160" s="19" t="s">
        <v>382</v>
      </c>
      <c r="H160" s="19"/>
      <c r="I160" s="35" t="s">
        <v>41</v>
      </c>
      <c r="J160" s="19" t="s">
        <v>89</v>
      </c>
      <c r="K160" s="19" t="s">
        <v>161</v>
      </c>
      <c r="L160" s="19" t="s">
        <v>82</v>
      </c>
      <c r="M160" s="19" t="s">
        <v>82</v>
      </c>
      <c r="N160" s="19" t="s">
        <v>66</v>
      </c>
      <c r="O160" s="19" t="s">
        <v>387</v>
      </c>
      <c r="P160" s="35" t="s">
        <v>51</v>
      </c>
      <c r="Q160" s="19"/>
      <c r="R160" s="19" t="s">
        <v>237</v>
      </c>
      <c r="S160" s="19" t="s">
        <v>79</v>
      </c>
      <c r="T160" s="19" t="s">
        <v>56</v>
      </c>
      <c r="U160" s="19">
        <v>28</v>
      </c>
      <c r="V160" s="19" t="s">
        <v>231</v>
      </c>
      <c r="W160" s="19" t="s">
        <v>46</v>
      </c>
      <c r="X160" s="29"/>
      <c r="Y160" s="19">
        <v>700</v>
      </c>
      <c r="Z160" s="24">
        <f t="shared" si="5"/>
        <v>75.842291668929647</v>
      </c>
      <c r="AA160" s="19" t="s">
        <v>214</v>
      </c>
      <c r="AB160" s="19"/>
      <c r="AC160" s="35">
        <v>280</v>
      </c>
      <c r="AD160" s="35">
        <v>280</v>
      </c>
      <c r="AE160" s="19" t="s">
        <v>270</v>
      </c>
      <c r="AF160" s="19" t="s">
        <v>383</v>
      </c>
      <c r="AG160" s="19"/>
      <c r="AH160" s="19" t="s">
        <v>234</v>
      </c>
      <c r="AI160" s="19" t="s">
        <v>385</v>
      </c>
      <c r="AJ160" s="19" t="s">
        <v>270</v>
      </c>
      <c r="AK160" s="19" t="s">
        <v>234</v>
      </c>
      <c r="AL160" s="19" t="s">
        <v>90</v>
      </c>
      <c r="AM160" s="19" t="s">
        <v>386</v>
      </c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</row>
    <row r="161" spans="1:78" s="20" customFormat="1" ht="15.95" customHeight="1" x14ac:dyDescent="0.25">
      <c r="A161" s="18"/>
      <c r="B161" s="19">
        <v>194</v>
      </c>
      <c r="C161" s="19"/>
      <c r="D161" s="19">
        <v>20727</v>
      </c>
      <c r="E161" s="36">
        <v>1999</v>
      </c>
      <c r="F161" s="19" t="s">
        <v>1224</v>
      </c>
      <c r="G161" s="19" t="s">
        <v>382</v>
      </c>
      <c r="H161" s="19"/>
      <c r="I161" s="35" t="s">
        <v>41</v>
      </c>
      <c r="J161" s="19" t="s">
        <v>89</v>
      </c>
      <c r="K161" s="19" t="s">
        <v>161</v>
      </c>
      <c r="L161" s="19" t="s">
        <v>82</v>
      </c>
      <c r="M161" s="19" t="s">
        <v>82</v>
      </c>
      <c r="N161" s="19" t="s">
        <v>66</v>
      </c>
      <c r="O161" s="19" t="s">
        <v>387</v>
      </c>
      <c r="P161" s="35" t="s">
        <v>51</v>
      </c>
      <c r="Q161" s="19"/>
      <c r="R161" s="19" t="s">
        <v>237</v>
      </c>
      <c r="S161" s="19" t="s">
        <v>79</v>
      </c>
      <c r="T161" s="19" t="s">
        <v>56</v>
      </c>
      <c r="U161" s="19">
        <v>28</v>
      </c>
      <c r="V161" s="19" t="s">
        <v>231</v>
      </c>
      <c r="W161" s="19" t="s">
        <v>46</v>
      </c>
      <c r="X161" s="29"/>
      <c r="Y161" s="19">
        <v>900</v>
      </c>
      <c r="Z161" s="24">
        <f t="shared" si="5"/>
        <v>97.511517860052408</v>
      </c>
      <c r="AA161" s="19" t="s">
        <v>214</v>
      </c>
      <c r="AB161" s="19"/>
      <c r="AC161" s="35">
        <v>280</v>
      </c>
      <c r="AD161" s="35">
        <v>280</v>
      </c>
      <c r="AE161" s="19" t="s">
        <v>270</v>
      </c>
      <c r="AF161" s="19" t="s">
        <v>383</v>
      </c>
      <c r="AG161" s="19"/>
      <c r="AH161" s="19" t="s">
        <v>234</v>
      </c>
      <c r="AI161" s="19" t="s">
        <v>385</v>
      </c>
      <c r="AJ161" s="19" t="s">
        <v>270</v>
      </c>
      <c r="AK161" s="19" t="s">
        <v>234</v>
      </c>
      <c r="AL161" s="19" t="s">
        <v>90</v>
      </c>
      <c r="AM161" s="19" t="s">
        <v>386</v>
      </c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</row>
    <row r="162" spans="1:78" s="20" customFormat="1" ht="15.95" customHeight="1" x14ac:dyDescent="0.25">
      <c r="A162" s="18"/>
      <c r="B162" s="19">
        <v>194</v>
      </c>
      <c r="C162" s="19"/>
      <c r="D162" s="19">
        <v>20727</v>
      </c>
      <c r="E162" s="36">
        <v>1999</v>
      </c>
      <c r="F162" s="19" t="s">
        <v>1224</v>
      </c>
      <c r="G162" s="19" t="s">
        <v>382</v>
      </c>
      <c r="H162" s="19"/>
      <c r="I162" s="35" t="s">
        <v>41</v>
      </c>
      <c r="J162" s="19" t="s">
        <v>89</v>
      </c>
      <c r="K162" s="19" t="s">
        <v>161</v>
      </c>
      <c r="L162" s="19" t="s">
        <v>82</v>
      </c>
      <c r="M162" s="19" t="s">
        <v>82</v>
      </c>
      <c r="N162" s="19" t="s">
        <v>66</v>
      </c>
      <c r="O162" s="19" t="s">
        <v>387</v>
      </c>
      <c r="P162" s="35" t="s">
        <v>51</v>
      </c>
      <c r="Q162" s="19"/>
      <c r="R162" s="19" t="s">
        <v>237</v>
      </c>
      <c r="S162" s="19" t="s">
        <v>79</v>
      </c>
      <c r="T162" s="19" t="s">
        <v>56</v>
      </c>
      <c r="U162" s="19">
        <v>28</v>
      </c>
      <c r="V162" s="19" t="s">
        <v>231</v>
      </c>
      <c r="W162" s="19" t="s">
        <v>46</v>
      </c>
      <c r="X162" s="29"/>
      <c r="Y162" s="19">
        <v>700</v>
      </c>
      <c r="Z162" s="24">
        <f t="shared" si="5"/>
        <v>75.842291668929647</v>
      </c>
      <c r="AA162" s="19" t="s">
        <v>214</v>
      </c>
      <c r="AB162" s="19"/>
      <c r="AC162" s="35">
        <v>280</v>
      </c>
      <c r="AD162" s="35">
        <v>280</v>
      </c>
      <c r="AE162" s="19" t="s">
        <v>270</v>
      </c>
      <c r="AF162" s="19" t="s">
        <v>383</v>
      </c>
      <c r="AG162" s="19"/>
      <c r="AH162" s="19" t="s">
        <v>234</v>
      </c>
      <c r="AI162" s="19" t="s">
        <v>385</v>
      </c>
      <c r="AJ162" s="19" t="s">
        <v>270</v>
      </c>
      <c r="AK162" s="19" t="s">
        <v>234</v>
      </c>
      <c r="AL162" s="19" t="s">
        <v>90</v>
      </c>
      <c r="AM162" s="19" t="s">
        <v>386</v>
      </c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</row>
    <row r="163" spans="1:78" s="20" customFormat="1" ht="15.95" customHeight="1" x14ac:dyDescent="0.25">
      <c r="A163" s="18"/>
      <c r="B163" s="19">
        <v>194</v>
      </c>
      <c r="C163" s="19"/>
      <c r="D163" s="19">
        <v>20727</v>
      </c>
      <c r="E163" s="36">
        <v>1999</v>
      </c>
      <c r="F163" s="19" t="s">
        <v>1224</v>
      </c>
      <c r="G163" s="19" t="s">
        <v>382</v>
      </c>
      <c r="H163" s="19"/>
      <c r="I163" s="35" t="s">
        <v>41</v>
      </c>
      <c r="J163" s="19" t="s">
        <v>89</v>
      </c>
      <c r="K163" s="19" t="s">
        <v>161</v>
      </c>
      <c r="L163" s="19" t="s">
        <v>82</v>
      </c>
      <c r="M163" s="19" t="s">
        <v>82</v>
      </c>
      <c r="N163" s="19" t="s">
        <v>66</v>
      </c>
      <c r="O163" s="19" t="s">
        <v>387</v>
      </c>
      <c r="P163" s="35" t="s">
        <v>51</v>
      </c>
      <c r="Q163" s="19"/>
      <c r="R163" s="19" t="s">
        <v>237</v>
      </c>
      <c r="S163" s="19" t="s">
        <v>79</v>
      </c>
      <c r="T163" s="19" t="s">
        <v>56</v>
      </c>
      <c r="U163" s="19">
        <v>28</v>
      </c>
      <c r="V163" s="19" t="s">
        <v>231</v>
      </c>
      <c r="W163" s="19" t="s">
        <v>46</v>
      </c>
      <c r="X163" s="29"/>
      <c r="Y163" s="19">
        <v>1900</v>
      </c>
      <c r="Z163" s="24">
        <f t="shared" si="5"/>
        <v>205.85764881566621</v>
      </c>
      <c r="AA163" s="19" t="s">
        <v>214</v>
      </c>
      <c r="AB163" s="19"/>
      <c r="AC163" s="35">
        <v>280</v>
      </c>
      <c r="AD163" s="35">
        <v>280</v>
      </c>
      <c r="AE163" s="19" t="s">
        <v>270</v>
      </c>
      <c r="AF163" s="19" t="s">
        <v>383</v>
      </c>
      <c r="AG163" s="19"/>
      <c r="AH163" s="19" t="s">
        <v>234</v>
      </c>
      <c r="AI163" s="19" t="s">
        <v>385</v>
      </c>
      <c r="AJ163" s="19" t="s">
        <v>270</v>
      </c>
      <c r="AK163" s="19" t="s">
        <v>234</v>
      </c>
      <c r="AL163" s="19" t="s">
        <v>90</v>
      </c>
      <c r="AM163" s="19" t="s">
        <v>386</v>
      </c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</row>
    <row r="164" spans="1:78" s="20" customFormat="1" ht="15.95" customHeight="1" x14ac:dyDescent="0.25">
      <c r="A164" s="18"/>
      <c r="B164" s="19">
        <v>194</v>
      </c>
      <c r="C164" s="19"/>
      <c r="D164" s="19">
        <v>20727</v>
      </c>
      <c r="E164" s="36">
        <v>1999</v>
      </c>
      <c r="F164" s="19" t="s">
        <v>1224</v>
      </c>
      <c r="G164" s="19" t="s">
        <v>382</v>
      </c>
      <c r="H164" s="19"/>
      <c r="I164" s="35" t="s">
        <v>41</v>
      </c>
      <c r="J164" s="19" t="s">
        <v>89</v>
      </c>
      <c r="K164" s="19" t="s">
        <v>161</v>
      </c>
      <c r="L164" s="19" t="s">
        <v>82</v>
      </c>
      <c r="M164" s="19" t="s">
        <v>82</v>
      </c>
      <c r="N164" s="19" t="s">
        <v>66</v>
      </c>
      <c r="O164" s="19" t="s">
        <v>387</v>
      </c>
      <c r="P164" s="35" t="s">
        <v>51</v>
      </c>
      <c r="Q164" s="19"/>
      <c r="R164" s="19" t="s">
        <v>237</v>
      </c>
      <c r="S164" s="19" t="s">
        <v>79</v>
      </c>
      <c r="T164" s="19" t="s">
        <v>56</v>
      </c>
      <c r="U164" s="19">
        <v>28</v>
      </c>
      <c r="V164" s="19" t="s">
        <v>231</v>
      </c>
      <c r="W164" s="19" t="s">
        <v>46</v>
      </c>
      <c r="X164" s="29"/>
      <c r="Y164" s="19">
        <v>2000</v>
      </c>
      <c r="Z164" s="24">
        <f t="shared" si="5"/>
        <v>216.69226191122758</v>
      </c>
      <c r="AA164" s="19" t="s">
        <v>214</v>
      </c>
      <c r="AB164" s="19"/>
      <c r="AC164" s="35">
        <v>280</v>
      </c>
      <c r="AD164" s="35">
        <v>280</v>
      </c>
      <c r="AE164" s="19" t="s">
        <v>270</v>
      </c>
      <c r="AF164" s="19" t="s">
        <v>383</v>
      </c>
      <c r="AG164" s="19"/>
      <c r="AH164" s="19" t="s">
        <v>234</v>
      </c>
      <c r="AI164" s="19" t="s">
        <v>385</v>
      </c>
      <c r="AJ164" s="19" t="s">
        <v>270</v>
      </c>
      <c r="AK164" s="19" t="s">
        <v>234</v>
      </c>
      <c r="AL164" s="19" t="s">
        <v>90</v>
      </c>
      <c r="AM164" s="19" t="s">
        <v>386</v>
      </c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</row>
    <row r="165" spans="1:78" s="20" customFormat="1" ht="15.95" customHeight="1" x14ac:dyDescent="0.25">
      <c r="A165" s="18"/>
      <c r="B165" s="19">
        <v>194</v>
      </c>
      <c r="C165" s="19"/>
      <c r="D165" s="19">
        <v>20727</v>
      </c>
      <c r="E165" s="36">
        <v>1999</v>
      </c>
      <c r="F165" s="19" t="s">
        <v>1224</v>
      </c>
      <c r="G165" s="19" t="s">
        <v>382</v>
      </c>
      <c r="H165" s="19"/>
      <c r="I165" s="35" t="s">
        <v>41</v>
      </c>
      <c r="J165" s="19" t="s">
        <v>89</v>
      </c>
      <c r="K165" s="19" t="s">
        <v>161</v>
      </c>
      <c r="L165" s="19" t="s">
        <v>82</v>
      </c>
      <c r="M165" s="19" t="s">
        <v>82</v>
      </c>
      <c r="N165" s="19" t="s">
        <v>66</v>
      </c>
      <c r="O165" s="19" t="s">
        <v>387</v>
      </c>
      <c r="P165" s="35" t="s">
        <v>51</v>
      </c>
      <c r="Q165" s="19"/>
      <c r="R165" s="19" t="s">
        <v>237</v>
      </c>
      <c r="S165" s="19" t="s">
        <v>79</v>
      </c>
      <c r="T165" s="19" t="s">
        <v>56</v>
      </c>
      <c r="U165" s="19">
        <v>28</v>
      </c>
      <c r="V165" s="19" t="s">
        <v>231</v>
      </c>
      <c r="W165" s="19" t="s">
        <v>46</v>
      </c>
      <c r="X165" s="29"/>
      <c r="Y165" s="19">
        <v>600</v>
      </c>
      <c r="Z165" s="24">
        <f t="shared" si="5"/>
        <v>65.007678573368267</v>
      </c>
      <c r="AA165" s="19" t="s">
        <v>214</v>
      </c>
      <c r="AB165" s="19"/>
      <c r="AC165" s="35">
        <v>280</v>
      </c>
      <c r="AD165" s="35">
        <v>280</v>
      </c>
      <c r="AE165" s="19" t="s">
        <v>270</v>
      </c>
      <c r="AF165" s="19" t="s">
        <v>383</v>
      </c>
      <c r="AG165" s="19"/>
      <c r="AH165" s="19" t="s">
        <v>234</v>
      </c>
      <c r="AI165" s="19" t="s">
        <v>385</v>
      </c>
      <c r="AJ165" s="19" t="s">
        <v>270</v>
      </c>
      <c r="AK165" s="19" t="s">
        <v>234</v>
      </c>
      <c r="AL165" s="19" t="s">
        <v>90</v>
      </c>
      <c r="AM165" s="19" t="s">
        <v>386</v>
      </c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</row>
    <row r="166" spans="1:78" s="20" customFormat="1" ht="15.95" customHeight="1" x14ac:dyDescent="0.25">
      <c r="A166" s="18"/>
      <c r="B166" s="19">
        <v>194</v>
      </c>
      <c r="C166" s="19"/>
      <c r="D166" s="19">
        <v>20727</v>
      </c>
      <c r="E166" s="36">
        <v>1999</v>
      </c>
      <c r="F166" s="19" t="s">
        <v>1224</v>
      </c>
      <c r="G166" s="19" t="s">
        <v>382</v>
      </c>
      <c r="H166" s="19"/>
      <c r="I166" s="35" t="s">
        <v>41</v>
      </c>
      <c r="J166" s="19" t="s">
        <v>89</v>
      </c>
      <c r="K166" s="19" t="s">
        <v>161</v>
      </c>
      <c r="L166" s="19" t="s">
        <v>82</v>
      </c>
      <c r="M166" s="19" t="s">
        <v>82</v>
      </c>
      <c r="N166" s="19" t="s">
        <v>66</v>
      </c>
      <c r="O166" s="19" t="s">
        <v>387</v>
      </c>
      <c r="P166" s="35" t="s">
        <v>51</v>
      </c>
      <c r="Q166" s="19"/>
      <c r="R166" s="19" t="s">
        <v>237</v>
      </c>
      <c r="S166" s="19" t="s">
        <v>79</v>
      </c>
      <c r="T166" s="19" t="s">
        <v>56</v>
      </c>
      <c r="U166" s="19">
        <v>28</v>
      </c>
      <c r="V166" s="19" t="s">
        <v>231</v>
      </c>
      <c r="W166" s="19" t="s">
        <v>46</v>
      </c>
      <c r="X166" s="29"/>
      <c r="Y166" s="19">
        <v>900</v>
      </c>
      <c r="Z166" s="24">
        <f t="shared" si="5"/>
        <v>97.511517860052408</v>
      </c>
      <c r="AA166" s="19" t="s">
        <v>214</v>
      </c>
      <c r="AB166" s="19"/>
      <c r="AC166" s="35">
        <v>280</v>
      </c>
      <c r="AD166" s="35">
        <v>280</v>
      </c>
      <c r="AE166" s="19" t="s">
        <v>270</v>
      </c>
      <c r="AF166" s="19" t="s">
        <v>383</v>
      </c>
      <c r="AG166" s="19"/>
      <c r="AH166" s="19" t="s">
        <v>234</v>
      </c>
      <c r="AI166" s="19" t="s">
        <v>385</v>
      </c>
      <c r="AJ166" s="19" t="s">
        <v>270</v>
      </c>
      <c r="AK166" s="19" t="s">
        <v>234</v>
      </c>
      <c r="AL166" s="19" t="s">
        <v>90</v>
      </c>
      <c r="AM166" s="19" t="s">
        <v>386</v>
      </c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</row>
    <row r="167" spans="1:78" s="20" customFormat="1" ht="15.95" customHeight="1" x14ac:dyDescent="0.25">
      <c r="A167" s="18"/>
      <c r="B167" s="19">
        <v>194</v>
      </c>
      <c r="C167" s="19"/>
      <c r="D167" s="19">
        <v>20727</v>
      </c>
      <c r="E167" s="36">
        <v>1999</v>
      </c>
      <c r="F167" s="19" t="s">
        <v>1224</v>
      </c>
      <c r="G167" s="19" t="s">
        <v>382</v>
      </c>
      <c r="H167" s="19"/>
      <c r="I167" s="35" t="s">
        <v>41</v>
      </c>
      <c r="J167" s="19" t="s">
        <v>89</v>
      </c>
      <c r="K167" s="19" t="s">
        <v>161</v>
      </c>
      <c r="L167" s="19" t="s">
        <v>82</v>
      </c>
      <c r="M167" s="19" t="s">
        <v>82</v>
      </c>
      <c r="N167" s="19" t="s">
        <v>66</v>
      </c>
      <c r="O167" s="19" t="s">
        <v>387</v>
      </c>
      <c r="P167" s="35" t="s">
        <v>51</v>
      </c>
      <c r="Q167" s="19"/>
      <c r="R167" s="19" t="s">
        <v>237</v>
      </c>
      <c r="S167" s="19" t="s">
        <v>79</v>
      </c>
      <c r="T167" s="19" t="s">
        <v>56</v>
      </c>
      <c r="U167" s="19">
        <v>28</v>
      </c>
      <c r="V167" s="19" t="s">
        <v>231</v>
      </c>
      <c r="W167" s="19" t="s">
        <v>46</v>
      </c>
      <c r="X167" s="29"/>
      <c r="Y167" s="19">
        <v>2000</v>
      </c>
      <c r="Z167" s="24">
        <f t="shared" si="5"/>
        <v>216.69226191122758</v>
      </c>
      <c r="AA167" s="19" t="s">
        <v>214</v>
      </c>
      <c r="AB167" s="19"/>
      <c r="AC167" s="35">
        <v>280</v>
      </c>
      <c r="AD167" s="35">
        <v>280</v>
      </c>
      <c r="AE167" s="19" t="s">
        <v>270</v>
      </c>
      <c r="AF167" s="19" t="s">
        <v>383</v>
      </c>
      <c r="AG167" s="19"/>
      <c r="AH167" s="19" t="s">
        <v>234</v>
      </c>
      <c r="AI167" s="19" t="s">
        <v>385</v>
      </c>
      <c r="AJ167" s="19" t="s">
        <v>270</v>
      </c>
      <c r="AK167" s="19" t="s">
        <v>234</v>
      </c>
      <c r="AL167" s="19" t="s">
        <v>90</v>
      </c>
      <c r="AM167" s="19" t="s">
        <v>386</v>
      </c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</row>
    <row r="168" spans="1:78" s="20" customFormat="1" ht="15.95" customHeight="1" x14ac:dyDescent="0.25">
      <c r="A168" s="18"/>
      <c r="B168" s="19">
        <v>194</v>
      </c>
      <c r="C168" s="19"/>
      <c r="D168" s="19">
        <v>20727</v>
      </c>
      <c r="E168" s="36">
        <v>1999</v>
      </c>
      <c r="F168" s="19" t="s">
        <v>1224</v>
      </c>
      <c r="G168" s="19" t="s">
        <v>382</v>
      </c>
      <c r="H168" s="19"/>
      <c r="I168" s="35" t="s">
        <v>41</v>
      </c>
      <c r="J168" s="19" t="s">
        <v>89</v>
      </c>
      <c r="K168" s="19" t="s">
        <v>161</v>
      </c>
      <c r="L168" s="19" t="s">
        <v>82</v>
      </c>
      <c r="M168" s="19" t="s">
        <v>82</v>
      </c>
      <c r="N168" s="19" t="s">
        <v>66</v>
      </c>
      <c r="O168" s="19" t="s">
        <v>387</v>
      </c>
      <c r="P168" s="35" t="s">
        <v>51</v>
      </c>
      <c r="Q168" s="19"/>
      <c r="R168" s="19" t="s">
        <v>237</v>
      </c>
      <c r="S168" s="19" t="s">
        <v>79</v>
      </c>
      <c r="T168" s="19" t="s">
        <v>56</v>
      </c>
      <c r="U168" s="19">
        <v>28</v>
      </c>
      <c r="V168" s="19" t="s">
        <v>231</v>
      </c>
      <c r="W168" s="19" t="s">
        <v>46</v>
      </c>
      <c r="X168" s="29"/>
      <c r="Y168" s="19">
        <v>600</v>
      </c>
      <c r="Z168" s="24">
        <f t="shared" si="5"/>
        <v>65.007678573368267</v>
      </c>
      <c r="AA168" s="19" t="s">
        <v>214</v>
      </c>
      <c r="AB168" s="19"/>
      <c r="AC168" s="35">
        <v>280</v>
      </c>
      <c r="AD168" s="35">
        <v>280</v>
      </c>
      <c r="AE168" s="19" t="s">
        <v>270</v>
      </c>
      <c r="AF168" s="19" t="s">
        <v>383</v>
      </c>
      <c r="AG168" s="19"/>
      <c r="AH168" s="19" t="s">
        <v>234</v>
      </c>
      <c r="AI168" s="19" t="s">
        <v>385</v>
      </c>
      <c r="AJ168" s="19" t="s">
        <v>270</v>
      </c>
      <c r="AK168" s="19" t="s">
        <v>234</v>
      </c>
      <c r="AL168" s="19" t="s">
        <v>90</v>
      </c>
      <c r="AM168" s="19" t="s">
        <v>386</v>
      </c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</row>
    <row r="169" spans="1:78" s="20" customFormat="1" ht="15.95" customHeight="1" x14ac:dyDescent="0.25">
      <c r="A169" s="18"/>
      <c r="B169" s="19">
        <v>194</v>
      </c>
      <c r="C169" s="19"/>
      <c r="D169" s="19">
        <v>20727</v>
      </c>
      <c r="E169" s="36">
        <v>1999</v>
      </c>
      <c r="F169" s="19" t="s">
        <v>1224</v>
      </c>
      <c r="G169" s="19" t="s">
        <v>382</v>
      </c>
      <c r="H169" s="19"/>
      <c r="I169" s="35" t="s">
        <v>41</v>
      </c>
      <c r="J169" s="19" t="s">
        <v>89</v>
      </c>
      <c r="K169" s="19" t="s">
        <v>161</v>
      </c>
      <c r="L169" s="19" t="s">
        <v>82</v>
      </c>
      <c r="M169" s="19" t="s">
        <v>82</v>
      </c>
      <c r="N169" s="19" t="s">
        <v>66</v>
      </c>
      <c r="O169" s="19" t="s">
        <v>387</v>
      </c>
      <c r="P169" s="35" t="s">
        <v>51</v>
      </c>
      <c r="Q169" s="19"/>
      <c r="R169" s="19" t="s">
        <v>237</v>
      </c>
      <c r="S169" s="19" t="s">
        <v>79</v>
      </c>
      <c r="T169" s="19" t="s">
        <v>56</v>
      </c>
      <c r="U169" s="19">
        <v>28</v>
      </c>
      <c r="V169" s="19" t="s">
        <v>231</v>
      </c>
      <c r="W169" s="19" t="s">
        <v>46</v>
      </c>
      <c r="X169" s="29"/>
      <c r="Y169" s="19">
        <v>600</v>
      </c>
      <c r="Z169" s="24">
        <f t="shared" si="5"/>
        <v>65.007678573368267</v>
      </c>
      <c r="AA169" s="19" t="s">
        <v>214</v>
      </c>
      <c r="AB169" s="19"/>
      <c r="AC169" s="35">
        <v>280</v>
      </c>
      <c r="AD169" s="35">
        <v>280</v>
      </c>
      <c r="AE169" s="19" t="s">
        <v>270</v>
      </c>
      <c r="AF169" s="19" t="s">
        <v>383</v>
      </c>
      <c r="AG169" s="19"/>
      <c r="AH169" s="19" t="s">
        <v>234</v>
      </c>
      <c r="AI169" s="19" t="s">
        <v>385</v>
      </c>
      <c r="AJ169" s="19" t="s">
        <v>270</v>
      </c>
      <c r="AK169" s="19" t="s">
        <v>234</v>
      </c>
      <c r="AL169" s="19" t="s">
        <v>90</v>
      </c>
      <c r="AM169" s="19" t="s">
        <v>386</v>
      </c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</row>
    <row r="170" spans="1:78" s="20" customFormat="1" ht="15.95" customHeight="1" x14ac:dyDescent="0.25">
      <c r="A170" s="18"/>
      <c r="B170" s="19">
        <v>194</v>
      </c>
      <c r="C170" s="19"/>
      <c r="D170" s="19">
        <v>20727</v>
      </c>
      <c r="E170" s="36">
        <v>1999</v>
      </c>
      <c r="F170" s="19" t="s">
        <v>1224</v>
      </c>
      <c r="G170" s="19" t="s">
        <v>382</v>
      </c>
      <c r="H170" s="19"/>
      <c r="I170" s="35" t="s">
        <v>41</v>
      </c>
      <c r="J170" s="19" t="s">
        <v>89</v>
      </c>
      <c r="K170" s="19" t="s">
        <v>161</v>
      </c>
      <c r="L170" s="19" t="s">
        <v>82</v>
      </c>
      <c r="M170" s="19" t="s">
        <v>82</v>
      </c>
      <c r="N170" s="19" t="s">
        <v>66</v>
      </c>
      <c r="O170" s="19" t="s">
        <v>387</v>
      </c>
      <c r="P170" s="35" t="s">
        <v>51</v>
      </c>
      <c r="Q170" s="19"/>
      <c r="R170" s="19" t="s">
        <v>237</v>
      </c>
      <c r="S170" s="19" t="s">
        <v>79</v>
      </c>
      <c r="T170" s="19" t="s">
        <v>56</v>
      </c>
      <c r="U170" s="19">
        <v>28</v>
      </c>
      <c r="V170" s="19" t="s">
        <v>231</v>
      </c>
      <c r="W170" s="19" t="s">
        <v>46</v>
      </c>
      <c r="X170" s="29"/>
      <c r="Y170" s="19">
        <v>700</v>
      </c>
      <c r="Z170" s="24">
        <f t="shared" si="5"/>
        <v>75.842291668929647</v>
      </c>
      <c r="AA170" s="19" t="s">
        <v>214</v>
      </c>
      <c r="AB170" s="19"/>
      <c r="AC170" s="35">
        <v>280</v>
      </c>
      <c r="AD170" s="35">
        <v>280</v>
      </c>
      <c r="AE170" s="19" t="s">
        <v>270</v>
      </c>
      <c r="AF170" s="19" t="s">
        <v>383</v>
      </c>
      <c r="AG170" s="19"/>
      <c r="AH170" s="19" t="s">
        <v>234</v>
      </c>
      <c r="AI170" s="19" t="s">
        <v>385</v>
      </c>
      <c r="AJ170" s="19" t="s">
        <v>270</v>
      </c>
      <c r="AK170" s="19" t="s">
        <v>234</v>
      </c>
      <c r="AL170" s="19" t="s">
        <v>90</v>
      </c>
      <c r="AM170" s="19" t="s">
        <v>386</v>
      </c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</row>
    <row r="171" spans="1:78" s="20" customFormat="1" ht="15.95" customHeight="1" x14ac:dyDescent="0.25">
      <c r="A171" s="18"/>
      <c r="B171" s="19">
        <v>194</v>
      </c>
      <c r="C171" s="19"/>
      <c r="D171" s="19">
        <v>20727</v>
      </c>
      <c r="E171" s="36">
        <v>1999</v>
      </c>
      <c r="F171" s="19" t="s">
        <v>1224</v>
      </c>
      <c r="G171" s="19" t="s">
        <v>382</v>
      </c>
      <c r="H171" s="19"/>
      <c r="I171" s="35" t="s">
        <v>41</v>
      </c>
      <c r="J171" s="19" t="s">
        <v>89</v>
      </c>
      <c r="K171" s="19" t="s">
        <v>161</v>
      </c>
      <c r="L171" s="19" t="s">
        <v>82</v>
      </c>
      <c r="M171" s="19" t="s">
        <v>82</v>
      </c>
      <c r="N171" s="19" t="s">
        <v>66</v>
      </c>
      <c r="O171" s="19" t="s">
        <v>387</v>
      </c>
      <c r="P171" s="35" t="s">
        <v>51</v>
      </c>
      <c r="Q171" s="19"/>
      <c r="R171" s="19" t="s">
        <v>237</v>
      </c>
      <c r="S171" s="19" t="s">
        <v>79</v>
      </c>
      <c r="T171" s="19" t="s">
        <v>56</v>
      </c>
      <c r="U171" s="19">
        <v>28</v>
      </c>
      <c r="V171" s="19" t="s">
        <v>231</v>
      </c>
      <c r="W171" s="19" t="s">
        <v>46</v>
      </c>
      <c r="X171" s="29"/>
      <c r="Y171" s="19">
        <v>2200</v>
      </c>
      <c r="Z171" s="24">
        <f t="shared" si="5"/>
        <v>238.36148810235034</v>
      </c>
      <c r="AA171" s="19" t="s">
        <v>214</v>
      </c>
      <c r="AB171" s="19"/>
      <c r="AC171" s="35">
        <v>280</v>
      </c>
      <c r="AD171" s="35">
        <v>280</v>
      </c>
      <c r="AE171" s="19" t="s">
        <v>270</v>
      </c>
      <c r="AF171" s="19" t="s">
        <v>383</v>
      </c>
      <c r="AG171" s="19"/>
      <c r="AH171" s="19" t="s">
        <v>234</v>
      </c>
      <c r="AI171" s="19" t="s">
        <v>385</v>
      </c>
      <c r="AJ171" s="19" t="s">
        <v>270</v>
      </c>
      <c r="AK171" s="19" t="s">
        <v>234</v>
      </c>
      <c r="AL171" s="19" t="s">
        <v>90</v>
      </c>
      <c r="AM171" s="19" t="s">
        <v>386</v>
      </c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</row>
    <row r="172" spans="1:78" s="20" customFormat="1" ht="15.95" customHeight="1" x14ac:dyDescent="0.25">
      <c r="A172" s="18"/>
      <c r="B172" s="19">
        <v>194</v>
      </c>
      <c r="C172" s="19"/>
      <c r="D172" s="19">
        <v>20727</v>
      </c>
      <c r="E172" s="36">
        <v>1999</v>
      </c>
      <c r="F172" s="19" t="s">
        <v>1224</v>
      </c>
      <c r="G172" s="19" t="s">
        <v>382</v>
      </c>
      <c r="H172" s="19"/>
      <c r="I172" s="35" t="s">
        <v>41</v>
      </c>
      <c r="J172" s="19" t="s">
        <v>89</v>
      </c>
      <c r="K172" s="19" t="s">
        <v>161</v>
      </c>
      <c r="L172" s="19" t="s">
        <v>82</v>
      </c>
      <c r="M172" s="19" t="s">
        <v>82</v>
      </c>
      <c r="N172" s="19" t="s">
        <v>66</v>
      </c>
      <c r="O172" s="19" t="s">
        <v>387</v>
      </c>
      <c r="P172" s="35" t="s">
        <v>51</v>
      </c>
      <c r="Q172" s="19"/>
      <c r="R172" s="19" t="s">
        <v>237</v>
      </c>
      <c r="S172" s="19" t="s">
        <v>79</v>
      </c>
      <c r="T172" s="19" t="s">
        <v>56</v>
      </c>
      <c r="U172" s="19">
        <v>28</v>
      </c>
      <c r="V172" s="19" t="s">
        <v>231</v>
      </c>
      <c r="W172" s="19" t="s">
        <v>46</v>
      </c>
      <c r="X172" s="29"/>
      <c r="Y172" s="19">
        <v>2200</v>
      </c>
      <c r="Z172" s="24">
        <f t="shared" si="5"/>
        <v>238.36148810235034</v>
      </c>
      <c r="AA172" s="19" t="s">
        <v>214</v>
      </c>
      <c r="AB172" s="19"/>
      <c r="AC172" s="35">
        <v>280</v>
      </c>
      <c r="AD172" s="35">
        <v>280</v>
      </c>
      <c r="AE172" s="19" t="s">
        <v>270</v>
      </c>
      <c r="AF172" s="19" t="s">
        <v>383</v>
      </c>
      <c r="AG172" s="19"/>
      <c r="AH172" s="19" t="s">
        <v>234</v>
      </c>
      <c r="AI172" s="19" t="s">
        <v>385</v>
      </c>
      <c r="AJ172" s="19" t="s">
        <v>270</v>
      </c>
      <c r="AK172" s="19" t="s">
        <v>234</v>
      </c>
      <c r="AL172" s="19" t="s">
        <v>90</v>
      </c>
      <c r="AM172" s="19" t="s">
        <v>386</v>
      </c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</row>
    <row r="173" spans="1:78" s="20" customFormat="1" ht="15.95" customHeight="1" x14ac:dyDescent="0.25">
      <c r="A173" s="18"/>
      <c r="B173" s="19">
        <v>194</v>
      </c>
      <c r="C173" s="19"/>
      <c r="D173" s="19">
        <v>20727</v>
      </c>
      <c r="E173" s="36">
        <v>1999</v>
      </c>
      <c r="F173" s="19" t="s">
        <v>1224</v>
      </c>
      <c r="G173" s="19" t="s">
        <v>382</v>
      </c>
      <c r="H173" s="19"/>
      <c r="I173" s="35" t="s">
        <v>41</v>
      </c>
      <c r="J173" s="19" t="s">
        <v>89</v>
      </c>
      <c r="K173" s="19" t="s">
        <v>161</v>
      </c>
      <c r="L173" s="19" t="s">
        <v>82</v>
      </c>
      <c r="M173" s="19" t="s">
        <v>82</v>
      </c>
      <c r="N173" s="19" t="s">
        <v>66</v>
      </c>
      <c r="O173" s="19" t="s">
        <v>387</v>
      </c>
      <c r="P173" s="35" t="s">
        <v>51</v>
      </c>
      <c r="Q173" s="19"/>
      <c r="R173" s="19" t="s">
        <v>237</v>
      </c>
      <c r="S173" s="19" t="s">
        <v>79</v>
      </c>
      <c r="T173" s="19" t="s">
        <v>56</v>
      </c>
      <c r="U173" s="19">
        <v>28</v>
      </c>
      <c r="V173" s="19" t="s">
        <v>231</v>
      </c>
      <c r="W173" s="19" t="s">
        <v>46</v>
      </c>
      <c r="X173" s="29"/>
      <c r="Y173" s="19">
        <v>700</v>
      </c>
      <c r="Z173" s="24">
        <f t="shared" si="5"/>
        <v>75.842291668929647</v>
      </c>
      <c r="AA173" s="19" t="s">
        <v>214</v>
      </c>
      <c r="AB173" s="19"/>
      <c r="AC173" s="35">
        <v>280</v>
      </c>
      <c r="AD173" s="35">
        <v>280</v>
      </c>
      <c r="AE173" s="19" t="s">
        <v>270</v>
      </c>
      <c r="AF173" s="19" t="s">
        <v>383</v>
      </c>
      <c r="AG173" s="19"/>
      <c r="AH173" s="19" t="s">
        <v>234</v>
      </c>
      <c r="AI173" s="19" t="s">
        <v>385</v>
      </c>
      <c r="AJ173" s="19" t="s">
        <v>270</v>
      </c>
      <c r="AK173" s="19" t="s">
        <v>234</v>
      </c>
      <c r="AL173" s="19" t="s">
        <v>90</v>
      </c>
      <c r="AM173" s="19" t="s">
        <v>386</v>
      </c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</row>
    <row r="174" spans="1:78" s="20" customFormat="1" ht="15.95" customHeight="1" x14ac:dyDescent="0.25">
      <c r="A174" s="18"/>
      <c r="B174" s="19">
        <v>194</v>
      </c>
      <c r="C174" s="19"/>
      <c r="D174" s="19">
        <v>20727</v>
      </c>
      <c r="E174" s="36">
        <v>1999</v>
      </c>
      <c r="F174" s="19" t="s">
        <v>1224</v>
      </c>
      <c r="G174" s="19" t="s">
        <v>382</v>
      </c>
      <c r="H174" s="19"/>
      <c r="I174" s="35" t="s">
        <v>41</v>
      </c>
      <c r="J174" s="19" t="s">
        <v>89</v>
      </c>
      <c r="K174" s="19" t="s">
        <v>161</v>
      </c>
      <c r="L174" s="19" t="s">
        <v>82</v>
      </c>
      <c r="M174" s="19" t="s">
        <v>82</v>
      </c>
      <c r="N174" s="19" t="s">
        <v>66</v>
      </c>
      <c r="O174" s="19" t="s">
        <v>387</v>
      </c>
      <c r="P174" s="35" t="s">
        <v>51</v>
      </c>
      <c r="Q174" s="19"/>
      <c r="R174" s="19" t="s">
        <v>237</v>
      </c>
      <c r="S174" s="19" t="s">
        <v>79</v>
      </c>
      <c r="T174" s="19" t="s">
        <v>56</v>
      </c>
      <c r="U174" s="19">
        <v>28</v>
      </c>
      <c r="V174" s="19" t="s">
        <v>231</v>
      </c>
      <c r="W174" s="19" t="s">
        <v>46</v>
      </c>
      <c r="X174" s="29"/>
      <c r="Y174" s="19">
        <v>1900</v>
      </c>
      <c r="Z174" s="24">
        <f t="shared" si="5"/>
        <v>205.85764881566621</v>
      </c>
      <c r="AA174" s="19" t="s">
        <v>214</v>
      </c>
      <c r="AB174" s="19"/>
      <c r="AC174" s="35">
        <v>280</v>
      </c>
      <c r="AD174" s="35">
        <v>280</v>
      </c>
      <c r="AE174" s="19" t="s">
        <v>270</v>
      </c>
      <c r="AF174" s="19" t="s">
        <v>383</v>
      </c>
      <c r="AG174" s="19"/>
      <c r="AH174" s="19" t="s">
        <v>234</v>
      </c>
      <c r="AI174" s="19" t="s">
        <v>385</v>
      </c>
      <c r="AJ174" s="19" t="s">
        <v>270</v>
      </c>
      <c r="AK174" s="19" t="s">
        <v>234</v>
      </c>
      <c r="AL174" s="19" t="s">
        <v>90</v>
      </c>
      <c r="AM174" s="19" t="s">
        <v>386</v>
      </c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</row>
    <row r="175" spans="1:78" s="20" customFormat="1" ht="15.95" customHeight="1" x14ac:dyDescent="0.25">
      <c r="A175" s="18"/>
      <c r="B175" s="19">
        <v>194</v>
      </c>
      <c r="C175" s="19"/>
      <c r="D175" s="19">
        <v>20727</v>
      </c>
      <c r="E175" s="36">
        <v>1999</v>
      </c>
      <c r="F175" s="19" t="s">
        <v>1224</v>
      </c>
      <c r="G175" s="19" t="s">
        <v>382</v>
      </c>
      <c r="H175" s="19"/>
      <c r="I175" s="35" t="s">
        <v>41</v>
      </c>
      <c r="J175" s="19" t="s">
        <v>89</v>
      </c>
      <c r="K175" s="19" t="s">
        <v>161</v>
      </c>
      <c r="L175" s="19" t="s">
        <v>82</v>
      </c>
      <c r="M175" s="19" t="s">
        <v>82</v>
      </c>
      <c r="N175" s="19" t="s">
        <v>66</v>
      </c>
      <c r="O175" s="19" t="s">
        <v>387</v>
      </c>
      <c r="P175" s="35" t="s">
        <v>51</v>
      </c>
      <c r="Q175" s="19"/>
      <c r="R175" s="19" t="s">
        <v>237</v>
      </c>
      <c r="S175" s="19" t="s">
        <v>79</v>
      </c>
      <c r="T175" s="19" t="s">
        <v>56</v>
      </c>
      <c r="U175" s="19">
        <v>28</v>
      </c>
      <c r="V175" s="19" t="s">
        <v>231</v>
      </c>
      <c r="W175" s="19" t="s">
        <v>46</v>
      </c>
      <c r="X175" s="29"/>
      <c r="Y175" s="19">
        <v>900</v>
      </c>
      <c r="Z175" s="24">
        <f t="shared" si="5"/>
        <v>97.511517860052408</v>
      </c>
      <c r="AA175" s="19" t="s">
        <v>214</v>
      </c>
      <c r="AB175" s="19"/>
      <c r="AC175" s="35">
        <v>280</v>
      </c>
      <c r="AD175" s="35">
        <v>280</v>
      </c>
      <c r="AE175" s="19" t="s">
        <v>270</v>
      </c>
      <c r="AF175" s="19" t="s">
        <v>383</v>
      </c>
      <c r="AG175" s="19"/>
      <c r="AH175" s="19" t="s">
        <v>234</v>
      </c>
      <c r="AI175" s="19" t="s">
        <v>385</v>
      </c>
      <c r="AJ175" s="19" t="s">
        <v>270</v>
      </c>
      <c r="AK175" s="19" t="s">
        <v>234</v>
      </c>
      <c r="AL175" s="19" t="s">
        <v>90</v>
      </c>
      <c r="AM175" s="19" t="s">
        <v>386</v>
      </c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</row>
    <row r="176" spans="1:78" s="53" customFormat="1" ht="15.95" customHeight="1" x14ac:dyDescent="0.25">
      <c r="A176" s="46"/>
      <c r="B176" s="47"/>
      <c r="C176" s="47"/>
      <c r="D176" s="47"/>
      <c r="E176" s="48"/>
      <c r="F176" s="47"/>
      <c r="G176" s="47"/>
      <c r="H176" s="47"/>
      <c r="I176" s="49"/>
      <c r="J176" s="47"/>
      <c r="K176" s="47"/>
      <c r="L176" s="47"/>
      <c r="M176" s="47"/>
      <c r="N176" s="47"/>
      <c r="O176" s="47"/>
      <c r="P176" s="49"/>
      <c r="Q176" s="47"/>
      <c r="R176" s="47"/>
      <c r="S176" s="47"/>
      <c r="T176" s="47"/>
      <c r="U176" s="47"/>
      <c r="V176" s="47"/>
      <c r="W176" s="47"/>
      <c r="X176" s="50"/>
      <c r="Y176" s="47">
        <f>GEOMEAN(Y152:Y175)</f>
        <v>1025.2515876696709</v>
      </c>
      <c r="Z176" s="51"/>
      <c r="AA176" s="47"/>
      <c r="AB176" s="47"/>
      <c r="AC176" s="49"/>
      <c r="AD176" s="49"/>
      <c r="AE176" s="47"/>
      <c r="AF176" s="47"/>
      <c r="AG176" s="47"/>
      <c r="AH176" s="47"/>
      <c r="AI176" s="47"/>
      <c r="AJ176" s="47"/>
      <c r="AK176" s="47"/>
      <c r="AL176" s="47"/>
      <c r="AM176" s="47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2"/>
      <c r="BI176" s="52"/>
      <c r="BJ176" s="52"/>
      <c r="BK176" s="52"/>
      <c r="BL176" s="52"/>
      <c r="BM176" s="52"/>
      <c r="BN176" s="52"/>
      <c r="BO176" s="52"/>
      <c r="BP176" s="52"/>
      <c r="BQ176" s="52"/>
      <c r="BR176" s="52"/>
      <c r="BS176" s="52"/>
      <c r="BT176" s="52"/>
      <c r="BU176" s="52"/>
      <c r="BV176" s="52"/>
      <c r="BW176" s="52"/>
      <c r="BX176" s="52"/>
      <c r="BY176" s="52"/>
      <c r="BZ176" s="52"/>
    </row>
    <row r="177" spans="1:78" s="20" customFormat="1" ht="15.95" customHeight="1" x14ac:dyDescent="0.2">
      <c r="A177" s="18"/>
      <c r="B177" s="19">
        <v>194</v>
      </c>
      <c r="D177" s="36">
        <v>20727</v>
      </c>
      <c r="E177" s="36">
        <v>1999</v>
      </c>
      <c r="F177" s="36" t="s">
        <v>1224</v>
      </c>
      <c r="G177" s="35" t="s">
        <v>382</v>
      </c>
      <c r="H177" s="35"/>
      <c r="I177" s="35" t="s">
        <v>41</v>
      </c>
      <c r="J177" s="35" t="s">
        <v>89</v>
      </c>
      <c r="K177" s="35" t="s">
        <v>161</v>
      </c>
      <c r="L177" s="35" t="s">
        <v>82</v>
      </c>
      <c r="M177" s="35" t="s">
        <v>82</v>
      </c>
      <c r="N177" s="35" t="s">
        <v>66</v>
      </c>
      <c r="O177" s="35" t="s">
        <v>387</v>
      </c>
      <c r="P177" s="35" t="s">
        <v>51</v>
      </c>
      <c r="Q177" s="35"/>
      <c r="R177" s="35" t="s">
        <v>237</v>
      </c>
      <c r="S177" s="35" t="s">
        <v>79</v>
      </c>
      <c r="T177" s="35" t="s">
        <v>56</v>
      </c>
      <c r="U177" s="36">
        <v>29</v>
      </c>
      <c r="V177" s="36" t="s">
        <v>231</v>
      </c>
      <c r="W177" s="35" t="s">
        <v>46</v>
      </c>
      <c r="X177" s="29"/>
      <c r="Y177" s="36">
        <v>600</v>
      </c>
      <c r="Z177" s="24">
        <f t="shared" ref="Z177:Z190" si="6">Y177/((AC177/30)^0.995)</f>
        <v>65.007678573368267</v>
      </c>
      <c r="AA177" s="19" t="s">
        <v>214</v>
      </c>
      <c r="AB177" s="36"/>
      <c r="AC177" s="35">
        <v>280</v>
      </c>
      <c r="AD177" s="35">
        <v>280</v>
      </c>
      <c r="AE177" s="35" t="s">
        <v>270</v>
      </c>
      <c r="AF177" s="35" t="s">
        <v>383</v>
      </c>
      <c r="AG177" s="35"/>
      <c r="AH177" s="35" t="s">
        <v>234</v>
      </c>
      <c r="AI177" s="35" t="s">
        <v>385</v>
      </c>
      <c r="AJ177" s="35" t="s">
        <v>270</v>
      </c>
      <c r="AK177" s="35" t="s">
        <v>234</v>
      </c>
      <c r="AL177" s="35" t="s">
        <v>90</v>
      </c>
      <c r="AM177" s="35" t="s">
        <v>386</v>
      </c>
    </row>
    <row r="178" spans="1:78" s="20" customFormat="1" ht="15.95" customHeight="1" x14ac:dyDescent="0.25">
      <c r="A178" s="18"/>
      <c r="B178" s="19">
        <v>194</v>
      </c>
      <c r="C178" s="19"/>
      <c r="D178" s="19">
        <v>20727</v>
      </c>
      <c r="E178" s="36">
        <v>1999</v>
      </c>
      <c r="F178" s="19" t="s">
        <v>1224</v>
      </c>
      <c r="G178" s="19" t="s">
        <v>382</v>
      </c>
      <c r="H178" s="19"/>
      <c r="I178" s="35" t="s">
        <v>41</v>
      </c>
      <c r="J178" s="19" t="s">
        <v>89</v>
      </c>
      <c r="K178" s="19" t="s">
        <v>161</v>
      </c>
      <c r="L178" s="19" t="s">
        <v>82</v>
      </c>
      <c r="M178" s="19" t="s">
        <v>82</v>
      </c>
      <c r="N178" s="19" t="s">
        <v>66</v>
      </c>
      <c r="O178" s="19" t="s">
        <v>387</v>
      </c>
      <c r="P178" s="35" t="s">
        <v>51</v>
      </c>
      <c r="Q178" s="19"/>
      <c r="R178" s="19" t="s">
        <v>237</v>
      </c>
      <c r="S178" s="19" t="s">
        <v>79</v>
      </c>
      <c r="T178" s="19" t="s">
        <v>56</v>
      </c>
      <c r="U178" s="19">
        <v>29</v>
      </c>
      <c r="V178" s="19" t="s">
        <v>231</v>
      </c>
      <c r="W178" s="19" t="s">
        <v>46</v>
      </c>
      <c r="X178" s="29"/>
      <c r="Y178" s="19">
        <v>1800</v>
      </c>
      <c r="Z178" s="24">
        <f t="shared" si="6"/>
        <v>195.02303572010482</v>
      </c>
      <c r="AA178" s="19" t="s">
        <v>214</v>
      </c>
      <c r="AB178" s="19"/>
      <c r="AC178" s="35">
        <v>280</v>
      </c>
      <c r="AD178" s="35">
        <v>280</v>
      </c>
      <c r="AE178" s="19" t="s">
        <v>270</v>
      </c>
      <c r="AF178" s="19" t="s">
        <v>383</v>
      </c>
      <c r="AG178" s="19"/>
      <c r="AH178" s="19" t="s">
        <v>234</v>
      </c>
      <c r="AI178" s="19" t="s">
        <v>385</v>
      </c>
      <c r="AJ178" s="19" t="s">
        <v>270</v>
      </c>
      <c r="AK178" s="19" t="s">
        <v>234</v>
      </c>
      <c r="AL178" s="19" t="s">
        <v>90</v>
      </c>
      <c r="AM178" s="19" t="s">
        <v>386</v>
      </c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</row>
    <row r="179" spans="1:78" s="20" customFormat="1" ht="15.95" customHeight="1" x14ac:dyDescent="0.25">
      <c r="A179" s="18"/>
      <c r="B179" s="19">
        <v>194</v>
      </c>
      <c r="C179" s="19"/>
      <c r="D179" s="19">
        <v>20727</v>
      </c>
      <c r="E179" s="36">
        <v>1999</v>
      </c>
      <c r="F179" s="19" t="s">
        <v>1224</v>
      </c>
      <c r="G179" s="19" t="s">
        <v>382</v>
      </c>
      <c r="H179" s="19"/>
      <c r="I179" s="35" t="s">
        <v>41</v>
      </c>
      <c r="J179" s="19" t="s">
        <v>89</v>
      </c>
      <c r="K179" s="19" t="s">
        <v>161</v>
      </c>
      <c r="L179" s="19" t="s">
        <v>82</v>
      </c>
      <c r="M179" s="19" t="s">
        <v>82</v>
      </c>
      <c r="N179" s="19" t="s">
        <v>66</v>
      </c>
      <c r="O179" s="19" t="s">
        <v>387</v>
      </c>
      <c r="P179" s="35" t="s">
        <v>51</v>
      </c>
      <c r="Q179" s="19"/>
      <c r="R179" s="19" t="s">
        <v>237</v>
      </c>
      <c r="S179" s="19" t="s">
        <v>79</v>
      </c>
      <c r="T179" s="19" t="s">
        <v>56</v>
      </c>
      <c r="U179" s="19">
        <v>29</v>
      </c>
      <c r="V179" s="19" t="s">
        <v>231</v>
      </c>
      <c r="W179" s="19" t="s">
        <v>46</v>
      </c>
      <c r="X179" s="29"/>
      <c r="Y179" s="19">
        <v>900</v>
      </c>
      <c r="Z179" s="24">
        <f t="shared" si="6"/>
        <v>97.511517860052408</v>
      </c>
      <c r="AA179" s="19" t="s">
        <v>214</v>
      </c>
      <c r="AB179" s="19"/>
      <c r="AC179" s="35">
        <v>280</v>
      </c>
      <c r="AD179" s="35">
        <v>280</v>
      </c>
      <c r="AE179" s="19" t="s">
        <v>270</v>
      </c>
      <c r="AF179" s="19" t="s">
        <v>383</v>
      </c>
      <c r="AG179" s="19"/>
      <c r="AH179" s="19" t="s">
        <v>234</v>
      </c>
      <c r="AI179" s="19" t="s">
        <v>385</v>
      </c>
      <c r="AJ179" s="19" t="s">
        <v>270</v>
      </c>
      <c r="AK179" s="19" t="s">
        <v>234</v>
      </c>
      <c r="AL179" s="19" t="s">
        <v>90</v>
      </c>
      <c r="AM179" s="19" t="s">
        <v>386</v>
      </c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</row>
    <row r="180" spans="1:78" s="20" customFormat="1" ht="15.95" customHeight="1" x14ac:dyDescent="0.25">
      <c r="A180" s="18"/>
      <c r="B180" s="19">
        <v>194</v>
      </c>
      <c r="C180" s="19"/>
      <c r="D180" s="19">
        <v>20727</v>
      </c>
      <c r="E180" s="36">
        <v>1999</v>
      </c>
      <c r="F180" s="19" t="s">
        <v>1224</v>
      </c>
      <c r="G180" s="19" t="s">
        <v>382</v>
      </c>
      <c r="H180" s="19"/>
      <c r="I180" s="35" t="s">
        <v>41</v>
      </c>
      <c r="J180" s="19" t="s">
        <v>89</v>
      </c>
      <c r="K180" s="19" t="s">
        <v>161</v>
      </c>
      <c r="L180" s="19" t="s">
        <v>82</v>
      </c>
      <c r="M180" s="19" t="s">
        <v>82</v>
      </c>
      <c r="N180" s="19" t="s">
        <v>66</v>
      </c>
      <c r="O180" s="19" t="s">
        <v>387</v>
      </c>
      <c r="P180" s="35" t="s">
        <v>51</v>
      </c>
      <c r="Q180" s="19"/>
      <c r="R180" s="19" t="s">
        <v>237</v>
      </c>
      <c r="S180" s="19" t="s">
        <v>79</v>
      </c>
      <c r="T180" s="19" t="s">
        <v>56</v>
      </c>
      <c r="U180" s="19">
        <v>29</v>
      </c>
      <c r="V180" s="19" t="s">
        <v>231</v>
      </c>
      <c r="W180" s="19" t="s">
        <v>46</v>
      </c>
      <c r="X180" s="29"/>
      <c r="Y180" s="19">
        <v>1800</v>
      </c>
      <c r="Z180" s="24">
        <f t="shared" si="6"/>
        <v>195.02303572010482</v>
      </c>
      <c r="AA180" s="19" t="s">
        <v>214</v>
      </c>
      <c r="AB180" s="19"/>
      <c r="AC180" s="35">
        <v>280</v>
      </c>
      <c r="AD180" s="35">
        <v>280</v>
      </c>
      <c r="AE180" s="19" t="s">
        <v>270</v>
      </c>
      <c r="AF180" s="19" t="s">
        <v>383</v>
      </c>
      <c r="AG180" s="19"/>
      <c r="AH180" s="19" t="s">
        <v>234</v>
      </c>
      <c r="AI180" s="19" t="s">
        <v>385</v>
      </c>
      <c r="AJ180" s="19" t="s">
        <v>270</v>
      </c>
      <c r="AK180" s="19" t="s">
        <v>234</v>
      </c>
      <c r="AL180" s="19" t="s">
        <v>90</v>
      </c>
      <c r="AM180" s="19" t="s">
        <v>386</v>
      </c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</row>
    <row r="181" spans="1:78" s="20" customFormat="1" ht="15.95" customHeight="1" x14ac:dyDescent="0.25">
      <c r="A181" s="18"/>
      <c r="B181" s="19">
        <v>194</v>
      </c>
      <c r="C181" s="19"/>
      <c r="D181" s="19">
        <v>20727</v>
      </c>
      <c r="E181" s="36">
        <v>1999</v>
      </c>
      <c r="F181" s="19" t="s">
        <v>1224</v>
      </c>
      <c r="G181" s="19" t="s">
        <v>382</v>
      </c>
      <c r="H181" s="19"/>
      <c r="I181" s="35" t="s">
        <v>41</v>
      </c>
      <c r="J181" s="19" t="s">
        <v>89</v>
      </c>
      <c r="K181" s="19" t="s">
        <v>161</v>
      </c>
      <c r="L181" s="19" t="s">
        <v>82</v>
      </c>
      <c r="M181" s="19" t="s">
        <v>82</v>
      </c>
      <c r="N181" s="19" t="s">
        <v>66</v>
      </c>
      <c r="O181" s="19" t="s">
        <v>387</v>
      </c>
      <c r="P181" s="35" t="s">
        <v>51</v>
      </c>
      <c r="Q181" s="19"/>
      <c r="R181" s="19" t="s">
        <v>237</v>
      </c>
      <c r="S181" s="19" t="s">
        <v>79</v>
      </c>
      <c r="T181" s="19" t="s">
        <v>56</v>
      </c>
      <c r="U181" s="19">
        <v>29</v>
      </c>
      <c r="V181" s="19" t="s">
        <v>231</v>
      </c>
      <c r="W181" s="19" t="s">
        <v>46</v>
      </c>
      <c r="X181" s="29"/>
      <c r="Y181" s="19">
        <v>700</v>
      </c>
      <c r="Z181" s="24">
        <f t="shared" si="6"/>
        <v>75.842291668929647</v>
      </c>
      <c r="AA181" s="19" t="s">
        <v>214</v>
      </c>
      <c r="AB181" s="19"/>
      <c r="AC181" s="35">
        <v>280</v>
      </c>
      <c r="AD181" s="35">
        <v>280</v>
      </c>
      <c r="AE181" s="19" t="s">
        <v>270</v>
      </c>
      <c r="AF181" s="19" t="s">
        <v>383</v>
      </c>
      <c r="AG181" s="19"/>
      <c r="AH181" s="19" t="s">
        <v>234</v>
      </c>
      <c r="AI181" s="19" t="s">
        <v>385</v>
      </c>
      <c r="AJ181" s="19" t="s">
        <v>270</v>
      </c>
      <c r="AK181" s="19" t="s">
        <v>234</v>
      </c>
      <c r="AL181" s="19" t="s">
        <v>90</v>
      </c>
      <c r="AM181" s="19" t="s">
        <v>386</v>
      </c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</row>
    <row r="182" spans="1:78" s="20" customFormat="1" ht="15.95" customHeight="1" x14ac:dyDescent="0.25">
      <c r="A182" s="18"/>
      <c r="B182" s="19">
        <v>194</v>
      </c>
      <c r="C182" s="19"/>
      <c r="D182" s="19">
        <v>20727</v>
      </c>
      <c r="E182" s="36">
        <v>1999</v>
      </c>
      <c r="F182" s="19" t="s">
        <v>1224</v>
      </c>
      <c r="G182" s="19" t="s">
        <v>382</v>
      </c>
      <c r="H182" s="19"/>
      <c r="I182" s="35" t="s">
        <v>41</v>
      </c>
      <c r="J182" s="19" t="s">
        <v>89</v>
      </c>
      <c r="K182" s="19" t="s">
        <v>161</v>
      </c>
      <c r="L182" s="19" t="s">
        <v>82</v>
      </c>
      <c r="M182" s="19" t="s">
        <v>82</v>
      </c>
      <c r="N182" s="19" t="s">
        <v>66</v>
      </c>
      <c r="O182" s="19" t="s">
        <v>387</v>
      </c>
      <c r="P182" s="35" t="s">
        <v>51</v>
      </c>
      <c r="Q182" s="19"/>
      <c r="R182" s="19" t="s">
        <v>237</v>
      </c>
      <c r="S182" s="19" t="s">
        <v>79</v>
      </c>
      <c r="T182" s="19" t="s">
        <v>56</v>
      </c>
      <c r="U182" s="19">
        <v>29</v>
      </c>
      <c r="V182" s="19" t="s">
        <v>231</v>
      </c>
      <c r="W182" s="19" t="s">
        <v>46</v>
      </c>
      <c r="X182" s="29"/>
      <c r="Y182" s="19">
        <v>700</v>
      </c>
      <c r="Z182" s="24">
        <f t="shared" si="6"/>
        <v>75.842291668929647</v>
      </c>
      <c r="AA182" s="19" t="s">
        <v>214</v>
      </c>
      <c r="AB182" s="19"/>
      <c r="AC182" s="35">
        <v>280</v>
      </c>
      <c r="AD182" s="35">
        <v>280</v>
      </c>
      <c r="AE182" s="19" t="s">
        <v>270</v>
      </c>
      <c r="AF182" s="19" t="s">
        <v>383</v>
      </c>
      <c r="AG182" s="19"/>
      <c r="AH182" s="19" t="s">
        <v>234</v>
      </c>
      <c r="AI182" s="19" t="s">
        <v>385</v>
      </c>
      <c r="AJ182" s="19" t="s">
        <v>270</v>
      </c>
      <c r="AK182" s="19" t="s">
        <v>234</v>
      </c>
      <c r="AL182" s="19" t="s">
        <v>90</v>
      </c>
      <c r="AM182" s="19" t="s">
        <v>386</v>
      </c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</row>
    <row r="183" spans="1:78" s="20" customFormat="1" ht="15.95" customHeight="1" x14ac:dyDescent="0.25">
      <c r="A183" s="18"/>
      <c r="B183" s="19">
        <v>194</v>
      </c>
      <c r="C183" s="19"/>
      <c r="D183" s="19">
        <v>20727</v>
      </c>
      <c r="E183" s="36">
        <v>1999</v>
      </c>
      <c r="F183" s="19" t="s">
        <v>1224</v>
      </c>
      <c r="G183" s="19" t="s">
        <v>382</v>
      </c>
      <c r="H183" s="19"/>
      <c r="I183" s="35" t="s">
        <v>41</v>
      </c>
      <c r="J183" s="19" t="s">
        <v>89</v>
      </c>
      <c r="K183" s="19" t="s">
        <v>161</v>
      </c>
      <c r="L183" s="19" t="s">
        <v>82</v>
      </c>
      <c r="M183" s="19" t="s">
        <v>82</v>
      </c>
      <c r="N183" s="19" t="s">
        <v>66</v>
      </c>
      <c r="O183" s="19" t="s">
        <v>387</v>
      </c>
      <c r="P183" s="35" t="s">
        <v>51</v>
      </c>
      <c r="Q183" s="19"/>
      <c r="R183" s="19" t="s">
        <v>237</v>
      </c>
      <c r="S183" s="19" t="s">
        <v>79</v>
      </c>
      <c r="T183" s="19" t="s">
        <v>56</v>
      </c>
      <c r="U183" s="19">
        <v>29</v>
      </c>
      <c r="V183" s="19" t="s">
        <v>231</v>
      </c>
      <c r="W183" s="19" t="s">
        <v>46</v>
      </c>
      <c r="X183" s="29"/>
      <c r="Y183" s="19">
        <v>2000</v>
      </c>
      <c r="Z183" s="24">
        <f t="shared" si="6"/>
        <v>216.69226191122758</v>
      </c>
      <c r="AA183" s="19" t="s">
        <v>214</v>
      </c>
      <c r="AB183" s="19"/>
      <c r="AC183" s="35">
        <v>280</v>
      </c>
      <c r="AD183" s="35">
        <v>280</v>
      </c>
      <c r="AE183" s="19" t="s">
        <v>270</v>
      </c>
      <c r="AF183" s="19" t="s">
        <v>383</v>
      </c>
      <c r="AG183" s="19"/>
      <c r="AH183" s="19" t="s">
        <v>234</v>
      </c>
      <c r="AI183" s="19" t="s">
        <v>385</v>
      </c>
      <c r="AJ183" s="19" t="s">
        <v>270</v>
      </c>
      <c r="AK183" s="19" t="s">
        <v>234</v>
      </c>
      <c r="AL183" s="19" t="s">
        <v>90</v>
      </c>
      <c r="AM183" s="19" t="s">
        <v>386</v>
      </c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</row>
    <row r="184" spans="1:78" s="20" customFormat="1" ht="15.95" customHeight="1" x14ac:dyDescent="0.25">
      <c r="A184" s="18"/>
      <c r="B184" s="19">
        <v>194</v>
      </c>
      <c r="C184" s="19"/>
      <c r="D184" s="19">
        <v>20727</v>
      </c>
      <c r="E184" s="36">
        <v>1999</v>
      </c>
      <c r="F184" s="19" t="s">
        <v>1224</v>
      </c>
      <c r="G184" s="19" t="s">
        <v>382</v>
      </c>
      <c r="H184" s="19"/>
      <c r="I184" s="35" t="s">
        <v>41</v>
      </c>
      <c r="J184" s="19" t="s">
        <v>89</v>
      </c>
      <c r="K184" s="19" t="s">
        <v>161</v>
      </c>
      <c r="L184" s="19" t="s">
        <v>82</v>
      </c>
      <c r="M184" s="19" t="s">
        <v>82</v>
      </c>
      <c r="N184" s="19" t="s">
        <v>66</v>
      </c>
      <c r="O184" s="19" t="s">
        <v>387</v>
      </c>
      <c r="P184" s="35" t="s">
        <v>51</v>
      </c>
      <c r="Q184" s="19"/>
      <c r="R184" s="19" t="s">
        <v>237</v>
      </c>
      <c r="S184" s="19" t="s">
        <v>79</v>
      </c>
      <c r="T184" s="19" t="s">
        <v>56</v>
      </c>
      <c r="U184" s="19">
        <v>29</v>
      </c>
      <c r="V184" s="19" t="s">
        <v>231</v>
      </c>
      <c r="W184" s="19" t="s">
        <v>46</v>
      </c>
      <c r="X184" s="29"/>
      <c r="Y184" s="19">
        <v>2000</v>
      </c>
      <c r="Z184" s="24">
        <f t="shared" si="6"/>
        <v>216.69226191122758</v>
      </c>
      <c r="AA184" s="19" t="s">
        <v>214</v>
      </c>
      <c r="AB184" s="19"/>
      <c r="AC184" s="35">
        <v>280</v>
      </c>
      <c r="AD184" s="35">
        <v>280</v>
      </c>
      <c r="AE184" s="19" t="s">
        <v>270</v>
      </c>
      <c r="AF184" s="19" t="s">
        <v>383</v>
      </c>
      <c r="AG184" s="19"/>
      <c r="AH184" s="19" t="s">
        <v>234</v>
      </c>
      <c r="AI184" s="19" t="s">
        <v>385</v>
      </c>
      <c r="AJ184" s="19" t="s">
        <v>270</v>
      </c>
      <c r="AK184" s="19" t="s">
        <v>234</v>
      </c>
      <c r="AL184" s="19" t="s">
        <v>90</v>
      </c>
      <c r="AM184" s="19" t="s">
        <v>386</v>
      </c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</row>
    <row r="185" spans="1:78" s="20" customFormat="1" ht="15.95" customHeight="1" x14ac:dyDescent="0.25">
      <c r="A185" s="18"/>
      <c r="B185" s="19">
        <v>194</v>
      </c>
      <c r="C185" s="19"/>
      <c r="D185" s="19">
        <v>20727</v>
      </c>
      <c r="E185" s="36">
        <v>1999</v>
      </c>
      <c r="F185" s="19" t="s">
        <v>1224</v>
      </c>
      <c r="G185" s="19" t="s">
        <v>382</v>
      </c>
      <c r="H185" s="19"/>
      <c r="I185" s="35" t="s">
        <v>41</v>
      </c>
      <c r="J185" s="19" t="s">
        <v>89</v>
      </c>
      <c r="K185" s="19" t="s">
        <v>161</v>
      </c>
      <c r="L185" s="19" t="s">
        <v>82</v>
      </c>
      <c r="M185" s="19" t="s">
        <v>82</v>
      </c>
      <c r="N185" s="19" t="s">
        <v>66</v>
      </c>
      <c r="O185" s="19" t="s">
        <v>387</v>
      </c>
      <c r="P185" s="35" t="s">
        <v>51</v>
      </c>
      <c r="Q185" s="19"/>
      <c r="R185" s="19" t="s">
        <v>237</v>
      </c>
      <c r="S185" s="19" t="s">
        <v>79</v>
      </c>
      <c r="T185" s="19" t="s">
        <v>56</v>
      </c>
      <c r="U185" s="19">
        <v>29</v>
      </c>
      <c r="V185" s="19" t="s">
        <v>231</v>
      </c>
      <c r="W185" s="19" t="s">
        <v>46</v>
      </c>
      <c r="X185" s="29"/>
      <c r="Y185" s="19">
        <v>900</v>
      </c>
      <c r="Z185" s="24">
        <f t="shared" si="6"/>
        <v>97.511517860052408</v>
      </c>
      <c r="AA185" s="19" t="s">
        <v>214</v>
      </c>
      <c r="AB185" s="19"/>
      <c r="AC185" s="35">
        <v>280</v>
      </c>
      <c r="AD185" s="35">
        <v>280</v>
      </c>
      <c r="AE185" s="19" t="s">
        <v>270</v>
      </c>
      <c r="AF185" s="19" t="s">
        <v>383</v>
      </c>
      <c r="AG185" s="19"/>
      <c r="AH185" s="19" t="s">
        <v>234</v>
      </c>
      <c r="AI185" s="19" t="s">
        <v>385</v>
      </c>
      <c r="AJ185" s="19" t="s">
        <v>270</v>
      </c>
      <c r="AK185" s="19" t="s">
        <v>234</v>
      </c>
      <c r="AL185" s="19" t="s">
        <v>90</v>
      </c>
      <c r="AM185" s="19" t="s">
        <v>386</v>
      </c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</row>
    <row r="186" spans="1:78" s="20" customFormat="1" ht="15.95" customHeight="1" x14ac:dyDescent="0.25">
      <c r="A186" s="18"/>
      <c r="B186" s="19">
        <v>194</v>
      </c>
      <c r="C186" s="19"/>
      <c r="D186" s="19">
        <v>20727</v>
      </c>
      <c r="E186" s="36">
        <v>1999</v>
      </c>
      <c r="F186" s="19" t="s">
        <v>1224</v>
      </c>
      <c r="G186" s="19" t="s">
        <v>382</v>
      </c>
      <c r="H186" s="19"/>
      <c r="I186" s="35" t="s">
        <v>41</v>
      </c>
      <c r="J186" s="19" t="s">
        <v>89</v>
      </c>
      <c r="K186" s="19" t="s">
        <v>161</v>
      </c>
      <c r="L186" s="19" t="s">
        <v>82</v>
      </c>
      <c r="M186" s="19" t="s">
        <v>82</v>
      </c>
      <c r="N186" s="19" t="s">
        <v>66</v>
      </c>
      <c r="O186" s="19" t="s">
        <v>387</v>
      </c>
      <c r="P186" s="35" t="s">
        <v>51</v>
      </c>
      <c r="Q186" s="19"/>
      <c r="R186" s="19" t="s">
        <v>237</v>
      </c>
      <c r="S186" s="19" t="s">
        <v>79</v>
      </c>
      <c r="T186" s="19" t="s">
        <v>56</v>
      </c>
      <c r="U186" s="19">
        <v>29</v>
      </c>
      <c r="V186" s="19" t="s">
        <v>231</v>
      </c>
      <c r="W186" s="19" t="s">
        <v>46</v>
      </c>
      <c r="X186" s="29"/>
      <c r="Y186" s="19">
        <v>600</v>
      </c>
      <c r="Z186" s="24">
        <f t="shared" si="6"/>
        <v>65.007678573368267</v>
      </c>
      <c r="AA186" s="19" t="s">
        <v>214</v>
      </c>
      <c r="AB186" s="19"/>
      <c r="AC186" s="35">
        <v>280</v>
      </c>
      <c r="AD186" s="35">
        <v>280</v>
      </c>
      <c r="AE186" s="19" t="s">
        <v>270</v>
      </c>
      <c r="AF186" s="19" t="s">
        <v>383</v>
      </c>
      <c r="AG186" s="19"/>
      <c r="AH186" s="19" t="s">
        <v>234</v>
      </c>
      <c r="AI186" s="19" t="s">
        <v>385</v>
      </c>
      <c r="AJ186" s="19" t="s">
        <v>270</v>
      </c>
      <c r="AK186" s="19" t="s">
        <v>234</v>
      </c>
      <c r="AL186" s="19" t="s">
        <v>90</v>
      </c>
      <c r="AM186" s="19" t="s">
        <v>386</v>
      </c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</row>
    <row r="187" spans="1:78" s="20" customFormat="1" ht="15.95" customHeight="1" x14ac:dyDescent="0.25">
      <c r="A187" s="18"/>
      <c r="B187" s="19">
        <v>194</v>
      </c>
      <c r="C187" s="19"/>
      <c r="D187" s="19">
        <v>20727</v>
      </c>
      <c r="E187" s="36">
        <v>1999</v>
      </c>
      <c r="F187" s="19" t="s">
        <v>1224</v>
      </c>
      <c r="G187" s="19" t="s">
        <v>382</v>
      </c>
      <c r="H187" s="19"/>
      <c r="I187" s="35" t="s">
        <v>41</v>
      </c>
      <c r="J187" s="19" t="s">
        <v>89</v>
      </c>
      <c r="K187" s="19" t="s">
        <v>161</v>
      </c>
      <c r="L187" s="19" t="s">
        <v>82</v>
      </c>
      <c r="M187" s="19" t="s">
        <v>82</v>
      </c>
      <c r="N187" s="19" t="s">
        <v>66</v>
      </c>
      <c r="O187" s="19" t="s">
        <v>387</v>
      </c>
      <c r="P187" s="35" t="s">
        <v>51</v>
      </c>
      <c r="Q187" s="19"/>
      <c r="R187" s="19" t="s">
        <v>237</v>
      </c>
      <c r="S187" s="19" t="s">
        <v>79</v>
      </c>
      <c r="T187" s="19" t="s">
        <v>56</v>
      </c>
      <c r="U187" s="19">
        <v>29</v>
      </c>
      <c r="V187" s="19" t="s">
        <v>231</v>
      </c>
      <c r="W187" s="19" t="s">
        <v>46</v>
      </c>
      <c r="X187" s="29"/>
      <c r="Y187" s="19">
        <v>2000</v>
      </c>
      <c r="Z187" s="24">
        <f t="shared" si="6"/>
        <v>216.69226191122758</v>
      </c>
      <c r="AA187" s="19" t="s">
        <v>214</v>
      </c>
      <c r="AB187" s="19"/>
      <c r="AC187" s="35">
        <v>280</v>
      </c>
      <c r="AD187" s="35">
        <v>280</v>
      </c>
      <c r="AE187" s="19" t="s">
        <v>270</v>
      </c>
      <c r="AF187" s="19" t="s">
        <v>383</v>
      </c>
      <c r="AG187" s="19"/>
      <c r="AH187" s="19" t="s">
        <v>234</v>
      </c>
      <c r="AI187" s="19" t="s">
        <v>385</v>
      </c>
      <c r="AJ187" s="19" t="s">
        <v>270</v>
      </c>
      <c r="AK187" s="19" t="s">
        <v>234</v>
      </c>
      <c r="AL187" s="19" t="s">
        <v>90</v>
      </c>
      <c r="AM187" s="19" t="s">
        <v>386</v>
      </c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</row>
    <row r="188" spans="1:78" s="20" customFormat="1" ht="15.95" customHeight="1" x14ac:dyDescent="0.25">
      <c r="A188" s="18"/>
      <c r="B188" s="19">
        <v>194</v>
      </c>
      <c r="C188" s="19"/>
      <c r="D188" s="19">
        <v>20727</v>
      </c>
      <c r="E188" s="36">
        <v>1999</v>
      </c>
      <c r="F188" s="19" t="s">
        <v>1224</v>
      </c>
      <c r="G188" s="19" t="s">
        <v>382</v>
      </c>
      <c r="H188" s="19"/>
      <c r="I188" s="35" t="s">
        <v>41</v>
      </c>
      <c r="J188" s="19" t="s">
        <v>89</v>
      </c>
      <c r="K188" s="19" t="s">
        <v>161</v>
      </c>
      <c r="L188" s="19" t="s">
        <v>82</v>
      </c>
      <c r="M188" s="19" t="s">
        <v>82</v>
      </c>
      <c r="N188" s="19" t="s">
        <v>66</v>
      </c>
      <c r="O188" s="19" t="s">
        <v>387</v>
      </c>
      <c r="P188" s="35" t="s">
        <v>51</v>
      </c>
      <c r="Q188" s="19"/>
      <c r="R188" s="19" t="s">
        <v>237</v>
      </c>
      <c r="S188" s="19" t="s">
        <v>79</v>
      </c>
      <c r="T188" s="19" t="s">
        <v>56</v>
      </c>
      <c r="U188" s="19">
        <v>29</v>
      </c>
      <c r="V188" s="19" t="s">
        <v>231</v>
      </c>
      <c r="W188" s="19" t="s">
        <v>46</v>
      </c>
      <c r="X188" s="29"/>
      <c r="Y188" s="19">
        <v>700</v>
      </c>
      <c r="Z188" s="24">
        <f t="shared" si="6"/>
        <v>75.842291668929647</v>
      </c>
      <c r="AA188" s="19" t="s">
        <v>214</v>
      </c>
      <c r="AB188" s="19"/>
      <c r="AC188" s="35">
        <v>280</v>
      </c>
      <c r="AD188" s="35">
        <v>280</v>
      </c>
      <c r="AE188" s="19" t="s">
        <v>270</v>
      </c>
      <c r="AF188" s="19" t="s">
        <v>383</v>
      </c>
      <c r="AG188" s="19"/>
      <c r="AH188" s="19" t="s">
        <v>234</v>
      </c>
      <c r="AI188" s="19" t="s">
        <v>385</v>
      </c>
      <c r="AJ188" s="19" t="s">
        <v>270</v>
      </c>
      <c r="AK188" s="19" t="s">
        <v>234</v>
      </c>
      <c r="AL188" s="19" t="s">
        <v>90</v>
      </c>
      <c r="AM188" s="19" t="s">
        <v>386</v>
      </c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</row>
    <row r="189" spans="1:78" s="20" customFormat="1" ht="15.95" customHeight="1" x14ac:dyDescent="0.25">
      <c r="A189" s="18"/>
      <c r="B189" s="19">
        <v>194</v>
      </c>
      <c r="C189" s="19"/>
      <c r="D189" s="19">
        <v>20727</v>
      </c>
      <c r="E189" s="36">
        <v>1999</v>
      </c>
      <c r="F189" s="19" t="s">
        <v>1224</v>
      </c>
      <c r="G189" s="19" t="s">
        <v>382</v>
      </c>
      <c r="H189" s="19"/>
      <c r="I189" s="35" t="s">
        <v>41</v>
      </c>
      <c r="J189" s="19" t="s">
        <v>89</v>
      </c>
      <c r="K189" s="19" t="s">
        <v>161</v>
      </c>
      <c r="L189" s="19" t="s">
        <v>82</v>
      </c>
      <c r="M189" s="19" t="s">
        <v>82</v>
      </c>
      <c r="N189" s="19" t="s">
        <v>66</v>
      </c>
      <c r="O189" s="19" t="s">
        <v>387</v>
      </c>
      <c r="P189" s="35" t="s">
        <v>51</v>
      </c>
      <c r="Q189" s="19"/>
      <c r="R189" s="19" t="s">
        <v>237</v>
      </c>
      <c r="S189" s="19" t="s">
        <v>79</v>
      </c>
      <c r="T189" s="19" t="s">
        <v>56</v>
      </c>
      <c r="U189" s="19">
        <v>29</v>
      </c>
      <c r="V189" s="19" t="s">
        <v>231</v>
      </c>
      <c r="W189" s="19" t="s">
        <v>46</v>
      </c>
      <c r="X189" s="29"/>
      <c r="Y189" s="19">
        <v>1700</v>
      </c>
      <c r="Z189" s="24">
        <f t="shared" si="6"/>
        <v>184.18842262454345</v>
      </c>
      <c r="AA189" s="19" t="s">
        <v>214</v>
      </c>
      <c r="AB189" s="19"/>
      <c r="AC189" s="35">
        <v>280</v>
      </c>
      <c r="AD189" s="35">
        <v>280</v>
      </c>
      <c r="AE189" s="19" t="s">
        <v>270</v>
      </c>
      <c r="AF189" s="19" t="s">
        <v>383</v>
      </c>
      <c r="AG189" s="19"/>
      <c r="AH189" s="19" t="s">
        <v>234</v>
      </c>
      <c r="AI189" s="19" t="s">
        <v>385</v>
      </c>
      <c r="AJ189" s="19" t="s">
        <v>270</v>
      </c>
      <c r="AK189" s="19" t="s">
        <v>234</v>
      </c>
      <c r="AL189" s="19" t="s">
        <v>90</v>
      </c>
      <c r="AM189" s="19" t="s">
        <v>386</v>
      </c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</row>
    <row r="190" spans="1:78" s="20" customFormat="1" ht="15.95" customHeight="1" x14ac:dyDescent="0.25">
      <c r="A190" s="18"/>
      <c r="B190" s="19">
        <v>194</v>
      </c>
      <c r="C190" s="19"/>
      <c r="D190" s="19">
        <v>20727</v>
      </c>
      <c r="E190" s="36">
        <v>1999</v>
      </c>
      <c r="F190" s="19" t="s">
        <v>1224</v>
      </c>
      <c r="G190" s="19" t="s">
        <v>382</v>
      </c>
      <c r="H190" s="19"/>
      <c r="I190" s="35" t="s">
        <v>41</v>
      </c>
      <c r="J190" s="19" t="s">
        <v>89</v>
      </c>
      <c r="K190" s="19" t="s">
        <v>161</v>
      </c>
      <c r="L190" s="19" t="s">
        <v>82</v>
      </c>
      <c r="M190" s="19" t="s">
        <v>82</v>
      </c>
      <c r="N190" s="19" t="s">
        <v>66</v>
      </c>
      <c r="O190" s="19" t="s">
        <v>387</v>
      </c>
      <c r="P190" s="35" t="s">
        <v>51</v>
      </c>
      <c r="Q190" s="19"/>
      <c r="R190" s="19" t="s">
        <v>237</v>
      </c>
      <c r="S190" s="19" t="s">
        <v>79</v>
      </c>
      <c r="T190" s="19" t="s">
        <v>56</v>
      </c>
      <c r="U190" s="19">
        <v>29</v>
      </c>
      <c r="V190" s="19" t="s">
        <v>231</v>
      </c>
      <c r="W190" s="19" t="s">
        <v>46</v>
      </c>
      <c r="X190" s="29"/>
      <c r="Y190" s="19">
        <v>900</v>
      </c>
      <c r="Z190" s="24">
        <f t="shared" si="6"/>
        <v>97.511517860052408</v>
      </c>
      <c r="AA190" s="19" t="s">
        <v>214</v>
      </c>
      <c r="AB190" s="19"/>
      <c r="AC190" s="35">
        <v>280</v>
      </c>
      <c r="AD190" s="35">
        <v>280</v>
      </c>
      <c r="AE190" s="19" t="s">
        <v>270</v>
      </c>
      <c r="AF190" s="19" t="s">
        <v>383</v>
      </c>
      <c r="AG190" s="19"/>
      <c r="AH190" s="19" t="s">
        <v>234</v>
      </c>
      <c r="AI190" s="19" t="s">
        <v>385</v>
      </c>
      <c r="AJ190" s="19" t="s">
        <v>270</v>
      </c>
      <c r="AK190" s="19" t="s">
        <v>234</v>
      </c>
      <c r="AL190" s="19" t="s">
        <v>90</v>
      </c>
      <c r="AM190" s="19" t="s">
        <v>386</v>
      </c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</row>
    <row r="191" spans="1:78" s="53" customFormat="1" ht="15.95" customHeight="1" x14ac:dyDescent="0.25">
      <c r="A191" s="46"/>
      <c r="B191" s="47"/>
      <c r="C191" s="47"/>
      <c r="D191" s="47"/>
      <c r="E191" s="48"/>
      <c r="F191" s="47"/>
      <c r="G191" s="47"/>
      <c r="H191" s="47"/>
      <c r="I191" s="49"/>
      <c r="J191" s="47"/>
      <c r="K191" s="47"/>
      <c r="L191" s="47"/>
      <c r="M191" s="47"/>
      <c r="N191" s="47"/>
      <c r="O191" s="47"/>
      <c r="P191" s="49"/>
      <c r="Q191" s="47"/>
      <c r="R191" s="47"/>
      <c r="S191" s="47"/>
      <c r="T191" s="47"/>
      <c r="U191" s="47"/>
      <c r="V191" s="47"/>
      <c r="W191" s="47"/>
      <c r="X191" s="50"/>
      <c r="Y191" s="47">
        <f>GEOMEAN(Y177:Y190)</f>
        <v>1103.4265599645487</v>
      </c>
      <c r="Z191" s="51"/>
      <c r="AA191" s="47"/>
      <c r="AB191" s="47"/>
      <c r="AC191" s="49"/>
      <c r="AD191" s="49"/>
      <c r="AE191" s="47"/>
      <c r="AF191" s="47"/>
      <c r="AG191" s="47"/>
      <c r="AH191" s="47"/>
      <c r="AI191" s="47"/>
      <c r="AJ191" s="47"/>
      <c r="AK191" s="47"/>
      <c r="AL191" s="47"/>
      <c r="AM191" s="47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  <c r="BM191" s="52"/>
      <c r="BN191" s="52"/>
      <c r="BO191" s="52"/>
      <c r="BP191" s="52"/>
      <c r="BQ191" s="52"/>
      <c r="BR191" s="52"/>
      <c r="BS191" s="52"/>
      <c r="BT191" s="52"/>
      <c r="BU191" s="52"/>
      <c r="BV191" s="52"/>
      <c r="BW191" s="52"/>
      <c r="BX191" s="52"/>
      <c r="BY191" s="52"/>
      <c r="BZ191" s="52"/>
    </row>
    <row r="192" spans="1:78" s="20" customFormat="1" ht="15.95" customHeight="1" x14ac:dyDescent="0.25">
      <c r="A192" s="18"/>
      <c r="B192" s="19">
        <v>194</v>
      </c>
      <c r="C192" s="19"/>
      <c r="D192" s="19">
        <v>20727</v>
      </c>
      <c r="E192" s="36">
        <v>1999</v>
      </c>
      <c r="F192" s="19" t="s">
        <v>1224</v>
      </c>
      <c r="G192" s="19" t="s">
        <v>382</v>
      </c>
      <c r="H192" s="19"/>
      <c r="I192" s="35" t="s">
        <v>41</v>
      </c>
      <c r="J192" s="19" t="s">
        <v>89</v>
      </c>
      <c r="K192" s="19" t="s">
        <v>161</v>
      </c>
      <c r="L192" s="19" t="s">
        <v>82</v>
      </c>
      <c r="M192" s="19" t="s">
        <v>82</v>
      </c>
      <c r="N192" s="19" t="s">
        <v>66</v>
      </c>
      <c r="O192" s="19" t="s">
        <v>387</v>
      </c>
      <c r="P192" s="35" t="s">
        <v>51</v>
      </c>
      <c r="Q192" s="19"/>
      <c r="R192" s="19" t="s">
        <v>237</v>
      </c>
      <c r="S192" s="19" t="s">
        <v>79</v>
      </c>
      <c r="T192" s="19" t="s">
        <v>56</v>
      </c>
      <c r="U192" s="19">
        <v>30</v>
      </c>
      <c r="V192" s="19" t="s">
        <v>231</v>
      </c>
      <c r="W192" s="19" t="s">
        <v>46</v>
      </c>
      <c r="X192" s="29"/>
      <c r="Y192" s="19">
        <v>2000</v>
      </c>
      <c r="Z192" s="24">
        <f t="shared" ref="Z192:Z206" si="7">Y192/((AC192/30)^0.995)</f>
        <v>216.69226191122758</v>
      </c>
      <c r="AA192" s="19" t="s">
        <v>214</v>
      </c>
      <c r="AB192" s="19"/>
      <c r="AC192" s="35">
        <v>280</v>
      </c>
      <c r="AD192" s="35">
        <v>280</v>
      </c>
      <c r="AE192" s="19" t="s">
        <v>270</v>
      </c>
      <c r="AF192" s="19" t="s">
        <v>383</v>
      </c>
      <c r="AG192" s="19"/>
      <c r="AH192" s="19" t="s">
        <v>234</v>
      </c>
      <c r="AI192" s="19" t="s">
        <v>385</v>
      </c>
      <c r="AJ192" s="19" t="s">
        <v>270</v>
      </c>
      <c r="AK192" s="19" t="s">
        <v>234</v>
      </c>
      <c r="AL192" s="19" t="s">
        <v>90</v>
      </c>
      <c r="AM192" s="19" t="s">
        <v>386</v>
      </c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</row>
    <row r="193" spans="1:78" s="20" customFormat="1" ht="15.95" customHeight="1" x14ac:dyDescent="0.25">
      <c r="A193" s="18"/>
      <c r="B193" s="19">
        <v>194</v>
      </c>
      <c r="C193" s="19"/>
      <c r="D193" s="19">
        <v>20727</v>
      </c>
      <c r="E193" s="36">
        <v>1999</v>
      </c>
      <c r="F193" s="19" t="s">
        <v>1224</v>
      </c>
      <c r="G193" s="19" t="s">
        <v>382</v>
      </c>
      <c r="H193" s="19"/>
      <c r="I193" s="35" t="s">
        <v>41</v>
      </c>
      <c r="J193" s="19" t="s">
        <v>89</v>
      </c>
      <c r="K193" s="19" t="s">
        <v>161</v>
      </c>
      <c r="L193" s="19" t="s">
        <v>82</v>
      </c>
      <c r="M193" s="19" t="s">
        <v>82</v>
      </c>
      <c r="N193" s="19" t="s">
        <v>66</v>
      </c>
      <c r="O193" s="19" t="s">
        <v>387</v>
      </c>
      <c r="P193" s="35" t="s">
        <v>51</v>
      </c>
      <c r="Q193" s="19"/>
      <c r="R193" s="19" t="s">
        <v>237</v>
      </c>
      <c r="S193" s="19" t="s">
        <v>79</v>
      </c>
      <c r="T193" s="19" t="s">
        <v>56</v>
      </c>
      <c r="U193" s="19">
        <v>30</v>
      </c>
      <c r="V193" s="19" t="s">
        <v>231</v>
      </c>
      <c r="W193" s="19" t="s">
        <v>46</v>
      </c>
      <c r="X193" s="29"/>
      <c r="Y193" s="19">
        <v>600</v>
      </c>
      <c r="Z193" s="24">
        <f t="shared" si="7"/>
        <v>65.007678573368267</v>
      </c>
      <c r="AA193" s="19" t="s">
        <v>214</v>
      </c>
      <c r="AB193" s="19"/>
      <c r="AC193" s="35">
        <v>280</v>
      </c>
      <c r="AD193" s="35">
        <v>280</v>
      </c>
      <c r="AE193" s="19" t="s">
        <v>270</v>
      </c>
      <c r="AF193" s="19" t="s">
        <v>383</v>
      </c>
      <c r="AG193" s="19"/>
      <c r="AH193" s="19" t="s">
        <v>234</v>
      </c>
      <c r="AI193" s="19" t="s">
        <v>385</v>
      </c>
      <c r="AJ193" s="19" t="s">
        <v>270</v>
      </c>
      <c r="AK193" s="19" t="s">
        <v>234</v>
      </c>
      <c r="AL193" s="19" t="s">
        <v>90</v>
      </c>
      <c r="AM193" s="19" t="s">
        <v>386</v>
      </c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</row>
    <row r="194" spans="1:78" s="20" customFormat="1" ht="15.95" customHeight="1" x14ac:dyDescent="0.25">
      <c r="A194" s="18"/>
      <c r="B194" s="19">
        <v>194</v>
      </c>
      <c r="C194" s="19"/>
      <c r="D194" s="19">
        <v>20727</v>
      </c>
      <c r="E194" s="36">
        <v>1999</v>
      </c>
      <c r="F194" s="19" t="s">
        <v>1224</v>
      </c>
      <c r="G194" s="19" t="s">
        <v>382</v>
      </c>
      <c r="H194" s="19"/>
      <c r="I194" s="35" t="s">
        <v>41</v>
      </c>
      <c r="J194" s="19" t="s">
        <v>89</v>
      </c>
      <c r="K194" s="19" t="s">
        <v>161</v>
      </c>
      <c r="L194" s="19" t="s">
        <v>82</v>
      </c>
      <c r="M194" s="19" t="s">
        <v>82</v>
      </c>
      <c r="N194" s="19" t="s">
        <v>66</v>
      </c>
      <c r="O194" s="19" t="s">
        <v>387</v>
      </c>
      <c r="P194" s="35" t="s">
        <v>51</v>
      </c>
      <c r="Q194" s="19"/>
      <c r="R194" s="19" t="s">
        <v>237</v>
      </c>
      <c r="S194" s="19" t="s">
        <v>79</v>
      </c>
      <c r="T194" s="19" t="s">
        <v>56</v>
      </c>
      <c r="U194" s="19">
        <v>30</v>
      </c>
      <c r="V194" s="19" t="s">
        <v>231</v>
      </c>
      <c r="W194" s="19" t="s">
        <v>46</v>
      </c>
      <c r="X194" s="29"/>
      <c r="Y194" s="19">
        <v>700</v>
      </c>
      <c r="Z194" s="24">
        <f t="shared" si="7"/>
        <v>75.842291668929647</v>
      </c>
      <c r="AA194" s="19" t="s">
        <v>214</v>
      </c>
      <c r="AB194" s="19"/>
      <c r="AC194" s="35">
        <v>280</v>
      </c>
      <c r="AD194" s="35">
        <v>280</v>
      </c>
      <c r="AE194" s="19" t="s">
        <v>270</v>
      </c>
      <c r="AF194" s="19" t="s">
        <v>383</v>
      </c>
      <c r="AG194" s="19"/>
      <c r="AH194" s="19" t="s">
        <v>234</v>
      </c>
      <c r="AI194" s="19" t="s">
        <v>385</v>
      </c>
      <c r="AJ194" s="19" t="s">
        <v>270</v>
      </c>
      <c r="AK194" s="19" t="s">
        <v>234</v>
      </c>
      <c r="AL194" s="19" t="s">
        <v>90</v>
      </c>
      <c r="AM194" s="19" t="s">
        <v>386</v>
      </c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</row>
    <row r="195" spans="1:78" s="20" customFormat="1" ht="15.95" customHeight="1" x14ac:dyDescent="0.25">
      <c r="A195" s="18"/>
      <c r="B195" s="19">
        <v>194</v>
      </c>
      <c r="C195" s="19"/>
      <c r="D195" s="19">
        <v>20727</v>
      </c>
      <c r="E195" s="36">
        <v>1999</v>
      </c>
      <c r="F195" s="19" t="s">
        <v>1224</v>
      </c>
      <c r="G195" s="19" t="s">
        <v>382</v>
      </c>
      <c r="H195" s="19"/>
      <c r="I195" s="35" t="s">
        <v>41</v>
      </c>
      <c r="J195" s="19" t="s">
        <v>89</v>
      </c>
      <c r="K195" s="19" t="s">
        <v>161</v>
      </c>
      <c r="L195" s="19" t="s">
        <v>82</v>
      </c>
      <c r="M195" s="19" t="s">
        <v>82</v>
      </c>
      <c r="N195" s="19" t="s">
        <v>66</v>
      </c>
      <c r="O195" s="19" t="s">
        <v>387</v>
      </c>
      <c r="P195" s="35" t="s">
        <v>51</v>
      </c>
      <c r="Q195" s="19"/>
      <c r="R195" s="19" t="s">
        <v>237</v>
      </c>
      <c r="S195" s="19" t="s">
        <v>79</v>
      </c>
      <c r="T195" s="19" t="s">
        <v>56</v>
      </c>
      <c r="U195" s="19">
        <v>30</v>
      </c>
      <c r="V195" s="19" t="s">
        <v>231</v>
      </c>
      <c r="W195" s="19" t="s">
        <v>46</v>
      </c>
      <c r="X195" s="29"/>
      <c r="Y195" s="19">
        <v>1700</v>
      </c>
      <c r="Z195" s="24">
        <f t="shared" si="7"/>
        <v>184.18842262454345</v>
      </c>
      <c r="AA195" s="19" t="s">
        <v>214</v>
      </c>
      <c r="AB195" s="19"/>
      <c r="AC195" s="35">
        <v>280</v>
      </c>
      <c r="AD195" s="35">
        <v>280</v>
      </c>
      <c r="AE195" s="19" t="s">
        <v>270</v>
      </c>
      <c r="AF195" s="19" t="s">
        <v>383</v>
      </c>
      <c r="AG195" s="19"/>
      <c r="AH195" s="19" t="s">
        <v>234</v>
      </c>
      <c r="AI195" s="19" t="s">
        <v>385</v>
      </c>
      <c r="AJ195" s="19" t="s">
        <v>270</v>
      </c>
      <c r="AK195" s="19" t="s">
        <v>234</v>
      </c>
      <c r="AL195" s="19" t="s">
        <v>90</v>
      </c>
      <c r="AM195" s="19" t="s">
        <v>386</v>
      </c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</row>
    <row r="196" spans="1:78" s="20" customFormat="1" ht="15.95" customHeight="1" x14ac:dyDescent="0.25">
      <c r="A196" s="18"/>
      <c r="B196" s="19">
        <v>194</v>
      </c>
      <c r="C196" s="19"/>
      <c r="D196" s="19">
        <v>20727</v>
      </c>
      <c r="E196" s="36">
        <v>1999</v>
      </c>
      <c r="F196" s="19" t="s">
        <v>1224</v>
      </c>
      <c r="G196" s="19" t="s">
        <v>382</v>
      </c>
      <c r="H196" s="19"/>
      <c r="I196" s="35" t="s">
        <v>41</v>
      </c>
      <c r="J196" s="19" t="s">
        <v>89</v>
      </c>
      <c r="K196" s="19" t="s">
        <v>161</v>
      </c>
      <c r="L196" s="19" t="s">
        <v>82</v>
      </c>
      <c r="M196" s="19" t="s">
        <v>82</v>
      </c>
      <c r="N196" s="19" t="s">
        <v>66</v>
      </c>
      <c r="O196" s="19" t="s">
        <v>387</v>
      </c>
      <c r="P196" s="35" t="s">
        <v>51</v>
      </c>
      <c r="Q196" s="19"/>
      <c r="R196" s="19" t="s">
        <v>237</v>
      </c>
      <c r="S196" s="19" t="s">
        <v>79</v>
      </c>
      <c r="T196" s="19" t="s">
        <v>56</v>
      </c>
      <c r="U196" s="19">
        <v>30</v>
      </c>
      <c r="V196" s="19" t="s">
        <v>231</v>
      </c>
      <c r="W196" s="19" t="s">
        <v>46</v>
      </c>
      <c r="X196" s="29"/>
      <c r="Y196" s="19">
        <v>700</v>
      </c>
      <c r="Z196" s="24">
        <f t="shared" si="7"/>
        <v>75.842291668929647</v>
      </c>
      <c r="AA196" s="19" t="s">
        <v>214</v>
      </c>
      <c r="AB196" s="19"/>
      <c r="AC196" s="35">
        <v>280</v>
      </c>
      <c r="AD196" s="35">
        <v>280</v>
      </c>
      <c r="AE196" s="19" t="s">
        <v>270</v>
      </c>
      <c r="AF196" s="19" t="s">
        <v>383</v>
      </c>
      <c r="AG196" s="19"/>
      <c r="AH196" s="19" t="s">
        <v>234</v>
      </c>
      <c r="AI196" s="19" t="s">
        <v>385</v>
      </c>
      <c r="AJ196" s="19" t="s">
        <v>270</v>
      </c>
      <c r="AK196" s="19" t="s">
        <v>234</v>
      </c>
      <c r="AL196" s="19" t="s">
        <v>90</v>
      </c>
      <c r="AM196" s="19" t="s">
        <v>386</v>
      </c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</row>
    <row r="197" spans="1:78" s="20" customFormat="1" ht="15.95" customHeight="1" x14ac:dyDescent="0.25">
      <c r="A197" s="18"/>
      <c r="B197" s="19">
        <v>194</v>
      </c>
      <c r="C197" s="19"/>
      <c r="D197" s="19">
        <v>20727</v>
      </c>
      <c r="E197" s="36">
        <v>1999</v>
      </c>
      <c r="F197" s="19" t="s">
        <v>1224</v>
      </c>
      <c r="G197" s="19" t="s">
        <v>382</v>
      </c>
      <c r="H197" s="19"/>
      <c r="I197" s="35" t="s">
        <v>41</v>
      </c>
      <c r="J197" s="19" t="s">
        <v>89</v>
      </c>
      <c r="K197" s="19" t="s">
        <v>161</v>
      </c>
      <c r="L197" s="19" t="s">
        <v>82</v>
      </c>
      <c r="M197" s="19" t="s">
        <v>82</v>
      </c>
      <c r="N197" s="19" t="s">
        <v>66</v>
      </c>
      <c r="O197" s="19" t="s">
        <v>387</v>
      </c>
      <c r="P197" s="35" t="s">
        <v>51</v>
      </c>
      <c r="Q197" s="19"/>
      <c r="R197" s="19" t="s">
        <v>237</v>
      </c>
      <c r="S197" s="19" t="s">
        <v>79</v>
      </c>
      <c r="T197" s="19" t="s">
        <v>56</v>
      </c>
      <c r="U197" s="19">
        <v>30</v>
      </c>
      <c r="V197" s="19" t="s">
        <v>231</v>
      </c>
      <c r="W197" s="19" t="s">
        <v>46</v>
      </c>
      <c r="X197" s="29"/>
      <c r="Y197" s="19">
        <v>2000</v>
      </c>
      <c r="Z197" s="24">
        <f t="shared" si="7"/>
        <v>216.69226191122758</v>
      </c>
      <c r="AA197" s="19" t="s">
        <v>214</v>
      </c>
      <c r="AB197" s="19"/>
      <c r="AC197" s="35">
        <v>280</v>
      </c>
      <c r="AD197" s="35">
        <v>280</v>
      </c>
      <c r="AE197" s="19" t="s">
        <v>270</v>
      </c>
      <c r="AF197" s="19" t="s">
        <v>383</v>
      </c>
      <c r="AG197" s="19"/>
      <c r="AH197" s="19" t="s">
        <v>234</v>
      </c>
      <c r="AI197" s="19" t="s">
        <v>385</v>
      </c>
      <c r="AJ197" s="19" t="s">
        <v>270</v>
      </c>
      <c r="AK197" s="19" t="s">
        <v>234</v>
      </c>
      <c r="AL197" s="19" t="s">
        <v>90</v>
      </c>
      <c r="AM197" s="19" t="s">
        <v>386</v>
      </c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</row>
    <row r="198" spans="1:78" s="20" customFormat="1" ht="15.95" customHeight="1" x14ac:dyDescent="0.25">
      <c r="A198" s="18"/>
      <c r="B198" s="19">
        <v>194</v>
      </c>
      <c r="C198" s="19"/>
      <c r="D198" s="19">
        <v>20727</v>
      </c>
      <c r="E198" s="36">
        <v>1999</v>
      </c>
      <c r="F198" s="19" t="s">
        <v>1224</v>
      </c>
      <c r="G198" s="19" t="s">
        <v>382</v>
      </c>
      <c r="H198" s="19"/>
      <c r="I198" s="35" t="s">
        <v>41</v>
      </c>
      <c r="J198" s="19" t="s">
        <v>89</v>
      </c>
      <c r="K198" s="19" t="s">
        <v>161</v>
      </c>
      <c r="L198" s="19" t="s">
        <v>82</v>
      </c>
      <c r="M198" s="19" t="s">
        <v>82</v>
      </c>
      <c r="N198" s="19" t="s">
        <v>66</v>
      </c>
      <c r="O198" s="19" t="s">
        <v>387</v>
      </c>
      <c r="P198" s="35" t="s">
        <v>51</v>
      </c>
      <c r="Q198" s="19"/>
      <c r="R198" s="19" t="s">
        <v>237</v>
      </c>
      <c r="S198" s="19" t="s">
        <v>79</v>
      </c>
      <c r="T198" s="19" t="s">
        <v>56</v>
      </c>
      <c r="U198" s="19">
        <v>30</v>
      </c>
      <c r="V198" s="19" t="s">
        <v>231</v>
      </c>
      <c r="W198" s="19" t="s">
        <v>46</v>
      </c>
      <c r="X198" s="29"/>
      <c r="Y198" s="19">
        <v>700</v>
      </c>
      <c r="Z198" s="24">
        <f t="shared" si="7"/>
        <v>75.842291668929647</v>
      </c>
      <c r="AA198" s="19" t="s">
        <v>214</v>
      </c>
      <c r="AB198" s="19"/>
      <c r="AC198" s="35">
        <v>280</v>
      </c>
      <c r="AD198" s="35">
        <v>280</v>
      </c>
      <c r="AE198" s="19" t="s">
        <v>270</v>
      </c>
      <c r="AF198" s="19" t="s">
        <v>383</v>
      </c>
      <c r="AG198" s="19"/>
      <c r="AH198" s="19" t="s">
        <v>234</v>
      </c>
      <c r="AI198" s="19" t="s">
        <v>385</v>
      </c>
      <c r="AJ198" s="19" t="s">
        <v>270</v>
      </c>
      <c r="AK198" s="19" t="s">
        <v>234</v>
      </c>
      <c r="AL198" s="19" t="s">
        <v>90</v>
      </c>
      <c r="AM198" s="19" t="s">
        <v>386</v>
      </c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</row>
    <row r="199" spans="1:78" s="20" customFormat="1" ht="15.95" customHeight="1" x14ac:dyDescent="0.25">
      <c r="A199" s="18"/>
      <c r="B199" s="19">
        <v>194</v>
      </c>
      <c r="C199" s="19"/>
      <c r="D199" s="19">
        <v>20727</v>
      </c>
      <c r="E199" s="36">
        <v>1999</v>
      </c>
      <c r="F199" s="19" t="s">
        <v>1224</v>
      </c>
      <c r="G199" s="19" t="s">
        <v>382</v>
      </c>
      <c r="H199" s="19"/>
      <c r="I199" s="35" t="s">
        <v>41</v>
      </c>
      <c r="J199" s="19" t="s">
        <v>89</v>
      </c>
      <c r="K199" s="19" t="s">
        <v>161</v>
      </c>
      <c r="L199" s="19" t="s">
        <v>82</v>
      </c>
      <c r="M199" s="19" t="s">
        <v>82</v>
      </c>
      <c r="N199" s="19" t="s">
        <v>66</v>
      </c>
      <c r="O199" s="19" t="s">
        <v>387</v>
      </c>
      <c r="P199" s="35" t="s">
        <v>51</v>
      </c>
      <c r="Q199" s="19"/>
      <c r="R199" s="19" t="s">
        <v>237</v>
      </c>
      <c r="S199" s="19" t="s">
        <v>79</v>
      </c>
      <c r="T199" s="19" t="s">
        <v>56</v>
      </c>
      <c r="U199" s="19">
        <v>30</v>
      </c>
      <c r="V199" s="19" t="s">
        <v>231</v>
      </c>
      <c r="W199" s="19" t="s">
        <v>46</v>
      </c>
      <c r="X199" s="29"/>
      <c r="Y199" s="19">
        <v>1700</v>
      </c>
      <c r="Z199" s="24">
        <f t="shared" si="7"/>
        <v>184.18842262454345</v>
      </c>
      <c r="AA199" s="19" t="s">
        <v>214</v>
      </c>
      <c r="AB199" s="19"/>
      <c r="AC199" s="35">
        <v>280</v>
      </c>
      <c r="AD199" s="35">
        <v>280</v>
      </c>
      <c r="AE199" s="19" t="s">
        <v>270</v>
      </c>
      <c r="AF199" s="19" t="s">
        <v>383</v>
      </c>
      <c r="AG199" s="19"/>
      <c r="AH199" s="19" t="s">
        <v>234</v>
      </c>
      <c r="AI199" s="19" t="s">
        <v>385</v>
      </c>
      <c r="AJ199" s="19" t="s">
        <v>270</v>
      </c>
      <c r="AK199" s="19" t="s">
        <v>234</v>
      </c>
      <c r="AL199" s="19" t="s">
        <v>90</v>
      </c>
      <c r="AM199" s="19" t="s">
        <v>386</v>
      </c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</row>
    <row r="200" spans="1:78" s="20" customFormat="1" ht="15.95" customHeight="1" x14ac:dyDescent="0.25">
      <c r="A200" s="18"/>
      <c r="B200" s="19">
        <v>194</v>
      </c>
      <c r="C200" s="19"/>
      <c r="D200" s="19">
        <v>20727</v>
      </c>
      <c r="E200" s="36">
        <v>1999</v>
      </c>
      <c r="F200" s="19" t="s">
        <v>1224</v>
      </c>
      <c r="G200" s="19" t="s">
        <v>382</v>
      </c>
      <c r="H200" s="19"/>
      <c r="I200" s="35" t="s">
        <v>41</v>
      </c>
      <c r="J200" s="19" t="s">
        <v>89</v>
      </c>
      <c r="K200" s="19" t="s">
        <v>161</v>
      </c>
      <c r="L200" s="19" t="s">
        <v>82</v>
      </c>
      <c r="M200" s="19" t="s">
        <v>82</v>
      </c>
      <c r="N200" s="19" t="s">
        <v>66</v>
      </c>
      <c r="O200" s="19" t="s">
        <v>387</v>
      </c>
      <c r="P200" s="35" t="s">
        <v>51</v>
      </c>
      <c r="Q200" s="19"/>
      <c r="R200" s="19" t="s">
        <v>237</v>
      </c>
      <c r="S200" s="19" t="s">
        <v>79</v>
      </c>
      <c r="T200" s="19" t="s">
        <v>56</v>
      </c>
      <c r="U200" s="19">
        <v>30</v>
      </c>
      <c r="V200" s="19" t="s">
        <v>231</v>
      </c>
      <c r="W200" s="19" t="s">
        <v>46</v>
      </c>
      <c r="X200" s="29"/>
      <c r="Y200" s="19">
        <v>600</v>
      </c>
      <c r="Z200" s="24">
        <f t="shared" si="7"/>
        <v>65.007678573368267</v>
      </c>
      <c r="AA200" s="19" t="s">
        <v>214</v>
      </c>
      <c r="AB200" s="19"/>
      <c r="AC200" s="35">
        <v>280</v>
      </c>
      <c r="AD200" s="35">
        <v>280</v>
      </c>
      <c r="AE200" s="19" t="s">
        <v>270</v>
      </c>
      <c r="AF200" s="19" t="s">
        <v>383</v>
      </c>
      <c r="AG200" s="19"/>
      <c r="AH200" s="19" t="s">
        <v>234</v>
      </c>
      <c r="AI200" s="19" t="s">
        <v>385</v>
      </c>
      <c r="AJ200" s="19" t="s">
        <v>270</v>
      </c>
      <c r="AK200" s="19" t="s">
        <v>234</v>
      </c>
      <c r="AL200" s="19" t="s">
        <v>90</v>
      </c>
      <c r="AM200" s="19" t="s">
        <v>386</v>
      </c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</row>
    <row r="201" spans="1:78" s="20" customFormat="1" ht="15.95" customHeight="1" x14ac:dyDescent="0.25">
      <c r="A201" s="18"/>
      <c r="B201" s="19">
        <v>194</v>
      </c>
      <c r="C201" s="19"/>
      <c r="D201" s="19">
        <v>20727</v>
      </c>
      <c r="E201" s="36">
        <v>1999</v>
      </c>
      <c r="F201" s="19" t="s">
        <v>1224</v>
      </c>
      <c r="G201" s="19" t="s">
        <v>382</v>
      </c>
      <c r="H201" s="19"/>
      <c r="I201" s="35" t="s">
        <v>41</v>
      </c>
      <c r="J201" s="19" t="s">
        <v>89</v>
      </c>
      <c r="K201" s="19" t="s">
        <v>161</v>
      </c>
      <c r="L201" s="19" t="s">
        <v>82</v>
      </c>
      <c r="M201" s="19" t="s">
        <v>82</v>
      </c>
      <c r="N201" s="19" t="s">
        <v>66</v>
      </c>
      <c r="O201" s="19" t="s">
        <v>387</v>
      </c>
      <c r="P201" s="35" t="s">
        <v>51</v>
      </c>
      <c r="Q201" s="19"/>
      <c r="R201" s="19" t="s">
        <v>237</v>
      </c>
      <c r="S201" s="19" t="s">
        <v>79</v>
      </c>
      <c r="T201" s="19" t="s">
        <v>56</v>
      </c>
      <c r="U201" s="19">
        <v>30</v>
      </c>
      <c r="V201" s="19" t="s">
        <v>231</v>
      </c>
      <c r="W201" s="19" t="s">
        <v>46</v>
      </c>
      <c r="X201" s="29"/>
      <c r="Y201" s="19">
        <v>700</v>
      </c>
      <c r="Z201" s="24">
        <f t="shared" si="7"/>
        <v>75.842291668929647</v>
      </c>
      <c r="AA201" s="19" t="s">
        <v>214</v>
      </c>
      <c r="AB201" s="19"/>
      <c r="AC201" s="35">
        <v>280</v>
      </c>
      <c r="AD201" s="35">
        <v>280</v>
      </c>
      <c r="AE201" s="19" t="s">
        <v>270</v>
      </c>
      <c r="AF201" s="19" t="s">
        <v>383</v>
      </c>
      <c r="AG201" s="19"/>
      <c r="AH201" s="19" t="s">
        <v>234</v>
      </c>
      <c r="AI201" s="19" t="s">
        <v>385</v>
      </c>
      <c r="AJ201" s="19" t="s">
        <v>270</v>
      </c>
      <c r="AK201" s="19" t="s">
        <v>234</v>
      </c>
      <c r="AL201" s="19" t="s">
        <v>90</v>
      </c>
      <c r="AM201" s="19" t="s">
        <v>386</v>
      </c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</row>
    <row r="202" spans="1:78" s="20" customFormat="1" ht="15.95" customHeight="1" x14ac:dyDescent="0.25">
      <c r="A202" s="18"/>
      <c r="B202" s="19">
        <v>194</v>
      </c>
      <c r="C202" s="19"/>
      <c r="D202" s="19">
        <v>20727</v>
      </c>
      <c r="E202" s="36">
        <v>1999</v>
      </c>
      <c r="F202" s="19" t="s">
        <v>1224</v>
      </c>
      <c r="G202" s="19" t="s">
        <v>382</v>
      </c>
      <c r="H202" s="19"/>
      <c r="I202" s="35" t="s">
        <v>41</v>
      </c>
      <c r="J202" s="19" t="s">
        <v>89</v>
      </c>
      <c r="K202" s="19" t="s">
        <v>161</v>
      </c>
      <c r="L202" s="19" t="s">
        <v>82</v>
      </c>
      <c r="M202" s="19" t="s">
        <v>82</v>
      </c>
      <c r="N202" s="19" t="s">
        <v>66</v>
      </c>
      <c r="O202" s="19" t="s">
        <v>387</v>
      </c>
      <c r="P202" s="35" t="s">
        <v>51</v>
      </c>
      <c r="Q202" s="19"/>
      <c r="R202" s="19" t="s">
        <v>237</v>
      </c>
      <c r="S202" s="19" t="s">
        <v>79</v>
      </c>
      <c r="T202" s="19" t="s">
        <v>56</v>
      </c>
      <c r="U202" s="19">
        <v>30</v>
      </c>
      <c r="V202" s="19" t="s">
        <v>231</v>
      </c>
      <c r="W202" s="19" t="s">
        <v>46</v>
      </c>
      <c r="X202" s="29"/>
      <c r="Y202" s="19">
        <v>600</v>
      </c>
      <c r="Z202" s="24">
        <f t="shared" si="7"/>
        <v>65.007678573368267</v>
      </c>
      <c r="AA202" s="19" t="s">
        <v>214</v>
      </c>
      <c r="AB202" s="19"/>
      <c r="AC202" s="35">
        <v>280</v>
      </c>
      <c r="AD202" s="35">
        <v>280</v>
      </c>
      <c r="AE202" s="19" t="s">
        <v>270</v>
      </c>
      <c r="AF202" s="19" t="s">
        <v>383</v>
      </c>
      <c r="AG202" s="19"/>
      <c r="AH202" s="19" t="s">
        <v>234</v>
      </c>
      <c r="AI202" s="19" t="s">
        <v>385</v>
      </c>
      <c r="AJ202" s="19" t="s">
        <v>270</v>
      </c>
      <c r="AK202" s="19" t="s">
        <v>234</v>
      </c>
      <c r="AL202" s="19" t="s">
        <v>90</v>
      </c>
      <c r="AM202" s="19" t="s">
        <v>386</v>
      </c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</row>
    <row r="203" spans="1:78" s="20" customFormat="1" ht="15.95" customHeight="1" x14ac:dyDescent="0.25">
      <c r="A203" s="18"/>
      <c r="B203" s="19">
        <v>194</v>
      </c>
      <c r="C203" s="19"/>
      <c r="D203" s="19">
        <v>20727</v>
      </c>
      <c r="E203" s="36">
        <v>1999</v>
      </c>
      <c r="F203" s="19" t="s">
        <v>1224</v>
      </c>
      <c r="G203" s="19" t="s">
        <v>382</v>
      </c>
      <c r="H203" s="19"/>
      <c r="I203" s="35" t="s">
        <v>41</v>
      </c>
      <c r="J203" s="19" t="s">
        <v>89</v>
      </c>
      <c r="K203" s="19" t="s">
        <v>161</v>
      </c>
      <c r="L203" s="19" t="s">
        <v>82</v>
      </c>
      <c r="M203" s="19" t="s">
        <v>82</v>
      </c>
      <c r="N203" s="19" t="s">
        <v>66</v>
      </c>
      <c r="O203" s="19" t="s">
        <v>387</v>
      </c>
      <c r="P203" s="35" t="s">
        <v>51</v>
      </c>
      <c r="Q203" s="19"/>
      <c r="R203" s="19" t="s">
        <v>237</v>
      </c>
      <c r="S203" s="19" t="s">
        <v>79</v>
      </c>
      <c r="T203" s="19" t="s">
        <v>56</v>
      </c>
      <c r="U203" s="19">
        <v>30</v>
      </c>
      <c r="V203" s="19" t="s">
        <v>231</v>
      </c>
      <c r="W203" s="19" t="s">
        <v>46</v>
      </c>
      <c r="X203" s="29"/>
      <c r="Y203" s="19">
        <v>700</v>
      </c>
      <c r="Z203" s="24">
        <f t="shared" si="7"/>
        <v>75.842291668929647</v>
      </c>
      <c r="AA203" s="19" t="s">
        <v>214</v>
      </c>
      <c r="AB203" s="19"/>
      <c r="AC203" s="35">
        <v>280</v>
      </c>
      <c r="AD203" s="35">
        <v>280</v>
      </c>
      <c r="AE203" s="19" t="s">
        <v>270</v>
      </c>
      <c r="AF203" s="19" t="s">
        <v>383</v>
      </c>
      <c r="AG203" s="19"/>
      <c r="AH203" s="19" t="s">
        <v>234</v>
      </c>
      <c r="AI203" s="19" t="s">
        <v>385</v>
      </c>
      <c r="AJ203" s="19" t="s">
        <v>270</v>
      </c>
      <c r="AK203" s="19" t="s">
        <v>234</v>
      </c>
      <c r="AL203" s="19" t="s">
        <v>90</v>
      </c>
      <c r="AM203" s="19" t="s">
        <v>386</v>
      </c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</row>
    <row r="204" spans="1:78" s="20" customFormat="1" ht="15.95" customHeight="1" x14ac:dyDescent="0.25">
      <c r="A204" s="18"/>
      <c r="B204" s="19">
        <v>194</v>
      </c>
      <c r="C204" s="19"/>
      <c r="D204" s="19">
        <v>20727</v>
      </c>
      <c r="E204" s="36">
        <v>1999</v>
      </c>
      <c r="F204" s="19" t="s">
        <v>1224</v>
      </c>
      <c r="G204" s="19" t="s">
        <v>382</v>
      </c>
      <c r="H204" s="19"/>
      <c r="I204" s="35" t="s">
        <v>41</v>
      </c>
      <c r="J204" s="19" t="s">
        <v>89</v>
      </c>
      <c r="K204" s="19" t="s">
        <v>161</v>
      </c>
      <c r="L204" s="19" t="s">
        <v>82</v>
      </c>
      <c r="M204" s="19" t="s">
        <v>82</v>
      </c>
      <c r="N204" s="19" t="s">
        <v>66</v>
      </c>
      <c r="O204" s="19" t="s">
        <v>387</v>
      </c>
      <c r="P204" s="35" t="s">
        <v>51</v>
      </c>
      <c r="Q204" s="19"/>
      <c r="R204" s="19" t="s">
        <v>237</v>
      </c>
      <c r="S204" s="19" t="s">
        <v>79</v>
      </c>
      <c r="T204" s="19" t="s">
        <v>56</v>
      </c>
      <c r="U204" s="19">
        <v>30</v>
      </c>
      <c r="V204" s="19" t="s">
        <v>231</v>
      </c>
      <c r="W204" s="19" t="s">
        <v>46</v>
      </c>
      <c r="X204" s="29"/>
      <c r="Y204" s="19">
        <v>1700</v>
      </c>
      <c r="Z204" s="24">
        <f t="shared" si="7"/>
        <v>184.18842262454345</v>
      </c>
      <c r="AA204" s="19" t="s">
        <v>214</v>
      </c>
      <c r="AB204" s="19"/>
      <c r="AC204" s="35">
        <v>280</v>
      </c>
      <c r="AD204" s="35">
        <v>280</v>
      </c>
      <c r="AE204" s="19" t="s">
        <v>270</v>
      </c>
      <c r="AF204" s="19" t="s">
        <v>383</v>
      </c>
      <c r="AG204" s="19"/>
      <c r="AH204" s="19" t="s">
        <v>234</v>
      </c>
      <c r="AI204" s="19" t="s">
        <v>385</v>
      </c>
      <c r="AJ204" s="19" t="s">
        <v>270</v>
      </c>
      <c r="AK204" s="19" t="s">
        <v>234</v>
      </c>
      <c r="AL204" s="19" t="s">
        <v>90</v>
      </c>
      <c r="AM204" s="19" t="s">
        <v>386</v>
      </c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</row>
    <row r="205" spans="1:78" s="20" customFormat="1" ht="15.95" customHeight="1" x14ac:dyDescent="0.25">
      <c r="A205" s="18"/>
      <c r="B205" s="19">
        <v>194</v>
      </c>
      <c r="C205" s="19"/>
      <c r="D205" s="19">
        <v>20727</v>
      </c>
      <c r="E205" s="36">
        <v>1999</v>
      </c>
      <c r="F205" s="19" t="s">
        <v>1224</v>
      </c>
      <c r="G205" s="19" t="s">
        <v>382</v>
      </c>
      <c r="H205" s="19"/>
      <c r="I205" s="35" t="s">
        <v>41</v>
      </c>
      <c r="J205" s="19" t="s">
        <v>89</v>
      </c>
      <c r="K205" s="19" t="s">
        <v>161</v>
      </c>
      <c r="L205" s="19" t="s">
        <v>82</v>
      </c>
      <c r="M205" s="19" t="s">
        <v>82</v>
      </c>
      <c r="N205" s="19" t="s">
        <v>66</v>
      </c>
      <c r="O205" s="19" t="s">
        <v>387</v>
      </c>
      <c r="P205" s="35" t="s">
        <v>51</v>
      </c>
      <c r="Q205" s="19"/>
      <c r="R205" s="19" t="s">
        <v>237</v>
      </c>
      <c r="S205" s="19" t="s">
        <v>79</v>
      </c>
      <c r="T205" s="19" t="s">
        <v>56</v>
      </c>
      <c r="U205" s="19">
        <v>30</v>
      </c>
      <c r="V205" s="19" t="s">
        <v>231</v>
      </c>
      <c r="W205" s="19" t="s">
        <v>46</v>
      </c>
      <c r="X205" s="29"/>
      <c r="Y205" s="19">
        <v>2000</v>
      </c>
      <c r="Z205" s="24">
        <f t="shared" si="7"/>
        <v>216.69226191122758</v>
      </c>
      <c r="AA205" s="19" t="s">
        <v>214</v>
      </c>
      <c r="AB205" s="19"/>
      <c r="AC205" s="35">
        <v>280</v>
      </c>
      <c r="AD205" s="35">
        <v>280</v>
      </c>
      <c r="AE205" s="19" t="s">
        <v>270</v>
      </c>
      <c r="AF205" s="19" t="s">
        <v>383</v>
      </c>
      <c r="AG205" s="19"/>
      <c r="AH205" s="19" t="s">
        <v>234</v>
      </c>
      <c r="AI205" s="19" t="s">
        <v>385</v>
      </c>
      <c r="AJ205" s="19" t="s">
        <v>270</v>
      </c>
      <c r="AK205" s="19" t="s">
        <v>234</v>
      </c>
      <c r="AL205" s="19" t="s">
        <v>90</v>
      </c>
      <c r="AM205" s="19" t="s">
        <v>386</v>
      </c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</row>
    <row r="206" spans="1:78" s="20" customFormat="1" ht="15.95" customHeight="1" x14ac:dyDescent="0.25">
      <c r="A206" s="18"/>
      <c r="B206" s="19">
        <v>194</v>
      </c>
      <c r="C206" s="19"/>
      <c r="D206" s="19">
        <v>20727</v>
      </c>
      <c r="E206" s="36">
        <v>1999</v>
      </c>
      <c r="F206" s="19" t="s">
        <v>1224</v>
      </c>
      <c r="G206" s="19" t="s">
        <v>382</v>
      </c>
      <c r="H206" s="19"/>
      <c r="I206" s="35" t="s">
        <v>41</v>
      </c>
      <c r="J206" s="19" t="s">
        <v>89</v>
      </c>
      <c r="K206" s="19" t="s">
        <v>161</v>
      </c>
      <c r="L206" s="19" t="s">
        <v>82</v>
      </c>
      <c r="M206" s="19" t="s">
        <v>82</v>
      </c>
      <c r="N206" s="19" t="s">
        <v>66</v>
      </c>
      <c r="O206" s="19" t="s">
        <v>387</v>
      </c>
      <c r="P206" s="35" t="s">
        <v>51</v>
      </c>
      <c r="Q206" s="19"/>
      <c r="R206" s="19" t="s">
        <v>237</v>
      </c>
      <c r="S206" s="19" t="s">
        <v>79</v>
      </c>
      <c r="T206" s="19" t="s">
        <v>56</v>
      </c>
      <c r="U206" s="19">
        <v>30</v>
      </c>
      <c r="V206" s="19" t="s">
        <v>231</v>
      </c>
      <c r="W206" s="19" t="s">
        <v>46</v>
      </c>
      <c r="X206" s="29"/>
      <c r="Y206" s="19">
        <v>700</v>
      </c>
      <c r="Z206" s="24">
        <f t="shared" si="7"/>
        <v>75.842291668929647</v>
      </c>
      <c r="AA206" s="19" t="s">
        <v>214</v>
      </c>
      <c r="AB206" s="19"/>
      <c r="AC206" s="35">
        <v>280</v>
      </c>
      <c r="AD206" s="35">
        <v>280</v>
      </c>
      <c r="AE206" s="19" t="s">
        <v>270</v>
      </c>
      <c r="AF206" s="19" t="s">
        <v>383</v>
      </c>
      <c r="AG206" s="19"/>
      <c r="AH206" s="19" t="s">
        <v>234</v>
      </c>
      <c r="AI206" s="19" t="s">
        <v>385</v>
      </c>
      <c r="AJ206" s="19" t="s">
        <v>270</v>
      </c>
      <c r="AK206" s="19" t="s">
        <v>234</v>
      </c>
      <c r="AL206" s="19" t="s">
        <v>90</v>
      </c>
      <c r="AM206" s="19" t="s">
        <v>386</v>
      </c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</row>
    <row r="207" spans="1:78" s="53" customFormat="1" ht="15.95" customHeight="1" x14ac:dyDescent="0.25">
      <c r="A207" s="46"/>
      <c r="B207" s="47"/>
      <c r="C207" s="47"/>
      <c r="D207" s="47"/>
      <c r="E207" s="48"/>
      <c r="F207" s="47"/>
      <c r="G207" s="47"/>
      <c r="H207" s="47"/>
      <c r="I207" s="49"/>
      <c r="J207" s="47"/>
      <c r="K207" s="47"/>
      <c r="L207" s="47"/>
      <c r="M207" s="47"/>
      <c r="N207" s="47"/>
      <c r="O207" s="47"/>
      <c r="P207" s="49"/>
      <c r="Q207" s="47"/>
      <c r="R207" s="47"/>
      <c r="S207" s="47"/>
      <c r="T207" s="47"/>
      <c r="U207" s="47"/>
      <c r="V207" s="47"/>
      <c r="W207" s="47"/>
      <c r="X207" s="50"/>
      <c r="Y207" s="47">
        <f>GEOMEAN(Y192:Y206)</f>
        <v>999.9199871969272</v>
      </c>
      <c r="Z207" s="51"/>
      <c r="AA207" s="47"/>
      <c r="AB207" s="47"/>
      <c r="AC207" s="49"/>
      <c r="AD207" s="49"/>
      <c r="AE207" s="47"/>
      <c r="AF207" s="47"/>
      <c r="AG207" s="47"/>
      <c r="AH207" s="47"/>
      <c r="AI207" s="47"/>
      <c r="AJ207" s="47"/>
      <c r="AK207" s="47"/>
      <c r="AL207" s="47"/>
      <c r="AM207" s="47"/>
      <c r="AN207" s="52"/>
      <c r="AO207" s="52"/>
      <c r="AP207" s="52"/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2"/>
      <c r="BE207" s="52"/>
      <c r="BF207" s="52"/>
      <c r="BG207" s="52"/>
      <c r="BH207" s="52"/>
      <c r="BI207" s="52"/>
      <c r="BJ207" s="52"/>
      <c r="BK207" s="52"/>
      <c r="BL207" s="52"/>
      <c r="BM207" s="52"/>
      <c r="BN207" s="52"/>
      <c r="BO207" s="52"/>
      <c r="BP207" s="52"/>
      <c r="BQ207" s="52"/>
      <c r="BR207" s="52"/>
      <c r="BS207" s="52"/>
      <c r="BT207" s="52"/>
      <c r="BU207" s="52"/>
      <c r="BV207" s="52"/>
      <c r="BW207" s="52"/>
      <c r="BX207" s="52"/>
      <c r="BY207" s="52"/>
      <c r="BZ207" s="52"/>
    </row>
    <row r="208" spans="1:78" s="20" customFormat="1" ht="15.95" customHeight="1" x14ac:dyDescent="0.25">
      <c r="A208" s="18"/>
      <c r="B208" s="19"/>
      <c r="C208" s="19"/>
      <c r="D208" s="19"/>
      <c r="E208" s="36"/>
      <c r="F208" s="19"/>
      <c r="G208" s="19"/>
      <c r="H208" s="19"/>
      <c r="I208" s="35"/>
      <c r="J208" s="19"/>
      <c r="K208" s="19"/>
      <c r="L208" s="19"/>
      <c r="M208" s="19"/>
      <c r="N208" s="19"/>
      <c r="O208" s="19"/>
      <c r="P208" s="35"/>
      <c r="Q208" s="19"/>
      <c r="R208" s="19"/>
      <c r="S208" s="19"/>
      <c r="T208" s="19"/>
      <c r="U208" s="19"/>
      <c r="V208" s="19"/>
      <c r="W208" s="19"/>
      <c r="X208" s="29"/>
      <c r="Y208" s="19"/>
      <c r="Z208" s="24"/>
      <c r="AA208" s="19"/>
      <c r="AB208" s="19"/>
      <c r="AC208" s="35"/>
      <c r="AD208" s="35"/>
      <c r="AE208" s="19"/>
      <c r="AF208" s="19"/>
      <c r="AG208" s="19"/>
      <c r="AH208" s="19"/>
      <c r="AI208" s="19"/>
      <c r="AJ208" s="19"/>
      <c r="AK208" s="19"/>
      <c r="AL208" s="19"/>
      <c r="AM208" s="19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</row>
    <row r="209" spans="1:78" s="20" customFormat="1" ht="15.95" customHeight="1" x14ac:dyDescent="0.25">
      <c r="A209" s="18"/>
      <c r="B209" s="19"/>
      <c r="C209" s="19"/>
      <c r="D209" s="19"/>
      <c r="E209" s="36"/>
      <c r="F209" s="19"/>
      <c r="G209" s="19"/>
      <c r="H209" s="19"/>
      <c r="I209" s="35"/>
      <c r="J209" s="19"/>
      <c r="K209" s="19"/>
      <c r="L209" s="19"/>
      <c r="M209" s="19"/>
      <c r="N209" s="19"/>
      <c r="O209" s="19"/>
      <c r="P209" s="35"/>
      <c r="Q209" s="19"/>
      <c r="R209" s="19"/>
      <c r="S209" s="19"/>
      <c r="T209" s="19"/>
      <c r="U209" s="19"/>
      <c r="V209" s="19"/>
      <c r="W209" s="19"/>
      <c r="X209" s="29"/>
      <c r="Y209" s="19"/>
      <c r="Z209" s="24"/>
      <c r="AA209" s="19"/>
      <c r="AB209" s="19"/>
      <c r="AC209" s="35"/>
      <c r="AD209" s="35"/>
      <c r="AE209" s="19"/>
      <c r="AF209" s="19"/>
      <c r="AG209" s="19"/>
      <c r="AH209" s="19"/>
      <c r="AI209" s="19"/>
      <c r="AJ209" s="19"/>
      <c r="AK209" s="19"/>
      <c r="AL209" s="19"/>
      <c r="AM209" s="19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</row>
    <row r="210" spans="1:78" s="20" customFormat="1" ht="15.95" customHeight="1" x14ac:dyDescent="0.2">
      <c r="A210" s="18"/>
      <c r="B210" s="19">
        <v>194</v>
      </c>
      <c r="D210" s="36">
        <v>20727</v>
      </c>
      <c r="E210" s="36">
        <v>1999</v>
      </c>
      <c r="F210" s="36" t="s">
        <v>1224</v>
      </c>
      <c r="G210" s="35" t="s">
        <v>382</v>
      </c>
      <c r="H210" s="35"/>
      <c r="I210" s="35" t="s">
        <v>41</v>
      </c>
      <c r="J210" s="35" t="s">
        <v>89</v>
      </c>
      <c r="K210" s="35" t="s">
        <v>161</v>
      </c>
      <c r="L210" s="35" t="s">
        <v>82</v>
      </c>
      <c r="M210" s="35" t="s">
        <v>82</v>
      </c>
      <c r="N210" s="35" t="s">
        <v>66</v>
      </c>
      <c r="O210" s="35" t="s">
        <v>292</v>
      </c>
      <c r="P210" s="35" t="s">
        <v>51</v>
      </c>
      <c r="Q210" s="35"/>
      <c r="R210" s="35" t="s">
        <v>237</v>
      </c>
      <c r="S210" s="35" t="s">
        <v>79</v>
      </c>
      <c r="T210" s="35" t="s">
        <v>56</v>
      </c>
      <c r="U210" s="48">
        <v>22</v>
      </c>
      <c r="V210" s="36" t="s">
        <v>231</v>
      </c>
      <c r="W210" s="35" t="s">
        <v>46</v>
      </c>
      <c r="X210" s="29"/>
      <c r="Y210" s="48">
        <v>3900</v>
      </c>
      <c r="Z210" s="24">
        <f t="shared" ref="Z210:Z228" si="8">Y210/((AC210/30)^0.995)</f>
        <v>422.54991072689376</v>
      </c>
      <c r="AA210" s="19" t="s">
        <v>214</v>
      </c>
      <c r="AB210" s="36"/>
      <c r="AC210" s="35">
        <v>280</v>
      </c>
      <c r="AD210" s="35">
        <v>280</v>
      </c>
      <c r="AE210" s="35" t="s">
        <v>270</v>
      </c>
      <c r="AF210" s="35" t="s">
        <v>383</v>
      </c>
      <c r="AG210" s="35"/>
      <c r="AH210" s="35" t="s">
        <v>234</v>
      </c>
      <c r="AI210" s="35" t="s">
        <v>385</v>
      </c>
      <c r="AJ210" s="35" t="s">
        <v>270</v>
      </c>
      <c r="AK210" s="35" t="s">
        <v>234</v>
      </c>
      <c r="AL210" s="35" t="s">
        <v>90</v>
      </c>
      <c r="AM210" s="35" t="s">
        <v>386</v>
      </c>
    </row>
    <row r="211" spans="1:78" s="20" customFormat="1" ht="15.95" customHeight="1" x14ac:dyDescent="0.2">
      <c r="A211" s="18"/>
      <c r="B211" s="19">
        <v>194</v>
      </c>
      <c r="D211" s="36">
        <v>20727</v>
      </c>
      <c r="E211" s="36">
        <v>1999</v>
      </c>
      <c r="F211" s="36" t="s">
        <v>1224</v>
      </c>
      <c r="G211" s="35" t="s">
        <v>382</v>
      </c>
      <c r="H211" s="35"/>
      <c r="I211" s="35" t="s">
        <v>41</v>
      </c>
      <c r="J211" s="35" t="s">
        <v>89</v>
      </c>
      <c r="K211" s="35" t="s">
        <v>161</v>
      </c>
      <c r="L211" s="35" t="s">
        <v>82</v>
      </c>
      <c r="M211" s="35" t="s">
        <v>82</v>
      </c>
      <c r="N211" s="35" t="s">
        <v>66</v>
      </c>
      <c r="O211" s="35" t="s">
        <v>292</v>
      </c>
      <c r="P211" s="35" t="s">
        <v>51</v>
      </c>
      <c r="Q211" s="35"/>
      <c r="R211" s="35" t="s">
        <v>237</v>
      </c>
      <c r="S211" s="35" t="s">
        <v>79</v>
      </c>
      <c r="T211" s="35" t="s">
        <v>56</v>
      </c>
      <c r="U211" s="36">
        <v>23</v>
      </c>
      <c r="V211" s="36" t="s">
        <v>231</v>
      </c>
      <c r="W211" s="35" t="s">
        <v>46</v>
      </c>
      <c r="X211" s="29"/>
      <c r="Y211" s="36">
        <v>4300</v>
      </c>
      <c r="Z211" s="24">
        <f t="shared" si="8"/>
        <v>465.88836310913928</v>
      </c>
      <c r="AA211" s="19" t="s">
        <v>214</v>
      </c>
      <c r="AB211" s="36"/>
      <c r="AC211" s="35">
        <v>280</v>
      </c>
      <c r="AD211" s="35">
        <v>280</v>
      </c>
      <c r="AE211" s="35" t="s">
        <v>270</v>
      </c>
      <c r="AF211" s="35" t="s">
        <v>383</v>
      </c>
      <c r="AG211" s="35"/>
      <c r="AH211" s="35" t="s">
        <v>234</v>
      </c>
      <c r="AI211" s="35" t="s">
        <v>385</v>
      </c>
      <c r="AJ211" s="35" t="s">
        <v>270</v>
      </c>
      <c r="AK211" s="35" t="s">
        <v>234</v>
      </c>
      <c r="AL211" s="35" t="s">
        <v>90</v>
      </c>
      <c r="AM211" s="35" t="s">
        <v>386</v>
      </c>
    </row>
    <row r="212" spans="1:78" s="30" customFormat="1" ht="15.95" customHeight="1" x14ac:dyDescent="0.25">
      <c r="A212" s="18"/>
      <c r="B212" s="19">
        <v>194</v>
      </c>
      <c r="C212" s="20"/>
      <c r="D212" s="36">
        <v>20727</v>
      </c>
      <c r="E212" s="36">
        <v>1999</v>
      </c>
      <c r="F212" s="36" t="s">
        <v>1224</v>
      </c>
      <c r="G212" s="35" t="s">
        <v>382</v>
      </c>
      <c r="H212" s="35"/>
      <c r="I212" s="35" t="s">
        <v>41</v>
      </c>
      <c r="J212" s="35" t="s">
        <v>89</v>
      </c>
      <c r="K212" s="35" t="s">
        <v>161</v>
      </c>
      <c r="L212" s="35" t="s">
        <v>82</v>
      </c>
      <c r="M212" s="35" t="s">
        <v>82</v>
      </c>
      <c r="N212" s="35" t="s">
        <v>66</v>
      </c>
      <c r="O212" s="35" t="s">
        <v>292</v>
      </c>
      <c r="P212" s="35" t="s">
        <v>51</v>
      </c>
      <c r="Q212" s="35"/>
      <c r="R212" s="35" t="s">
        <v>237</v>
      </c>
      <c r="S212" s="35" t="s">
        <v>79</v>
      </c>
      <c r="T212" s="35" t="s">
        <v>56</v>
      </c>
      <c r="U212" s="36">
        <v>23</v>
      </c>
      <c r="V212" s="36" t="s">
        <v>231</v>
      </c>
      <c r="W212" s="35" t="s">
        <v>46</v>
      </c>
      <c r="X212" s="29"/>
      <c r="Y212" s="36">
        <v>5000</v>
      </c>
      <c r="Z212" s="24">
        <f t="shared" si="8"/>
        <v>541.73065477806892</v>
      </c>
      <c r="AA212" s="19" t="s">
        <v>214</v>
      </c>
      <c r="AB212" s="36"/>
      <c r="AC212" s="35">
        <v>280</v>
      </c>
      <c r="AD212" s="35">
        <v>280</v>
      </c>
      <c r="AE212" s="35" t="s">
        <v>270</v>
      </c>
      <c r="AF212" s="35" t="s">
        <v>383</v>
      </c>
      <c r="AG212" s="35"/>
      <c r="AH212" s="35" t="s">
        <v>234</v>
      </c>
      <c r="AI212" s="35" t="s">
        <v>385</v>
      </c>
      <c r="AJ212" s="35" t="s">
        <v>270</v>
      </c>
      <c r="AK212" s="35" t="s">
        <v>234</v>
      </c>
      <c r="AL212" s="35" t="s">
        <v>90</v>
      </c>
      <c r="AM212" s="35" t="s">
        <v>386</v>
      </c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</row>
    <row r="213" spans="1:78" s="30" customFormat="1" ht="15.95" customHeight="1" x14ac:dyDescent="0.25">
      <c r="A213" s="18"/>
      <c r="B213" s="19">
        <v>194</v>
      </c>
      <c r="C213" s="20"/>
      <c r="D213" s="36">
        <v>20727</v>
      </c>
      <c r="E213" s="36">
        <v>1999</v>
      </c>
      <c r="F213" s="36" t="s">
        <v>1224</v>
      </c>
      <c r="G213" s="35" t="s">
        <v>382</v>
      </c>
      <c r="H213" s="35"/>
      <c r="I213" s="35" t="s">
        <v>41</v>
      </c>
      <c r="J213" s="35" t="s">
        <v>89</v>
      </c>
      <c r="K213" s="35" t="s">
        <v>161</v>
      </c>
      <c r="L213" s="35" t="s">
        <v>82</v>
      </c>
      <c r="M213" s="35" t="s">
        <v>82</v>
      </c>
      <c r="N213" s="35" t="s">
        <v>66</v>
      </c>
      <c r="O213" s="35" t="s">
        <v>292</v>
      </c>
      <c r="P213" s="35" t="s">
        <v>51</v>
      </c>
      <c r="Q213" s="35"/>
      <c r="R213" s="35" t="s">
        <v>237</v>
      </c>
      <c r="S213" s="35" t="s">
        <v>79</v>
      </c>
      <c r="T213" s="35" t="s">
        <v>56</v>
      </c>
      <c r="U213" s="36">
        <v>23</v>
      </c>
      <c r="V213" s="36" t="s">
        <v>231</v>
      </c>
      <c r="W213" s="35" t="s">
        <v>46</v>
      </c>
      <c r="X213" s="29"/>
      <c r="Y213" s="36">
        <v>5100</v>
      </c>
      <c r="Z213" s="24">
        <f t="shared" si="8"/>
        <v>552.56526787363032</v>
      </c>
      <c r="AA213" s="19" t="s">
        <v>214</v>
      </c>
      <c r="AB213" s="36"/>
      <c r="AC213" s="35">
        <v>280</v>
      </c>
      <c r="AD213" s="35">
        <v>280</v>
      </c>
      <c r="AE213" s="35" t="s">
        <v>270</v>
      </c>
      <c r="AF213" s="35" t="s">
        <v>383</v>
      </c>
      <c r="AG213" s="35"/>
      <c r="AH213" s="35" t="s">
        <v>234</v>
      </c>
      <c r="AI213" s="35" t="s">
        <v>385</v>
      </c>
      <c r="AJ213" s="35" t="s">
        <v>270</v>
      </c>
      <c r="AK213" s="35" t="s">
        <v>234</v>
      </c>
      <c r="AL213" s="35" t="s">
        <v>90</v>
      </c>
      <c r="AM213" s="35" t="s">
        <v>386</v>
      </c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</row>
    <row r="214" spans="1:78" s="30" customFormat="1" ht="15.95" customHeight="1" x14ac:dyDescent="0.25">
      <c r="A214" s="18"/>
      <c r="B214" s="19">
        <v>194</v>
      </c>
      <c r="C214" s="20"/>
      <c r="D214" s="36">
        <v>20727</v>
      </c>
      <c r="E214" s="36">
        <v>1999</v>
      </c>
      <c r="F214" s="36" t="s">
        <v>1224</v>
      </c>
      <c r="G214" s="35" t="s">
        <v>382</v>
      </c>
      <c r="H214" s="35"/>
      <c r="I214" s="35" t="s">
        <v>41</v>
      </c>
      <c r="J214" s="35" t="s">
        <v>89</v>
      </c>
      <c r="K214" s="35" t="s">
        <v>161</v>
      </c>
      <c r="L214" s="35" t="s">
        <v>82</v>
      </c>
      <c r="M214" s="35" t="s">
        <v>82</v>
      </c>
      <c r="N214" s="35" t="s">
        <v>66</v>
      </c>
      <c r="O214" s="35" t="s">
        <v>292</v>
      </c>
      <c r="P214" s="35" t="s">
        <v>51</v>
      </c>
      <c r="Q214" s="35"/>
      <c r="R214" s="35" t="s">
        <v>237</v>
      </c>
      <c r="S214" s="35" t="s">
        <v>79</v>
      </c>
      <c r="T214" s="35" t="s">
        <v>56</v>
      </c>
      <c r="U214" s="36">
        <v>23</v>
      </c>
      <c r="V214" s="36" t="s">
        <v>231</v>
      </c>
      <c r="W214" s="35" t="s">
        <v>46</v>
      </c>
      <c r="X214" s="29"/>
      <c r="Y214" s="36">
        <v>4900</v>
      </c>
      <c r="Z214" s="24">
        <f t="shared" si="8"/>
        <v>530.89604168250753</v>
      </c>
      <c r="AA214" s="19" t="s">
        <v>214</v>
      </c>
      <c r="AB214" s="36"/>
      <c r="AC214" s="35">
        <v>280</v>
      </c>
      <c r="AD214" s="35">
        <v>280</v>
      </c>
      <c r="AE214" s="35" t="s">
        <v>270</v>
      </c>
      <c r="AF214" s="35" t="s">
        <v>383</v>
      </c>
      <c r="AG214" s="35"/>
      <c r="AH214" s="35" t="s">
        <v>234</v>
      </c>
      <c r="AI214" s="35" t="s">
        <v>385</v>
      </c>
      <c r="AJ214" s="35" t="s">
        <v>270</v>
      </c>
      <c r="AK214" s="35" t="s">
        <v>234</v>
      </c>
      <c r="AL214" s="35" t="s">
        <v>90</v>
      </c>
      <c r="AM214" s="35" t="s">
        <v>386</v>
      </c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</row>
    <row r="215" spans="1:78" s="30" customFormat="1" ht="15.95" customHeight="1" x14ac:dyDescent="0.25">
      <c r="A215" s="18"/>
      <c r="B215" s="19">
        <v>194</v>
      </c>
      <c r="C215" s="20"/>
      <c r="D215" s="36">
        <v>20727</v>
      </c>
      <c r="E215" s="36">
        <v>1999</v>
      </c>
      <c r="F215" s="36" t="s">
        <v>1224</v>
      </c>
      <c r="G215" s="35" t="s">
        <v>382</v>
      </c>
      <c r="H215" s="35"/>
      <c r="I215" s="35" t="s">
        <v>41</v>
      </c>
      <c r="J215" s="35" t="s">
        <v>89</v>
      </c>
      <c r="K215" s="35" t="s">
        <v>161</v>
      </c>
      <c r="L215" s="35" t="s">
        <v>82</v>
      </c>
      <c r="M215" s="35" t="s">
        <v>82</v>
      </c>
      <c r="N215" s="35" t="s">
        <v>66</v>
      </c>
      <c r="O215" s="35" t="s">
        <v>292</v>
      </c>
      <c r="P215" s="35" t="s">
        <v>51</v>
      </c>
      <c r="Q215" s="35"/>
      <c r="R215" s="35" t="s">
        <v>237</v>
      </c>
      <c r="S215" s="35" t="s">
        <v>79</v>
      </c>
      <c r="T215" s="35" t="s">
        <v>56</v>
      </c>
      <c r="U215" s="36">
        <v>23</v>
      </c>
      <c r="V215" s="36" t="s">
        <v>231</v>
      </c>
      <c r="W215" s="35" t="s">
        <v>46</v>
      </c>
      <c r="X215" s="29"/>
      <c r="Y215" s="36">
        <v>4300</v>
      </c>
      <c r="Z215" s="24">
        <f t="shared" si="8"/>
        <v>465.88836310913928</v>
      </c>
      <c r="AA215" s="19" t="s">
        <v>214</v>
      </c>
      <c r="AB215" s="36"/>
      <c r="AC215" s="35">
        <v>280</v>
      </c>
      <c r="AD215" s="35">
        <v>280</v>
      </c>
      <c r="AE215" s="35" t="s">
        <v>270</v>
      </c>
      <c r="AF215" s="35" t="s">
        <v>383</v>
      </c>
      <c r="AG215" s="35"/>
      <c r="AH215" s="35" t="s">
        <v>234</v>
      </c>
      <c r="AI215" s="35" t="s">
        <v>385</v>
      </c>
      <c r="AJ215" s="35" t="s">
        <v>270</v>
      </c>
      <c r="AK215" s="35" t="s">
        <v>234</v>
      </c>
      <c r="AL215" s="35" t="s">
        <v>90</v>
      </c>
      <c r="AM215" s="35" t="s">
        <v>386</v>
      </c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</row>
    <row r="216" spans="1:78" s="30" customFormat="1" ht="15.95" customHeight="1" x14ac:dyDescent="0.25">
      <c r="A216" s="18"/>
      <c r="B216" s="19">
        <v>194</v>
      </c>
      <c r="C216" s="20"/>
      <c r="D216" s="36">
        <v>20727</v>
      </c>
      <c r="E216" s="36">
        <v>1999</v>
      </c>
      <c r="F216" s="36" t="s">
        <v>1224</v>
      </c>
      <c r="G216" s="35" t="s">
        <v>382</v>
      </c>
      <c r="H216" s="35"/>
      <c r="I216" s="35" t="s">
        <v>41</v>
      </c>
      <c r="J216" s="35" t="s">
        <v>89</v>
      </c>
      <c r="K216" s="35" t="s">
        <v>161</v>
      </c>
      <c r="L216" s="35" t="s">
        <v>82</v>
      </c>
      <c r="M216" s="35" t="s">
        <v>82</v>
      </c>
      <c r="N216" s="35" t="s">
        <v>66</v>
      </c>
      <c r="O216" s="35" t="s">
        <v>292</v>
      </c>
      <c r="P216" s="35" t="s">
        <v>51</v>
      </c>
      <c r="Q216" s="35"/>
      <c r="R216" s="35" t="s">
        <v>237</v>
      </c>
      <c r="S216" s="35" t="s">
        <v>79</v>
      </c>
      <c r="T216" s="35" t="s">
        <v>56</v>
      </c>
      <c r="U216" s="36">
        <v>23</v>
      </c>
      <c r="V216" s="36" t="s">
        <v>231</v>
      </c>
      <c r="W216" s="35" t="s">
        <v>46</v>
      </c>
      <c r="X216" s="29"/>
      <c r="Y216" s="36">
        <v>5400</v>
      </c>
      <c r="Z216" s="24">
        <f t="shared" si="8"/>
        <v>585.0691071603145</v>
      </c>
      <c r="AA216" s="19" t="s">
        <v>214</v>
      </c>
      <c r="AB216" s="36"/>
      <c r="AC216" s="35">
        <v>280</v>
      </c>
      <c r="AD216" s="35">
        <v>280</v>
      </c>
      <c r="AE216" s="35" t="s">
        <v>270</v>
      </c>
      <c r="AF216" s="35" t="s">
        <v>383</v>
      </c>
      <c r="AG216" s="35"/>
      <c r="AH216" s="35" t="s">
        <v>234</v>
      </c>
      <c r="AI216" s="35" t="s">
        <v>385</v>
      </c>
      <c r="AJ216" s="35" t="s">
        <v>270</v>
      </c>
      <c r="AK216" s="35" t="s">
        <v>234</v>
      </c>
      <c r="AL216" s="35" t="s">
        <v>90</v>
      </c>
      <c r="AM216" s="35" t="s">
        <v>386</v>
      </c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</row>
    <row r="217" spans="1:78" s="30" customFormat="1" ht="15.95" customHeight="1" x14ac:dyDescent="0.25">
      <c r="A217" s="18"/>
      <c r="B217" s="19">
        <v>194</v>
      </c>
      <c r="C217" s="20"/>
      <c r="D217" s="36">
        <v>20727</v>
      </c>
      <c r="E217" s="36">
        <v>1999</v>
      </c>
      <c r="F217" s="36" t="s">
        <v>1224</v>
      </c>
      <c r="G217" s="35" t="s">
        <v>382</v>
      </c>
      <c r="H217" s="35"/>
      <c r="I217" s="35" t="s">
        <v>41</v>
      </c>
      <c r="J217" s="35" t="s">
        <v>89</v>
      </c>
      <c r="K217" s="35" t="s">
        <v>161</v>
      </c>
      <c r="L217" s="35" t="s">
        <v>82</v>
      </c>
      <c r="M217" s="35" t="s">
        <v>82</v>
      </c>
      <c r="N217" s="35" t="s">
        <v>66</v>
      </c>
      <c r="O217" s="35" t="s">
        <v>292</v>
      </c>
      <c r="P217" s="35" t="s">
        <v>51</v>
      </c>
      <c r="Q217" s="35"/>
      <c r="R217" s="35" t="s">
        <v>237</v>
      </c>
      <c r="S217" s="35" t="s">
        <v>79</v>
      </c>
      <c r="T217" s="35" t="s">
        <v>56</v>
      </c>
      <c r="U217" s="36">
        <v>23</v>
      </c>
      <c r="V217" s="36" t="s">
        <v>231</v>
      </c>
      <c r="W217" s="35" t="s">
        <v>46</v>
      </c>
      <c r="X217" s="29"/>
      <c r="Y217" s="36">
        <v>3900</v>
      </c>
      <c r="Z217" s="24">
        <f t="shared" si="8"/>
        <v>422.54991072689376</v>
      </c>
      <c r="AA217" s="19" t="s">
        <v>214</v>
      </c>
      <c r="AB217" s="36"/>
      <c r="AC217" s="35">
        <v>280</v>
      </c>
      <c r="AD217" s="35">
        <v>280</v>
      </c>
      <c r="AE217" s="35" t="s">
        <v>270</v>
      </c>
      <c r="AF217" s="35" t="s">
        <v>383</v>
      </c>
      <c r="AG217" s="35"/>
      <c r="AH217" s="35" t="s">
        <v>234</v>
      </c>
      <c r="AI217" s="35" t="s">
        <v>385</v>
      </c>
      <c r="AJ217" s="35" t="s">
        <v>270</v>
      </c>
      <c r="AK217" s="35" t="s">
        <v>234</v>
      </c>
      <c r="AL217" s="35" t="s">
        <v>90</v>
      </c>
      <c r="AM217" s="35" t="s">
        <v>386</v>
      </c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</row>
    <row r="218" spans="1:78" s="30" customFormat="1" ht="15.95" customHeight="1" x14ac:dyDescent="0.25">
      <c r="A218" s="18"/>
      <c r="B218" s="19">
        <v>194</v>
      </c>
      <c r="C218" s="20"/>
      <c r="D218" s="36">
        <v>20727</v>
      </c>
      <c r="E218" s="36">
        <v>1999</v>
      </c>
      <c r="F218" s="36" t="s">
        <v>1224</v>
      </c>
      <c r="G218" s="35" t="s">
        <v>382</v>
      </c>
      <c r="H218" s="35"/>
      <c r="I218" s="35" t="s">
        <v>41</v>
      </c>
      <c r="J218" s="35" t="s">
        <v>89</v>
      </c>
      <c r="K218" s="35" t="s">
        <v>161</v>
      </c>
      <c r="L218" s="35" t="s">
        <v>82</v>
      </c>
      <c r="M218" s="35" t="s">
        <v>82</v>
      </c>
      <c r="N218" s="35" t="s">
        <v>66</v>
      </c>
      <c r="O218" s="35" t="s">
        <v>292</v>
      </c>
      <c r="P218" s="35" t="s">
        <v>51</v>
      </c>
      <c r="Q218" s="35"/>
      <c r="R218" s="35" t="s">
        <v>237</v>
      </c>
      <c r="S218" s="35" t="s">
        <v>79</v>
      </c>
      <c r="T218" s="35" t="s">
        <v>56</v>
      </c>
      <c r="U218" s="36">
        <v>23</v>
      </c>
      <c r="V218" s="36" t="s">
        <v>231</v>
      </c>
      <c r="W218" s="35" t="s">
        <v>46</v>
      </c>
      <c r="X218" s="29"/>
      <c r="Y218" s="36">
        <v>4500</v>
      </c>
      <c r="Z218" s="24">
        <f t="shared" si="8"/>
        <v>487.55758930026207</v>
      </c>
      <c r="AA218" s="19" t="s">
        <v>214</v>
      </c>
      <c r="AB218" s="36"/>
      <c r="AC218" s="35">
        <v>280</v>
      </c>
      <c r="AD218" s="35">
        <v>280</v>
      </c>
      <c r="AE218" s="35" t="s">
        <v>270</v>
      </c>
      <c r="AF218" s="35" t="s">
        <v>383</v>
      </c>
      <c r="AG218" s="35"/>
      <c r="AH218" s="35" t="s">
        <v>234</v>
      </c>
      <c r="AI218" s="35" t="s">
        <v>385</v>
      </c>
      <c r="AJ218" s="35" t="s">
        <v>270</v>
      </c>
      <c r="AK218" s="35" t="s">
        <v>234</v>
      </c>
      <c r="AL218" s="35" t="s">
        <v>90</v>
      </c>
      <c r="AM218" s="35" t="s">
        <v>386</v>
      </c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</row>
    <row r="219" spans="1:78" s="30" customFormat="1" ht="15.95" customHeight="1" x14ac:dyDescent="0.25">
      <c r="A219" s="18"/>
      <c r="B219" s="19">
        <v>194</v>
      </c>
      <c r="C219" s="20"/>
      <c r="D219" s="36">
        <v>20727</v>
      </c>
      <c r="E219" s="36">
        <v>1999</v>
      </c>
      <c r="F219" s="36" t="s">
        <v>1224</v>
      </c>
      <c r="G219" s="35" t="s">
        <v>382</v>
      </c>
      <c r="H219" s="35"/>
      <c r="I219" s="35" t="s">
        <v>41</v>
      </c>
      <c r="J219" s="35" t="s">
        <v>89</v>
      </c>
      <c r="K219" s="35" t="s">
        <v>161</v>
      </c>
      <c r="L219" s="35" t="s">
        <v>82</v>
      </c>
      <c r="M219" s="35" t="s">
        <v>82</v>
      </c>
      <c r="N219" s="35" t="s">
        <v>66</v>
      </c>
      <c r="O219" s="35" t="s">
        <v>292</v>
      </c>
      <c r="P219" s="35" t="s">
        <v>51</v>
      </c>
      <c r="Q219" s="35"/>
      <c r="R219" s="35" t="s">
        <v>237</v>
      </c>
      <c r="S219" s="35" t="s">
        <v>79</v>
      </c>
      <c r="T219" s="35" t="s">
        <v>56</v>
      </c>
      <c r="U219" s="36">
        <v>23</v>
      </c>
      <c r="V219" s="36" t="s">
        <v>231</v>
      </c>
      <c r="W219" s="35" t="s">
        <v>46</v>
      </c>
      <c r="X219" s="29"/>
      <c r="Y219" s="36">
        <v>4500</v>
      </c>
      <c r="Z219" s="24">
        <f t="shared" si="8"/>
        <v>487.55758930026207</v>
      </c>
      <c r="AA219" s="19" t="s">
        <v>214</v>
      </c>
      <c r="AB219" s="36"/>
      <c r="AC219" s="35">
        <v>280</v>
      </c>
      <c r="AD219" s="35">
        <v>280</v>
      </c>
      <c r="AE219" s="35" t="s">
        <v>270</v>
      </c>
      <c r="AF219" s="35" t="s">
        <v>383</v>
      </c>
      <c r="AG219" s="35"/>
      <c r="AH219" s="35" t="s">
        <v>234</v>
      </c>
      <c r="AI219" s="35" t="s">
        <v>385</v>
      </c>
      <c r="AJ219" s="35" t="s">
        <v>270</v>
      </c>
      <c r="AK219" s="35" t="s">
        <v>234</v>
      </c>
      <c r="AL219" s="35" t="s">
        <v>90</v>
      </c>
      <c r="AM219" s="35" t="s">
        <v>386</v>
      </c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</row>
    <row r="220" spans="1:78" s="30" customFormat="1" ht="15.95" customHeight="1" x14ac:dyDescent="0.25">
      <c r="A220" s="18"/>
      <c r="B220" s="19">
        <v>194</v>
      </c>
      <c r="C220" s="20"/>
      <c r="D220" s="36">
        <v>20727</v>
      </c>
      <c r="E220" s="36">
        <v>1999</v>
      </c>
      <c r="F220" s="36" t="s">
        <v>1224</v>
      </c>
      <c r="G220" s="35" t="s">
        <v>382</v>
      </c>
      <c r="H220" s="35"/>
      <c r="I220" s="35" t="s">
        <v>41</v>
      </c>
      <c r="J220" s="35" t="s">
        <v>89</v>
      </c>
      <c r="K220" s="35" t="s">
        <v>161</v>
      </c>
      <c r="L220" s="35" t="s">
        <v>82</v>
      </c>
      <c r="M220" s="35" t="s">
        <v>82</v>
      </c>
      <c r="N220" s="35" t="s">
        <v>66</v>
      </c>
      <c r="O220" s="35" t="s">
        <v>292</v>
      </c>
      <c r="P220" s="35" t="s">
        <v>51</v>
      </c>
      <c r="Q220" s="35"/>
      <c r="R220" s="35" t="s">
        <v>237</v>
      </c>
      <c r="S220" s="35" t="s">
        <v>79</v>
      </c>
      <c r="T220" s="35" t="s">
        <v>56</v>
      </c>
      <c r="U220" s="36">
        <v>23</v>
      </c>
      <c r="V220" s="36" t="s">
        <v>231</v>
      </c>
      <c r="W220" s="35" t="s">
        <v>46</v>
      </c>
      <c r="X220" s="29"/>
      <c r="Y220" s="36">
        <v>4300</v>
      </c>
      <c r="Z220" s="24">
        <f t="shared" si="8"/>
        <v>465.88836310913928</v>
      </c>
      <c r="AA220" s="19" t="s">
        <v>214</v>
      </c>
      <c r="AB220" s="36"/>
      <c r="AC220" s="35">
        <v>280</v>
      </c>
      <c r="AD220" s="35">
        <v>280</v>
      </c>
      <c r="AE220" s="35" t="s">
        <v>270</v>
      </c>
      <c r="AF220" s="35" t="s">
        <v>383</v>
      </c>
      <c r="AG220" s="35"/>
      <c r="AH220" s="35" t="s">
        <v>234</v>
      </c>
      <c r="AI220" s="35" t="s">
        <v>385</v>
      </c>
      <c r="AJ220" s="35" t="s">
        <v>270</v>
      </c>
      <c r="AK220" s="35" t="s">
        <v>234</v>
      </c>
      <c r="AL220" s="35" t="s">
        <v>90</v>
      </c>
      <c r="AM220" s="35" t="s">
        <v>386</v>
      </c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</row>
    <row r="221" spans="1:78" s="30" customFormat="1" ht="15.95" customHeight="1" x14ac:dyDescent="0.25">
      <c r="A221" s="18"/>
      <c r="B221" s="19">
        <v>194</v>
      </c>
      <c r="C221" s="20"/>
      <c r="D221" s="36">
        <v>20727</v>
      </c>
      <c r="E221" s="36">
        <v>1999</v>
      </c>
      <c r="F221" s="36" t="s">
        <v>1224</v>
      </c>
      <c r="G221" s="35" t="s">
        <v>382</v>
      </c>
      <c r="H221" s="35"/>
      <c r="I221" s="35" t="s">
        <v>41</v>
      </c>
      <c r="J221" s="35" t="s">
        <v>89</v>
      </c>
      <c r="K221" s="35" t="s">
        <v>161</v>
      </c>
      <c r="L221" s="35" t="s">
        <v>82</v>
      </c>
      <c r="M221" s="35" t="s">
        <v>82</v>
      </c>
      <c r="N221" s="35" t="s">
        <v>66</v>
      </c>
      <c r="O221" s="35" t="s">
        <v>292</v>
      </c>
      <c r="P221" s="35" t="s">
        <v>51</v>
      </c>
      <c r="Q221" s="35"/>
      <c r="R221" s="35" t="s">
        <v>237</v>
      </c>
      <c r="S221" s="35" t="s">
        <v>79</v>
      </c>
      <c r="T221" s="35" t="s">
        <v>56</v>
      </c>
      <c r="U221" s="36">
        <v>23</v>
      </c>
      <c r="V221" s="36" t="s">
        <v>231</v>
      </c>
      <c r="W221" s="35" t="s">
        <v>46</v>
      </c>
      <c r="X221" s="29"/>
      <c r="Y221" s="36">
        <v>4300</v>
      </c>
      <c r="Z221" s="24">
        <f t="shared" si="8"/>
        <v>465.88836310913928</v>
      </c>
      <c r="AA221" s="19" t="s">
        <v>214</v>
      </c>
      <c r="AB221" s="36"/>
      <c r="AC221" s="35">
        <v>280</v>
      </c>
      <c r="AD221" s="35">
        <v>280</v>
      </c>
      <c r="AE221" s="35" t="s">
        <v>270</v>
      </c>
      <c r="AF221" s="35" t="s">
        <v>383</v>
      </c>
      <c r="AG221" s="35"/>
      <c r="AH221" s="35" t="s">
        <v>234</v>
      </c>
      <c r="AI221" s="35" t="s">
        <v>385</v>
      </c>
      <c r="AJ221" s="35" t="s">
        <v>270</v>
      </c>
      <c r="AK221" s="35" t="s">
        <v>234</v>
      </c>
      <c r="AL221" s="35" t="s">
        <v>90</v>
      </c>
      <c r="AM221" s="35" t="s">
        <v>386</v>
      </c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</row>
    <row r="222" spans="1:78" s="30" customFormat="1" ht="15.95" customHeight="1" x14ac:dyDescent="0.25">
      <c r="A222" s="18"/>
      <c r="B222" s="19">
        <v>194</v>
      </c>
      <c r="C222" s="20"/>
      <c r="D222" s="36">
        <v>20727</v>
      </c>
      <c r="E222" s="36">
        <v>1999</v>
      </c>
      <c r="F222" s="36" t="s">
        <v>1224</v>
      </c>
      <c r="G222" s="35" t="s">
        <v>382</v>
      </c>
      <c r="H222" s="35"/>
      <c r="I222" s="35" t="s">
        <v>41</v>
      </c>
      <c r="J222" s="35" t="s">
        <v>89</v>
      </c>
      <c r="K222" s="35" t="s">
        <v>161</v>
      </c>
      <c r="L222" s="35" t="s">
        <v>82</v>
      </c>
      <c r="M222" s="35" t="s">
        <v>82</v>
      </c>
      <c r="N222" s="35" t="s">
        <v>66</v>
      </c>
      <c r="O222" s="35" t="s">
        <v>292</v>
      </c>
      <c r="P222" s="35" t="s">
        <v>51</v>
      </c>
      <c r="Q222" s="35"/>
      <c r="R222" s="35" t="s">
        <v>237</v>
      </c>
      <c r="S222" s="35" t="s">
        <v>79</v>
      </c>
      <c r="T222" s="35" t="s">
        <v>56</v>
      </c>
      <c r="U222" s="36">
        <v>23</v>
      </c>
      <c r="V222" s="36" t="s">
        <v>231</v>
      </c>
      <c r="W222" s="35" t="s">
        <v>46</v>
      </c>
      <c r="X222" s="29"/>
      <c r="Y222" s="36">
        <v>3900</v>
      </c>
      <c r="Z222" s="24">
        <f t="shared" si="8"/>
        <v>422.54991072689376</v>
      </c>
      <c r="AA222" s="19" t="s">
        <v>214</v>
      </c>
      <c r="AB222" s="36"/>
      <c r="AC222" s="35">
        <v>280</v>
      </c>
      <c r="AD222" s="35">
        <v>280</v>
      </c>
      <c r="AE222" s="35" t="s">
        <v>270</v>
      </c>
      <c r="AF222" s="35" t="s">
        <v>383</v>
      </c>
      <c r="AG222" s="35"/>
      <c r="AH222" s="35" t="s">
        <v>234</v>
      </c>
      <c r="AI222" s="35" t="s">
        <v>385</v>
      </c>
      <c r="AJ222" s="35" t="s">
        <v>270</v>
      </c>
      <c r="AK222" s="35" t="s">
        <v>234</v>
      </c>
      <c r="AL222" s="35" t="s">
        <v>90</v>
      </c>
      <c r="AM222" s="35" t="s">
        <v>386</v>
      </c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</row>
    <row r="223" spans="1:78" s="30" customFormat="1" ht="15.95" customHeight="1" x14ac:dyDescent="0.25">
      <c r="A223" s="18"/>
      <c r="B223" s="19">
        <v>194</v>
      </c>
      <c r="C223" s="20"/>
      <c r="D223" s="36">
        <v>20727</v>
      </c>
      <c r="E223" s="36">
        <v>1999</v>
      </c>
      <c r="F223" s="36" t="s">
        <v>1224</v>
      </c>
      <c r="G223" s="35" t="s">
        <v>382</v>
      </c>
      <c r="H223" s="35"/>
      <c r="I223" s="35" t="s">
        <v>41</v>
      </c>
      <c r="J223" s="35" t="s">
        <v>89</v>
      </c>
      <c r="K223" s="35" t="s">
        <v>161</v>
      </c>
      <c r="L223" s="35" t="s">
        <v>82</v>
      </c>
      <c r="M223" s="35" t="s">
        <v>82</v>
      </c>
      <c r="N223" s="35" t="s">
        <v>66</v>
      </c>
      <c r="O223" s="35" t="s">
        <v>292</v>
      </c>
      <c r="P223" s="35" t="s">
        <v>51</v>
      </c>
      <c r="Q223" s="35"/>
      <c r="R223" s="35" t="s">
        <v>237</v>
      </c>
      <c r="S223" s="35" t="s">
        <v>79</v>
      </c>
      <c r="T223" s="35" t="s">
        <v>56</v>
      </c>
      <c r="U223" s="36">
        <v>23</v>
      </c>
      <c r="V223" s="36" t="s">
        <v>231</v>
      </c>
      <c r="W223" s="35" t="s">
        <v>46</v>
      </c>
      <c r="X223" s="29"/>
      <c r="Y223" s="36">
        <v>2300</v>
      </c>
      <c r="Z223" s="24">
        <f t="shared" si="8"/>
        <v>249.1961011979117</v>
      </c>
      <c r="AA223" s="19" t="s">
        <v>214</v>
      </c>
      <c r="AB223" s="36"/>
      <c r="AC223" s="35">
        <v>280</v>
      </c>
      <c r="AD223" s="35">
        <v>280</v>
      </c>
      <c r="AE223" s="35" t="s">
        <v>270</v>
      </c>
      <c r="AF223" s="35" t="s">
        <v>383</v>
      </c>
      <c r="AG223" s="35"/>
      <c r="AH223" s="35" t="s">
        <v>234</v>
      </c>
      <c r="AI223" s="35" t="s">
        <v>385</v>
      </c>
      <c r="AJ223" s="35" t="s">
        <v>270</v>
      </c>
      <c r="AK223" s="35" t="s">
        <v>234</v>
      </c>
      <c r="AL223" s="35" t="s">
        <v>90</v>
      </c>
      <c r="AM223" s="35" t="s">
        <v>386</v>
      </c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</row>
    <row r="224" spans="1:78" s="30" customFormat="1" ht="15.95" customHeight="1" x14ac:dyDescent="0.25">
      <c r="A224" s="18"/>
      <c r="B224" s="19">
        <v>194</v>
      </c>
      <c r="C224" s="20"/>
      <c r="D224" s="36">
        <v>20727</v>
      </c>
      <c r="E224" s="36">
        <v>1999</v>
      </c>
      <c r="F224" s="36" t="s">
        <v>1224</v>
      </c>
      <c r="G224" s="35" t="s">
        <v>382</v>
      </c>
      <c r="H224" s="35"/>
      <c r="I224" s="35" t="s">
        <v>41</v>
      </c>
      <c r="J224" s="35" t="s">
        <v>89</v>
      </c>
      <c r="K224" s="35" t="s">
        <v>161</v>
      </c>
      <c r="L224" s="35" t="s">
        <v>82</v>
      </c>
      <c r="M224" s="35" t="s">
        <v>82</v>
      </c>
      <c r="N224" s="35" t="s">
        <v>66</v>
      </c>
      <c r="O224" s="35" t="s">
        <v>292</v>
      </c>
      <c r="P224" s="35" t="s">
        <v>51</v>
      </c>
      <c r="Q224" s="35"/>
      <c r="R224" s="35" t="s">
        <v>237</v>
      </c>
      <c r="S224" s="35" t="s">
        <v>79</v>
      </c>
      <c r="T224" s="35" t="s">
        <v>56</v>
      </c>
      <c r="U224" s="36">
        <v>23</v>
      </c>
      <c r="V224" s="36" t="s">
        <v>231</v>
      </c>
      <c r="W224" s="35" t="s">
        <v>46</v>
      </c>
      <c r="X224" s="29"/>
      <c r="Y224" s="36">
        <v>2500</v>
      </c>
      <c r="Z224" s="24">
        <f t="shared" si="8"/>
        <v>270.86532738903446</v>
      </c>
      <c r="AA224" s="19" t="s">
        <v>214</v>
      </c>
      <c r="AB224" s="36"/>
      <c r="AC224" s="35">
        <v>280</v>
      </c>
      <c r="AD224" s="35">
        <v>280</v>
      </c>
      <c r="AE224" s="35" t="s">
        <v>270</v>
      </c>
      <c r="AF224" s="35" t="s">
        <v>383</v>
      </c>
      <c r="AG224" s="35"/>
      <c r="AH224" s="35" t="s">
        <v>234</v>
      </c>
      <c r="AI224" s="35" t="s">
        <v>385</v>
      </c>
      <c r="AJ224" s="35" t="s">
        <v>270</v>
      </c>
      <c r="AK224" s="35" t="s">
        <v>234</v>
      </c>
      <c r="AL224" s="35" t="s">
        <v>90</v>
      </c>
      <c r="AM224" s="35" t="s">
        <v>386</v>
      </c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</row>
    <row r="225" spans="1:78" s="30" customFormat="1" ht="15.95" customHeight="1" x14ac:dyDescent="0.25">
      <c r="A225" s="18"/>
      <c r="B225" s="19">
        <v>194</v>
      </c>
      <c r="C225" s="20"/>
      <c r="D225" s="36">
        <v>20727</v>
      </c>
      <c r="E225" s="36">
        <v>1999</v>
      </c>
      <c r="F225" s="36" t="s">
        <v>1224</v>
      </c>
      <c r="G225" s="35" t="s">
        <v>382</v>
      </c>
      <c r="H225" s="35"/>
      <c r="I225" s="35" t="s">
        <v>41</v>
      </c>
      <c r="J225" s="35" t="s">
        <v>89</v>
      </c>
      <c r="K225" s="35" t="s">
        <v>161</v>
      </c>
      <c r="L225" s="35" t="s">
        <v>82</v>
      </c>
      <c r="M225" s="35" t="s">
        <v>82</v>
      </c>
      <c r="N225" s="35" t="s">
        <v>66</v>
      </c>
      <c r="O225" s="35" t="s">
        <v>292</v>
      </c>
      <c r="P225" s="35" t="s">
        <v>51</v>
      </c>
      <c r="Q225" s="35"/>
      <c r="R225" s="35" t="s">
        <v>237</v>
      </c>
      <c r="S225" s="35" t="s">
        <v>79</v>
      </c>
      <c r="T225" s="35" t="s">
        <v>56</v>
      </c>
      <c r="U225" s="36">
        <v>23</v>
      </c>
      <c r="V225" s="36" t="s">
        <v>231</v>
      </c>
      <c r="W225" s="35" t="s">
        <v>46</v>
      </c>
      <c r="X225" s="29"/>
      <c r="Y225" s="36">
        <v>3800</v>
      </c>
      <c r="Z225" s="24">
        <f t="shared" si="8"/>
        <v>411.71529763133242</v>
      </c>
      <c r="AA225" s="19" t="s">
        <v>214</v>
      </c>
      <c r="AB225" s="36"/>
      <c r="AC225" s="35">
        <v>280</v>
      </c>
      <c r="AD225" s="35">
        <v>280</v>
      </c>
      <c r="AE225" s="35" t="s">
        <v>270</v>
      </c>
      <c r="AF225" s="35" t="s">
        <v>383</v>
      </c>
      <c r="AG225" s="35"/>
      <c r="AH225" s="35" t="s">
        <v>234</v>
      </c>
      <c r="AI225" s="35" t="s">
        <v>385</v>
      </c>
      <c r="AJ225" s="35" t="s">
        <v>270</v>
      </c>
      <c r="AK225" s="35" t="s">
        <v>234</v>
      </c>
      <c r="AL225" s="35" t="s">
        <v>90</v>
      </c>
      <c r="AM225" s="35" t="s">
        <v>386</v>
      </c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  <c r="BB225" s="20"/>
      <c r="BC225" s="20"/>
      <c r="BD225" s="20"/>
      <c r="BE225" s="20"/>
      <c r="BF225" s="20"/>
      <c r="BG225" s="20"/>
      <c r="BH225" s="20"/>
      <c r="BI225" s="20"/>
      <c r="BJ225" s="20"/>
      <c r="BK225" s="20"/>
      <c r="BL225" s="20"/>
      <c r="BM225" s="20"/>
      <c r="BN225" s="20"/>
      <c r="BO225" s="20"/>
      <c r="BP225" s="20"/>
      <c r="BQ225" s="20"/>
      <c r="BR225" s="20"/>
      <c r="BS225" s="20"/>
      <c r="BT225" s="20"/>
      <c r="BU225" s="20"/>
      <c r="BV225" s="20"/>
      <c r="BW225" s="20"/>
      <c r="BX225" s="20"/>
      <c r="BY225" s="20"/>
      <c r="BZ225" s="20"/>
    </row>
    <row r="226" spans="1:78" s="30" customFormat="1" ht="15.95" customHeight="1" x14ac:dyDescent="0.25">
      <c r="A226" s="18"/>
      <c r="B226" s="19">
        <v>194</v>
      </c>
      <c r="C226" s="20"/>
      <c r="D226" s="36">
        <v>20727</v>
      </c>
      <c r="E226" s="36">
        <v>1999</v>
      </c>
      <c r="F226" s="36" t="s">
        <v>1224</v>
      </c>
      <c r="G226" s="35" t="s">
        <v>382</v>
      </c>
      <c r="H226" s="35"/>
      <c r="I226" s="35" t="s">
        <v>41</v>
      </c>
      <c r="J226" s="35" t="s">
        <v>89</v>
      </c>
      <c r="K226" s="35" t="s">
        <v>161</v>
      </c>
      <c r="L226" s="35" t="s">
        <v>82</v>
      </c>
      <c r="M226" s="35" t="s">
        <v>82</v>
      </c>
      <c r="N226" s="35" t="s">
        <v>66</v>
      </c>
      <c r="O226" s="35" t="s">
        <v>292</v>
      </c>
      <c r="P226" s="35" t="s">
        <v>51</v>
      </c>
      <c r="Q226" s="35"/>
      <c r="R226" s="35" t="s">
        <v>237</v>
      </c>
      <c r="S226" s="35" t="s">
        <v>79</v>
      </c>
      <c r="T226" s="35" t="s">
        <v>56</v>
      </c>
      <c r="U226" s="36">
        <v>23</v>
      </c>
      <c r="V226" s="36" t="s">
        <v>231</v>
      </c>
      <c r="W226" s="35" t="s">
        <v>46</v>
      </c>
      <c r="X226" s="29"/>
      <c r="Y226" s="36">
        <v>5100</v>
      </c>
      <c r="Z226" s="24">
        <f t="shared" si="8"/>
        <v>552.56526787363032</v>
      </c>
      <c r="AA226" s="19" t="s">
        <v>214</v>
      </c>
      <c r="AB226" s="36"/>
      <c r="AC226" s="35">
        <v>280</v>
      </c>
      <c r="AD226" s="35">
        <v>280</v>
      </c>
      <c r="AE226" s="35" t="s">
        <v>270</v>
      </c>
      <c r="AF226" s="35" t="s">
        <v>383</v>
      </c>
      <c r="AG226" s="35"/>
      <c r="AH226" s="35" t="s">
        <v>234</v>
      </c>
      <c r="AI226" s="35" t="s">
        <v>385</v>
      </c>
      <c r="AJ226" s="35" t="s">
        <v>270</v>
      </c>
      <c r="AK226" s="35" t="s">
        <v>234</v>
      </c>
      <c r="AL226" s="35" t="s">
        <v>90</v>
      </c>
      <c r="AM226" s="35" t="s">
        <v>386</v>
      </c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</row>
    <row r="227" spans="1:78" s="30" customFormat="1" ht="15.95" customHeight="1" x14ac:dyDescent="0.25">
      <c r="A227" s="18"/>
      <c r="B227" s="19">
        <v>194</v>
      </c>
      <c r="C227" s="20"/>
      <c r="D227" s="36">
        <v>20727</v>
      </c>
      <c r="E227" s="36">
        <v>1999</v>
      </c>
      <c r="F227" s="36" t="s">
        <v>1224</v>
      </c>
      <c r="G227" s="35" t="s">
        <v>382</v>
      </c>
      <c r="H227" s="35"/>
      <c r="I227" s="35" t="s">
        <v>41</v>
      </c>
      <c r="J227" s="35" t="s">
        <v>89</v>
      </c>
      <c r="K227" s="35" t="s">
        <v>161</v>
      </c>
      <c r="L227" s="35" t="s">
        <v>82</v>
      </c>
      <c r="M227" s="35" t="s">
        <v>82</v>
      </c>
      <c r="N227" s="35" t="s">
        <v>66</v>
      </c>
      <c r="O227" s="35" t="s">
        <v>292</v>
      </c>
      <c r="P227" s="35" t="s">
        <v>51</v>
      </c>
      <c r="Q227" s="35"/>
      <c r="R227" s="35" t="s">
        <v>237</v>
      </c>
      <c r="S227" s="35" t="s">
        <v>79</v>
      </c>
      <c r="T227" s="35" t="s">
        <v>56</v>
      </c>
      <c r="U227" s="36">
        <v>23</v>
      </c>
      <c r="V227" s="36" t="s">
        <v>231</v>
      </c>
      <c r="W227" s="35" t="s">
        <v>46</v>
      </c>
      <c r="X227" s="29"/>
      <c r="Y227" s="36">
        <v>4300</v>
      </c>
      <c r="Z227" s="24">
        <f t="shared" si="8"/>
        <v>465.88836310913928</v>
      </c>
      <c r="AA227" s="19" t="s">
        <v>214</v>
      </c>
      <c r="AB227" s="36"/>
      <c r="AC227" s="35">
        <v>280</v>
      </c>
      <c r="AD227" s="35">
        <v>280</v>
      </c>
      <c r="AE227" s="35" t="s">
        <v>270</v>
      </c>
      <c r="AF227" s="35" t="s">
        <v>383</v>
      </c>
      <c r="AG227" s="35"/>
      <c r="AH227" s="35" t="s">
        <v>234</v>
      </c>
      <c r="AI227" s="35" t="s">
        <v>385</v>
      </c>
      <c r="AJ227" s="35" t="s">
        <v>270</v>
      </c>
      <c r="AK227" s="35" t="s">
        <v>234</v>
      </c>
      <c r="AL227" s="35" t="s">
        <v>90</v>
      </c>
      <c r="AM227" s="35" t="s">
        <v>386</v>
      </c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</row>
    <row r="228" spans="1:78" s="30" customFormat="1" ht="15.95" customHeight="1" x14ac:dyDescent="0.25">
      <c r="A228" s="18"/>
      <c r="B228" s="19">
        <v>194</v>
      </c>
      <c r="C228" s="20"/>
      <c r="D228" s="36">
        <v>20727</v>
      </c>
      <c r="E228" s="36">
        <v>1999</v>
      </c>
      <c r="F228" s="36" t="s">
        <v>1224</v>
      </c>
      <c r="G228" s="35" t="s">
        <v>382</v>
      </c>
      <c r="H228" s="35"/>
      <c r="I228" s="35" t="s">
        <v>41</v>
      </c>
      <c r="J228" s="35" t="s">
        <v>89</v>
      </c>
      <c r="K228" s="35" t="s">
        <v>161</v>
      </c>
      <c r="L228" s="35" t="s">
        <v>82</v>
      </c>
      <c r="M228" s="35" t="s">
        <v>82</v>
      </c>
      <c r="N228" s="35" t="s">
        <v>66</v>
      </c>
      <c r="O228" s="35" t="s">
        <v>292</v>
      </c>
      <c r="P228" s="35" t="s">
        <v>51</v>
      </c>
      <c r="Q228" s="35"/>
      <c r="R228" s="35" t="s">
        <v>237</v>
      </c>
      <c r="S228" s="35" t="s">
        <v>79</v>
      </c>
      <c r="T228" s="35" t="s">
        <v>56</v>
      </c>
      <c r="U228" s="36">
        <v>23</v>
      </c>
      <c r="V228" s="36" t="s">
        <v>231</v>
      </c>
      <c r="W228" s="35" t="s">
        <v>46</v>
      </c>
      <c r="X228" s="29"/>
      <c r="Y228" s="36">
        <v>5100</v>
      </c>
      <c r="Z228" s="24">
        <f t="shared" si="8"/>
        <v>552.56526787363032</v>
      </c>
      <c r="AA228" s="19" t="s">
        <v>214</v>
      </c>
      <c r="AB228" s="36"/>
      <c r="AC228" s="35">
        <v>280</v>
      </c>
      <c r="AD228" s="35">
        <v>280</v>
      </c>
      <c r="AE228" s="35" t="s">
        <v>270</v>
      </c>
      <c r="AF228" s="35" t="s">
        <v>383</v>
      </c>
      <c r="AG228" s="35"/>
      <c r="AH228" s="35" t="s">
        <v>234</v>
      </c>
      <c r="AI228" s="35" t="s">
        <v>385</v>
      </c>
      <c r="AJ228" s="35" t="s">
        <v>270</v>
      </c>
      <c r="AK228" s="35" t="s">
        <v>234</v>
      </c>
      <c r="AL228" s="35" t="s">
        <v>90</v>
      </c>
      <c r="AM228" s="35" t="s">
        <v>386</v>
      </c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</row>
    <row r="229" spans="1:78" s="53" customFormat="1" ht="15.95" customHeight="1" x14ac:dyDescent="0.25">
      <c r="A229" s="46"/>
      <c r="B229" s="47"/>
      <c r="C229" s="47"/>
      <c r="D229" s="47"/>
      <c r="E229" s="48"/>
      <c r="F229" s="47"/>
      <c r="G229" s="47"/>
      <c r="H229" s="47"/>
      <c r="I229" s="49"/>
      <c r="J229" s="47"/>
      <c r="K229" s="47"/>
      <c r="L229" s="47"/>
      <c r="M229" s="47"/>
      <c r="N229" s="47"/>
      <c r="O229" s="47"/>
      <c r="P229" s="49"/>
      <c r="Q229" s="47"/>
      <c r="R229" s="47"/>
      <c r="S229" s="47"/>
      <c r="T229" s="47"/>
      <c r="U229" s="47"/>
      <c r="V229" s="47"/>
      <c r="W229" s="47"/>
      <c r="X229" s="50"/>
      <c r="Y229" s="47">
        <f>GEOMEAN(Y211:Y228)</f>
        <v>4211.3684645684089</v>
      </c>
      <c r="Z229" s="51"/>
      <c r="AA229" s="47"/>
      <c r="AB229" s="47"/>
      <c r="AC229" s="49"/>
      <c r="AD229" s="49"/>
      <c r="AE229" s="47"/>
      <c r="AF229" s="47"/>
      <c r="AG229" s="47"/>
      <c r="AH229" s="47"/>
      <c r="AI229" s="47"/>
      <c r="AJ229" s="47"/>
      <c r="AK229" s="47"/>
      <c r="AL229" s="47"/>
      <c r="AM229" s="47"/>
      <c r="AN229" s="52"/>
      <c r="AO229" s="52"/>
      <c r="AP229" s="52"/>
      <c r="AQ229" s="52"/>
      <c r="AR229" s="52"/>
      <c r="AS229" s="52"/>
      <c r="AT229" s="52"/>
      <c r="AU229" s="52"/>
      <c r="AV229" s="52"/>
      <c r="AW229" s="52"/>
      <c r="AX229" s="52"/>
      <c r="AY229" s="52"/>
      <c r="AZ229" s="52"/>
      <c r="BA229" s="52"/>
      <c r="BB229" s="52"/>
      <c r="BC229" s="52"/>
      <c r="BD229" s="52"/>
      <c r="BE229" s="52"/>
      <c r="BF229" s="52"/>
      <c r="BG229" s="52"/>
      <c r="BH229" s="52"/>
      <c r="BI229" s="52"/>
      <c r="BJ229" s="52"/>
      <c r="BK229" s="52"/>
      <c r="BL229" s="52"/>
      <c r="BM229" s="52"/>
      <c r="BN229" s="52"/>
      <c r="BO229" s="52"/>
      <c r="BP229" s="52"/>
      <c r="BQ229" s="52"/>
      <c r="BR229" s="52"/>
      <c r="BS229" s="52"/>
      <c r="BT229" s="52"/>
      <c r="BU229" s="52"/>
      <c r="BV229" s="52"/>
      <c r="BW229" s="52"/>
      <c r="BX229" s="52"/>
      <c r="BY229" s="52"/>
      <c r="BZ229" s="52"/>
    </row>
    <row r="230" spans="1:78" s="30" customFormat="1" ht="15.95" customHeight="1" x14ac:dyDescent="0.25">
      <c r="A230" s="18"/>
      <c r="B230" s="19">
        <v>194</v>
      </c>
      <c r="C230" s="20"/>
      <c r="D230" s="36">
        <v>20727</v>
      </c>
      <c r="E230" s="36">
        <v>1999</v>
      </c>
      <c r="F230" s="36" t="s">
        <v>1224</v>
      </c>
      <c r="G230" s="35" t="s">
        <v>382</v>
      </c>
      <c r="H230" s="35"/>
      <c r="I230" s="35" t="s">
        <v>41</v>
      </c>
      <c r="J230" s="35" t="s">
        <v>89</v>
      </c>
      <c r="K230" s="35" t="s">
        <v>161</v>
      </c>
      <c r="L230" s="35" t="s">
        <v>82</v>
      </c>
      <c r="M230" s="35" t="s">
        <v>82</v>
      </c>
      <c r="N230" s="35" t="s">
        <v>66</v>
      </c>
      <c r="O230" s="35" t="s">
        <v>292</v>
      </c>
      <c r="P230" s="35" t="s">
        <v>51</v>
      </c>
      <c r="Q230" s="35"/>
      <c r="R230" s="35" t="s">
        <v>237</v>
      </c>
      <c r="S230" s="35" t="s">
        <v>79</v>
      </c>
      <c r="T230" s="35" t="s">
        <v>56</v>
      </c>
      <c r="U230" s="36">
        <v>24</v>
      </c>
      <c r="V230" s="36" t="s">
        <v>231</v>
      </c>
      <c r="W230" s="35" t="s">
        <v>46</v>
      </c>
      <c r="X230" s="29"/>
      <c r="Y230" s="36">
        <v>4000</v>
      </c>
      <c r="Z230" s="24">
        <f t="shared" ref="Z230:Z254" si="9">Y230/((AC230/30)^0.995)</f>
        <v>433.38452382245515</v>
      </c>
      <c r="AA230" s="19" t="s">
        <v>214</v>
      </c>
      <c r="AB230" s="36"/>
      <c r="AC230" s="35">
        <v>280</v>
      </c>
      <c r="AD230" s="35">
        <v>280</v>
      </c>
      <c r="AE230" s="35" t="s">
        <v>270</v>
      </c>
      <c r="AF230" s="35" t="s">
        <v>383</v>
      </c>
      <c r="AG230" s="35"/>
      <c r="AH230" s="35" t="s">
        <v>234</v>
      </c>
      <c r="AI230" s="35" t="s">
        <v>385</v>
      </c>
      <c r="AJ230" s="35" t="s">
        <v>270</v>
      </c>
      <c r="AK230" s="35" t="s">
        <v>234</v>
      </c>
      <c r="AL230" s="35" t="s">
        <v>90</v>
      </c>
      <c r="AM230" s="35" t="s">
        <v>386</v>
      </c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</row>
    <row r="231" spans="1:78" s="30" customFormat="1" ht="15.95" customHeight="1" x14ac:dyDescent="0.25">
      <c r="A231" s="18"/>
      <c r="B231" s="19">
        <v>194</v>
      </c>
      <c r="C231" s="20"/>
      <c r="D231" s="36">
        <v>20727</v>
      </c>
      <c r="E231" s="36">
        <v>1999</v>
      </c>
      <c r="F231" s="36" t="s">
        <v>1224</v>
      </c>
      <c r="G231" s="35" t="s">
        <v>382</v>
      </c>
      <c r="H231" s="35"/>
      <c r="I231" s="35" t="s">
        <v>41</v>
      </c>
      <c r="J231" s="35" t="s">
        <v>89</v>
      </c>
      <c r="K231" s="35" t="s">
        <v>161</v>
      </c>
      <c r="L231" s="35" t="s">
        <v>82</v>
      </c>
      <c r="M231" s="35" t="s">
        <v>82</v>
      </c>
      <c r="N231" s="35" t="s">
        <v>66</v>
      </c>
      <c r="O231" s="35" t="s">
        <v>292</v>
      </c>
      <c r="P231" s="35" t="s">
        <v>51</v>
      </c>
      <c r="Q231" s="35"/>
      <c r="R231" s="35" t="s">
        <v>237</v>
      </c>
      <c r="S231" s="35" t="s">
        <v>79</v>
      </c>
      <c r="T231" s="35" t="s">
        <v>56</v>
      </c>
      <c r="U231" s="36">
        <v>24</v>
      </c>
      <c r="V231" s="36" t="s">
        <v>231</v>
      </c>
      <c r="W231" s="35" t="s">
        <v>46</v>
      </c>
      <c r="X231" s="29"/>
      <c r="Y231" s="36">
        <v>4000</v>
      </c>
      <c r="Z231" s="24">
        <f t="shared" si="9"/>
        <v>433.38452382245515</v>
      </c>
      <c r="AA231" s="19" t="s">
        <v>214</v>
      </c>
      <c r="AB231" s="36"/>
      <c r="AC231" s="35">
        <v>280</v>
      </c>
      <c r="AD231" s="35">
        <v>280</v>
      </c>
      <c r="AE231" s="35" t="s">
        <v>270</v>
      </c>
      <c r="AF231" s="35" t="s">
        <v>383</v>
      </c>
      <c r="AG231" s="35"/>
      <c r="AH231" s="35" t="s">
        <v>234</v>
      </c>
      <c r="AI231" s="35" t="s">
        <v>385</v>
      </c>
      <c r="AJ231" s="35" t="s">
        <v>270</v>
      </c>
      <c r="AK231" s="35" t="s">
        <v>234</v>
      </c>
      <c r="AL231" s="35" t="s">
        <v>90</v>
      </c>
      <c r="AM231" s="35" t="s">
        <v>386</v>
      </c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</row>
    <row r="232" spans="1:78" s="30" customFormat="1" ht="15.95" customHeight="1" x14ac:dyDescent="0.25">
      <c r="A232" s="18"/>
      <c r="B232" s="19">
        <v>194</v>
      </c>
      <c r="C232" s="20"/>
      <c r="D232" s="36">
        <v>20727</v>
      </c>
      <c r="E232" s="36">
        <v>1999</v>
      </c>
      <c r="F232" s="36" t="s">
        <v>1224</v>
      </c>
      <c r="G232" s="35" t="s">
        <v>382</v>
      </c>
      <c r="H232" s="35"/>
      <c r="I232" s="35" t="s">
        <v>41</v>
      </c>
      <c r="J232" s="35" t="s">
        <v>89</v>
      </c>
      <c r="K232" s="35" t="s">
        <v>161</v>
      </c>
      <c r="L232" s="35" t="s">
        <v>82</v>
      </c>
      <c r="M232" s="35" t="s">
        <v>82</v>
      </c>
      <c r="N232" s="35" t="s">
        <v>66</v>
      </c>
      <c r="O232" s="35" t="s">
        <v>292</v>
      </c>
      <c r="P232" s="35" t="s">
        <v>51</v>
      </c>
      <c r="Q232" s="35"/>
      <c r="R232" s="35" t="s">
        <v>237</v>
      </c>
      <c r="S232" s="35" t="s">
        <v>79</v>
      </c>
      <c r="T232" s="35" t="s">
        <v>56</v>
      </c>
      <c r="U232" s="36">
        <v>24</v>
      </c>
      <c r="V232" s="36" t="s">
        <v>231</v>
      </c>
      <c r="W232" s="35" t="s">
        <v>46</v>
      </c>
      <c r="X232" s="29"/>
      <c r="Y232" s="36">
        <v>3500</v>
      </c>
      <c r="Z232" s="24">
        <f t="shared" si="9"/>
        <v>379.21145834464824</v>
      </c>
      <c r="AA232" s="19" t="s">
        <v>214</v>
      </c>
      <c r="AB232" s="36"/>
      <c r="AC232" s="35">
        <v>280</v>
      </c>
      <c r="AD232" s="35">
        <v>280</v>
      </c>
      <c r="AE232" s="35" t="s">
        <v>270</v>
      </c>
      <c r="AF232" s="35" t="s">
        <v>383</v>
      </c>
      <c r="AG232" s="35"/>
      <c r="AH232" s="35" t="s">
        <v>234</v>
      </c>
      <c r="AI232" s="35" t="s">
        <v>385</v>
      </c>
      <c r="AJ232" s="35" t="s">
        <v>270</v>
      </c>
      <c r="AK232" s="35" t="s">
        <v>234</v>
      </c>
      <c r="AL232" s="35" t="s">
        <v>90</v>
      </c>
      <c r="AM232" s="35" t="s">
        <v>386</v>
      </c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</row>
    <row r="233" spans="1:78" s="30" customFormat="1" ht="15.95" customHeight="1" x14ac:dyDescent="0.25">
      <c r="A233" s="18"/>
      <c r="B233" s="19">
        <v>194</v>
      </c>
      <c r="C233" s="20"/>
      <c r="D233" s="36">
        <v>20727</v>
      </c>
      <c r="E233" s="36">
        <v>1999</v>
      </c>
      <c r="F233" s="36" t="s">
        <v>1224</v>
      </c>
      <c r="G233" s="35" t="s">
        <v>382</v>
      </c>
      <c r="H233" s="35"/>
      <c r="I233" s="35" t="s">
        <v>41</v>
      </c>
      <c r="J233" s="35" t="s">
        <v>89</v>
      </c>
      <c r="K233" s="35" t="s">
        <v>161</v>
      </c>
      <c r="L233" s="35" t="s">
        <v>82</v>
      </c>
      <c r="M233" s="35" t="s">
        <v>82</v>
      </c>
      <c r="N233" s="35" t="s">
        <v>66</v>
      </c>
      <c r="O233" s="35" t="s">
        <v>292</v>
      </c>
      <c r="P233" s="35" t="s">
        <v>51</v>
      </c>
      <c r="Q233" s="35"/>
      <c r="R233" s="35" t="s">
        <v>237</v>
      </c>
      <c r="S233" s="35" t="s">
        <v>79</v>
      </c>
      <c r="T233" s="35" t="s">
        <v>56</v>
      </c>
      <c r="U233" s="36">
        <v>24</v>
      </c>
      <c r="V233" s="36" t="s">
        <v>231</v>
      </c>
      <c r="W233" s="35" t="s">
        <v>46</v>
      </c>
      <c r="X233" s="29"/>
      <c r="Y233" s="36">
        <v>4100</v>
      </c>
      <c r="Z233" s="24">
        <f t="shared" si="9"/>
        <v>444.21913691801655</v>
      </c>
      <c r="AA233" s="19" t="s">
        <v>214</v>
      </c>
      <c r="AB233" s="36"/>
      <c r="AC233" s="35">
        <v>280</v>
      </c>
      <c r="AD233" s="35">
        <v>280</v>
      </c>
      <c r="AE233" s="35" t="s">
        <v>270</v>
      </c>
      <c r="AF233" s="35" t="s">
        <v>383</v>
      </c>
      <c r="AG233" s="35"/>
      <c r="AH233" s="35" t="s">
        <v>234</v>
      </c>
      <c r="AI233" s="35" t="s">
        <v>385</v>
      </c>
      <c r="AJ233" s="35" t="s">
        <v>270</v>
      </c>
      <c r="AK233" s="35" t="s">
        <v>234</v>
      </c>
      <c r="AL233" s="35" t="s">
        <v>90</v>
      </c>
      <c r="AM233" s="35" t="s">
        <v>386</v>
      </c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</row>
    <row r="234" spans="1:78" s="30" customFormat="1" ht="15.95" customHeight="1" x14ac:dyDescent="0.25">
      <c r="A234" s="18"/>
      <c r="B234" s="19">
        <v>194</v>
      </c>
      <c r="C234" s="20"/>
      <c r="D234" s="36">
        <v>20727</v>
      </c>
      <c r="E234" s="36">
        <v>1999</v>
      </c>
      <c r="F234" s="36" t="s">
        <v>1224</v>
      </c>
      <c r="G234" s="35" t="s">
        <v>382</v>
      </c>
      <c r="H234" s="35"/>
      <c r="I234" s="35" t="s">
        <v>41</v>
      </c>
      <c r="J234" s="35" t="s">
        <v>89</v>
      </c>
      <c r="K234" s="35" t="s">
        <v>161</v>
      </c>
      <c r="L234" s="35" t="s">
        <v>82</v>
      </c>
      <c r="M234" s="35" t="s">
        <v>82</v>
      </c>
      <c r="N234" s="35" t="s">
        <v>66</v>
      </c>
      <c r="O234" s="35" t="s">
        <v>292</v>
      </c>
      <c r="P234" s="35" t="s">
        <v>51</v>
      </c>
      <c r="Q234" s="35"/>
      <c r="R234" s="35" t="s">
        <v>237</v>
      </c>
      <c r="S234" s="35" t="s">
        <v>79</v>
      </c>
      <c r="T234" s="35" t="s">
        <v>56</v>
      </c>
      <c r="U234" s="36">
        <v>24</v>
      </c>
      <c r="V234" s="36" t="s">
        <v>231</v>
      </c>
      <c r="W234" s="35" t="s">
        <v>46</v>
      </c>
      <c r="X234" s="29"/>
      <c r="Y234" s="36">
        <v>3300</v>
      </c>
      <c r="Z234" s="24">
        <f t="shared" si="9"/>
        <v>357.5422321535255</v>
      </c>
      <c r="AA234" s="19" t="s">
        <v>214</v>
      </c>
      <c r="AB234" s="36"/>
      <c r="AC234" s="35">
        <v>280</v>
      </c>
      <c r="AD234" s="35">
        <v>280</v>
      </c>
      <c r="AE234" s="35" t="s">
        <v>270</v>
      </c>
      <c r="AF234" s="35" t="s">
        <v>383</v>
      </c>
      <c r="AG234" s="35"/>
      <c r="AH234" s="35" t="s">
        <v>234</v>
      </c>
      <c r="AI234" s="35" t="s">
        <v>385</v>
      </c>
      <c r="AJ234" s="35" t="s">
        <v>270</v>
      </c>
      <c r="AK234" s="35" t="s">
        <v>234</v>
      </c>
      <c r="AL234" s="35" t="s">
        <v>90</v>
      </c>
      <c r="AM234" s="35" t="s">
        <v>386</v>
      </c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</row>
    <row r="235" spans="1:78" s="30" customFormat="1" ht="15.95" customHeight="1" x14ac:dyDescent="0.25">
      <c r="A235" s="18"/>
      <c r="B235" s="19">
        <v>194</v>
      </c>
      <c r="C235" s="20"/>
      <c r="D235" s="36">
        <v>20727</v>
      </c>
      <c r="E235" s="36">
        <v>1999</v>
      </c>
      <c r="F235" s="36" t="s">
        <v>1224</v>
      </c>
      <c r="G235" s="35" t="s">
        <v>382</v>
      </c>
      <c r="H235" s="35"/>
      <c r="I235" s="35" t="s">
        <v>41</v>
      </c>
      <c r="J235" s="35" t="s">
        <v>89</v>
      </c>
      <c r="K235" s="35" t="s">
        <v>161</v>
      </c>
      <c r="L235" s="35" t="s">
        <v>82</v>
      </c>
      <c r="M235" s="35" t="s">
        <v>82</v>
      </c>
      <c r="N235" s="35" t="s">
        <v>66</v>
      </c>
      <c r="O235" s="35" t="s">
        <v>292</v>
      </c>
      <c r="P235" s="35" t="s">
        <v>51</v>
      </c>
      <c r="Q235" s="35"/>
      <c r="R235" s="35" t="s">
        <v>237</v>
      </c>
      <c r="S235" s="35" t="s">
        <v>79</v>
      </c>
      <c r="T235" s="35" t="s">
        <v>56</v>
      </c>
      <c r="U235" s="36">
        <v>24</v>
      </c>
      <c r="V235" s="36" t="s">
        <v>231</v>
      </c>
      <c r="W235" s="35" t="s">
        <v>46</v>
      </c>
      <c r="X235" s="29"/>
      <c r="Y235" s="36">
        <v>2300</v>
      </c>
      <c r="Z235" s="24">
        <f t="shared" si="9"/>
        <v>249.1961011979117</v>
      </c>
      <c r="AA235" s="19" t="s">
        <v>214</v>
      </c>
      <c r="AB235" s="36"/>
      <c r="AC235" s="35">
        <v>280</v>
      </c>
      <c r="AD235" s="35">
        <v>280</v>
      </c>
      <c r="AE235" s="35" t="s">
        <v>270</v>
      </c>
      <c r="AF235" s="35" t="s">
        <v>383</v>
      </c>
      <c r="AG235" s="35"/>
      <c r="AH235" s="35" t="s">
        <v>234</v>
      </c>
      <c r="AI235" s="35" t="s">
        <v>385</v>
      </c>
      <c r="AJ235" s="35" t="s">
        <v>270</v>
      </c>
      <c r="AK235" s="35" t="s">
        <v>234</v>
      </c>
      <c r="AL235" s="35" t="s">
        <v>90</v>
      </c>
      <c r="AM235" s="35" t="s">
        <v>386</v>
      </c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</row>
    <row r="236" spans="1:78" s="30" customFormat="1" ht="15.95" customHeight="1" x14ac:dyDescent="0.25">
      <c r="A236" s="18"/>
      <c r="B236" s="19">
        <v>194</v>
      </c>
      <c r="C236" s="20"/>
      <c r="D236" s="36">
        <v>20727</v>
      </c>
      <c r="E236" s="36">
        <v>1999</v>
      </c>
      <c r="F236" s="36" t="s">
        <v>1224</v>
      </c>
      <c r="G236" s="35" t="s">
        <v>382</v>
      </c>
      <c r="H236" s="35"/>
      <c r="I236" s="35" t="s">
        <v>41</v>
      </c>
      <c r="J236" s="35" t="s">
        <v>89</v>
      </c>
      <c r="K236" s="35" t="s">
        <v>161</v>
      </c>
      <c r="L236" s="35" t="s">
        <v>82</v>
      </c>
      <c r="M236" s="35" t="s">
        <v>82</v>
      </c>
      <c r="N236" s="35" t="s">
        <v>66</v>
      </c>
      <c r="O236" s="35" t="s">
        <v>292</v>
      </c>
      <c r="P236" s="35" t="s">
        <v>51</v>
      </c>
      <c r="Q236" s="35"/>
      <c r="R236" s="35" t="s">
        <v>237</v>
      </c>
      <c r="S236" s="35" t="s">
        <v>79</v>
      </c>
      <c r="T236" s="35" t="s">
        <v>56</v>
      </c>
      <c r="U236" s="36">
        <v>24</v>
      </c>
      <c r="V236" s="36" t="s">
        <v>231</v>
      </c>
      <c r="W236" s="35" t="s">
        <v>46</v>
      </c>
      <c r="X236" s="29"/>
      <c r="Y236" s="36">
        <v>3500</v>
      </c>
      <c r="Z236" s="24">
        <f t="shared" si="9"/>
        <v>379.21145834464824</v>
      </c>
      <c r="AA236" s="19" t="s">
        <v>214</v>
      </c>
      <c r="AB236" s="36"/>
      <c r="AC236" s="35">
        <v>280</v>
      </c>
      <c r="AD236" s="35">
        <v>280</v>
      </c>
      <c r="AE236" s="35" t="s">
        <v>270</v>
      </c>
      <c r="AF236" s="35" t="s">
        <v>383</v>
      </c>
      <c r="AG236" s="35"/>
      <c r="AH236" s="35" t="s">
        <v>234</v>
      </c>
      <c r="AI236" s="35" t="s">
        <v>385</v>
      </c>
      <c r="AJ236" s="35" t="s">
        <v>270</v>
      </c>
      <c r="AK236" s="35" t="s">
        <v>234</v>
      </c>
      <c r="AL236" s="35" t="s">
        <v>90</v>
      </c>
      <c r="AM236" s="35" t="s">
        <v>386</v>
      </c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</row>
    <row r="237" spans="1:78" s="30" customFormat="1" ht="15.95" customHeight="1" x14ac:dyDescent="0.25">
      <c r="A237" s="18"/>
      <c r="B237" s="19">
        <v>194</v>
      </c>
      <c r="C237" s="20"/>
      <c r="D237" s="36">
        <v>20727</v>
      </c>
      <c r="E237" s="36">
        <v>1999</v>
      </c>
      <c r="F237" s="36" t="s">
        <v>1224</v>
      </c>
      <c r="G237" s="35" t="s">
        <v>382</v>
      </c>
      <c r="H237" s="35"/>
      <c r="I237" s="35" t="s">
        <v>41</v>
      </c>
      <c r="J237" s="35" t="s">
        <v>89</v>
      </c>
      <c r="K237" s="35" t="s">
        <v>161</v>
      </c>
      <c r="L237" s="35" t="s">
        <v>82</v>
      </c>
      <c r="M237" s="35" t="s">
        <v>82</v>
      </c>
      <c r="N237" s="35" t="s">
        <v>66</v>
      </c>
      <c r="O237" s="35" t="s">
        <v>292</v>
      </c>
      <c r="P237" s="35" t="s">
        <v>51</v>
      </c>
      <c r="Q237" s="35"/>
      <c r="R237" s="35" t="s">
        <v>237</v>
      </c>
      <c r="S237" s="35" t="s">
        <v>79</v>
      </c>
      <c r="T237" s="35" t="s">
        <v>56</v>
      </c>
      <c r="U237" s="36">
        <v>24</v>
      </c>
      <c r="V237" s="36" t="s">
        <v>231</v>
      </c>
      <c r="W237" s="35" t="s">
        <v>46</v>
      </c>
      <c r="X237" s="29"/>
      <c r="Y237" s="36">
        <v>4100</v>
      </c>
      <c r="Z237" s="24">
        <f t="shared" si="9"/>
        <v>444.21913691801655</v>
      </c>
      <c r="AA237" s="19" t="s">
        <v>214</v>
      </c>
      <c r="AB237" s="36"/>
      <c r="AC237" s="35">
        <v>280</v>
      </c>
      <c r="AD237" s="35">
        <v>280</v>
      </c>
      <c r="AE237" s="35" t="s">
        <v>270</v>
      </c>
      <c r="AF237" s="35" t="s">
        <v>383</v>
      </c>
      <c r="AG237" s="35"/>
      <c r="AH237" s="35" t="s">
        <v>234</v>
      </c>
      <c r="AI237" s="35" t="s">
        <v>385</v>
      </c>
      <c r="AJ237" s="35" t="s">
        <v>270</v>
      </c>
      <c r="AK237" s="35" t="s">
        <v>234</v>
      </c>
      <c r="AL237" s="35" t="s">
        <v>90</v>
      </c>
      <c r="AM237" s="35" t="s">
        <v>386</v>
      </c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</row>
    <row r="238" spans="1:78" s="30" customFormat="1" ht="15.95" customHeight="1" x14ac:dyDescent="0.25">
      <c r="A238" s="18"/>
      <c r="B238" s="19">
        <v>194</v>
      </c>
      <c r="C238" s="20"/>
      <c r="D238" s="36">
        <v>20727</v>
      </c>
      <c r="E238" s="36">
        <v>1999</v>
      </c>
      <c r="F238" s="36" t="s">
        <v>1224</v>
      </c>
      <c r="G238" s="35" t="s">
        <v>382</v>
      </c>
      <c r="H238" s="35"/>
      <c r="I238" s="35" t="s">
        <v>41</v>
      </c>
      <c r="J238" s="35" t="s">
        <v>89</v>
      </c>
      <c r="K238" s="35" t="s">
        <v>161</v>
      </c>
      <c r="L238" s="35" t="s">
        <v>82</v>
      </c>
      <c r="M238" s="35" t="s">
        <v>82</v>
      </c>
      <c r="N238" s="35" t="s">
        <v>66</v>
      </c>
      <c r="O238" s="35" t="s">
        <v>292</v>
      </c>
      <c r="P238" s="35" t="s">
        <v>51</v>
      </c>
      <c r="Q238" s="35"/>
      <c r="R238" s="35" t="s">
        <v>237</v>
      </c>
      <c r="S238" s="35" t="s">
        <v>79</v>
      </c>
      <c r="T238" s="35" t="s">
        <v>56</v>
      </c>
      <c r="U238" s="36">
        <v>24</v>
      </c>
      <c r="V238" s="36" t="s">
        <v>231</v>
      </c>
      <c r="W238" s="35" t="s">
        <v>46</v>
      </c>
      <c r="X238" s="29"/>
      <c r="Y238" s="36">
        <v>4800</v>
      </c>
      <c r="Z238" s="24">
        <f t="shared" si="9"/>
        <v>520.06142858694614</v>
      </c>
      <c r="AA238" s="19" t="s">
        <v>214</v>
      </c>
      <c r="AB238" s="36"/>
      <c r="AC238" s="35">
        <v>280</v>
      </c>
      <c r="AD238" s="35">
        <v>280</v>
      </c>
      <c r="AE238" s="35" t="s">
        <v>270</v>
      </c>
      <c r="AF238" s="35" t="s">
        <v>383</v>
      </c>
      <c r="AG238" s="35"/>
      <c r="AH238" s="35" t="s">
        <v>234</v>
      </c>
      <c r="AI238" s="35" t="s">
        <v>385</v>
      </c>
      <c r="AJ238" s="35" t="s">
        <v>270</v>
      </c>
      <c r="AK238" s="35" t="s">
        <v>234</v>
      </c>
      <c r="AL238" s="35" t="s">
        <v>90</v>
      </c>
      <c r="AM238" s="35" t="s">
        <v>386</v>
      </c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</row>
    <row r="239" spans="1:78" s="30" customFormat="1" ht="15.95" customHeight="1" x14ac:dyDescent="0.25">
      <c r="A239" s="18"/>
      <c r="B239" s="19">
        <v>194</v>
      </c>
      <c r="C239" s="20"/>
      <c r="D239" s="36">
        <v>20727</v>
      </c>
      <c r="E239" s="36">
        <v>1999</v>
      </c>
      <c r="F239" s="36" t="s">
        <v>1224</v>
      </c>
      <c r="G239" s="35" t="s">
        <v>382</v>
      </c>
      <c r="H239" s="35"/>
      <c r="I239" s="35" t="s">
        <v>41</v>
      </c>
      <c r="J239" s="35" t="s">
        <v>89</v>
      </c>
      <c r="K239" s="35" t="s">
        <v>161</v>
      </c>
      <c r="L239" s="35" t="s">
        <v>82</v>
      </c>
      <c r="M239" s="35" t="s">
        <v>82</v>
      </c>
      <c r="N239" s="35" t="s">
        <v>66</v>
      </c>
      <c r="O239" s="35" t="s">
        <v>292</v>
      </c>
      <c r="P239" s="35" t="s">
        <v>51</v>
      </c>
      <c r="Q239" s="35"/>
      <c r="R239" s="35" t="s">
        <v>237</v>
      </c>
      <c r="S239" s="35" t="s">
        <v>79</v>
      </c>
      <c r="T239" s="35" t="s">
        <v>56</v>
      </c>
      <c r="U239" s="36">
        <v>24</v>
      </c>
      <c r="V239" s="36" t="s">
        <v>231</v>
      </c>
      <c r="W239" s="35" t="s">
        <v>46</v>
      </c>
      <c r="X239" s="29"/>
      <c r="Y239" s="36">
        <v>3700</v>
      </c>
      <c r="Z239" s="24">
        <f t="shared" si="9"/>
        <v>400.88068453577102</v>
      </c>
      <c r="AA239" s="19" t="s">
        <v>214</v>
      </c>
      <c r="AB239" s="36"/>
      <c r="AC239" s="35">
        <v>280</v>
      </c>
      <c r="AD239" s="35">
        <v>280</v>
      </c>
      <c r="AE239" s="35" t="s">
        <v>270</v>
      </c>
      <c r="AF239" s="35" t="s">
        <v>383</v>
      </c>
      <c r="AG239" s="35"/>
      <c r="AH239" s="35" t="s">
        <v>234</v>
      </c>
      <c r="AI239" s="35" t="s">
        <v>385</v>
      </c>
      <c r="AJ239" s="35" t="s">
        <v>270</v>
      </c>
      <c r="AK239" s="35" t="s">
        <v>234</v>
      </c>
      <c r="AL239" s="35" t="s">
        <v>90</v>
      </c>
      <c r="AM239" s="35" t="s">
        <v>386</v>
      </c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</row>
    <row r="240" spans="1:78" s="30" customFormat="1" ht="15.95" customHeight="1" x14ac:dyDescent="0.25">
      <c r="A240" s="18"/>
      <c r="B240" s="19">
        <v>194</v>
      </c>
      <c r="C240" s="20"/>
      <c r="D240" s="36">
        <v>20727</v>
      </c>
      <c r="E240" s="36">
        <v>1999</v>
      </c>
      <c r="F240" s="36" t="s">
        <v>1224</v>
      </c>
      <c r="G240" s="35" t="s">
        <v>382</v>
      </c>
      <c r="H240" s="35"/>
      <c r="I240" s="35" t="s">
        <v>41</v>
      </c>
      <c r="J240" s="35" t="s">
        <v>89</v>
      </c>
      <c r="K240" s="35" t="s">
        <v>161</v>
      </c>
      <c r="L240" s="35" t="s">
        <v>82</v>
      </c>
      <c r="M240" s="35" t="s">
        <v>82</v>
      </c>
      <c r="N240" s="35" t="s">
        <v>66</v>
      </c>
      <c r="O240" s="35" t="s">
        <v>292</v>
      </c>
      <c r="P240" s="35" t="s">
        <v>51</v>
      </c>
      <c r="Q240" s="35"/>
      <c r="R240" s="35" t="s">
        <v>237</v>
      </c>
      <c r="S240" s="35" t="s">
        <v>79</v>
      </c>
      <c r="T240" s="35" t="s">
        <v>56</v>
      </c>
      <c r="U240" s="36">
        <v>24</v>
      </c>
      <c r="V240" s="36" t="s">
        <v>231</v>
      </c>
      <c r="W240" s="35" t="s">
        <v>46</v>
      </c>
      <c r="X240" s="29"/>
      <c r="Y240" s="36">
        <v>4000</v>
      </c>
      <c r="Z240" s="24">
        <f t="shared" si="9"/>
        <v>433.38452382245515</v>
      </c>
      <c r="AA240" s="19" t="s">
        <v>214</v>
      </c>
      <c r="AB240" s="36"/>
      <c r="AC240" s="35">
        <v>280</v>
      </c>
      <c r="AD240" s="35">
        <v>280</v>
      </c>
      <c r="AE240" s="35" t="s">
        <v>270</v>
      </c>
      <c r="AF240" s="35" t="s">
        <v>383</v>
      </c>
      <c r="AG240" s="35"/>
      <c r="AH240" s="35" t="s">
        <v>234</v>
      </c>
      <c r="AI240" s="35" t="s">
        <v>385</v>
      </c>
      <c r="AJ240" s="35" t="s">
        <v>270</v>
      </c>
      <c r="AK240" s="35" t="s">
        <v>234</v>
      </c>
      <c r="AL240" s="35" t="s">
        <v>90</v>
      </c>
      <c r="AM240" s="35" t="s">
        <v>386</v>
      </c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</row>
    <row r="241" spans="1:78" s="30" customFormat="1" ht="15.95" customHeight="1" x14ac:dyDescent="0.25">
      <c r="A241" s="18"/>
      <c r="B241" s="19">
        <v>194</v>
      </c>
      <c r="C241" s="20"/>
      <c r="D241" s="36">
        <v>20727</v>
      </c>
      <c r="E241" s="36">
        <v>1999</v>
      </c>
      <c r="F241" s="36" t="s">
        <v>1224</v>
      </c>
      <c r="G241" s="35" t="s">
        <v>382</v>
      </c>
      <c r="H241" s="35"/>
      <c r="I241" s="35" t="s">
        <v>41</v>
      </c>
      <c r="J241" s="35" t="s">
        <v>89</v>
      </c>
      <c r="K241" s="35" t="s">
        <v>161</v>
      </c>
      <c r="L241" s="35" t="s">
        <v>82</v>
      </c>
      <c r="M241" s="35" t="s">
        <v>82</v>
      </c>
      <c r="N241" s="35" t="s">
        <v>66</v>
      </c>
      <c r="O241" s="35" t="s">
        <v>292</v>
      </c>
      <c r="P241" s="35" t="s">
        <v>51</v>
      </c>
      <c r="Q241" s="35"/>
      <c r="R241" s="35" t="s">
        <v>237</v>
      </c>
      <c r="S241" s="35" t="s">
        <v>79</v>
      </c>
      <c r="T241" s="35" t="s">
        <v>56</v>
      </c>
      <c r="U241" s="36">
        <v>24</v>
      </c>
      <c r="V241" s="36" t="s">
        <v>231</v>
      </c>
      <c r="W241" s="35" t="s">
        <v>46</v>
      </c>
      <c r="X241" s="29"/>
      <c r="Y241" s="36">
        <v>3300</v>
      </c>
      <c r="Z241" s="24">
        <f t="shared" si="9"/>
        <v>357.5422321535255</v>
      </c>
      <c r="AA241" s="19" t="s">
        <v>214</v>
      </c>
      <c r="AB241" s="36"/>
      <c r="AC241" s="35">
        <v>280</v>
      </c>
      <c r="AD241" s="35">
        <v>280</v>
      </c>
      <c r="AE241" s="35" t="s">
        <v>270</v>
      </c>
      <c r="AF241" s="35" t="s">
        <v>383</v>
      </c>
      <c r="AG241" s="35"/>
      <c r="AH241" s="35" t="s">
        <v>234</v>
      </c>
      <c r="AI241" s="35" t="s">
        <v>385</v>
      </c>
      <c r="AJ241" s="35" t="s">
        <v>270</v>
      </c>
      <c r="AK241" s="35" t="s">
        <v>234</v>
      </c>
      <c r="AL241" s="35" t="s">
        <v>90</v>
      </c>
      <c r="AM241" s="35" t="s">
        <v>386</v>
      </c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</row>
    <row r="242" spans="1:78" s="30" customFormat="1" ht="15.95" customHeight="1" x14ac:dyDescent="0.25">
      <c r="A242" s="18"/>
      <c r="B242" s="19">
        <v>194</v>
      </c>
      <c r="C242" s="20"/>
      <c r="D242" s="36">
        <v>20727</v>
      </c>
      <c r="E242" s="36">
        <v>1999</v>
      </c>
      <c r="F242" s="36" t="s">
        <v>1224</v>
      </c>
      <c r="G242" s="35" t="s">
        <v>382</v>
      </c>
      <c r="H242" s="35"/>
      <c r="I242" s="35" t="s">
        <v>41</v>
      </c>
      <c r="J242" s="35" t="s">
        <v>89</v>
      </c>
      <c r="K242" s="35" t="s">
        <v>161</v>
      </c>
      <c r="L242" s="35" t="s">
        <v>82</v>
      </c>
      <c r="M242" s="35" t="s">
        <v>82</v>
      </c>
      <c r="N242" s="35" t="s">
        <v>66</v>
      </c>
      <c r="O242" s="35" t="s">
        <v>292</v>
      </c>
      <c r="P242" s="35" t="s">
        <v>51</v>
      </c>
      <c r="Q242" s="35"/>
      <c r="R242" s="35" t="s">
        <v>237</v>
      </c>
      <c r="S242" s="35" t="s">
        <v>79</v>
      </c>
      <c r="T242" s="35" t="s">
        <v>56</v>
      </c>
      <c r="U242" s="36">
        <v>24</v>
      </c>
      <c r="V242" s="36" t="s">
        <v>231</v>
      </c>
      <c r="W242" s="35" t="s">
        <v>46</v>
      </c>
      <c r="X242" s="29"/>
      <c r="Y242" s="36">
        <v>2300</v>
      </c>
      <c r="Z242" s="24">
        <f t="shared" si="9"/>
        <v>249.1961011979117</v>
      </c>
      <c r="AA242" s="19" t="s">
        <v>214</v>
      </c>
      <c r="AB242" s="36"/>
      <c r="AC242" s="35">
        <v>280</v>
      </c>
      <c r="AD242" s="35">
        <v>280</v>
      </c>
      <c r="AE242" s="35" t="s">
        <v>270</v>
      </c>
      <c r="AF242" s="35" t="s">
        <v>383</v>
      </c>
      <c r="AG242" s="35"/>
      <c r="AH242" s="35" t="s">
        <v>234</v>
      </c>
      <c r="AI242" s="35" t="s">
        <v>385</v>
      </c>
      <c r="AJ242" s="35" t="s">
        <v>270</v>
      </c>
      <c r="AK242" s="35" t="s">
        <v>234</v>
      </c>
      <c r="AL242" s="35" t="s">
        <v>90</v>
      </c>
      <c r="AM242" s="35" t="s">
        <v>386</v>
      </c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</row>
    <row r="243" spans="1:78" s="30" customFormat="1" ht="15.95" customHeight="1" x14ac:dyDescent="0.25">
      <c r="A243" s="18"/>
      <c r="B243" s="19">
        <v>194</v>
      </c>
      <c r="C243" s="20"/>
      <c r="D243" s="36">
        <v>20727</v>
      </c>
      <c r="E243" s="36">
        <v>1999</v>
      </c>
      <c r="F243" s="36" t="s">
        <v>1224</v>
      </c>
      <c r="G243" s="35" t="s">
        <v>382</v>
      </c>
      <c r="H243" s="35"/>
      <c r="I243" s="35" t="s">
        <v>41</v>
      </c>
      <c r="J243" s="35" t="s">
        <v>89</v>
      </c>
      <c r="K243" s="35" t="s">
        <v>161</v>
      </c>
      <c r="L243" s="35" t="s">
        <v>82</v>
      </c>
      <c r="M243" s="35" t="s">
        <v>82</v>
      </c>
      <c r="N243" s="35" t="s">
        <v>66</v>
      </c>
      <c r="O243" s="35" t="s">
        <v>292</v>
      </c>
      <c r="P243" s="35" t="s">
        <v>51</v>
      </c>
      <c r="Q243" s="35"/>
      <c r="R243" s="35" t="s">
        <v>237</v>
      </c>
      <c r="S243" s="35" t="s">
        <v>79</v>
      </c>
      <c r="T243" s="35" t="s">
        <v>56</v>
      </c>
      <c r="U243" s="36">
        <v>24</v>
      </c>
      <c r="V243" s="36" t="s">
        <v>231</v>
      </c>
      <c r="W243" s="35" t="s">
        <v>46</v>
      </c>
      <c r="X243" s="29"/>
      <c r="Y243" s="36">
        <v>4300</v>
      </c>
      <c r="Z243" s="24">
        <f t="shared" si="9"/>
        <v>465.88836310913928</v>
      </c>
      <c r="AA243" s="19" t="s">
        <v>214</v>
      </c>
      <c r="AB243" s="36"/>
      <c r="AC243" s="35">
        <v>280</v>
      </c>
      <c r="AD243" s="35">
        <v>280</v>
      </c>
      <c r="AE243" s="35" t="s">
        <v>270</v>
      </c>
      <c r="AF243" s="35" t="s">
        <v>383</v>
      </c>
      <c r="AG243" s="35"/>
      <c r="AH243" s="35" t="s">
        <v>234</v>
      </c>
      <c r="AI243" s="35" t="s">
        <v>385</v>
      </c>
      <c r="AJ243" s="35" t="s">
        <v>270</v>
      </c>
      <c r="AK243" s="35" t="s">
        <v>234</v>
      </c>
      <c r="AL243" s="35" t="s">
        <v>90</v>
      </c>
      <c r="AM243" s="35" t="s">
        <v>386</v>
      </c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</row>
    <row r="244" spans="1:78" s="30" customFormat="1" ht="15.95" customHeight="1" x14ac:dyDescent="0.25">
      <c r="A244" s="18"/>
      <c r="B244" s="19">
        <v>194</v>
      </c>
      <c r="C244" s="20"/>
      <c r="D244" s="36">
        <v>20727</v>
      </c>
      <c r="E244" s="36">
        <v>1999</v>
      </c>
      <c r="F244" s="36" t="s">
        <v>1224</v>
      </c>
      <c r="G244" s="35" t="s">
        <v>382</v>
      </c>
      <c r="H244" s="35"/>
      <c r="I244" s="35" t="s">
        <v>41</v>
      </c>
      <c r="J244" s="35" t="s">
        <v>89</v>
      </c>
      <c r="K244" s="35" t="s">
        <v>161</v>
      </c>
      <c r="L244" s="35" t="s">
        <v>82</v>
      </c>
      <c r="M244" s="35" t="s">
        <v>82</v>
      </c>
      <c r="N244" s="35" t="s">
        <v>66</v>
      </c>
      <c r="O244" s="35" t="s">
        <v>292</v>
      </c>
      <c r="P244" s="35" t="s">
        <v>51</v>
      </c>
      <c r="Q244" s="35"/>
      <c r="R244" s="35" t="s">
        <v>237</v>
      </c>
      <c r="S244" s="35" t="s">
        <v>79</v>
      </c>
      <c r="T244" s="35" t="s">
        <v>56</v>
      </c>
      <c r="U244" s="36">
        <v>24</v>
      </c>
      <c r="V244" s="36" t="s">
        <v>231</v>
      </c>
      <c r="W244" s="35" t="s">
        <v>46</v>
      </c>
      <c r="X244" s="29"/>
      <c r="Y244" s="36">
        <v>4100</v>
      </c>
      <c r="Z244" s="24">
        <f t="shared" si="9"/>
        <v>444.21913691801655</v>
      </c>
      <c r="AA244" s="19" t="s">
        <v>214</v>
      </c>
      <c r="AB244" s="36"/>
      <c r="AC244" s="35">
        <v>280</v>
      </c>
      <c r="AD244" s="35">
        <v>280</v>
      </c>
      <c r="AE244" s="35" t="s">
        <v>270</v>
      </c>
      <c r="AF244" s="35" t="s">
        <v>383</v>
      </c>
      <c r="AG244" s="35"/>
      <c r="AH244" s="35" t="s">
        <v>234</v>
      </c>
      <c r="AI244" s="35" t="s">
        <v>385</v>
      </c>
      <c r="AJ244" s="35" t="s">
        <v>270</v>
      </c>
      <c r="AK244" s="35" t="s">
        <v>234</v>
      </c>
      <c r="AL244" s="35" t="s">
        <v>90</v>
      </c>
      <c r="AM244" s="35" t="s">
        <v>386</v>
      </c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</row>
    <row r="245" spans="1:78" s="30" customFormat="1" ht="15.95" customHeight="1" x14ac:dyDescent="0.25">
      <c r="A245" s="18"/>
      <c r="B245" s="19">
        <v>194</v>
      </c>
      <c r="C245" s="20"/>
      <c r="D245" s="36">
        <v>20727</v>
      </c>
      <c r="E245" s="36">
        <v>1999</v>
      </c>
      <c r="F245" s="36" t="s">
        <v>1224</v>
      </c>
      <c r="G245" s="35" t="s">
        <v>382</v>
      </c>
      <c r="H245" s="35"/>
      <c r="I245" s="35" t="s">
        <v>41</v>
      </c>
      <c r="J245" s="35" t="s">
        <v>89</v>
      </c>
      <c r="K245" s="35" t="s">
        <v>161</v>
      </c>
      <c r="L245" s="35" t="s">
        <v>82</v>
      </c>
      <c r="M245" s="35" t="s">
        <v>82</v>
      </c>
      <c r="N245" s="35" t="s">
        <v>66</v>
      </c>
      <c r="O245" s="35" t="s">
        <v>292</v>
      </c>
      <c r="P245" s="35" t="s">
        <v>51</v>
      </c>
      <c r="Q245" s="35"/>
      <c r="R245" s="35" t="s">
        <v>237</v>
      </c>
      <c r="S245" s="35" t="s">
        <v>79</v>
      </c>
      <c r="T245" s="35" t="s">
        <v>56</v>
      </c>
      <c r="U245" s="36">
        <v>24</v>
      </c>
      <c r="V245" s="36" t="s">
        <v>231</v>
      </c>
      <c r="W245" s="35" t="s">
        <v>46</v>
      </c>
      <c r="X245" s="29"/>
      <c r="Y245" s="36">
        <v>4100</v>
      </c>
      <c r="Z245" s="24">
        <f t="shared" si="9"/>
        <v>444.21913691801655</v>
      </c>
      <c r="AA245" s="19" t="s">
        <v>214</v>
      </c>
      <c r="AB245" s="36"/>
      <c r="AC245" s="35">
        <v>280</v>
      </c>
      <c r="AD245" s="35">
        <v>280</v>
      </c>
      <c r="AE245" s="35" t="s">
        <v>270</v>
      </c>
      <c r="AF245" s="35" t="s">
        <v>383</v>
      </c>
      <c r="AG245" s="35"/>
      <c r="AH245" s="35" t="s">
        <v>234</v>
      </c>
      <c r="AI245" s="35" t="s">
        <v>385</v>
      </c>
      <c r="AJ245" s="35" t="s">
        <v>270</v>
      </c>
      <c r="AK245" s="35" t="s">
        <v>234</v>
      </c>
      <c r="AL245" s="35" t="s">
        <v>90</v>
      </c>
      <c r="AM245" s="35" t="s">
        <v>386</v>
      </c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</row>
    <row r="246" spans="1:78" s="30" customFormat="1" ht="15.95" customHeight="1" x14ac:dyDescent="0.25">
      <c r="A246" s="18"/>
      <c r="B246" s="19">
        <v>194</v>
      </c>
      <c r="C246" s="20"/>
      <c r="D246" s="36">
        <v>20727</v>
      </c>
      <c r="E246" s="36">
        <v>1999</v>
      </c>
      <c r="F246" s="36" t="s">
        <v>1224</v>
      </c>
      <c r="G246" s="35" t="s">
        <v>382</v>
      </c>
      <c r="H246" s="35"/>
      <c r="I246" s="35" t="s">
        <v>41</v>
      </c>
      <c r="J246" s="35" t="s">
        <v>89</v>
      </c>
      <c r="K246" s="35" t="s">
        <v>161</v>
      </c>
      <c r="L246" s="35" t="s">
        <v>82</v>
      </c>
      <c r="M246" s="35" t="s">
        <v>82</v>
      </c>
      <c r="N246" s="35" t="s">
        <v>66</v>
      </c>
      <c r="O246" s="35" t="s">
        <v>292</v>
      </c>
      <c r="P246" s="35" t="s">
        <v>51</v>
      </c>
      <c r="Q246" s="35"/>
      <c r="R246" s="35" t="s">
        <v>237</v>
      </c>
      <c r="S246" s="35" t="s">
        <v>79</v>
      </c>
      <c r="T246" s="35" t="s">
        <v>56</v>
      </c>
      <c r="U246" s="36">
        <v>24</v>
      </c>
      <c r="V246" s="36" t="s">
        <v>231</v>
      </c>
      <c r="W246" s="35" t="s">
        <v>46</v>
      </c>
      <c r="X246" s="29"/>
      <c r="Y246" s="36">
        <v>3000</v>
      </c>
      <c r="Z246" s="24">
        <f t="shared" si="9"/>
        <v>325.03839286684138</v>
      </c>
      <c r="AA246" s="19" t="s">
        <v>214</v>
      </c>
      <c r="AB246" s="36"/>
      <c r="AC246" s="35">
        <v>280</v>
      </c>
      <c r="AD246" s="35">
        <v>280</v>
      </c>
      <c r="AE246" s="35" t="s">
        <v>270</v>
      </c>
      <c r="AF246" s="35" t="s">
        <v>383</v>
      </c>
      <c r="AG246" s="35"/>
      <c r="AH246" s="35" t="s">
        <v>234</v>
      </c>
      <c r="AI246" s="35" t="s">
        <v>385</v>
      </c>
      <c r="AJ246" s="35" t="s">
        <v>270</v>
      </c>
      <c r="AK246" s="35" t="s">
        <v>234</v>
      </c>
      <c r="AL246" s="35" t="s">
        <v>90</v>
      </c>
      <c r="AM246" s="35" t="s">
        <v>386</v>
      </c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</row>
    <row r="247" spans="1:78" s="30" customFormat="1" ht="15.95" customHeight="1" x14ac:dyDescent="0.25">
      <c r="A247" s="18"/>
      <c r="B247" s="19">
        <v>194</v>
      </c>
      <c r="C247" s="20"/>
      <c r="D247" s="36">
        <v>20727</v>
      </c>
      <c r="E247" s="36">
        <v>1999</v>
      </c>
      <c r="F247" s="36" t="s">
        <v>1224</v>
      </c>
      <c r="G247" s="35" t="s">
        <v>382</v>
      </c>
      <c r="H247" s="35"/>
      <c r="I247" s="35" t="s">
        <v>41</v>
      </c>
      <c r="J247" s="35" t="s">
        <v>89</v>
      </c>
      <c r="K247" s="35" t="s">
        <v>161</v>
      </c>
      <c r="L247" s="35" t="s">
        <v>82</v>
      </c>
      <c r="M247" s="35" t="s">
        <v>82</v>
      </c>
      <c r="N247" s="35" t="s">
        <v>66</v>
      </c>
      <c r="O247" s="35" t="s">
        <v>292</v>
      </c>
      <c r="P247" s="35" t="s">
        <v>51</v>
      </c>
      <c r="Q247" s="35"/>
      <c r="R247" s="35" t="s">
        <v>237</v>
      </c>
      <c r="S247" s="35" t="s">
        <v>79</v>
      </c>
      <c r="T247" s="35" t="s">
        <v>56</v>
      </c>
      <c r="U247" s="36">
        <v>24</v>
      </c>
      <c r="V247" s="36" t="s">
        <v>231</v>
      </c>
      <c r="W247" s="35" t="s">
        <v>46</v>
      </c>
      <c r="X247" s="29"/>
      <c r="Y247" s="36">
        <v>3100</v>
      </c>
      <c r="Z247" s="24">
        <f t="shared" si="9"/>
        <v>335.87300596240277</v>
      </c>
      <c r="AA247" s="19" t="s">
        <v>214</v>
      </c>
      <c r="AB247" s="36"/>
      <c r="AC247" s="35">
        <v>280</v>
      </c>
      <c r="AD247" s="35">
        <v>280</v>
      </c>
      <c r="AE247" s="35" t="s">
        <v>270</v>
      </c>
      <c r="AF247" s="35" t="s">
        <v>383</v>
      </c>
      <c r="AG247" s="35"/>
      <c r="AH247" s="35" t="s">
        <v>234</v>
      </c>
      <c r="AI247" s="35" t="s">
        <v>385</v>
      </c>
      <c r="AJ247" s="35" t="s">
        <v>270</v>
      </c>
      <c r="AK247" s="35" t="s">
        <v>234</v>
      </c>
      <c r="AL247" s="35" t="s">
        <v>90</v>
      </c>
      <c r="AM247" s="35" t="s">
        <v>386</v>
      </c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20"/>
      <c r="BC247" s="20"/>
      <c r="BD247" s="20"/>
      <c r="BE247" s="20"/>
      <c r="BF247" s="20"/>
      <c r="BG247" s="20"/>
      <c r="BH247" s="20"/>
      <c r="BI247" s="20"/>
      <c r="BJ247" s="20"/>
      <c r="BK247" s="20"/>
      <c r="BL247" s="20"/>
      <c r="BM247" s="20"/>
      <c r="BN247" s="20"/>
      <c r="BO247" s="20"/>
      <c r="BP247" s="20"/>
      <c r="BQ247" s="20"/>
      <c r="BR247" s="20"/>
      <c r="BS247" s="20"/>
      <c r="BT247" s="20"/>
      <c r="BU247" s="20"/>
      <c r="BV247" s="20"/>
      <c r="BW247" s="20"/>
      <c r="BX247" s="20"/>
      <c r="BY247" s="20"/>
      <c r="BZ247" s="20"/>
    </row>
    <row r="248" spans="1:78" s="30" customFormat="1" ht="15.95" customHeight="1" x14ac:dyDescent="0.25">
      <c r="A248" s="18"/>
      <c r="B248" s="19">
        <v>194</v>
      </c>
      <c r="C248" s="20"/>
      <c r="D248" s="36">
        <v>20727</v>
      </c>
      <c r="E248" s="36">
        <v>1999</v>
      </c>
      <c r="F248" s="36" t="s">
        <v>1224</v>
      </c>
      <c r="G248" s="35" t="s">
        <v>382</v>
      </c>
      <c r="H248" s="35"/>
      <c r="I248" s="35" t="s">
        <v>41</v>
      </c>
      <c r="J248" s="35" t="s">
        <v>89</v>
      </c>
      <c r="K248" s="35" t="s">
        <v>161</v>
      </c>
      <c r="L248" s="35" t="s">
        <v>82</v>
      </c>
      <c r="M248" s="35" t="s">
        <v>82</v>
      </c>
      <c r="N248" s="35" t="s">
        <v>66</v>
      </c>
      <c r="O248" s="35" t="s">
        <v>292</v>
      </c>
      <c r="P248" s="35" t="s">
        <v>51</v>
      </c>
      <c r="Q248" s="35"/>
      <c r="R248" s="35" t="s">
        <v>237</v>
      </c>
      <c r="S248" s="35" t="s">
        <v>79</v>
      </c>
      <c r="T248" s="35" t="s">
        <v>56</v>
      </c>
      <c r="U248" s="36">
        <v>24</v>
      </c>
      <c r="V248" s="36" t="s">
        <v>231</v>
      </c>
      <c r="W248" s="35" t="s">
        <v>46</v>
      </c>
      <c r="X248" s="29"/>
      <c r="Y248" s="36">
        <v>4100</v>
      </c>
      <c r="Z248" s="24">
        <f t="shared" si="9"/>
        <v>444.21913691801655</v>
      </c>
      <c r="AA248" s="19" t="s">
        <v>214</v>
      </c>
      <c r="AB248" s="36"/>
      <c r="AC248" s="35">
        <v>280</v>
      </c>
      <c r="AD248" s="35">
        <v>280</v>
      </c>
      <c r="AE248" s="35" t="s">
        <v>270</v>
      </c>
      <c r="AF248" s="35" t="s">
        <v>383</v>
      </c>
      <c r="AG248" s="35"/>
      <c r="AH248" s="35" t="s">
        <v>234</v>
      </c>
      <c r="AI248" s="35" t="s">
        <v>385</v>
      </c>
      <c r="AJ248" s="35" t="s">
        <v>270</v>
      </c>
      <c r="AK248" s="35" t="s">
        <v>234</v>
      </c>
      <c r="AL248" s="35" t="s">
        <v>90</v>
      </c>
      <c r="AM248" s="35" t="s">
        <v>386</v>
      </c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</row>
    <row r="249" spans="1:78" s="30" customFormat="1" ht="15.95" customHeight="1" x14ac:dyDescent="0.25">
      <c r="A249" s="18"/>
      <c r="B249" s="19">
        <v>194</v>
      </c>
      <c r="C249" s="20"/>
      <c r="D249" s="36">
        <v>20727</v>
      </c>
      <c r="E249" s="36">
        <v>1999</v>
      </c>
      <c r="F249" s="36" t="s">
        <v>1224</v>
      </c>
      <c r="G249" s="35" t="s">
        <v>382</v>
      </c>
      <c r="H249" s="35"/>
      <c r="I249" s="35" t="s">
        <v>41</v>
      </c>
      <c r="J249" s="35" t="s">
        <v>89</v>
      </c>
      <c r="K249" s="35" t="s">
        <v>161</v>
      </c>
      <c r="L249" s="35" t="s">
        <v>82</v>
      </c>
      <c r="M249" s="35" t="s">
        <v>82</v>
      </c>
      <c r="N249" s="35" t="s">
        <v>66</v>
      </c>
      <c r="O249" s="35" t="s">
        <v>292</v>
      </c>
      <c r="P249" s="35" t="s">
        <v>51</v>
      </c>
      <c r="Q249" s="35"/>
      <c r="R249" s="35" t="s">
        <v>237</v>
      </c>
      <c r="S249" s="35" t="s">
        <v>79</v>
      </c>
      <c r="T249" s="35" t="s">
        <v>56</v>
      </c>
      <c r="U249" s="36">
        <v>24</v>
      </c>
      <c r="V249" s="36" t="s">
        <v>231</v>
      </c>
      <c r="W249" s="35" t="s">
        <v>46</v>
      </c>
      <c r="X249" s="29"/>
      <c r="Y249" s="36">
        <v>3300</v>
      </c>
      <c r="Z249" s="24">
        <f t="shared" si="9"/>
        <v>357.5422321535255</v>
      </c>
      <c r="AA249" s="19" t="s">
        <v>214</v>
      </c>
      <c r="AB249" s="36"/>
      <c r="AC249" s="35">
        <v>280</v>
      </c>
      <c r="AD249" s="35">
        <v>280</v>
      </c>
      <c r="AE249" s="35" t="s">
        <v>270</v>
      </c>
      <c r="AF249" s="35" t="s">
        <v>383</v>
      </c>
      <c r="AG249" s="35"/>
      <c r="AH249" s="35" t="s">
        <v>234</v>
      </c>
      <c r="AI249" s="35" t="s">
        <v>385</v>
      </c>
      <c r="AJ249" s="35" t="s">
        <v>270</v>
      </c>
      <c r="AK249" s="35" t="s">
        <v>234</v>
      </c>
      <c r="AL249" s="35" t="s">
        <v>90</v>
      </c>
      <c r="AM249" s="35" t="s">
        <v>386</v>
      </c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</row>
    <row r="250" spans="1:78" s="30" customFormat="1" ht="15.95" customHeight="1" x14ac:dyDescent="0.25">
      <c r="A250" s="18"/>
      <c r="B250" s="19">
        <v>194</v>
      </c>
      <c r="C250" s="20"/>
      <c r="D250" s="36">
        <v>20727</v>
      </c>
      <c r="E250" s="36">
        <v>1999</v>
      </c>
      <c r="F250" s="36" t="s">
        <v>1224</v>
      </c>
      <c r="G250" s="35" t="s">
        <v>382</v>
      </c>
      <c r="H250" s="35"/>
      <c r="I250" s="35" t="s">
        <v>41</v>
      </c>
      <c r="J250" s="35" t="s">
        <v>89</v>
      </c>
      <c r="K250" s="35" t="s">
        <v>161</v>
      </c>
      <c r="L250" s="35" t="s">
        <v>82</v>
      </c>
      <c r="M250" s="35" t="s">
        <v>82</v>
      </c>
      <c r="N250" s="35" t="s">
        <v>66</v>
      </c>
      <c r="O250" s="35" t="s">
        <v>292</v>
      </c>
      <c r="P250" s="35" t="s">
        <v>51</v>
      </c>
      <c r="Q250" s="35"/>
      <c r="R250" s="35" t="s">
        <v>237</v>
      </c>
      <c r="S250" s="35" t="s">
        <v>79</v>
      </c>
      <c r="T250" s="35" t="s">
        <v>56</v>
      </c>
      <c r="U250" s="36">
        <v>24</v>
      </c>
      <c r="V250" s="36" t="s">
        <v>231</v>
      </c>
      <c r="W250" s="35" t="s">
        <v>46</v>
      </c>
      <c r="X250" s="29"/>
      <c r="Y250" s="36">
        <v>3500</v>
      </c>
      <c r="Z250" s="24">
        <f t="shared" si="9"/>
        <v>379.21145834464824</v>
      </c>
      <c r="AA250" s="19" t="s">
        <v>214</v>
      </c>
      <c r="AB250" s="36"/>
      <c r="AC250" s="35">
        <v>280</v>
      </c>
      <c r="AD250" s="35">
        <v>280</v>
      </c>
      <c r="AE250" s="35" t="s">
        <v>270</v>
      </c>
      <c r="AF250" s="35" t="s">
        <v>383</v>
      </c>
      <c r="AG250" s="35"/>
      <c r="AH250" s="35" t="s">
        <v>234</v>
      </c>
      <c r="AI250" s="35" t="s">
        <v>385</v>
      </c>
      <c r="AJ250" s="35" t="s">
        <v>270</v>
      </c>
      <c r="AK250" s="35" t="s">
        <v>234</v>
      </c>
      <c r="AL250" s="35" t="s">
        <v>90</v>
      </c>
      <c r="AM250" s="35" t="s">
        <v>386</v>
      </c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</row>
    <row r="251" spans="1:78" s="30" customFormat="1" ht="15.95" customHeight="1" x14ac:dyDescent="0.25">
      <c r="A251" s="18"/>
      <c r="B251" s="19">
        <v>194</v>
      </c>
      <c r="C251" s="20"/>
      <c r="D251" s="36">
        <v>20727</v>
      </c>
      <c r="E251" s="36">
        <v>1999</v>
      </c>
      <c r="F251" s="36" t="s">
        <v>1224</v>
      </c>
      <c r="G251" s="35" t="s">
        <v>382</v>
      </c>
      <c r="H251" s="35"/>
      <c r="I251" s="35" t="s">
        <v>41</v>
      </c>
      <c r="J251" s="35" t="s">
        <v>89</v>
      </c>
      <c r="K251" s="35" t="s">
        <v>161</v>
      </c>
      <c r="L251" s="35" t="s">
        <v>82</v>
      </c>
      <c r="M251" s="35" t="s">
        <v>82</v>
      </c>
      <c r="N251" s="35" t="s">
        <v>66</v>
      </c>
      <c r="O251" s="35" t="s">
        <v>292</v>
      </c>
      <c r="P251" s="35" t="s">
        <v>51</v>
      </c>
      <c r="Q251" s="35"/>
      <c r="R251" s="35" t="s">
        <v>237</v>
      </c>
      <c r="S251" s="35" t="s">
        <v>79</v>
      </c>
      <c r="T251" s="35" t="s">
        <v>56</v>
      </c>
      <c r="U251" s="36">
        <v>24</v>
      </c>
      <c r="V251" s="36" t="s">
        <v>231</v>
      </c>
      <c r="W251" s="35" t="s">
        <v>46</v>
      </c>
      <c r="X251" s="29"/>
      <c r="Y251" s="36">
        <v>3900</v>
      </c>
      <c r="Z251" s="24">
        <f t="shared" si="9"/>
        <v>422.54991072689376</v>
      </c>
      <c r="AA251" s="19" t="s">
        <v>214</v>
      </c>
      <c r="AB251" s="36"/>
      <c r="AC251" s="35">
        <v>280</v>
      </c>
      <c r="AD251" s="35">
        <v>280</v>
      </c>
      <c r="AE251" s="35" t="s">
        <v>270</v>
      </c>
      <c r="AF251" s="35" t="s">
        <v>383</v>
      </c>
      <c r="AG251" s="35"/>
      <c r="AH251" s="35" t="s">
        <v>234</v>
      </c>
      <c r="AI251" s="35" t="s">
        <v>385</v>
      </c>
      <c r="AJ251" s="35" t="s">
        <v>270</v>
      </c>
      <c r="AK251" s="35" t="s">
        <v>234</v>
      </c>
      <c r="AL251" s="35" t="s">
        <v>90</v>
      </c>
      <c r="AM251" s="35" t="s">
        <v>386</v>
      </c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</row>
    <row r="252" spans="1:78" s="30" customFormat="1" ht="15.95" customHeight="1" x14ac:dyDescent="0.25">
      <c r="A252" s="18"/>
      <c r="B252" s="19">
        <v>194</v>
      </c>
      <c r="C252" s="20"/>
      <c r="D252" s="36">
        <v>20727</v>
      </c>
      <c r="E252" s="36">
        <v>1999</v>
      </c>
      <c r="F252" s="36" t="s">
        <v>1224</v>
      </c>
      <c r="G252" s="35" t="s">
        <v>382</v>
      </c>
      <c r="H252" s="35"/>
      <c r="I252" s="35" t="s">
        <v>41</v>
      </c>
      <c r="J252" s="35" t="s">
        <v>89</v>
      </c>
      <c r="K252" s="35" t="s">
        <v>161</v>
      </c>
      <c r="L252" s="35" t="s">
        <v>82</v>
      </c>
      <c r="M252" s="35" t="s">
        <v>82</v>
      </c>
      <c r="N252" s="35" t="s">
        <v>66</v>
      </c>
      <c r="O252" s="35" t="s">
        <v>292</v>
      </c>
      <c r="P252" s="35" t="s">
        <v>51</v>
      </c>
      <c r="Q252" s="35"/>
      <c r="R252" s="35" t="s">
        <v>237</v>
      </c>
      <c r="S252" s="35" t="s">
        <v>79</v>
      </c>
      <c r="T252" s="35" t="s">
        <v>56</v>
      </c>
      <c r="U252" s="36">
        <v>24</v>
      </c>
      <c r="V252" s="36" t="s">
        <v>231</v>
      </c>
      <c r="W252" s="35" t="s">
        <v>46</v>
      </c>
      <c r="X252" s="29"/>
      <c r="Y252" s="36">
        <v>3200</v>
      </c>
      <c r="Z252" s="24">
        <f t="shared" si="9"/>
        <v>346.70761905796411</v>
      </c>
      <c r="AA252" s="19" t="s">
        <v>214</v>
      </c>
      <c r="AB252" s="36"/>
      <c r="AC252" s="35">
        <v>280</v>
      </c>
      <c r="AD252" s="35">
        <v>280</v>
      </c>
      <c r="AE252" s="35" t="s">
        <v>270</v>
      </c>
      <c r="AF252" s="35" t="s">
        <v>383</v>
      </c>
      <c r="AG252" s="35"/>
      <c r="AH252" s="35" t="s">
        <v>234</v>
      </c>
      <c r="AI252" s="35" t="s">
        <v>385</v>
      </c>
      <c r="AJ252" s="35" t="s">
        <v>270</v>
      </c>
      <c r="AK252" s="35" t="s">
        <v>234</v>
      </c>
      <c r="AL252" s="35" t="s">
        <v>90</v>
      </c>
      <c r="AM252" s="35" t="s">
        <v>386</v>
      </c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</row>
    <row r="253" spans="1:78" s="30" customFormat="1" ht="15.95" customHeight="1" x14ac:dyDescent="0.25">
      <c r="A253" s="18"/>
      <c r="B253" s="19">
        <v>194</v>
      </c>
      <c r="C253" s="20"/>
      <c r="D253" s="36">
        <v>20727</v>
      </c>
      <c r="E253" s="36">
        <v>1999</v>
      </c>
      <c r="F253" s="36" t="s">
        <v>1224</v>
      </c>
      <c r="G253" s="35" t="s">
        <v>382</v>
      </c>
      <c r="H253" s="35"/>
      <c r="I253" s="35" t="s">
        <v>41</v>
      </c>
      <c r="J253" s="35" t="s">
        <v>89</v>
      </c>
      <c r="K253" s="35" t="s">
        <v>161</v>
      </c>
      <c r="L253" s="35" t="s">
        <v>82</v>
      </c>
      <c r="M253" s="35" t="s">
        <v>82</v>
      </c>
      <c r="N253" s="35" t="s">
        <v>66</v>
      </c>
      <c r="O253" s="35" t="s">
        <v>292</v>
      </c>
      <c r="P253" s="35" t="s">
        <v>51</v>
      </c>
      <c r="Q253" s="35"/>
      <c r="R253" s="35" t="s">
        <v>237</v>
      </c>
      <c r="S253" s="35" t="s">
        <v>79</v>
      </c>
      <c r="T253" s="35" t="s">
        <v>56</v>
      </c>
      <c r="U253" s="36">
        <v>24</v>
      </c>
      <c r="V253" s="36" t="s">
        <v>231</v>
      </c>
      <c r="W253" s="35" t="s">
        <v>46</v>
      </c>
      <c r="X253" s="29"/>
      <c r="Y253" s="36">
        <v>3900</v>
      </c>
      <c r="Z253" s="24">
        <f t="shared" si="9"/>
        <v>422.54991072689376</v>
      </c>
      <c r="AA253" s="19" t="s">
        <v>214</v>
      </c>
      <c r="AB253" s="36"/>
      <c r="AC253" s="35">
        <v>280</v>
      </c>
      <c r="AD253" s="35">
        <v>280</v>
      </c>
      <c r="AE253" s="35" t="s">
        <v>270</v>
      </c>
      <c r="AF253" s="35" t="s">
        <v>383</v>
      </c>
      <c r="AG253" s="35"/>
      <c r="AH253" s="35" t="s">
        <v>234</v>
      </c>
      <c r="AI253" s="35" t="s">
        <v>385</v>
      </c>
      <c r="AJ253" s="35" t="s">
        <v>270</v>
      </c>
      <c r="AK253" s="35" t="s">
        <v>234</v>
      </c>
      <c r="AL253" s="35" t="s">
        <v>90</v>
      </c>
      <c r="AM253" s="35" t="s">
        <v>386</v>
      </c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</row>
    <row r="254" spans="1:78" s="30" customFormat="1" ht="15.95" customHeight="1" x14ac:dyDescent="0.25">
      <c r="A254" s="18"/>
      <c r="B254" s="19">
        <v>194</v>
      </c>
      <c r="C254" s="20"/>
      <c r="D254" s="36">
        <v>20727</v>
      </c>
      <c r="E254" s="36">
        <v>1999</v>
      </c>
      <c r="F254" s="36" t="s">
        <v>1224</v>
      </c>
      <c r="G254" s="35" t="s">
        <v>382</v>
      </c>
      <c r="H254" s="35"/>
      <c r="I254" s="35" t="s">
        <v>41</v>
      </c>
      <c r="J254" s="35" t="s">
        <v>89</v>
      </c>
      <c r="K254" s="35" t="s">
        <v>161</v>
      </c>
      <c r="L254" s="35" t="s">
        <v>82</v>
      </c>
      <c r="M254" s="35" t="s">
        <v>82</v>
      </c>
      <c r="N254" s="35" t="s">
        <v>66</v>
      </c>
      <c r="O254" s="35" t="s">
        <v>292</v>
      </c>
      <c r="P254" s="35" t="s">
        <v>51</v>
      </c>
      <c r="Q254" s="35"/>
      <c r="R254" s="35" t="s">
        <v>237</v>
      </c>
      <c r="S254" s="35" t="s">
        <v>79</v>
      </c>
      <c r="T254" s="35" t="s">
        <v>56</v>
      </c>
      <c r="U254" s="36">
        <v>24</v>
      </c>
      <c r="V254" s="36" t="s">
        <v>231</v>
      </c>
      <c r="W254" s="35" t="s">
        <v>46</v>
      </c>
      <c r="X254" s="29"/>
      <c r="Y254" s="36">
        <v>3300</v>
      </c>
      <c r="Z254" s="24">
        <f t="shared" si="9"/>
        <v>357.5422321535255</v>
      </c>
      <c r="AA254" s="19" t="s">
        <v>214</v>
      </c>
      <c r="AB254" s="36"/>
      <c r="AC254" s="35">
        <v>280</v>
      </c>
      <c r="AD254" s="35">
        <v>280</v>
      </c>
      <c r="AE254" s="35" t="s">
        <v>270</v>
      </c>
      <c r="AF254" s="35" t="s">
        <v>383</v>
      </c>
      <c r="AG254" s="35"/>
      <c r="AH254" s="35" t="s">
        <v>234</v>
      </c>
      <c r="AI254" s="35" t="s">
        <v>385</v>
      </c>
      <c r="AJ254" s="35" t="s">
        <v>270</v>
      </c>
      <c r="AK254" s="35" t="s">
        <v>234</v>
      </c>
      <c r="AL254" s="35" t="s">
        <v>90</v>
      </c>
      <c r="AM254" s="35" t="s">
        <v>386</v>
      </c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</row>
    <row r="255" spans="1:78" s="53" customFormat="1" ht="15.95" customHeight="1" x14ac:dyDescent="0.25">
      <c r="A255" s="46"/>
      <c r="B255" s="47"/>
      <c r="C255" s="47"/>
      <c r="D255" s="47"/>
      <c r="E255" s="48"/>
      <c r="F255" s="47"/>
      <c r="G255" s="47"/>
      <c r="H255" s="47"/>
      <c r="I255" s="49"/>
      <c r="J255" s="47"/>
      <c r="K255" s="47"/>
      <c r="L255" s="47"/>
      <c r="M255" s="47"/>
      <c r="N255" s="47"/>
      <c r="O255" s="47"/>
      <c r="P255" s="49"/>
      <c r="Q255" s="47"/>
      <c r="R255" s="47"/>
      <c r="S255" s="47"/>
      <c r="T255" s="47"/>
      <c r="U255" s="47"/>
      <c r="V255" s="47"/>
      <c r="W255" s="47"/>
      <c r="X255" s="50"/>
      <c r="Y255" s="47">
        <f>GEOMEAN(Y230:Y254)</f>
        <v>3577.1696320488959</v>
      </c>
      <c r="Z255" s="51"/>
      <c r="AA255" s="47"/>
      <c r="AB255" s="47"/>
      <c r="AC255" s="49"/>
      <c r="AD255" s="49"/>
      <c r="AE255" s="47"/>
      <c r="AF255" s="47"/>
      <c r="AG255" s="47"/>
      <c r="AH255" s="47"/>
      <c r="AI255" s="47"/>
      <c r="AJ255" s="47"/>
      <c r="AK255" s="47"/>
      <c r="AL255" s="47"/>
      <c r="AM255" s="47"/>
      <c r="AN255" s="52"/>
      <c r="AO255" s="52"/>
      <c r="AP255" s="52"/>
      <c r="AQ255" s="52"/>
      <c r="AR255" s="52"/>
      <c r="AS255" s="52"/>
      <c r="AT255" s="52"/>
      <c r="AU255" s="52"/>
      <c r="AV255" s="52"/>
      <c r="AW255" s="52"/>
      <c r="AX255" s="52"/>
      <c r="AY255" s="52"/>
      <c r="AZ255" s="52"/>
      <c r="BA255" s="52"/>
      <c r="BB255" s="52"/>
      <c r="BC255" s="52"/>
      <c r="BD255" s="52"/>
      <c r="BE255" s="52"/>
      <c r="BF255" s="52"/>
      <c r="BG255" s="52"/>
      <c r="BH255" s="52"/>
      <c r="BI255" s="52"/>
      <c r="BJ255" s="52"/>
      <c r="BK255" s="52"/>
      <c r="BL255" s="52"/>
      <c r="BM255" s="52"/>
      <c r="BN255" s="52"/>
      <c r="BO255" s="52"/>
      <c r="BP255" s="52"/>
      <c r="BQ255" s="52"/>
      <c r="BR255" s="52"/>
      <c r="BS255" s="52"/>
      <c r="BT255" s="52"/>
      <c r="BU255" s="52"/>
      <c r="BV255" s="52"/>
      <c r="BW255" s="52"/>
      <c r="BX255" s="52"/>
      <c r="BY255" s="52"/>
      <c r="BZ255" s="52"/>
    </row>
    <row r="256" spans="1:78" s="30" customFormat="1" ht="15.95" customHeight="1" x14ac:dyDescent="0.25">
      <c r="A256" s="18"/>
      <c r="B256" s="19">
        <v>194</v>
      </c>
      <c r="C256" s="20"/>
      <c r="D256" s="36">
        <v>20727</v>
      </c>
      <c r="E256" s="36">
        <v>1999</v>
      </c>
      <c r="F256" s="36" t="s">
        <v>1224</v>
      </c>
      <c r="G256" s="35" t="s">
        <v>382</v>
      </c>
      <c r="H256" s="35"/>
      <c r="I256" s="35" t="s">
        <v>41</v>
      </c>
      <c r="J256" s="35" t="s">
        <v>89</v>
      </c>
      <c r="K256" s="35" t="s">
        <v>161</v>
      </c>
      <c r="L256" s="35" t="s">
        <v>82</v>
      </c>
      <c r="M256" s="35" t="s">
        <v>82</v>
      </c>
      <c r="N256" s="35" t="s">
        <v>66</v>
      </c>
      <c r="O256" s="35" t="s">
        <v>292</v>
      </c>
      <c r="P256" s="35" t="s">
        <v>51</v>
      </c>
      <c r="Q256" s="35"/>
      <c r="R256" s="35" t="s">
        <v>237</v>
      </c>
      <c r="S256" s="35" t="s">
        <v>79</v>
      </c>
      <c r="T256" s="35" t="s">
        <v>56</v>
      </c>
      <c r="U256" s="36">
        <v>25</v>
      </c>
      <c r="V256" s="36" t="s">
        <v>231</v>
      </c>
      <c r="W256" s="35" t="s">
        <v>46</v>
      </c>
      <c r="X256" s="29"/>
      <c r="Y256" s="36">
        <v>3700</v>
      </c>
      <c r="Z256" s="24">
        <f t="shared" ref="Z256:Z290" si="10">Y256/((AC256/30)^0.995)</f>
        <v>400.88068453577102</v>
      </c>
      <c r="AA256" s="19" t="s">
        <v>214</v>
      </c>
      <c r="AB256" s="36"/>
      <c r="AC256" s="35">
        <v>280</v>
      </c>
      <c r="AD256" s="35">
        <v>280</v>
      </c>
      <c r="AE256" s="35" t="s">
        <v>270</v>
      </c>
      <c r="AF256" s="35" t="s">
        <v>383</v>
      </c>
      <c r="AG256" s="35"/>
      <c r="AH256" s="35" t="s">
        <v>234</v>
      </c>
      <c r="AI256" s="35" t="s">
        <v>385</v>
      </c>
      <c r="AJ256" s="35" t="s">
        <v>270</v>
      </c>
      <c r="AK256" s="35" t="s">
        <v>234</v>
      </c>
      <c r="AL256" s="35" t="s">
        <v>90</v>
      </c>
      <c r="AM256" s="35" t="s">
        <v>386</v>
      </c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</row>
    <row r="257" spans="1:78" s="30" customFormat="1" ht="15.95" customHeight="1" x14ac:dyDescent="0.25">
      <c r="A257" s="18"/>
      <c r="B257" s="19">
        <v>194</v>
      </c>
      <c r="C257" s="20"/>
      <c r="D257" s="36">
        <v>20727</v>
      </c>
      <c r="E257" s="36">
        <v>1999</v>
      </c>
      <c r="F257" s="36" t="s">
        <v>1224</v>
      </c>
      <c r="G257" s="35" t="s">
        <v>382</v>
      </c>
      <c r="H257" s="35"/>
      <c r="I257" s="35" t="s">
        <v>41</v>
      </c>
      <c r="J257" s="35" t="s">
        <v>89</v>
      </c>
      <c r="K257" s="35" t="s">
        <v>161</v>
      </c>
      <c r="L257" s="35" t="s">
        <v>82</v>
      </c>
      <c r="M257" s="35" t="s">
        <v>82</v>
      </c>
      <c r="N257" s="35" t="s">
        <v>66</v>
      </c>
      <c r="O257" s="35" t="s">
        <v>292</v>
      </c>
      <c r="P257" s="35" t="s">
        <v>51</v>
      </c>
      <c r="Q257" s="35"/>
      <c r="R257" s="35" t="s">
        <v>237</v>
      </c>
      <c r="S257" s="35" t="s">
        <v>79</v>
      </c>
      <c r="T257" s="35" t="s">
        <v>56</v>
      </c>
      <c r="U257" s="36">
        <v>25</v>
      </c>
      <c r="V257" s="36" t="s">
        <v>231</v>
      </c>
      <c r="W257" s="35" t="s">
        <v>46</v>
      </c>
      <c r="X257" s="29"/>
      <c r="Y257" s="36">
        <v>3000</v>
      </c>
      <c r="Z257" s="24">
        <f t="shared" si="10"/>
        <v>325.03839286684138</v>
      </c>
      <c r="AA257" s="19" t="s">
        <v>214</v>
      </c>
      <c r="AB257" s="36"/>
      <c r="AC257" s="35">
        <v>280</v>
      </c>
      <c r="AD257" s="35">
        <v>280</v>
      </c>
      <c r="AE257" s="35" t="s">
        <v>270</v>
      </c>
      <c r="AF257" s="35" t="s">
        <v>383</v>
      </c>
      <c r="AG257" s="35"/>
      <c r="AH257" s="35" t="s">
        <v>234</v>
      </c>
      <c r="AI257" s="35" t="s">
        <v>385</v>
      </c>
      <c r="AJ257" s="35" t="s">
        <v>270</v>
      </c>
      <c r="AK257" s="35" t="s">
        <v>234</v>
      </c>
      <c r="AL257" s="35" t="s">
        <v>90</v>
      </c>
      <c r="AM257" s="35" t="s">
        <v>386</v>
      </c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</row>
    <row r="258" spans="1:78" s="30" customFormat="1" ht="15.95" customHeight="1" x14ac:dyDescent="0.25">
      <c r="A258" s="18"/>
      <c r="B258" s="19">
        <v>194</v>
      </c>
      <c r="C258" s="20"/>
      <c r="D258" s="36">
        <v>20727</v>
      </c>
      <c r="E258" s="36">
        <v>1999</v>
      </c>
      <c r="F258" s="36" t="s">
        <v>1224</v>
      </c>
      <c r="G258" s="35" t="s">
        <v>382</v>
      </c>
      <c r="H258" s="35"/>
      <c r="I258" s="35" t="s">
        <v>41</v>
      </c>
      <c r="J258" s="35" t="s">
        <v>89</v>
      </c>
      <c r="K258" s="35" t="s">
        <v>161</v>
      </c>
      <c r="L258" s="35" t="s">
        <v>82</v>
      </c>
      <c r="M258" s="35" t="s">
        <v>82</v>
      </c>
      <c r="N258" s="35" t="s">
        <v>66</v>
      </c>
      <c r="O258" s="35" t="s">
        <v>292</v>
      </c>
      <c r="P258" s="35" t="s">
        <v>51</v>
      </c>
      <c r="Q258" s="35"/>
      <c r="R258" s="35" t="s">
        <v>237</v>
      </c>
      <c r="S258" s="35" t="s">
        <v>79</v>
      </c>
      <c r="T258" s="35" t="s">
        <v>56</v>
      </c>
      <c r="U258" s="36">
        <v>25</v>
      </c>
      <c r="V258" s="36" t="s">
        <v>231</v>
      </c>
      <c r="W258" s="35" t="s">
        <v>46</v>
      </c>
      <c r="X258" s="29"/>
      <c r="Y258" s="36">
        <v>3900</v>
      </c>
      <c r="Z258" s="24">
        <f t="shared" si="10"/>
        <v>422.54991072689376</v>
      </c>
      <c r="AA258" s="19" t="s">
        <v>214</v>
      </c>
      <c r="AB258" s="36"/>
      <c r="AC258" s="35">
        <v>280</v>
      </c>
      <c r="AD258" s="35">
        <v>280</v>
      </c>
      <c r="AE258" s="35" t="s">
        <v>270</v>
      </c>
      <c r="AF258" s="35" t="s">
        <v>383</v>
      </c>
      <c r="AG258" s="35"/>
      <c r="AH258" s="35" t="s">
        <v>234</v>
      </c>
      <c r="AI258" s="35" t="s">
        <v>385</v>
      </c>
      <c r="AJ258" s="35" t="s">
        <v>270</v>
      </c>
      <c r="AK258" s="35" t="s">
        <v>234</v>
      </c>
      <c r="AL258" s="35" t="s">
        <v>90</v>
      </c>
      <c r="AM258" s="35" t="s">
        <v>386</v>
      </c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20"/>
      <c r="BD258" s="20"/>
      <c r="BE258" s="20"/>
      <c r="BF258" s="20"/>
      <c r="BG258" s="20"/>
      <c r="BH258" s="20"/>
      <c r="BI258" s="20"/>
      <c r="BJ258" s="20"/>
      <c r="BK258" s="20"/>
      <c r="BL258" s="20"/>
      <c r="BM258" s="20"/>
      <c r="BN258" s="20"/>
      <c r="BO258" s="20"/>
      <c r="BP258" s="20"/>
      <c r="BQ258" s="20"/>
      <c r="BR258" s="20"/>
      <c r="BS258" s="20"/>
      <c r="BT258" s="20"/>
      <c r="BU258" s="20"/>
      <c r="BV258" s="20"/>
      <c r="BW258" s="20"/>
      <c r="BX258" s="20"/>
      <c r="BY258" s="20"/>
      <c r="BZ258" s="20"/>
    </row>
    <row r="259" spans="1:78" s="30" customFormat="1" ht="15.95" customHeight="1" x14ac:dyDescent="0.25">
      <c r="A259" s="18"/>
      <c r="B259" s="19">
        <v>194</v>
      </c>
      <c r="C259" s="20"/>
      <c r="D259" s="36">
        <v>20727</v>
      </c>
      <c r="E259" s="36">
        <v>1999</v>
      </c>
      <c r="F259" s="36" t="s">
        <v>1224</v>
      </c>
      <c r="G259" s="35" t="s">
        <v>382</v>
      </c>
      <c r="H259" s="35"/>
      <c r="I259" s="35" t="s">
        <v>41</v>
      </c>
      <c r="J259" s="35" t="s">
        <v>89</v>
      </c>
      <c r="K259" s="35" t="s">
        <v>161</v>
      </c>
      <c r="L259" s="35" t="s">
        <v>82</v>
      </c>
      <c r="M259" s="35" t="s">
        <v>82</v>
      </c>
      <c r="N259" s="35" t="s">
        <v>66</v>
      </c>
      <c r="O259" s="35" t="s">
        <v>292</v>
      </c>
      <c r="P259" s="35" t="s">
        <v>51</v>
      </c>
      <c r="Q259" s="35"/>
      <c r="R259" s="35" t="s">
        <v>237</v>
      </c>
      <c r="S259" s="35" t="s">
        <v>79</v>
      </c>
      <c r="T259" s="35" t="s">
        <v>56</v>
      </c>
      <c r="U259" s="36">
        <v>25</v>
      </c>
      <c r="V259" s="36" t="s">
        <v>231</v>
      </c>
      <c r="W259" s="35" t="s">
        <v>46</v>
      </c>
      <c r="X259" s="29"/>
      <c r="Y259" s="36">
        <v>3900</v>
      </c>
      <c r="Z259" s="24">
        <f t="shared" si="10"/>
        <v>422.54991072689376</v>
      </c>
      <c r="AA259" s="19" t="s">
        <v>214</v>
      </c>
      <c r="AB259" s="36"/>
      <c r="AC259" s="35">
        <v>280</v>
      </c>
      <c r="AD259" s="35">
        <v>280</v>
      </c>
      <c r="AE259" s="35" t="s">
        <v>270</v>
      </c>
      <c r="AF259" s="35" t="s">
        <v>383</v>
      </c>
      <c r="AG259" s="35"/>
      <c r="AH259" s="35" t="s">
        <v>234</v>
      </c>
      <c r="AI259" s="35" t="s">
        <v>385</v>
      </c>
      <c r="AJ259" s="35" t="s">
        <v>270</v>
      </c>
      <c r="AK259" s="35" t="s">
        <v>234</v>
      </c>
      <c r="AL259" s="35" t="s">
        <v>90</v>
      </c>
      <c r="AM259" s="35" t="s">
        <v>386</v>
      </c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</row>
    <row r="260" spans="1:78" s="30" customFormat="1" ht="15.95" customHeight="1" x14ac:dyDescent="0.25">
      <c r="A260" s="18"/>
      <c r="B260" s="19">
        <v>194</v>
      </c>
      <c r="C260" s="20"/>
      <c r="D260" s="36">
        <v>20727</v>
      </c>
      <c r="E260" s="36">
        <v>1999</v>
      </c>
      <c r="F260" s="36" t="s">
        <v>1224</v>
      </c>
      <c r="G260" s="35" t="s">
        <v>382</v>
      </c>
      <c r="H260" s="35"/>
      <c r="I260" s="35" t="s">
        <v>41</v>
      </c>
      <c r="J260" s="35" t="s">
        <v>89</v>
      </c>
      <c r="K260" s="35" t="s">
        <v>161</v>
      </c>
      <c r="L260" s="35" t="s">
        <v>82</v>
      </c>
      <c r="M260" s="35" t="s">
        <v>82</v>
      </c>
      <c r="N260" s="35" t="s">
        <v>66</v>
      </c>
      <c r="O260" s="35" t="s">
        <v>292</v>
      </c>
      <c r="P260" s="35" t="s">
        <v>51</v>
      </c>
      <c r="Q260" s="35"/>
      <c r="R260" s="35" t="s">
        <v>237</v>
      </c>
      <c r="S260" s="35" t="s">
        <v>79</v>
      </c>
      <c r="T260" s="35" t="s">
        <v>56</v>
      </c>
      <c r="U260" s="36">
        <v>25</v>
      </c>
      <c r="V260" s="36" t="s">
        <v>231</v>
      </c>
      <c r="W260" s="35" t="s">
        <v>46</v>
      </c>
      <c r="X260" s="29"/>
      <c r="Y260" s="36">
        <v>3100</v>
      </c>
      <c r="Z260" s="24">
        <f t="shared" si="10"/>
        <v>335.87300596240277</v>
      </c>
      <c r="AA260" s="19" t="s">
        <v>214</v>
      </c>
      <c r="AB260" s="36"/>
      <c r="AC260" s="35">
        <v>280</v>
      </c>
      <c r="AD260" s="35">
        <v>280</v>
      </c>
      <c r="AE260" s="35" t="s">
        <v>270</v>
      </c>
      <c r="AF260" s="35" t="s">
        <v>383</v>
      </c>
      <c r="AG260" s="35"/>
      <c r="AH260" s="35" t="s">
        <v>234</v>
      </c>
      <c r="AI260" s="35" t="s">
        <v>385</v>
      </c>
      <c r="AJ260" s="35" t="s">
        <v>270</v>
      </c>
      <c r="AK260" s="35" t="s">
        <v>234</v>
      </c>
      <c r="AL260" s="35" t="s">
        <v>90</v>
      </c>
      <c r="AM260" s="35" t="s">
        <v>386</v>
      </c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</row>
    <row r="261" spans="1:78" s="30" customFormat="1" ht="15.95" customHeight="1" x14ac:dyDescent="0.25">
      <c r="A261" s="18"/>
      <c r="B261" s="19">
        <v>194</v>
      </c>
      <c r="C261" s="20"/>
      <c r="D261" s="36">
        <v>20727</v>
      </c>
      <c r="E261" s="36">
        <v>1999</v>
      </c>
      <c r="F261" s="36" t="s">
        <v>1224</v>
      </c>
      <c r="G261" s="35" t="s">
        <v>382</v>
      </c>
      <c r="H261" s="35"/>
      <c r="I261" s="35" t="s">
        <v>41</v>
      </c>
      <c r="J261" s="35" t="s">
        <v>89</v>
      </c>
      <c r="K261" s="35" t="s">
        <v>161</v>
      </c>
      <c r="L261" s="35" t="s">
        <v>82</v>
      </c>
      <c r="M261" s="35" t="s">
        <v>82</v>
      </c>
      <c r="N261" s="35" t="s">
        <v>66</v>
      </c>
      <c r="O261" s="35" t="s">
        <v>292</v>
      </c>
      <c r="P261" s="35" t="s">
        <v>51</v>
      </c>
      <c r="Q261" s="35"/>
      <c r="R261" s="35" t="s">
        <v>237</v>
      </c>
      <c r="S261" s="35" t="s">
        <v>79</v>
      </c>
      <c r="T261" s="35" t="s">
        <v>56</v>
      </c>
      <c r="U261" s="36">
        <v>25</v>
      </c>
      <c r="V261" s="36" t="s">
        <v>231</v>
      </c>
      <c r="W261" s="35" t="s">
        <v>46</v>
      </c>
      <c r="X261" s="29"/>
      <c r="Y261" s="36">
        <v>3900</v>
      </c>
      <c r="Z261" s="24">
        <f t="shared" si="10"/>
        <v>422.54991072689376</v>
      </c>
      <c r="AA261" s="19" t="s">
        <v>214</v>
      </c>
      <c r="AB261" s="36"/>
      <c r="AC261" s="35">
        <v>280</v>
      </c>
      <c r="AD261" s="35">
        <v>280</v>
      </c>
      <c r="AE261" s="35" t="s">
        <v>270</v>
      </c>
      <c r="AF261" s="35" t="s">
        <v>383</v>
      </c>
      <c r="AG261" s="35"/>
      <c r="AH261" s="35" t="s">
        <v>234</v>
      </c>
      <c r="AI261" s="35" t="s">
        <v>385</v>
      </c>
      <c r="AJ261" s="35" t="s">
        <v>270</v>
      </c>
      <c r="AK261" s="35" t="s">
        <v>234</v>
      </c>
      <c r="AL261" s="35" t="s">
        <v>90</v>
      </c>
      <c r="AM261" s="35" t="s">
        <v>386</v>
      </c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</row>
    <row r="262" spans="1:78" s="30" customFormat="1" ht="15.95" customHeight="1" x14ac:dyDescent="0.25">
      <c r="A262" s="18"/>
      <c r="B262" s="19">
        <v>194</v>
      </c>
      <c r="C262" s="20"/>
      <c r="D262" s="36">
        <v>20727</v>
      </c>
      <c r="E262" s="36">
        <v>1999</v>
      </c>
      <c r="F262" s="36" t="s">
        <v>1224</v>
      </c>
      <c r="G262" s="35" t="s">
        <v>382</v>
      </c>
      <c r="H262" s="35"/>
      <c r="I262" s="35" t="s">
        <v>41</v>
      </c>
      <c r="J262" s="35" t="s">
        <v>89</v>
      </c>
      <c r="K262" s="35" t="s">
        <v>161</v>
      </c>
      <c r="L262" s="35" t="s">
        <v>82</v>
      </c>
      <c r="M262" s="35" t="s">
        <v>82</v>
      </c>
      <c r="N262" s="35" t="s">
        <v>66</v>
      </c>
      <c r="O262" s="35" t="s">
        <v>292</v>
      </c>
      <c r="P262" s="35" t="s">
        <v>51</v>
      </c>
      <c r="Q262" s="35"/>
      <c r="R262" s="35" t="s">
        <v>237</v>
      </c>
      <c r="S262" s="35" t="s">
        <v>79</v>
      </c>
      <c r="T262" s="35" t="s">
        <v>56</v>
      </c>
      <c r="U262" s="36">
        <v>25</v>
      </c>
      <c r="V262" s="36" t="s">
        <v>231</v>
      </c>
      <c r="W262" s="35" t="s">
        <v>46</v>
      </c>
      <c r="X262" s="29"/>
      <c r="Y262" s="36" t="s">
        <v>389</v>
      </c>
      <c r="Z262" s="24" t="e">
        <f t="shared" si="10"/>
        <v>#VALUE!</v>
      </c>
      <c r="AA262" s="19" t="s">
        <v>214</v>
      </c>
      <c r="AB262" s="36"/>
      <c r="AC262" s="35">
        <v>280</v>
      </c>
      <c r="AD262" s="35">
        <v>280</v>
      </c>
      <c r="AE262" s="35" t="s">
        <v>270</v>
      </c>
      <c r="AF262" s="35" t="s">
        <v>383</v>
      </c>
      <c r="AG262" s="35"/>
      <c r="AH262" s="35" t="s">
        <v>234</v>
      </c>
      <c r="AI262" s="35" t="s">
        <v>385</v>
      </c>
      <c r="AJ262" s="35" t="s">
        <v>270</v>
      </c>
      <c r="AK262" s="35" t="s">
        <v>234</v>
      </c>
      <c r="AL262" s="35" t="s">
        <v>90</v>
      </c>
      <c r="AM262" s="35" t="s">
        <v>386</v>
      </c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</row>
    <row r="263" spans="1:78" s="30" customFormat="1" ht="15.95" customHeight="1" x14ac:dyDescent="0.25">
      <c r="A263" s="18"/>
      <c r="B263" s="19">
        <v>194</v>
      </c>
      <c r="C263" s="20"/>
      <c r="D263" s="36">
        <v>20727</v>
      </c>
      <c r="E263" s="36">
        <v>1999</v>
      </c>
      <c r="F263" s="36" t="s">
        <v>1224</v>
      </c>
      <c r="G263" s="35" t="s">
        <v>382</v>
      </c>
      <c r="H263" s="35"/>
      <c r="I263" s="35" t="s">
        <v>41</v>
      </c>
      <c r="J263" s="35" t="s">
        <v>89</v>
      </c>
      <c r="K263" s="35" t="s">
        <v>161</v>
      </c>
      <c r="L263" s="35" t="s">
        <v>82</v>
      </c>
      <c r="M263" s="35" t="s">
        <v>82</v>
      </c>
      <c r="N263" s="35" t="s">
        <v>66</v>
      </c>
      <c r="O263" s="35" t="s">
        <v>292</v>
      </c>
      <c r="P263" s="35" t="s">
        <v>51</v>
      </c>
      <c r="Q263" s="35"/>
      <c r="R263" s="35" t="s">
        <v>237</v>
      </c>
      <c r="S263" s="35" t="s">
        <v>79</v>
      </c>
      <c r="T263" s="35" t="s">
        <v>56</v>
      </c>
      <c r="U263" s="36">
        <v>25</v>
      </c>
      <c r="V263" s="36" t="s">
        <v>231</v>
      </c>
      <c r="W263" s="35" t="s">
        <v>46</v>
      </c>
      <c r="X263" s="29"/>
      <c r="Y263" s="36">
        <v>3000</v>
      </c>
      <c r="Z263" s="24">
        <f t="shared" si="10"/>
        <v>325.03839286684138</v>
      </c>
      <c r="AA263" s="19" t="s">
        <v>214</v>
      </c>
      <c r="AB263" s="36"/>
      <c r="AC263" s="35">
        <v>280</v>
      </c>
      <c r="AD263" s="35">
        <v>280</v>
      </c>
      <c r="AE263" s="35" t="s">
        <v>270</v>
      </c>
      <c r="AF263" s="35" t="s">
        <v>383</v>
      </c>
      <c r="AG263" s="35"/>
      <c r="AH263" s="35" t="s">
        <v>234</v>
      </c>
      <c r="AI263" s="35" t="s">
        <v>385</v>
      </c>
      <c r="AJ263" s="35" t="s">
        <v>270</v>
      </c>
      <c r="AK263" s="35" t="s">
        <v>234</v>
      </c>
      <c r="AL263" s="35" t="s">
        <v>90</v>
      </c>
      <c r="AM263" s="35" t="s">
        <v>386</v>
      </c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</row>
    <row r="264" spans="1:78" s="30" customFormat="1" ht="15.95" customHeight="1" x14ac:dyDescent="0.25">
      <c r="A264" s="18"/>
      <c r="B264" s="19">
        <v>194</v>
      </c>
      <c r="C264" s="20"/>
      <c r="D264" s="36">
        <v>20727</v>
      </c>
      <c r="E264" s="36">
        <v>1999</v>
      </c>
      <c r="F264" s="36" t="s">
        <v>1224</v>
      </c>
      <c r="G264" s="35" t="s">
        <v>382</v>
      </c>
      <c r="H264" s="35"/>
      <c r="I264" s="35" t="s">
        <v>41</v>
      </c>
      <c r="J264" s="35" t="s">
        <v>89</v>
      </c>
      <c r="K264" s="35" t="s">
        <v>161</v>
      </c>
      <c r="L264" s="35" t="s">
        <v>82</v>
      </c>
      <c r="M264" s="35" t="s">
        <v>82</v>
      </c>
      <c r="N264" s="35" t="s">
        <v>66</v>
      </c>
      <c r="O264" s="35" t="s">
        <v>292</v>
      </c>
      <c r="P264" s="35" t="s">
        <v>51</v>
      </c>
      <c r="Q264" s="35"/>
      <c r="R264" s="35" t="s">
        <v>237</v>
      </c>
      <c r="S264" s="35" t="s">
        <v>79</v>
      </c>
      <c r="T264" s="35" t="s">
        <v>56</v>
      </c>
      <c r="U264" s="36">
        <v>25</v>
      </c>
      <c r="V264" s="36" t="s">
        <v>231</v>
      </c>
      <c r="W264" s="35" t="s">
        <v>46</v>
      </c>
      <c r="X264" s="29"/>
      <c r="Y264" s="36">
        <v>4100</v>
      </c>
      <c r="Z264" s="24">
        <f t="shared" si="10"/>
        <v>444.21913691801655</v>
      </c>
      <c r="AA264" s="19" t="s">
        <v>214</v>
      </c>
      <c r="AB264" s="36"/>
      <c r="AC264" s="35">
        <v>280</v>
      </c>
      <c r="AD264" s="35">
        <v>280</v>
      </c>
      <c r="AE264" s="35" t="s">
        <v>270</v>
      </c>
      <c r="AF264" s="35" t="s">
        <v>383</v>
      </c>
      <c r="AG264" s="35"/>
      <c r="AH264" s="35" t="s">
        <v>234</v>
      </c>
      <c r="AI264" s="35" t="s">
        <v>385</v>
      </c>
      <c r="AJ264" s="35" t="s">
        <v>270</v>
      </c>
      <c r="AK264" s="35" t="s">
        <v>234</v>
      </c>
      <c r="AL264" s="35" t="s">
        <v>90</v>
      </c>
      <c r="AM264" s="35" t="s">
        <v>386</v>
      </c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</row>
    <row r="265" spans="1:78" s="30" customFormat="1" ht="15.95" customHeight="1" x14ac:dyDescent="0.25">
      <c r="A265" s="18"/>
      <c r="B265" s="19">
        <v>194</v>
      </c>
      <c r="C265" s="20"/>
      <c r="D265" s="36">
        <v>20727</v>
      </c>
      <c r="E265" s="36">
        <v>1999</v>
      </c>
      <c r="F265" s="36" t="s">
        <v>1224</v>
      </c>
      <c r="G265" s="35" t="s">
        <v>382</v>
      </c>
      <c r="H265" s="35"/>
      <c r="I265" s="35" t="s">
        <v>41</v>
      </c>
      <c r="J265" s="35" t="s">
        <v>89</v>
      </c>
      <c r="K265" s="35" t="s">
        <v>161</v>
      </c>
      <c r="L265" s="35" t="s">
        <v>82</v>
      </c>
      <c r="M265" s="35" t="s">
        <v>82</v>
      </c>
      <c r="N265" s="35" t="s">
        <v>66</v>
      </c>
      <c r="O265" s="35" t="s">
        <v>292</v>
      </c>
      <c r="P265" s="35" t="s">
        <v>51</v>
      </c>
      <c r="Q265" s="35"/>
      <c r="R265" s="35" t="s">
        <v>237</v>
      </c>
      <c r="S265" s="35" t="s">
        <v>79</v>
      </c>
      <c r="T265" s="35" t="s">
        <v>56</v>
      </c>
      <c r="U265" s="36">
        <v>25</v>
      </c>
      <c r="V265" s="36" t="s">
        <v>231</v>
      </c>
      <c r="W265" s="35" t="s">
        <v>46</v>
      </c>
      <c r="X265" s="29"/>
      <c r="Y265" s="36">
        <v>3100</v>
      </c>
      <c r="Z265" s="24">
        <f t="shared" si="10"/>
        <v>335.87300596240277</v>
      </c>
      <c r="AA265" s="19" t="s">
        <v>214</v>
      </c>
      <c r="AB265" s="36"/>
      <c r="AC265" s="35">
        <v>280</v>
      </c>
      <c r="AD265" s="35">
        <v>280</v>
      </c>
      <c r="AE265" s="35" t="s">
        <v>270</v>
      </c>
      <c r="AF265" s="35" t="s">
        <v>383</v>
      </c>
      <c r="AG265" s="35"/>
      <c r="AH265" s="35" t="s">
        <v>234</v>
      </c>
      <c r="AI265" s="35" t="s">
        <v>385</v>
      </c>
      <c r="AJ265" s="35" t="s">
        <v>270</v>
      </c>
      <c r="AK265" s="35" t="s">
        <v>234</v>
      </c>
      <c r="AL265" s="35" t="s">
        <v>90</v>
      </c>
      <c r="AM265" s="35" t="s">
        <v>386</v>
      </c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</row>
    <row r="266" spans="1:78" s="30" customFormat="1" ht="15.95" customHeight="1" x14ac:dyDescent="0.25">
      <c r="A266" s="18"/>
      <c r="B266" s="19">
        <v>194</v>
      </c>
      <c r="C266" s="20"/>
      <c r="D266" s="36">
        <v>20727</v>
      </c>
      <c r="E266" s="36">
        <v>1999</v>
      </c>
      <c r="F266" s="36" t="s">
        <v>1224</v>
      </c>
      <c r="G266" s="35" t="s">
        <v>382</v>
      </c>
      <c r="H266" s="35"/>
      <c r="I266" s="35" t="s">
        <v>41</v>
      </c>
      <c r="J266" s="35" t="s">
        <v>89</v>
      </c>
      <c r="K266" s="35" t="s">
        <v>161</v>
      </c>
      <c r="L266" s="35" t="s">
        <v>82</v>
      </c>
      <c r="M266" s="35" t="s">
        <v>82</v>
      </c>
      <c r="N266" s="35" t="s">
        <v>66</v>
      </c>
      <c r="O266" s="35" t="s">
        <v>292</v>
      </c>
      <c r="P266" s="35" t="s">
        <v>51</v>
      </c>
      <c r="Q266" s="35"/>
      <c r="R266" s="35" t="s">
        <v>237</v>
      </c>
      <c r="S266" s="35" t="s">
        <v>79</v>
      </c>
      <c r="T266" s="35" t="s">
        <v>56</v>
      </c>
      <c r="U266" s="36">
        <v>25</v>
      </c>
      <c r="V266" s="36" t="s">
        <v>231</v>
      </c>
      <c r="W266" s="35" t="s">
        <v>46</v>
      </c>
      <c r="X266" s="29"/>
      <c r="Y266" s="36">
        <v>3900</v>
      </c>
      <c r="Z266" s="24">
        <f t="shared" si="10"/>
        <v>422.54991072689376</v>
      </c>
      <c r="AA266" s="19" t="s">
        <v>214</v>
      </c>
      <c r="AB266" s="36"/>
      <c r="AC266" s="35">
        <v>280</v>
      </c>
      <c r="AD266" s="35">
        <v>280</v>
      </c>
      <c r="AE266" s="35" t="s">
        <v>270</v>
      </c>
      <c r="AF266" s="35" t="s">
        <v>383</v>
      </c>
      <c r="AG266" s="35"/>
      <c r="AH266" s="35" t="s">
        <v>234</v>
      </c>
      <c r="AI266" s="35" t="s">
        <v>385</v>
      </c>
      <c r="AJ266" s="35" t="s">
        <v>270</v>
      </c>
      <c r="AK266" s="35" t="s">
        <v>234</v>
      </c>
      <c r="AL266" s="35" t="s">
        <v>90</v>
      </c>
      <c r="AM266" s="35" t="s">
        <v>386</v>
      </c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</row>
    <row r="267" spans="1:78" s="30" customFormat="1" ht="15.95" customHeight="1" x14ac:dyDescent="0.25">
      <c r="A267" s="18"/>
      <c r="B267" s="19">
        <v>194</v>
      </c>
      <c r="C267" s="20"/>
      <c r="D267" s="36">
        <v>20727</v>
      </c>
      <c r="E267" s="36">
        <v>1999</v>
      </c>
      <c r="F267" s="36" t="s">
        <v>1224</v>
      </c>
      <c r="G267" s="35" t="s">
        <v>382</v>
      </c>
      <c r="H267" s="35"/>
      <c r="I267" s="35" t="s">
        <v>41</v>
      </c>
      <c r="J267" s="35" t="s">
        <v>89</v>
      </c>
      <c r="K267" s="35" t="s">
        <v>161</v>
      </c>
      <c r="L267" s="35" t="s">
        <v>82</v>
      </c>
      <c r="M267" s="35" t="s">
        <v>82</v>
      </c>
      <c r="N267" s="35" t="s">
        <v>66</v>
      </c>
      <c r="O267" s="35" t="s">
        <v>292</v>
      </c>
      <c r="P267" s="35" t="s">
        <v>51</v>
      </c>
      <c r="Q267" s="35"/>
      <c r="R267" s="35" t="s">
        <v>237</v>
      </c>
      <c r="S267" s="35" t="s">
        <v>79</v>
      </c>
      <c r="T267" s="35" t="s">
        <v>56</v>
      </c>
      <c r="U267" s="36">
        <v>25</v>
      </c>
      <c r="V267" s="36" t="s">
        <v>231</v>
      </c>
      <c r="W267" s="35" t="s">
        <v>46</v>
      </c>
      <c r="X267" s="29"/>
      <c r="Y267" s="36">
        <v>3000</v>
      </c>
      <c r="Z267" s="24">
        <f t="shared" si="10"/>
        <v>325.03839286684138</v>
      </c>
      <c r="AA267" s="19" t="s">
        <v>214</v>
      </c>
      <c r="AB267" s="36"/>
      <c r="AC267" s="35">
        <v>280</v>
      </c>
      <c r="AD267" s="35">
        <v>280</v>
      </c>
      <c r="AE267" s="35" t="s">
        <v>270</v>
      </c>
      <c r="AF267" s="35" t="s">
        <v>383</v>
      </c>
      <c r="AG267" s="35"/>
      <c r="AH267" s="35" t="s">
        <v>234</v>
      </c>
      <c r="AI267" s="35" t="s">
        <v>385</v>
      </c>
      <c r="AJ267" s="35" t="s">
        <v>270</v>
      </c>
      <c r="AK267" s="35" t="s">
        <v>234</v>
      </c>
      <c r="AL267" s="35" t="s">
        <v>90</v>
      </c>
      <c r="AM267" s="35" t="s">
        <v>386</v>
      </c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</row>
    <row r="268" spans="1:78" s="30" customFormat="1" ht="15.95" customHeight="1" x14ac:dyDescent="0.25">
      <c r="A268" s="18"/>
      <c r="B268" s="19">
        <v>194</v>
      </c>
      <c r="C268" s="20"/>
      <c r="D268" s="36">
        <v>20727</v>
      </c>
      <c r="E268" s="36">
        <v>1999</v>
      </c>
      <c r="F268" s="36" t="s">
        <v>1224</v>
      </c>
      <c r="G268" s="35" t="s">
        <v>382</v>
      </c>
      <c r="H268" s="35"/>
      <c r="I268" s="35" t="s">
        <v>41</v>
      </c>
      <c r="J268" s="35" t="s">
        <v>89</v>
      </c>
      <c r="K268" s="35" t="s">
        <v>161</v>
      </c>
      <c r="L268" s="35" t="s">
        <v>82</v>
      </c>
      <c r="M268" s="35" t="s">
        <v>82</v>
      </c>
      <c r="N268" s="35" t="s">
        <v>66</v>
      </c>
      <c r="O268" s="35" t="s">
        <v>292</v>
      </c>
      <c r="P268" s="35" t="s">
        <v>51</v>
      </c>
      <c r="Q268" s="35"/>
      <c r="R268" s="35" t="s">
        <v>237</v>
      </c>
      <c r="S268" s="35" t="s">
        <v>79</v>
      </c>
      <c r="T268" s="35" t="s">
        <v>56</v>
      </c>
      <c r="U268" s="36">
        <v>25</v>
      </c>
      <c r="V268" s="36" t="s">
        <v>231</v>
      </c>
      <c r="W268" s="35" t="s">
        <v>46</v>
      </c>
      <c r="X268" s="29"/>
      <c r="Y268" s="36">
        <v>3100</v>
      </c>
      <c r="Z268" s="24">
        <f t="shared" si="10"/>
        <v>335.87300596240277</v>
      </c>
      <c r="AA268" s="19" t="s">
        <v>214</v>
      </c>
      <c r="AB268" s="36"/>
      <c r="AC268" s="35">
        <v>280</v>
      </c>
      <c r="AD268" s="35">
        <v>280</v>
      </c>
      <c r="AE268" s="35" t="s">
        <v>270</v>
      </c>
      <c r="AF268" s="35" t="s">
        <v>383</v>
      </c>
      <c r="AG268" s="35"/>
      <c r="AH268" s="35" t="s">
        <v>234</v>
      </c>
      <c r="AI268" s="35" t="s">
        <v>385</v>
      </c>
      <c r="AJ268" s="35" t="s">
        <v>270</v>
      </c>
      <c r="AK268" s="35" t="s">
        <v>234</v>
      </c>
      <c r="AL268" s="35" t="s">
        <v>90</v>
      </c>
      <c r="AM268" s="35" t="s">
        <v>386</v>
      </c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</row>
    <row r="269" spans="1:78" s="30" customFormat="1" ht="15.95" customHeight="1" x14ac:dyDescent="0.25">
      <c r="A269" s="18"/>
      <c r="B269" s="19">
        <v>194</v>
      </c>
      <c r="C269" s="20"/>
      <c r="D269" s="36">
        <v>20727</v>
      </c>
      <c r="E269" s="36">
        <v>1999</v>
      </c>
      <c r="F269" s="36" t="s">
        <v>1224</v>
      </c>
      <c r="G269" s="35" t="s">
        <v>382</v>
      </c>
      <c r="H269" s="35"/>
      <c r="I269" s="35" t="s">
        <v>41</v>
      </c>
      <c r="J269" s="35" t="s">
        <v>89</v>
      </c>
      <c r="K269" s="35" t="s">
        <v>161</v>
      </c>
      <c r="L269" s="35" t="s">
        <v>82</v>
      </c>
      <c r="M269" s="35" t="s">
        <v>82</v>
      </c>
      <c r="N269" s="35" t="s">
        <v>66</v>
      </c>
      <c r="O269" s="35" t="s">
        <v>292</v>
      </c>
      <c r="P269" s="35" t="s">
        <v>51</v>
      </c>
      <c r="Q269" s="35"/>
      <c r="R269" s="35" t="s">
        <v>237</v>
      </c>
      <c r="S269" s="35" t="s">
        <v>79</v>
      </c>
      <c r="T269" s="35" t="s">
        <v>56</v>
      </c>
      <c r="U269" s="36">
        <v>25</v>
      </c>
      <c r="V269" s="36" t="s">
        <v>231</v>
      </c>
      <c r="W269" s="35" t="s">
        <v>46</v>
      </c>
      <c r="X269" s="29"/>
      <c r="Y269" s="36" t="s">
        <v>389</v>
      </c>
      <c r="Z269" s="24" t="e">
        <f t="shared" si="10"/>
        <v>#VALUE!</v>
      </c>
      <c r="AA269" s="19" t="s">
        <v>214</v>
      </c>
      <c r="AB269" s="36"/>
      <c r="AC269" s="35">
        <v>280</v>
      </c>
      <c r="AD269" s="35">
        <v>280</v>
      </c>
      <c r="AE269" s="35" t="s">
        <v>270</v>
      </c>
      <c r="AF269" s="35" t="s">
        <v>383</v>
      </c>
      <c r="AG269" s="35"/>
      <c r="AH269" s="35" t="s">
        <v>234</v>
      </c>
      <c r="AI269" s="35" t="s">
        <v>385</v>
      </c>
      <c r="AJ269" s="35" t="s">
        <v>270</v>
      </c>
      <c r="AK269" s="35" t="s">
        <v>234</v>
      </c>
      <c r="AL269" s="35" t="s">
        <v>90</v>
      </c>
      <c r="AM269" s="35" t="s">
        <v>386</v>
      </c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</row>
    <row r="270" spans="1:78" s="30" customFormat="1" ht="15.95" customHeight="1" x14ac:dyDescent="0.25">
      <c r="A270" s="18"/>
      <c r="B270" s="19">
        <v>194</v>
      </c>
      <c r="C270" s="20"/>
      <c r="D270" s="36">
        <v>20727</v>
      </c>
      <c r="E270" s="36">
        <v>1999</v>
      </c>
      <c r="F270" s="36" t="s">
        <v>1224</v>
      </c>
      <c r="G270" s="35" t="s">
        <v>382</v>
      </c>
      <c r="H270" s="35"/>
      <c r="I270" s="35" t="s">
        <v>41</v>
      </c>
      <c r="J270" s="35" t="s">
        <v>89</v>
      </c>
      <c r="K270" s="35" t="s">
        <v>161</v>
      </c>
      <c r="L270" s="35" t="s">
        <v>82</v>
      </c>
      <c r="M270" s="35" t="s">
        <v>82</v>
      </c>
      <c r="N270" s="35" t="s">
        <v>66</v>
      </c>
      <c r="O270" s="35" t="s">
        <v>292</v>
      </c>
      <c r="P270" s="35" t="s">
        <v>51</v>
      </c>
      <c r="Q270" s="35"/>
      <c r="R270" s="35" t="s">
        <v>237</v>
      </c>
      <c r="S270" s="35" t="s">
        <v>79</v>
      </c>
      <c r="T270" s="35" t="s">
        <v>56</v>
      </c>
      <c r="U270" s="36">
        <v>25</v>
      </c>
      <c r="V270" s="36" t="s">
        <v>231</v>
      </c>
      <c r="W270" s="35" t="s">
        <v>46</v>
      </c>
      <c r="X270" s="29"/>
      <c r="Y270" s="36">
        <v>3900</v>
      </c>
      <c r="Z270" s="24">
        <f t="shared" si="10"/>
        <v>422.54991072689376</v>
      </c>
      <c r="AA270" s="19" t="s">
        <v>214</v>
      </c>
      <c r="AB270" s="36"/>
      <c r="AC270" s="35">
        <v>280</v>
      </c>
      <c r="AD270" s="35">
        <v>280</v>
      </c>
      <c r="AE270" s="35" t="s">
        <v>270</v>
      </c>
      <c r="AF270" s="35" t="s">
        <v>383</v>
      </c>
      <c r="AG270" s="35"/>
      <c r="AH270" s="35" t="s">
        <v>234</v>
      </c>
      <c r="AI270" s="35" t="s">
        <v>385</v>
      </c>
      <c r="AJ270" s="35" t="s">
        <v>270</v>
      </c>
      <c r="AK270" s="35" t="s">
        <v>234</v>
      </c>
      <c r="AL270" s="35" t="s">
        <v>90</v>
      </c>
      <c r="AM270" s="35" t="s">
        <v>386</v>
      </c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</row>
    <row r="271" spans="1:78" s="30" customFormat="1" ht="15.95" customHeight="1" x14ac:dyDescent="0.25">
      <c r="A271" s="18"/>
      <c r="B271" s="19">
        <v>194</v>
      </c>
      <c r="C271" s="20"/>
      <c r="D271" s="36">
        <v>20727</v>
      </c>
      <c r="E271" s="36">
        <v>1999</v>
      </c>
      <c r="F271" s="36" t="s">
        <v>1224</v>
      </c>
      <c r="G271" s="35" t="s">
        <v>382</v>
      </c>
      <c r="H271" s="35"/>
      <c r="I271" s="35" t="s">
        <v>41</v>
      </c>
      <c r="J271" s="35" t="s">
        <v>89</v>
      </c>
      <c r="K271" s="35" t="s">
        <v>161</v>
      </c>
      <c r="L271" s="35" t="s">
        <v>82</v>
      </c>
      <c r="M271" s="35" t="s">
        <v>82</v>
      </c>
      <c r="N271" s="35" t="s">
        <v>66</v>
      </c>
      <c r="O271" s="35" t="s">
        <v>292</v>
      </c>
      <c r="P271" s="35" t="s">
        <v>51</v>
      </c>
      <c r="Q271" s="35"/>
      <c r="R271" s="35" t="s">
        <v>237</v>
      </c>
      <c r="S271" s="35" t="s">
        <v>79</v>
      </c>
      <c r="T271" s="35" t="s">
        <v>56</v>
      </c>
      <c r="U271" s="36">
        <v>25</v>
      </c>
      <c r="V271" s="36" t="s">
        <v>231</v>
      </c>
      <c r="W271" s="35" t="s">
        <v>46</v>
      </c>
      <c r="X271" s="29"/>
      <c r="Y271" s="36">
        <v>3000</v>
      </c>
      <c r="Z271" s="24">
        <f t="shared" si="10"/>
        <v>325.03839286684138</v>
      </c>
      <c r="AA271" s="19" t="s">
        <v>214</v>
      </c>
      <c r="AB271" s="36"/>
      <c r="AC271" s="35">
        <v>280</v>
      </c>
      <c r="AD271" s="35">
        <v>280</v>
      </c>
      <c r="AE271" s="35" t="s">
        <v>270</v>
      </c>
      <c r="AF271" s="35" t="s">
        <v>383</v>
      </c>
      <c r="AG271" s="35"/>
      <c r="AH271" s="35" t="s">
        <v>234</v>
      </c>
      <c r="AI271" s="35" t="s">
        <v>385</v>
      </c>
      <c r="AJ271" s="35" t="s">
        <v>270</v>
      </c>
      <c r="AK271" s="35" t="s">
        <v>234</v>
      </c>
      <c r="AL271" s="35" t="s">
        <v>90</v>
      </c>
      <c r="AM271" s="35" t="s">
        <v>386</v>
      </c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</row>
    <row r="272" spans="1:78" s="30" customFormat="1" ht="15.95" customHeight="1" x14ac:dyDescent="0.25">
      <c r="A272" s="18"/>
      <c r="B272" s="19">
        <v>194</v>
      </c>
      <c r="C272" s="20"/>
      <c r="D272" s="36">
        <v>20727</v>
      </c>
      <c r="E272" s="36">
        <v>1999</v>
      </c>
      <c r="F272" s="36" t="s">
        <v>1224</v>
      </c>
      <c r="G272" s="35" t="s">
        <v>382</v>
      </c>
      <c r="H272" s="35"/>
      <c r="I272" s="35" t="s">
        <v>41</v>
      </c>
      <c r="J272" s="35" t="s">
        <v>89</v>
      </c>
      <c r="K272" s="35" t="s">
        <v>161</v>
      </c>
      <c r="L272" s="35" t="s">
        <v>82</v>
      </c>
      <c r="M272" s="35" t="s">
        <v>82</v>
      </c>
      <c r="N272" s="35" t="s">
        <v>66</v>
      </c>
      <c r="O272" s="35" t="s">
        <v>292</v>
      </c>
      <c r="P272" s="35" t="s">
        <v>51</v>
      </c>
      <c r="Q272" s="35"/>
      <c r="R272" s="35" t="s">
        <v>237</v>
      </c>
      <c r="S272" s="35" t="s">
        <v>79</v>
      </c>
      <c r="T272" s="35" t="s">
        <v>56</v>
      </c>
      <c r="U272" s="36">
        <v>25</v>
      </c>
      <c r="V272" s="36" t="s">
        <v>231</v>
      </c>
      <c r="W272" s="35" t="s">
        <v>46</v>
      </c>
      <c r="X272" s="29"/>
      <c r="Y272" s="36">
        <v>2600</v>
      </c>
      <c r="Z272" s="24">
        <f t="shared" si="10"/>
        <v>281.69994048459586</v>
      </c>
      <c r="AA272" s="19" t="s">
        <v>214</v>
      </c>
      <c r="AB272" s="36"/>
      <c r="AC272" s="35">
        <v>280</v>
      </c>
      <c r="AD272" s="35">
        <v>280</v>
      </c>
      <c r="AE272" s="35" t="s">
        <v>270</v>
      </c>
      <c r="AF272" s="35" t="s">
        <v>383</v>
      </c>
      <c r="AG272" s="35"/>
      <c r="AH272" s="35" t="s">
        <v>234</v>
      </c>
      <c r="AI272" s="35" t="s">
        <v>385</v>
      </c>
      <c r="AJ272" s="35" t="s">
        <v>270</v>
      </c>
      <c r="AK272" s="35" t="s">
        <v>234</v>
      </c>
      <c r="AL272" s="35" t="s">
        <v>90</v>
      </c>
      <c r="AM272" s="35" t="s">
        <v>386</v>
      </c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</row>
    <row r="273" spans="1:78" s="30" customFormat="1" ht="15.95" customHeight="1" x14ac:dyDescent="0.25">
      <c r="A273" s="18"/>
      <c r="B273" s="19">
        <v>194</v>
      </c>
      <c r="C273" s="20"/>
      <c r="D273" s="36">
        <v>20727</v>
      </c>
      <c r="E273" s="36">
        <v>1999</v>
      </c>
      <c r="F273" s="36" t="s">
        <v>1224</v>
      </c>
      <c r="G273" s="35" t="s">
        <v>382</v>
      </c>
      <c r="H273" s="35"/>
      <c r="I273" s="35" t="s">
        <v>41</v>
      </c>
      <c r="J273" s="35" t="s">
        <v>89</v>
      </c>
      <c r="K273" s="35" t="s">
        <v>161</v>
      </c>
      <c r="L273" s="35" t="s">
        <v>82</v>
      </c>
      <c r="M273" s="35" t="s">
        <v>82</v>
      </c>
      <c r="N273" s="35" t="s">
        <v>66</v>
      </c>
      <c r="O273" s="35" t="s">
        <v>292</v>
      </c>
      <c r="P273" s="35" t="s">
        <v>51</v>
      </c>
      <c r="Q273" s="35"/>
      <c r="R273" s="35" t="s">
        <v>237</v>
      </c>
      <c r="S273" s="35" t="s">
        <v>79</v>
      </c>
      <c r="T273" s="35" t="s">
        <v>56</v>
      </c>
      <c r="U273" s="36">
        <v>25</v>
      </c>
      <c r="V273" s="36" t="s">
        <v>231</v>
      </c>
      <c r="W273" s="35" t="s">
        <v>46</v>
      </c>
      <c r="X273" s="29"/>
      <c r="Y273" s="36">
        <v>3900</v>
      </c>
      <c r="Z273" s="24">
        <f t="shared" si="10"/>
        <v>422.54991072689376</v>
      </c>
      <c r="AA273" s="19" t="s">
        <v>214</v>
      </c>
      <c r="AB273" s="36"/>
      <c r="AC273" s="35">
        <v>280</v>
      </c>
      <c r="AD273" s="35">
        <v>280</v>
      </c>
      <c r="AE273" s="35" t="s">
        <v>270</v>
      </c>
      <c r="AF273" s="35" t="s">
        <v>383</v>
      </c>
      <c r="AG273" s="35"/>
      <c r="AH273" s="35" t="s">
        <v>234</v>
      </c>
      <c r="AI273" s="35" t="s">
        <v>385</v>
      </c>
      <c r="AJ273" s="35" t="s">
        <v>270</v>
      </c>
      <c r="AK273" s="35" t="s">
        <v>234</v>
      </c>
      <c r="AL273" s="35" t="s">
        <v>90</v>
      </c>
      <c r="AM273" s="35" t="s">
        <v>386</v>
      </c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</row>
    <row r="274" spans="1:78" s="30" customFormat="1" ht="15.95" customHeight="1" x14ac:dyDescent="0.25">
      <c r="A274" s="18"/>
      <c r="B274" s="19">
        <v>194</v>
      </c>
      <c r="C274" s="20"/>
      <c r="D274" s="36">
        <v>20727</v>
      </c>
      <c r="E274" s="36">
        <v>1999</v>
      </c>
      <c r="F274" s="36" t="s">
        <v>1224</v>
      </c>
      <c r="G274" s="35" t="s">
        <v>382</v>
      </c>
      <c r="H274" s="35"/>
      <c r="I274" s="35" t="s">
        <v>41</v>
      </c>
      <c r="J274" s="35" t="s">
        <v>89</v>
      </c>
      <c r="K274" s="35" t="s">
        <v>161</v>
      </c>
      <c r="L274" s="35" t="s">
        <v>82</v>
      </c>
      <c r="M274" s="35" t="s">
        <v>82</v>
      </c>
      <c r="N274" s="35" t="s">
        <v>66</v>
      </c>
      <c r="O274" s="35" t="s">
        <v>292</v>
      </c>
      <c r="P274" s="35" t="s">
        <v>51</v>
      </c>
      <c r="Q274" s="35"/>
      <c r="R274" s="35" t="s">
        <v>237</v>
      </c>
      <c r="S274" s="35" t="s">
        <v>79</v>
      </c>
      <c r="T274" s="35" t="s">
        <v>56</v>
      </c>
      <c r="U274" s="36">
        <v>25</v>
      </c>
      <c r="V274" s="36" t="s">
        <v>231</v>
      </c>
      <c r="W274" s="35" t="s">
        <v>46</v>
      </c>
      <c r="X274" s="29"/>
      <c r="Y274" s="36">
        <v>2900</v>
      </c>
      <c r="Z274" s="24">
        <f t="shared" si="10"/>
        <v>314.20377977127998</v>
      </c>
      <c r="AA274" s="19" t="s">
        <v>214</v>
      </c>
      <c r="AB274" s="36"/>
      <c r="AC274" s="35">
        <v>280</v>
      </c>
      <c r="AD274" s="35">
        <v>280</v>
      </c>
      <c r="AE274" s="35" t="s">
        <v>270</v>
      </c>
      <c r="AF274" s="35" t="s">
        <v>383</v>
      </c>
      <c r="AG274" s="35"/>
      <c r="AH274" s="35" t="s">
        <v>234</v>
      </c>
      <c r="AI274" s="35" t="s">
        <v>385</v>
      </c>
      <c r="AJ274" s="35" t="s">
        <v>270</v>
      </c>
      <c r="AK274" s="35" t="s">
        <v>234</v>
      </c>
      <c r="AL274" s="35" t="s">
        <v>90</v>
      </c>
      <c r="AM274" s="35" t="s">
        <v>386</v>
      </c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</row>
    <row r="275" spans="1:78" s="30" customFormat="1" ht="15.95" customHeight="1" x14ac:dyDescent="0.25">
      <c r="A275" s="18"/>
      <c r="B275" s="19">
        <v>194</v>
      </c>
      <c r="C275" s="20"/>
      <c r="D275" s="36">
        <v>20727</v>
      </c>
      <c r="E275" s="36">
        <v>1999</v>
      </c>
      <c r="F275" s="36" t="s">
        <v>1224</v>
      </c>
      <c r="G275" s="35" t="s">
        <v>382</v>
      </c>
      <c r="H275" s="35"/>
      <c r="I275" s="35" t="s">
        <v>41</v>
      </c>
      <c r="J275" s="35" t="s">
        <v>89</v>
      </c>
      <c r="K275" s="35" t="s">
        <v>161</v>
      </c>
      <c r="L275" s="35" t="s">
        <v>82</v>
      </c>
      <c r="M275" s="35" t="s">
        <v>82</v>
      </c>
      <c r="N275" s="35" t="s">
        <v>66</v>
      </c>
      <c r="O275" s="35" t="s">
        <v>292</v>
      </c>
      <c r="P275" s="35" t="s">
        <v>51</v>
      </c>
      <c r="Q275" s="35"/>
      <c r="R275" s="35" t="s">
        <v>237</v>
      </c>
      <c r="S275" s="35" t="s">
        <v>79</v>
      </c>
      <c r="T275" s="35" t="s">
        <v>56</v>
      </c>
      <c r="U275" s="36">
        <v>25</v>
      </c>
      <c r="V275" s="36" t="s">
        <v>231</v>
      </c>
      <c r="W275" s="35" t="s">
        <v>46</v>
      </c>
      <c r="X275" s="29"/>
      <c r="Y275" s="36">
        <v>3900</v>
      </c>
      <c r="Z275" s="24">
        <f t="shared" si="10"/>
        <v>422.54991072689376</v>
      </c>
      <c r="AA275" s="19" t="s">
        <v>214</v>
      </c>
      <c r="AB275" s="36"/>
      <c r="AC275" s="35">
        <v>280</v>
      </c>
      <c r="AD275" s="35">
        <v>280</v>
      </c>
      <c r="AE275" s="35" t="s">
        <v>270</v>
      </c>
      <c r="AF275" s="35" t="s">
        <v>383</v>
      </c>
      <c r="AG275" s="35"/>
      <c r="AH275" s="35" t="s">
        <v>234</v>
      </c>
      <c r="AI275" s="35" t="s">
        <v>385</v>
      </c>
      <c r="AJ275" s="35" t="s">
        <v>270</v>
      </c>
      <c r="AK275" s="35" t="s">
        <v>234</v>
      </c>
      <c r="AL275" s="35" t="s">
        <v>90</v>
      </c>
      <c r="AM275" s="35" t="s">
        <v>386</v>
      </c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</row>
    <row r="276" spans="1:78" s="30" customFormat="1" ht="15.95" customHeight="1" x14ac:dyDescent="0.25">
      <c r="A276" s="18"/>
      <c r="B276" s="19">
        <v>194</v>
      </c>
      <c r="C276" s="20"/>
      <c r="D276" s="36">
        <v>20727</v>
      </c>
      <c r="E276" s="36">
        <v>1999</v>
      </c>
      <c r="F276" s="36" t="s">
        <v>1224</v>
      </c>
      <c r="G276" s="35" t="s">
        <v>382</v>
      </c>
      <c r="H276" s="35"/>
      <c r="I276" s="35" t="s">
        <v>41</v>
      </c>
      <c r="J276" s="35" t="s">
        <v>89</v>
      </c>
      <c r="K276" s="35" t="s">
        <v>161</v>
      </c>
      <c r="L276" s="35" t="s">
        <v>82</v>
      </c>
      <c r="M276" s="35" t="s">
        <v>82</v>
      </c>
      <c r="N276" s="35" t="s">
        <v>66</v>
      </c>
      <c r="O276" s="35" t="s">
        <v>292</v>
      </c>
      <c r="P276" s="35" t="s">
        <v>51</v>
      </c>
      <c r="Q276" s="35"/>
      <c r="R276" s="35" t="s">
        <v>237</v>
      </c>
      <c r="S276" s="35" t="s">
        <v>79</v>
      </c>
      <c r="T276" s="35" t="s">
        <v>56</v>
      </c>
      <c r="U276" s="36">
        <v>25</v>
      </c>
      <c r="V276" s="36" t="s">
        <v>231</v>
      </c>
      <c r="W276" s="35" t="s">
        <v>46</v>
      </c>
      <c r="X276" s="29"/>
      <c r="Y276" s="36">
        <v>2900</v>
      </c>
      <c r="Z276" s="24">
        <f t="shared" si="10"/>
        <v>314.20377977127998</v>
      </c>
      <c r="AA276" s="19" t="s">
        <v>214</v>
      </c>
      <c r="AB276" s="36"/>
      <c r="AC276" s="35">
        <v>280</v>
      </c>
      <c r="AD276" s="35">
        <v>280</v>
      </c>
      <c r="AE276" s="35" t="s">
        <v>270</v>
      </c>
      <c r="AF276" s="35" t="s">
        <v>383</v>
      </c>
      <c r="AG276" s="35"/>
      <c r="AH276" s="35" t="s">
        <v>234</v>
      </c>
      <c r="AI276" s="35" t="s">
        <v>385</v>
      </c>
      <c r="AJ276" s="35" t="s">
        <v>270</v>
      </c>
      <c r="AK276" s="35" t="s">
        <v>234</v>
      </c>
      <c r="AL276" s="35" t="s">
        <v>90</v>
      </c>
      <c r="AM276" s="35" t="s">
        <v>386</v>
      </c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</row>
    <row r="277" spans="1:78" s="30" customFormat="1" ht="15.95" customHeight="1" x14ac:dyDescent="0.25">
      <c r="A277" s="18"/>
      <c r="B277" s="19">
        <v>194</v>
      </c>
      <c r="C277" s="20"/>
      <c r="D277" s="36">
        <v>20727</v>
      </c>
      <c r="E277" s="36">
        <v>1999</v>
      </c>
      <c r="F277" s="36" t="s">
        <v>1224</v>
      </c>
      <c r="G277" s="35" t="s">
        <v>382</v>
      </c>
      <c r="H277" s="35"/>
      <c r="I277" s="35" t="s">
        <v>41</v>
      </c>
      <c r="J277" s="35" t="s">
        <v>89</v>
      </c>
      <c r="K277" s="35" t="s">
        <v>161</v>
      </c>
      <c r="L277" s="35" t="s">
        <v>82</v>
      </c>
      <c r="M277" s="35" t="s">
        <v>82</v>
      </c>
      <c r="N277" s="35" t="s">
        <v>66</v>
      </c>
      <c r="O277" s="35" t="s">
        <v>292</v>
      </c>
      <c r="P277" s="35" t="s">
        <v>51</v>
      </c>
      <c r="Q277" s="35"/>
      <c r="R277" s="35" t="s">
        <v>237</v>
      </c>
      <c r="S277" s="35" t="s">
        <v>79</v>
      </c>
      <c r="T277" s="35" t="s">
        <v>56</v>
      </c>
      <c r="U277" s="36">
        <v>25</v>
      </c>
      <c r="V277" s="36" t="s">
        <v>231</v>
      </c>
      <c r="W277" s="35" t="s">
        <v>46</v>
      </c>
      <c r="X277" s="29"/>
      <c r="Y277" s="36">
        <v>3900</v>
      </c>
      <c r="Z277" s="24">
        <f t="shared" si="10"/>
        <v>422.54991072689376</v>
      </c>
      <c r="AA277" s="19" t="s">
        <v>214</v>
      </c>
      <c r="AB277" s="36"/>
      <c r="AC277" s="35">
        <v>280</v>
      </c>
      <c r="AD277" s="35">
        <v>280</v>
      </c>
      <c r="AE277" s="35" t="s">
        <v>270</v>
      </c>
      <c r="AF277" s="35" t="s">
        <v>383</v>
      </c>
      <c r="AG277" s="35"/>
      <c r="AH277" s="35" t="s">
        <v>234</v>
      </c>
      <c r="AI277" s="35" t="s">
        <v>385</v>
      </c>
      <c r="AJ277" s="35" t="s">
        <v>270</v>
      </c>
      <c r="AK277" s="35" t="s">
        <v>234</v>
      </c>
      <c r="AL277" s="35" t="s">
        <v>90</v>
      </c>
      <c r="AM277" s="35" t="s">
        <v>386</v>
      </c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</row>
    <row r="278" spans="1:78" s="30" customFormat="1" ht="15.95" customHeight="1" x14ac:dyDescent="0.25">
      <c r="A278" s="18"/>
      <c r="B278" s="19">
        <v>194</v>
      </c>
      <c r="C278" s="20"/>
      <c r="D278" s="36">
        <v>20727</v>
      </c>
      <c r="E278" s="36">
        <v>1999</v>
      </c>
      <c r="F278" s="36" t="s">
        <v>1224</v>
      </c>
      <c r="G278" s="35" t="s">
        <v>382</v>
      </c>
      <c r="H278" s="35"/>
      <c r="I278" s="35" t="s">
        <v>41</v>
      </c>
      <c r="J278" s="35" t="s">
        <v>89</v>
      </c>
      <c r="K278" s="35" t="s">
        <v>161</v>
      </c>
      <c r="L278" s="35" t="s">
        <v>82</v>
      </c>
      <c r="M278" s="35" t="s">
        <v>82</v>
      </c>
      <c r="N278" s="35" t="s">
        <v>66</v>
      </c>
      <c r="O278" s="35" t="s">
        <v>292</v>
      </c>
      <c r="P278" s="35" t="s">
        <v>51</v>
      </c>
      <c r="Q278" s="35"/>
      <c r="R278" s="35" t="s">
        <v>237</v>
      </c>
      <c r="S278" s="35" t="s">
        <v>79</v>
      </c>
      <c r="T278" s="35" t="s">
        <v>56</v>
      </c>
      <c r="U278" s="36">
        <v>25</v>
      </c>
      <c r="V278" s="36" t="s">
        <v>231</v>
      </c>
      <c r="W278" s="35" t="s">
        <v>46</v>
      </c>
      <c r="X278" s="29"/>
      <c r="Y278" s="36">
        <v>3000</v>
      </c>
      <c r="Z278" s="24">
        <f t="shared" si="10"/>
        <v>325.03839286684138</v>
      </c>
      <c r="AA278" s="19" t="s">
        <v>214</v>
      </c>
      <c r="AB278" s="36"/>
      <c r="AC278" s="35">
        <v>280</v>
      </c>
      <c r="AD278" s="35">
        <v>280</v>
      </c>
      <c r="AE278" s="35" t="s">
        <v>270</v>
      </c>
      <c r="AF278" s="35" t="s">
        <v>383</v>
      </c>
      <c r="AG278" s="35"/>
      <c r="AH278" s="35" t="s">
        <v>234</v>
      </c>
      <c r="AI278" s="35" t="s">
        <v>385</v>
      </c>
      <c r="AJ278" s="35" t="s">
        <v>270</v>
      </c>
      <c r="AK278" s="35" t="s">
        <v>234</v>
      </c>
      <c r="AL278" s="35" t="s">
        <v>90</v>
      </c>
      <c r="AM278" s="35" t="s">
        <v>386</v>
      </c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</row>
    <row r="279" spans="1:78" s="30" customFormat="1" ht="15.95" customHeight="1" x14ac:dyDescent="0.25">
      <c r="A279" s="18"/>
      <c r="B279" s="19">
        <v>194</v>
      </c>
      <c r="C279" s="20"/>
      <c r="D279" s="36">
        <v>20727</v>
      </c>
      <c r="E279" s="36">
        <v>1999</v>
      </c>
      <c r="F279" s="36" t="s">
        <v>1224</v>
      </c>
      <c r="G279" s="35" t="s">
        <v>382</v>
      </c>
      <c r="H279" s="35"/>
      <c r="I279" s="35" t="s">
        <v>41</v>
      </c>
      <c r="J279" s="35" t="s">
        <v>89</v>
      </c>
      <c r="K279" s="35" t="s">
        <v>161</v>
      </c>
      <c r="L279" s="35" t="s">
        <v>82</v>
      </c>
      <c r="M279" s="35" t="s">
        <v>82</v>
      </c>
      <c r="N279" s="35" t="s">
        <v>66</v>
      </c>
      <c r="O279" s="35" t="s">
        <v>292</v>
      </c>
      <c r="P279" s="35" t="s">
        <v>51</v>
      </c>
      <c r="Q279" s="35"/>
      <c r="R279" s="35" t="s">
        <v>237</v>
      </c>
      <c r="S279" s="35" t="s">
        <v>79</v>
      </c>
      <c r="T279" s="35" t="s">
        <v>56</v>
      </c>
      <c r="U279" s="36">
        <v>25</v>
      </c>
      <c r="V279" s="36" t="s">
        <v>231</v>
      </c>
      <c r="W279" s="35" t="s">
        <v>46</v>
      </c>
      <c r="X279" s="29"/>
      <c r="Y279" s="36">
        <v>2900</v>
      </c>
      <c r="Z279" s="24">
        <f t="shared" si="10"/>
        <v>314.20377977127998</v>
      </c>
      <c r="AA279" s="19" t="s">
        <v>214</v>
      </c>
      <c r="AB279" s="36"/>
      <c r="AC279" s="35">
        <v>280</v>
      </c>
      <c r="AD279" s="35">
        <v>280</v>
      </c>
      <c r="AE279" s="35" t="s">
        <v>270</v>
      </c>
      <c r="AF279" s="35" t="s">
        <v>383</v>
      </c>
      <c r="AG279" s="35"/>
      <c r="AH279" s="35" t="s">
        <v>234</v>
      </c>
      <c r="AI279" s="35" t="s">
        <v>385</v>
      </c>
      <c r="AJ279" s="35" t="s">
        <v>270</v>
      </c>
      <c r="AK279" s="35" t="s">
        <v>234</v>
      </c>
      <c r="AL279" s="35" t="s">
        <v>90</v>
      </c>
      <c r="AM279" s="35" t="s">
        <v>386</v>
      </c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</row>
    <row r="280" spans="1:78" s="30" customFormat="1" ht="15.95" customHeight="1" x14ac:dyDescent="0.25">
      <c r="A280" s="18"/>
      <c r="B280" s="19">
        <v>194</v>
      </c>
      <c r="C280" s="20"/>
      <c r="D280" s="36">
        <v>20727</v>
      </c>
      <c r="E280" s="36">
        <v>1999</v>
      </c>
      <c r="F280" s="36" t="s">
        <v>1224</v>
      </c>
      <c r="G280" s="35" t="s">
        <v>382</v>
      </c>
      <c r="H280" s="35"/>
      <c r="I280" s="35" t="s">
        <v>41</v>
      </c>
      <c r="J280" s="35" t="s">
        <v>89</v>
      </c>
      <c r="K280" s="35" t="s">
        <v>161</v>
      </c>
      <c r="L280" s="35" t="s">
        <v>82</v>
      </c>
      <c r="M280" s="35" t="s">
        <v>82</v>
      </c>
      <c r="N280" s="35" t="s">
        <v>66</v>
      </c>
      <c r="O280" s="35" t="s">
        <v>292</v>
      </c>
      <c r="P280" s="35" t="s">
        <v>51</v>
      </c>
      <c r="Q280" s="35"/>
      <c r="R280" s="35" t="s">
        <v>237</v>
      </c>
      <c r="S280" s="35" t="s">
        <v>79</v>
      </c>
      <c r="T280" s="35" t="s">
        <v>56</v>
      </c>
      <c r="U280" s="36">
        <v>25</v>
      </c>
      <c r="V280" s="36" t="s">
        <v>231</v>
      </c>
      <c r="W280" s="35" t="s">
        <v>46</v>
      </c>
      <c r="X280" s="29"/>
      <c r="Y280" s="36">
        <v>3900</v>
      </c>
      <c r="Z280" s="24">
        <f t="shared" si="10"/>
        <v>422.54991072689376</v>
      </c>
      <c r="AA280" s="19" t="s">
        <v>214</v>
      </c>
      <c r="AB280" s="36"/>
      <c r="AC280" s="35">
        <v>280</v>
      </c>
      <c r="AD280" s="35">
        <v>280</v>
      </c>
      <c r="AE280" s="35" t="s">
        <v>270</v>
      </c>
      <c r="AF280" s="35" t="s">
        <v>383</v>
      </c>
      <c r="AG280" s="35"/>
      <c r="AH280" s="35" t="s">
        <v>234</v>
      </c>
      <c r="AI280" s="35" t="s">
        <v>385</v>
      </c>
      <c r="AJ280" s="35" t="s">
        <v>270</v>
      </c>
      <c r="AK280" s="35" t="s">
        <v>234</v>
      </c>
      <c r="AL280" s="35" t="s">
        <v>90</v>
      </c>
      <c r="AM280" s="35" t="s">
        <v>386</v>
      </c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</row>
    <row r="281" spans="1:78" s="30" customFormat="1" ht="15.95" customHeight="1" x14ac:dyDescent="0.25">
      <c r="A281" s="18"/>
      <c r="B281" s="19">
        <v>194</v>
      </c>
      <c r="C281" s="20"/>
      <c r="D281" s="36">
        <v>20727</v>
      </c>
      <c r="E281" s="36">
        <v>1999</v>
      </c>
      <c r="F281" s="36" t="s">
        <v>1224</v>
      </c>
      <c r="G281" s="35" t="s">
        <v>382</v>
      </c>
      <c r="H281" s="35"/>
      <c r="I281" s="35" t="s">
        <v>41</v>
      </c>
      <c r="J281" s="35" t="s">
        <v>89</v>
      </c>
      <c r="K281" s="35" t="s">
        <v>161</v>
      </c>
      <c r="L281" s="35" t="s">
        <v>82</v>
      </c>
      <c r="M281" s="35" t="s">
        <v>82</v>
      </c>
      <c r="N281" s="35" t="s">
        <v>66</v>
      </c>
      <c r="O281" s="35" t="s">
        <v>292</v>
      </c>
      <c r="P281" s="35" t="s">
        <v>51</v>
      </c>
      <c r="Q281" s="35"/>
      <c r="R281" s="35" t="s">
        <v>237</v>
      </c>
      <c r="S281" s="35" t="s">
        <v>79</v>
      </c>
      <c r="T281" s="35" t="s">
        <v>56</v>
      </c>
      <c r="U281" s="36">
        <v>25</v>
      </c>
      <c r="V281" s="36" t="s">
        <v>231</v>
      </c>
      <c r="W281" s="35" t="s">
        <v>46</v>
      </c>
      <c r="X281" s="29"/>
      <c r="Y281" s="36">
        <v>2900</v>
      </c>
      <c r="Z281" s="24">
        <f t="shared" si="10"/>
        <v>314.20377977127998</v>
      </c>
      <c r="AA281" s="19" t="s">
        <v>214</v>
      </c>
      <c r="AB281" s="36"/>
      <c r="AC281" s="35">
        <v>280</v>
      </c>
      <c r="AD281" s="35">
        <v>280</v>
      </c>
      <c r="AE281" s="35" t="s">
        <v>270</v>
      </c>
      <c r="AF281" s="35" t="s">
        <v>383</v>
      </c>
      <c r="AG281" s="35"/>
      <c r="AH281" s="35" t="s">
        <v>234</v>
      </c>
      <c r="AI281" s="35" t="s">
        <v>385</v>
      </c>
      <c r="AJ281" s="35" t="s">
        <v>270</v>
      </c>
      <c r="AK281" s="35" t="s">
        <v>234</v>
      </c>
      <c r="AL281" s="35" t="s">
        <v>90</v>
      </c>
      <c r="AM281" s="35" t="s">
        <v>386</v>
      </c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</row>
    <row r="282" spans="1:78" s="30" customFormat="1" ht="15.95" customHeight="1" x14ac:dyDescent="0.25">
      <c r="A282" s="18"/>
      <c r="B282" s="19">
        <v>194</v>
      </c>
      <c r="C282" s="20"/>
      <c r="D282" s="36">
        <v>20727</v>
      </c>
      <c r="E282" s="36">
        <v>1999</v>
      </c>
      <c r="F282" s="36" t="s">
        <v>1224</v>
      </c>
      <c r="G282" s="35" t="s">
        <v>382</v>
      </c>
      <c r="H282" s="35"/>
      <c r="I282" s="35" t="s">
        <v>41</v>
      </c>
      <c r="J282" s="35" t="s">
        <v>89</v>
      </c>
      <c r="K282" s="35" t="s">
        <v>161</v>
      </c>
      <c r="L282" s="35" t="s">
        <v>82</v>
      </c>
      <c r="M282" s="35" t="s">
        <v>82</v>
      </c>
      <c r="N282" s="35" t="s">
        <v>66</v>
      </c>
      <c r="O282" s="35" t="s">
        <v>292</v>
      </c>
      <c r="P282" s="35" t="s">
        <v>51</v>
      </c>
      <c r="Q282" s="35"/>
      <c r="R282" s="35" t="s">
        <v>237</v>
      </c>
      <c r="S282" s="35" t="s">
        <v>79</v>
      </c>
      <c r="T282" s="35" t="s">
        <v>56</v>
      </c>
      <c r="U282" s="36">
        <v>25</v>
      </c>
      <c r="V282" s="36" t="s">
        <v>231</v>
      </c>
      <c r="W282" s="35" t="s">
        <v>46</v>
      </c>
      <c r="X282" s="29"/>
      <c r="Y282" s="36">
        <v>3700</v>
      </c>
      <c r="Z282" s="24">
        <f t="shared" si="10"/>
        <v>400.88068453577102</v>
      </c>
      <c r="AA282" s="19" t="s">
        <v>214</v>
      </c>
      <c r="AB282" s="36"/>
      <c r="AC282" s="35">
        <v>280</v>
      </c>
      <c r="AD282" s="35">
        <v>280</v>
      </c>
      <c r="AE282" s="35" t="s">
        <v>270</v>
      </c>
      <c r="AF282" s="35" t="s">
        <v>383</v>
      </c>
      <c r="AG282" s="35"/>
      <c r="AH282" s="35" t="s">
        <v>234</v>
      </c>
      <c r="AI282" s="35" t="s">
        <v>385</v>
      </c>
      <c r="AJ282" s="35" t="s">
        <v>270</v>
      </c>
      <c r="AK282" s="35" t="s">
        <v>234</v>
      </c>
      <c r="AL282" s="35" t="s">
        <v>90</v>
      </c>
      <c r="AM282" s="35" t="s">
        <v>386</v>
      </c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</row>
    <row r="283" spans="1:78" s="30" customFormat="1" ht="15.95" customHeight="1" x14ac:dyDescent="0.25">
      <c r="A283" s="18"/>
      <c r="B283" s="19">
        <v>194</v>
      </c>
      <c r="C283" s="20"/>
      <c r="D283" s="36">
        <v>20727</v>
      </c>
      <c r="E283" s="36">
        <v>1999</v>
      </c>
      <c r="F283" s="36" t="s">
        <v>1224</v>
      </c>
      <c r="G283" s="35" t="s">
        <v>382</v>
      </c>
      <c r="H283" s="35"/>
      <c r="I283" s="35" t="s">
        <v>41</v>
      </c>
      <c r="J283" s="35" t="s">
        <v>89</v>
      </c>
      <c r="K283" s="35" t="s">
        <v>161</v>
      </c>
      <c r="L283" s="35" t="s">
        <v>82</v>
      </c>
      <c r="M283" s="35" t="s">
        <v>82</v>
      </c>
      <c r="N283" s="35" t="s">
        <v>66</v>
      </c>
      <c r="O283" s="35" t="s">
        <v>292</v>
      </c>
      <c r="P283" s="35" t="s">
        <v>51</v>
      </c>
      <c r="Q283" s="35"/>
      <c r="R283" s="35" t="s">
        <v>237</v>
      </c>
      <c r="S283" s="35" t="s">
        <v>79</v>
      </c>
      <c r="T283" s="35" t="s">
        <v>56</v>
      </c>
      <c r="U283" s="36">
        <v>25</v>
      </c>
      <c r="V283" s="36" t="s">
        <v>231</v>
      </c>
      <c r="W283" s="35" t="s">
        <v>46</v>
      </c>
      <c r="X283" s="29"/>
      <c r="Y283" s="36">
        <v>2700</v>
      </c>
      <c r="Z283" s="24">
        <f t="shared" si="10"/>
        <v>292.53455358015725</v>
      </c>
      <c r="AA283" s="19" t="s">
        <v>214</v>
      </c>
      <c r="AB283" s="36"/>
      <c r="AC283" s="35">
        <v>280</v>
      </c>
      <c r="AD283" s="35">
        <v>280</v>
      </c>
      <c r="AE283" s="35" t="s">
        <v>270</v>
      </c>
      <c r="AF283" s="35" t="s">
        <v>383</v>
      </c>
      <c r="AG283" s="35"/>
      <c r="AH283" s="35" t="s">
        <v>234</v>
      </c>
      <c r="AI283" s="35" t="s">
        <v>385</v>
      </c>
      <c r="AJ283" s="35" t="s">
        <v>270</v>
      </c>
      <c r="AK283" s="35" t="s">
        <v>234</v>
      </c>
      <c r="AL283" s="35" t="s">
        <v>90</v>
      </c>
      <c r="AM283" s="35" t="s">
        <v>386</v>
      </c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</row>
    <row r="284" spans="1:78" s="30" customFormat="1" ht="15.95" customHeight="1" x14ac:dyDescent="0.25">
      <c r="A284" s="18"/>
      <c r="B284" s="19">
        <v>194</v>
      </c>
      <c r="C284" s="20"/>
      <c r="D284" s="36">
        <v>20727</v>
      </c>
      <c r="E284" s="36">
        <v>1999</v>
      </c>
      <c r="F284" s="36" t="s">
        <v>1224</v>
      </c>
      <c r="G284" s="35" t="s">
        <v>382</v>
      </c>
      <c r="H284" s="35"/>
      <c r="I284" s="35" t="s">
        <v>41</v>
      </c>
      <c r="J284" s="35" t="s">
        <v>89</v>
      </c>
      <c r="K284" s="35" t="s">
        <v>161</v>
      </c>
      <c r="L284" s="35" t="s">
        <v>82</v>
      </c>
      <c r="M284" s="35" t="s">
        <v>82</v>
      </c>
      <c r="N284" s="35" t="s">
        <v>66</v>
      </c>
      <c r="O284" s="35" t="s">
        <v>292</v>
      </c>
      <c r="P284" s="35" t="s">
        <v>51</v>
      </c>
      <c r="Q284" s="35"/>
      <c r="R284" s="35" t="s">
        <v>237</v>
      </c>
      <c r="S284" s="35" t="s">
        <v>79</v>
      </c>
      <c r="T284" s="35" t="s">
        <v>56</v>
      </c>
      <c r="U284" s="36">
        <v>25</v>
      </c>
      <c r="V284" s="36" t="s">
        <v>231</v>
      </c>
      <c r="W284" s="35" t="s">
        <v>46</v>
      </c>
      <c r="X284" s="29"/>
      <c r="Y284" s="36">
        <v>3700</v>
      </c>
      <c r="Z284" s="24">
        <f t="shared" si="10"/>
        <v>400.88068453577102</v>
      </c>
      <c r="AA284" s="19" t="s">
        <v>214</v>
      </c>
      <c r="AB284" s="36"/>
      <c r="AC284" s="35">
        <v>280</v>
      </c>
      <c r="AD284" s="35">
        <v>280</v>
      </c>
      <c r="AE284" s="35" t="s">
        <v>270</v>
      </c>
      <c r="AF284" s="35" t="s">
        <v>383</v>
      </c>
      <c r="AG284" s="35"/>
      <c r="AH284" s="35" t="s">
        <v>234</v>
      </c>
      <c r="AI284" s="35" t="s">
        <v>385</v>
      </c>
      <c r="AJ284" s="35" t="s">
        <v>270</v>
      </c>
      <c r="AK284" s="35" t="s">
        <v>234</v>
      </c>
      <c r="AL284" s="35" t="s">
        <v>90</v>
      </c>
      <c r="AM284" s="35" t="s">
        <v>386</v>
      </c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</row>
    <row r="285" spans="1:78" s="30" customFormat="1" ht="15.95" customHeight="1" x14ac:dyDescent="0.25">
      <c r="A285" s="18"/>
      <c r="B285" s="19">
        <v>194</v>
      </c>
      <c r="C285" s="20"/>
      <c r="D285" s="36">
        <v>20727</v>
      </c>
      <c r="E285" s="36">
        <v>1999</v>
      </c>
      <c r="F285" s="36" t="s">
        <v>1224</v>
      </c>
      <c r="G285" s="35" t="s">
        <v>382</v>
      </c>
      <c r="H285" s="35"/>
      <c r="I285" s="35" t="s">
        <v>41</v>
      </c>
      <c r="J285" s="35" t="s">
        <v>89</v>
      </c>
      <c r="K285" s="35" t="s">
        <v>161</v>
      </c>
      <c r="L285" s="35" t="s">
        <v>82</v>
      </c>
      <c r="M285" s="35" t="s">
        <v>82</v>
      </c>
      <c r="N285" s="35" t="s">
        <v>66</v>
      </c>
      <c r="O285" s="35" t="s">
        <v>292</v>
      </c>
      <c r="P285" s="35" t="s">
        <v>51</v>
      </c>
      <c r="Q285" s="35"/>
      <c r="R285" s="35" t="s">
        <v>237</v>
      </c>
      <c r="S285" s="35" t="s">
        <v>79</v>
      </c>
      <c r="T285" s="35" t="s">
        <v>56</v>
      </c>
      <c r="U285" s="36">
        <v>25</v>
      </c>
      <c r="V285" s="36" t="s">
        <v>231</v>
      </c>
      <c r="W285" s="35" t="s">
        <v>46</v>
      </c>
      <c r="X285" s="29"/>
      <c r="Y285" s="36">
        <v>2600</v>
      </c>
      <c r="Z285" s="24">
        <f t="shared" si="10"/>
        <v>281.69994048459586</v>
      </c>
      <c r="AA285" s="19" t="s">
        <v>214</v>
      </c>
      <c r="AB285" s="36"/>
      <c r="AC285" s="35">
        <v>280</v>
      </c>
      <c r="AD285" s="35">
        <v>280</v>
      </c>
      <c r="AE285" s="35" t="s">
        <v>270</v>
      </c>
      <c r="AF285" s="35" t="s">
        <v>383</v>
      </c>
      <c r="AG285" s="35"/>
      <c r="AH285" s="35" t="s">
        <v>234</v>
      </c>
      <c r="AI285" s="35" t="s">
        <v>385</v>
      </c>
      <c r="AJ285" s="35" t="s">
        <v>270</v>
      </c>
      <c r="AK285" s="35" t="s">
        <v>234</v>
      </c>
      <c r="AL285" s="35" t="s">
        <v>90</v>
      </c>
      <c r="AM285" s="35" t="s">
        <v>386</v>
      </c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</row>
    <row r="286" spans="1:78" s="30" customFormat="1" ht="15.95" customHeight="1" x14ac:dyDescent="0.25">
      <c r="A286" s="18"/>
      <c r="B286" s="19">
        <v>194</v>
      </c>
      <c r="C286" s="20"/>
      <c r="D286" s="36">
        <v>20727</v>
      </c>
      <c r="E286" s="36">
        <v>1999</v>
      </c>
      <c r="F286" s="36" t="s">
        <v>1224</v>
      </c>
      <c r="G286" s="35" t="s">
        <v>382</v>
      </c>
      <c r="H286" s="35"/>
      <c r="I286" s="35" t="s">
        <v>41</v>
      </c>
      <c r="J286" s="35" t="s">
        <v>89</v>
      </c>
      <c r="K286" s="35" t="s">
        <v>161</v>
      </c>
      <c r="L286" s="35" t="s">
        <v>82</v>
      </c>
      <c r="M286" s="35" t="s">
        <v>82</v>
      </c>
      <c r="N286" s="35" t="s">
        <v>66</v>
      </c>
      <c r="O286" s="35" t="s">
        <v>292</v>
      </c>
      <c r="P286" s="35" t="s">
        <v>51</v>
      </c>
      <c r="Q286" s="35"/>
      <c r="R286" s="35" t="s">
        <v>237</v>
      </c>
      <c r="S286" s="35" t="s">
        <v>79</v>
      </c>
      <c r="T286" s="35" t="s">
        <v>56</v>
      </c>
      <c r="U286" s="36">
        <v>25</v>
      </c>
      <c r="V286" s="36" t="s">
        <v>231</v>
      </c>
      <c r="W286" s="35" t="s">
        <v>46</v>
      </c>
      <c r="X286" s="29"/>
      <c r="Y286" s="36">
        <v>2600</v>
      </c>
      <c r="Z286" s="24">
        <f t="shared" si="10"/>
        <v>281.69994048459586</v>
      </c>
      <c r="AA286" s="19" t="s">
        <v>214</v>
      </c>
      <c r="AB286" s="36"/>
      <c r="AC286" s="35">
        <v>280</v>
      </c>
      <c r="AD286" s="35">
        <v>280</v>
      </c>
      <c r="AE286" s="35" t="s">
        <v>270</v>
      </c>
      <c r="AF286" s="35" t="s">
        <v>383</v>
      </c>
      <c r="AG286" s="35"/>
      <c r="AH286" s="35" t="s">
        <v>234</v>
      </c>
      <c r="AI286" s="35" t="s">
        <v>385</v>
      </c>
      <c r="AJ286" s="35" t="s">
        <v>270</v>
      </c>
      <c r="AK286" s="35" t="s">
        <v>234</v>
      </c>
      <c r="AL286" s="35" t="s">
        <v>90</v>
      </c>
      <c r="AM286" s="35" t="s">
        <v>386</v>
      </c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  <c r="BB286" s="20"/>
      <c r="BC286" s="20"/>
      <c r="BD286" s="20"/>
      <c r="BE286" s="20"/>
      <c r="BF286" s="20"/>
      <c r="BG286" s="20"/>
      <c r="BH286" s="20"/>
      <c r="BI286" s="20"/>
      <c r="BJ286" s="20"/>
      <c r="BK286" s="20"/>
      <c r="BL286" s="20"/>
      <c r="BM286" s="20"/>
      <c r="BN286" s="20"/>
      <c r="BO286" s="20"/>
      <c r="BP286" s="20"/>
      <c r="BQ286" s="20"/>
      <c r="BR286" s="20"/>
      <c r="BS286" s="20"/>
      <c r="BT286" s="20"/>
      <c r="BU286" s="20"/>
      <c r="BV286" s="20"/>
      <c r="BW286" s="20"/>
      <c r="BX286" s="20"/>
      <c r="BY286" s="20"/>
      <c r="BZ286" s="20"/>
    </row>
    <row r="287" spans="1:78" s="30" customFormat="1" ht="15.95" customHeight="1" x14ac:dyDescent="0.25">
      <c r="A287" s="18"/>
      <c r="B287" s="19">
        <v>194</v>
      </c>
      <c r="C287" s="20"/>
      <c r="D287" s="36">
        <v>20727</v>
      </c>
      <c r="E287" s="36">
        <v>1999</v>
      </c>
      <c r="F287" s="36" t="s">
        <v>1224</v>
      </c>
      <c r="G287" s="35" t="s">
        <v>382</v>
      </c>
      <c r="H287" s="35"/>
      <c r="I287" s="35" t="s">
        <v>41</v>
      </c>
      <c r="J287" s="35" t="s">
        <v>89</v>
      </c>
      <c r="K287" s="35" t="s">
        <v>161</v>
      </c>
      <c r="L287" s="35" t="s">
        <v>82</v>
      </c>
      <c r="M287" s="35" t="s">
        <v>82</v>
      </c>
      <c r="N287" s="35" t="s">
        <v>66</v>
      </c>
      <c r="O287" s="35" t="s">
        <v>292</v>
      </c>
      <c r="P287" s="35" t="s">
        <v>51</v>
      </c>
      <c r="Q287" s="35"/>
      <c r="R287" s="35" t="s">
        <v>237</v>
      </c>
      <c r="S287" s="35" t="s">
        <v>79</v>
      </c>
      <c r="T287" s="35" t="s">
        <v>56</v>
      </c>
      <c r="U287" s="36">
        <v>25</v>
      </c>
      <c r="V287" s="36" t="s">
        <v>231</v>
      </c>
      <c r="W287" s="35" t="s">
        <v>46</v>
      </c>
      <c r="X287" s="29"/>
      <c r="Y287" s="36">
        <v>2700</v>
      </c>
      <c r="Z287" s="24">
        <f t="shared" si="10"/>
        <v>292.53455358015725</v>
      </c>
      <c r="AA287" s="19" t="s">
        <v>214</v>
      </c>
      <c r="AB287" s="36"/>
      <c r="AC287" s="35">
        <v>280</v>
      </c>
      <c r="AD287" s="35">
        <v>280</v>
      </c>
      <c r="AE287" s="35" t="s">
        <v>270</v>
      </c>
      <c r="AF287" s="35" t="s">
        <v>383</v>
      </c>
      <c r="AG287" s="35"/>
      <c r="AH287" s="35" t="s">
        <v>234</v>
      </c>
      <c r="AI287" s="35" t="s">
        <v>385</v>
      </c>
      <c r="AJ287" s="35" t="s">
        <v>270</v>
      </c>
      <c r="AK287" s="35" t="s">
        <v>234</v>
      </c>
      <c r="AL287" s="35" t="s">
        <v>90</v>
      </c>
      <c r="AM287" s="35" t="s">
        <v>386</v>
      </c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</row>
    <row r="288" spans="1:78" s="30" customFormat="1" ht="15.95" customHeight="1" x14ac:dyDescent="0.25">
      <c r="A288" s="18"/>
      <c r="B288" s="19">
        <v>194</v>
      </c>
      <c r="C288" s="20"/>
      <c r="D288" s="36">
        <v>20727</v>
      </c>
      <c r="E288" s="36">
        <v>1999</v>
      </c>
      <c r="F288" s="36" t="s">
        <v>1224</v>
      </c>
      <c r="G288" s="35" t="s">
        <v>382</v>
      </c>
      <c r="H288" s="35"/>
      <c r="I288" s="35" t="s">
        <v>41</v>
      </c>
      <c r="J288" s="35" t="s">
        <v>89</v>
      </c>
      <c r="K288" s="35" t="s">
        <v>161</v>
      </c>
      <c r="L288" s="35" t="s">
        <v>82</v>
      </c>
      <c r="M288" s="35" t="s">
        <v>82</v>
      </c>
      <c r="N288" s="35" t="s">
        <v>66</v>
      </c>
      <c r="O288" s="35" t="s">
        <v>292</v>
      </c>
      <c r="P288" s="35" t="s">
        <v>51</v>
      </c>
      <c r="Q288" s="35"/>
      <c r="R288" s="35" t="s">
        <v>237</v>
      </c>
      <c r="S288" s="35" t="s">
        <v>79</v>
      </c>
      <c r="T288" s="35" t="s">
        <v>56</v>
      </c>
      <c r="U288" s="36">
        <v>25</v>
      </c>
      <c r="V288" s="36" t="s">
        <v>231</v>
      </c>
      <c r="W288" s="35" t="s">
        <v>46</v>
      </c>
      <c r="X288" s="29"/>
      <c r="Y288" s="36">
        <v>2900</v>
      </c>
      <c r="Z288" s="24">
        <f t="shared" si="10"/>
        <v>314.20377977127998</v>
      </c>
      <c r="AA288" s="19" t="s">
        <v>214</v>
      </c>
      <c r="AB288" s="36"/>
      <c r="AC288" s="35">
        <v>280</v>
      </c>
      <c r="AD288" s="35">
        <v>280</v>
      </c>
      <c r="AE288" s="35" t="s">
        <v>270</v>
      </c>
      <c r="AF288" s="35" t="s">
        <v>383</v>
      </c>
      <c r="AG288" s="35"/>
      <c r="AH288" s="35" t="s">
        <v>234</v>
      </c>
      <c r="AI288" s="35" t="s">
        <v>385</v>
      </c>
      <c r="AJ288" s="35" t="s">
        <v>270</v>
      </c>
      <c r="AK288" s="35" t="s">
        <v>234</v>
      </c>
      <c r="AL288" s="35" t="s">
        <v>90</v>
      </c>
      <c r="AM288" s="35" t="s">
        <v>386</v>
      </c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  <c r="BB288" s="20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20"/>
      <c r="BS288" s="20"/>
      <c r="BT288" s="20"/>
      <c r="BU288" s="20"/>
      <c r="BV288" s="20"/>
      <c r="BW288" s="20"/>
      <c r="BX288" s="20"/>
      <c r="BY288" s="20"/>
      <c r="BZ288" s="20"/>
    </row>
    <row r="289" spans="1:78" s="30" customFormat="1" ht="15.95" customHeight="1" x14ac:dyDescent="0.25">
      <c r="A289" s="18"/>
      <c r="B289" s="19">
        <v>194</v>
      </c>
      <c r="C289" s="20"/>
      <c r="D289" s="36">
        <v>20727</v>
      </c>
      <c r="E289" s="36">
        <v>1999</v>
      </c>
      <c r="F289" s="36" t="s">
        <v>1224</v>
      </c>
      <c r="G289" s="35" t="s">
        <v>382</v>
      </c>
      <c r="H289" s="35"/>
      <c r="I289" s="35" t="s">
        <v>41</v>
      </c>
      <c r="J289" s="35" t="s">
        <v>89</v>
      </c>
      <c r="K289" s="35" t="s">
        <v>161</v>
      </c>
      <c r="L289" s="35" t="s">
        <v>82</v>
      </c>
      <c r="M289" s="35" t="s">
        <v>82</v>
      </c>
      <c r="N289" s="35" t="s">
        <v>66</v>
      </c>
      <c r="O289" s="35" t="s">
        <v>292</v>
      </c>
      <c r="P289" s="35" t="s">
        <v>51</v>
      </c>
      <c r="Q289" s="35"/>
      <c r="R289" s="35" t="s">
        <v>237</v>
      </c>
      <c r="S289" s="35" t="s">
        <v>79</v>
      </c>
      <c r="T289" s="35" t="s">
        <v>56</v>
      </c>
      <c r="U289" s="36">
        <v>25</v>
      </c>
      <c r="V289" s="36" t="s">
        <v>231</v>
      </c>
      <c r="W289" s="35" t="s">
        <v>46</v>
      </c>
      <c r="X289" s="29"/>
      <c r="Y289" s="36">
        <v>3800</v>
      </c>
      <c r="Z289" s="24">
        <f t="shared" si="10"/>
        <v>411.71529763133242</v>
      </c>
      <c r="AA289" s="19" t="s">
        <v>214</v>
      </c>
      <c r="AB289" s="36"/>
      <c r="AC289" s="35">
        <v>280</v>
      </c>
      <c r="AD289" s="35">
        <v>280</v>
      </c>
      <c r="AE289" s="35" t="s">
        <v>270</v>
      </c>
      <c r="AF289" s="35" t="s">
        <v>383</v>
      </c>
      <c r="AG289" s="35"/>
      <c r="AH289" s="35" t="s">
        <v>234</v>
      </c>
      <c r="AI289" s="35" t="s">
        <v>385</v>
      </c>
      <c r="AJ289" s="35" t="s">
        <v>270</v>
      </c>
      <c r="AK289" s="35" t="s">
        <v>234</v>
      </c>
      <c r="AL289" s="35" t="s">
        <v>90</v>
      </c>
      <c r="AM289" s="35" t="s">
        <v>386</v>
      </c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</row>
    <row r="290" spans="1:78" s="30" customFormat="1" ht="15.95" customHeight="1" x14ac:dyDescent="0.25">
      <c r="A290" s="18"/>
      <c r="B290" s="19">
        <v>194</v>
      </c>
      <c r="C290" s="20"/>
      <c r="D290" s="36">
        <v>20727</v>
      </c>
      <c r="E290" s="36">
        <v>1999</v>
      </c>
      <c r="F290" s="36" t="s">
        <v>1224</v>
      </c>
      <c r="G290" s="35" t="s">
        <v>382</v>
      </c>
      <c r="H290" s="35"/>
      <c r="I290" s="35" t="s">
        <v>41</v>
      </c>
      <c r="J290" s="35" t="s">
        <v>89</v>
      </c>
      <c r="K290" s="35" t="s">
        <v>161</v>
      </c>
      <c r="L290" s="35" t="s">
        <v>82</v>
      </c>
      <c r="M290" s="35" t="s">
        <v>82</v>
      </c>
      <c r="N290" s="35" t="s">
        <v>66</v>
      </c>
      <c r="O290" s="35" t="s">
        <v>292</v>
      </c>
      <c r="P290" s="35" t="s">
        <v>51</v>
      </c>
      <c r="Q290" s="35"/>
      <c r="R290" s="35" t="s">
        <v>237</v>
      </c>
      <c r="S290" s="35" t="s">
        <v>79</v>
      </c>
      <c r="T290" s="35" t="s">
        <v>56</v>
      </c>
      <c r="U290" s="36">
        <v>25</v>
      </c>
      <c r="V290" s="36" t="s">
        <v>231</v>
      </c>
      <c r="W290" s="35" t="s">
        <v>46</v>
      </c>
      <c r="X290" s="29"/>
      <c r="Y290" s="36">
        <v>3800</v>
      </c>
      <c r="Z290" s="24">
        <f t="shared" si="10"/>
        <v>411.71529763133242</v>
      </c>
      <c r="AA290" s="19" t="s">
        <v>214</v>
      </c>
      <c r="AB290" s="36"/>
      <c r="AC290" s="35">
        <v>280</v>
      </c>
      <c r="AD290" s="35">
        <v>280</v>
      </c>
      <c r="AE290" s="35" t="s">
        <v>270</v>
      </c>
      <c r="AF290" s="35" t="s">
        <v>383</v>
      </c>
      <c r="AG290" s="35"/>
      <c r="AH290" s="35" t="s">
        <v>234</v>
      </c>
      <c r="AI290" s="35" t="s">
        <v>385</v>
      </c>
      <c r="AJ290" s="35" t="s">
        <v>270</v>
      </c>
      <c r="AK290" s="35" t="s">
        <v>234</v>
      </c>
      <c r="AL290" s="35" t="s">
        <v>90</v>
      </c>
      <c r="AM290" s="35" t="s">
        <v>386</v>
      </c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</row>
    <row r="291" spans="1:78" s="53" customFormat="1" ht="15.95" customHeight="1" x14ac:dyDescent="0.25">
      <c r="A291" s="46"/>
      <c r="B291" s="47"/>
      <c r="C291" s="47"/>
      <c r="D291" s="47"/>
      <c r="E291" s="48"/>
      <c r="F291" s="47"/>
      <c r="G291" s="47"/>
      <c r="H291" s="47"/>
      <c r="I291" s="49"/>
      <c r="J291" s="47"/>
      <c r="K291" s="47"/>
      <c r="L291" s="47"/>
      <c r="M291" s="47"/>
      <c r="N291" s="47"/>
      <c r="O291" s="47"/>
      <c r="P291" s="49"/>
      <c r="Q291" s="47"/>
      <c r="R291" s="47"/>
      <c r="S291" s="47"/>
      <c r="T291" s="47"/>
      <c r="U291" s="47"/>
      <c r="V291" s="47"/>
      <c r="W291" s="47"/>
      <c r="X291" s="50"/>
      <c r="Y291" s="47">
        <f>GEOMEAN(Y256:Y261,Y263:Y268,Y270:Y290)</f>
        <v>3291.9293280363158</v>
      </c>
      <c r="Z291" s="51"/>
      <c r="AA291" s="47"/>
      <c r="AB291" s="47"/>
      <c r="AC291" s="49"/>
      <c r="AD291" s="49"/>
      <c r="AE291" s="47"/>
      <c r="AF291" s="47"/>
      <c r="AG291" s="47"/>
      <c r="AH291" s="47"/>
      <c r="AI291" s="47"/>
      <c r="AJ291" s="47"/>
      <c r="AK291" s="47"/>
      <c r="AL291" s="47"/>
      <c r="AM291" s="47"/>
      <c r="AN291" s="52"/>
      <c r="AO291" s="52"/>
      <c r="AP291" s="52"/>
      <c r="AQ291" s="52"/>
      <c r="AR291" s="52"/>
      <c r="AS291" s="52"/>
      <c r="AT291" s="52"/>
      <c r="AU291" s="52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2"/>
      <c r="BI291" s="52"/>
      <c r="BJ291" s="52"/>
      <c r="BK291" s="52"/>
      <c r="BL291" s="52"/>
      <c r="BM291" s="52"/>
      <c r="BN291" s="52"/>
      <c r="BO291" s="52"/>
      <c r="BP291" s="52"/>
      <c r="BQ291" s="52"/>
      <c r="BR291" s="52"/>
      <c r="BS291" s="52"/>
      <c r="BT291" s="52"/>
      <c r="BU291" s="52"/>
      <c r="BV291" s="52"/>
      <c r="BW291" s="52"/>
      <c r="BX291" s="52"/>
      <c r="BY291" s="52"/>
      <c r="BZ291" s="52"/>
    </row>
    <row r="292" spans="1:78" s="30" customFormat="1" ht="15.95" customHeight="1" x14ac:dyDescent="0.25">
      <c r="A292" s="18"/>
      <c r="B292" s="19">
        <v>194</v>
      </c>
      <c r="C292" s="20"/>
      <c r="D292" s="36">
        <v>20727</v>
      </c>
      <c r="E292" s="36">
        <v>1999</v>
      </c>
      <c r="F292" s="36" t="s">
        <v>1224</v>
      </c>
      <c r="G292" s="35" t="s">
        <v>382</v>
      </c>
      <c r="H292" s="35"/>
      <c r="I292" s="35" t="s">
        <v>41</v>
      </c>
      <c r="J292" s="35" t="s">
        <v>89</v>
      </c>
      <c r="K292" s="35" t="s">
        <v>161</v>
      </c>
      <c r="L292" s="35" t="s">
        <v>82</v>
      </c>
      <c r="M292" s="35" t="s">
        <v>82</v>
      </c>
      <c r="N292" s="35" t="s">
        <v>66</v>
      </c>
      <c r="O292" s="35" t="s">
        <v>292</v>
      </c>
      <c r="P292" s="35" t="s">
        <v>51</v>
      </c>
      <c r="Q292" s="35"/>
      <c r="R292" s="35" t="s">
        <v>237</v>
      </c>
      <c r="S292" s="35" t="s">
        <v>79</v>
      </c>
      <c r="T292" s="35" t="s">
        <v>56</v>
      </c>
      <c r="U292" s="36">
        <v>26</v>
      </c>
      <c r="V292" s="36" t="s">
        <v>231</v>
      </c>
      <c r="W292" s="35" t="s">
        <v>46</v>
      </c>
      <c r="X292" s="29"/>
      <c r="Y292" s="36">
        <v>3800</v>
      </c>
      <c r="Z292" s="24">
        <f t="shared" ref="Z292:Z319" si="11">Y292/((AC292/30)^0.995)</f>
        <v>411.71529763133242</v>
      </c>
      <c r="AA292" s="19" t="s">
        <v>214</v>
      </c>
      <c r="AB292" s="36"/>
      <c r="AC292" s="35">
        <v>280</v>
      </c>
      <c r="AD292" s="35">
        <v>280</v>
      </c>
      <c r="AE292" s="35" t="s">
        <v>270</v>
      </c>
      <c r="AF292" s="35" t="s">
        <v>383</v>
      </c>
      <c r="AG292" s="35"/>
      <c r="AH292" s="35" t="s">
        <v>234</v>
      </c>
      <c r="AI292" s="35" t="s">
        <v>385</v>
      </c>
      <c r="AJ292" s="35" t="s">
        <v>270</v>
      </c>
      <c r="AK292" s="35" t="s">
        <v>234</v>
      </c>
      <c r="AL292" s="35" t="s">
        <v>90</v>
      </c>
      <c r="AM292" s="35" t="s">
        <v>386</v>
      </c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</row>
    <row r="293" spans="1:78" s="30" customFormat="1" ht="15.95" customHeight="1" x14ac:dyDescent="0.25">
      <c r="A293" s="18"/>
      <c r="B293" s="19">
        <v>194</v>
      </c>
      <c r="C293" s="20"/>
      <c r="D293" s="36">
        <v>20727</v>
      </c>
      <c r="E293" s="36">
        <v>1999</v>
      </c>
      <c r="F293" s="36" t="s">
        <v>1224</v>
      </c>
      <c r="G293" s="35" t="s">
        <v>382</v>
      </c>
      <c r="H293" s="35"/>
      <c r="I293" s="35" t="s">
        <v>41</v>
      </c>
      <c r="J293" s="35" t="s">
        <v>89</v>
      </c>
      <c r="K293" s="35" t="s">
        <v>161</v>
      </c>
      <c r="L293" s="35" t="s">
        <v>82</v>
      </c>
      <c r="M293" s="35" t="s">
        <v>82</v>
      </c>
      <c r="N293" s="35" t="s">
        <v>66</v>
      </c>
      <c r="O293" s="35" t="s">
        <v>292</v>
      </c>
      <c r="P293" s="35" t="s">
        <v>51</v>
      </c>
      <c r="Q293" s="35"/>
      <c r="R293" s="35" t="s">
        <v>237</v>
      </c>
      <c r="S293" s="35" t="s">
        <v>79</v>
      </c>
      <c r="T293" s="35" t="s">
        <v>56</v>
      </c>
      <c r="U293" s="36">
        <v>26</v>
      </c>
      <c r="V293" s="36" t="s">
        <v>231</v>
      </c>
      <c r="W293" s="35" t="s">
        <v>46</v>
      </c>
      <c r="X293" s="29"/>
      <c r="Y293" s="36">
        <v>2900</v>
      </c>
      <c r="Z293" s="24">
        <f t="shared" si="11"/>
        <v>314.20377977127998</v>
      </c>
      <c r="AA293" s="19" t="s">
        <v>214</v>
      </c>
      <c r="AB293" s="36"/>
      <c r="AC293" s="35">
        <v>280</v>
      </c>
      <c r="AD293" s="35">
        <v>280</v>
      </c>
      <c r="AE293" s="35" t="s">
        <v>270</v>
      </c>
      <c r="AF293" s="35" t="s">
        <v>383</v>
      </c>
      <c r="AG293" s="35"/>
      <c r="AH293" s="35" t="s">
        <v>234</v>
      </c>
      <c r="AI293" s="35" t="s">
        <v>385</v>
      </c>
      <c r="AJ293" s="35" t="s">
        <v>270</v>
      </c>
      <c r="AK293" s="35" t="s">
        <v>234</v>
      </c>
      <c r="AL293" s="35" t="s">
        <v>90</v>
      </c>
      <c r="AM293" s="35" t="s">
        <v>386</v>
      </c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</row>
    <row r="294" spans="1:78" s="30" customFormat="1" ht="15.95" customHeight="1" x14ac:dyDescent="0.25">
      <c r="A294" s="18"/>
      <c r="B294" s="19">
        <v>194</v>
      </c>
      <c r="C294" s="20"/>
      <c r="D294" s="36">
        <v>20727</v>
      </c>
      <c r="E294" s="36">
        <v>1999</v>
      </c>
      <c r="F294" s="36" t="s">
        <v>1224</v>
      </c>
      <c r="G294" s="35" t="s">
        <v>382</v>
      </c>
      <c r="H294" s="35"/>
      <c r="I294" s="35" t="s">
        <v>41</v>
      </c>
      <c r="J294" s="35" t="s">
        <v>89</v>
      </c>
      <c r="K294" s="35" t="s">
        <v>161</v>
      </c>
      <c r="L294" s="35" t="s">
        <v>82</v>
      </c>
      <c r="M294" s="35" t="s">
        <v>82</v>
      </c>
      <c r="N294" s="35" t="s">
        <v>66</v>
      </c>
      <c r="O294" s="35" t="s">
        <v>292</v>
      </c>
      <c r="P294" s="35" t="s">
        <v>51</v>
      </c>
      <c r="Q294" s="35"/>
      <c r="R294" s="35" t="s">
        <v>237</v>
      </c>
      <c r="S294" s="35" t="s">
        <v>79</v>
      </c>
      <c r="T294" s="35" t="s">
        <v>56</v>
      </c>
      <c r="U294" s="36">
        <v>26</v>
      </c>
      <c r="V294" s="36" t="s">
        <v>231</v>
      </c>
      <c r="W294" s="35" t="s">
        <v>46</v>
      </c>
      <c r="X294" s="29"/>
      <c r="Y294" s="36">
        <v>3400</v>
      </c>
      <c r="Z294" s="24">
        <f t="shared" si="11"/>
        <v>368.3768452490869</v>
      </c>
      <c r="AA294" s="19" t="s">
        <v>214</v>
      </c>
      <c r="AB294" s="36"/>
      <c r="AC294" s="35">
        <v>280</v>
      </c>
      <c r="AD294" s="35">
        <v>280</v>
      </c>
      <c r="AE294" s="35" t="s">
        <v>270</v>
      </c>
      <c r="AF294" s="35" t="s">
        <v>383</v>
      </c>
      <c r="AG294" s="35"/>
      <c r="AH294" s="35" t="s">
        <v>234</v>
      </c>
      <c r="AI294" s="35" t="s">
        <v>385</v>
      </c>
      <c r="AJ294" s="35" t="s">
        <v>270</v>
      </c>
      <c r="AK294" s="35" t="s">
        <v>234</v>
      </c>
      <c r="AL294" s="35" t="s">
        <v>90</v>
      </c>
      <c r="AM294" s="35" t="s">
        <v>386</v>
      </c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</row>
    <row r="295" spans="1:78" s="30" customFormat="1" ht="15.95" customHeight="1" x14ac:dyDescent="0.25">
      <c r="A295" s="18"/>
      <c r="B295" s="19">
        <v>194</v>
      </c>
      <c r="C295" s="20"/>
      <c r="D295" s="36">
        <v>20727</v>
      </c>
      <c r="E295" s="36">
        <v>1999</v>
      </c>
      <c r="F295" s="36" t="s">
        <v>1224</v>
      </c>
      <c r="G295" s="35" t="s">
        <v>382</v>
      </c>
      <c r="H295" s="35"/>
      <c r="I295" s="35" t="s">
        <v>41</v>
      </c>
      <c r="J295" s="35" t="s">
        <v>89</v>
      </c>
      <c r="K295" s="35" t="s">
        <v>161</v>
      </c>
      <c r="L295" s="35" t="s">
        <v>82</v>
      </c>
      <c r="M295" s="35" t="s">
        <v>82</v>
      </c>
      <c r="N295" s="35" t="s">
        <v>66</v>
      </c>
      <c r="O295" s="35" t="s">
        <v>292</v>
      </c>
      <c r="P295" s="35" t="s">
        <v>51</v>
      </c>
      <c r="Q295" s="35"/>
      <c r="R295" s="35" t="s">
        <v>237</v>
      </c>
      <c r="S295" s="35" t="s">
        <v>79</v>
      </c>
      <c r="T295" s="35" t="s">
        <v>56</v>
      </c>
      <c r="U295" s="36">
        <v>26</v>
      </c>
      <c r="V295" s="36" t="s">
        <v>231</v>
      </c>
      <c r="W295" s="35" t="s">
        <v>46</v>
      </c>
      <c r="X295" s="29"/>
      <c r="Y295" s="36">
        <v>3100</v>
      </c>
      <c r="Z295" s="24">
        <f t="shared" si="11"/>
        <v>335.87300596240277</v>
      </c>
      <c r="AA295" s="19" t="s">
        <v>214</v>
      </c>
      <c r="AB295" s="36"/>
      <c r="AC295" s="35">
        <v>280</v>
      </c>
      <c r="AD295" s="35">
        <v>280</v>
      </c>
      <c r="AE295" s="35" t="s">
        <v>270</v>
      </c>
      <c r="AF295" s="35" t="s">
        <v>383</v>
      </c>
      <c r="AG295" s="35"/>
      <c r="AH295" s="35" t="s">
        <v>234</v>
      </c>
      <c r="AI295" s="35" t="s">
        <v>385</v>
      </c>
      <c r="AJ295" s="35" t="s">
        <v>270</v>
      </c>
      <c r="AK295" s="35" t="s">
        <v>234</v>
      </c>
      <c r="AL295" s="35" t="s">
        <v>90</v>
      </c>
      <c r="AM295" s="35" t="s">
        <v>386</v>
      </c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</row>
    <row r="296" spans="1:78" s="30" customFormat="1" ht="15.95" customHeight="1" x14ac:dyDescent="0.25">
      <c r="A296" s="18"/>
      <c r="B296" s="19">
        <v>194</v>
      </c>
      <c r="C296" s="20"/>
      <c r="D296" s="36">
        <v>20727</v>
      </c>
      <c r="E296" s="36">
        <v>1999</v>
      </c>
      <c r="F296" s="36" t="s">
        <v>1224</v>
      </c>
      <c r="G296" s="35" t="s">
        <v>382</v>
      </c>
      <c r="H296" s="35"/>
      <c r="I296" s="35" t="s">
        <v>41</v>
      </c>
      <c r="J296" s="35" t="s">
        <v>89</v>
      </c>
      <c r="K296" s="35" t="s">
        <v>161</v>
      </c>
      <c r="L296" s="35" t="s">
        <v>82</v>
      </c>
      <c r="M296" s="35" t="s">
        <v>82</v>
      </c>
      <c r="N296" s="35" t="s">
        <v>66</v>
      </c>
      <c r="O296" s="35" t="s">
        <v>292</v>
      </c>
      <c r="P296" s="35" t="s">
        <v>51</v>
      </c>
      <c r="Q296" s="35"/>
      <c r="R296" s="35" t="s">
        <v>237</v>
      </c>
      <c r="S296" s="35" t="s">
        <v>79</v>
      </c>
      <c r="T296" s="35" t="s">
        <v>56</v>
      </c>
      <c r="U296" s="36">
        <v>26</v>
      </c>
      <c r="V296" s="36" t="s">
        <v>231</v>
      </c>
      <c r="W296" s="35" t="s">
        <v>46</v>
      </c>
      <c r="X296" s="29"/>
      <c r="Y296" s="36">
        <v>3200</v>
      </c>
      <c r="Z296" s="24">
        <f t="shared" si="11"/>
        <v>346.70761905796411</v>
      </c>
      <c r="AA296" s="19" t="s">
        <v>214</v>
      </c>
      <c r="AB296" s="36"/>
      <c r="AC296" s="35">
        <v>280</v>
      </c>
      <c r="AD296" s="35">
        <v>280</v>
      </c>
      <c r="AE296" s="35" t="s">
        <v>270</v>
      </c>
      <c r="AF296" s="35" t="s">
        <v>383</v>
      </c>
      <c r="AG296" s="35"/>
      <c r="AH296" s="35" t="s">
        <v>234</v>
      </c>
      <c r="AI296" s="35" t="s">
        <v>385</v>
      </c>
      <c r="AJ296" s="35" t="s">
        <v>270</v>
      </c>
      <c r="AK296" s="35" t="s">
        <v>234</v>
      </c>
      <c r="AL296" s="35" t="s">
        <v>90</v>
      </c>
      <c r="AM296" s="35" t="s">
        <v>386</v>
      </c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</row>
    <row r="297" spans="1:78" s="30" customFormat="1" ht="15.95" customHeight="1" x14ac:dyDescent="0.25">
      <c r="A297" s="18"/>
      <c r="B297" s="19">
        <v>194</v>
      </c>
      <c r="C297" s="20"/>
      <c r="D297" s="36">
        <v>20727</v>
      </c>
      <c r="E297" s="36">
        <v>1999</v>
      </c>
      <c r="F297" s="36" t="s">
        <v>1224</v>
      </c>
      <c r="G297" s="35" t="s">
        <v>382</v>
      </c>
      <c r="H297" s="35"/>
      <c r="I297" s="35" t="s">
        <v>41</v>
      </c>
      <c r="J297" s="35" t="s">
        <v>89</v>
      </c>
      <c r="K297" s="35" t="s">
        <v>161</v>
      </c>
      <c r="L297" s="35" t="s">
        <v>82</v>
      </c>
      <c r="M297" s="35" t="s">
        <v>82</v>
      </c>
      <c r="N297" s="35" t="s">
        <v>66</v>
      </c>
      <c r="O297" s="35" t="s">
        <v>292</v>
      </c>
      <c r="P297" s="35" t="s">
        <v>51</v>
      </c>
      <c r="Q297" s="35"/>
      <c r="R297" s="35" t="s">
        <v>237</v>
      </c>
      <c r="S297" s="35" t="s">
        <v>79</v>
      </c>
      <c r="T297" s="35" t="s">
        <v>56</v>
      </c>
      <c r="U297" s="36">
        <v>26</v>
      </c>
      <c r="V297" s="36" t="s">
        <v>231</v>
      </c>
      <c r="W297" s="35" t="s">
        <v>46</v>
      </c>
      <c r="X297" s="29"/>
      <c r="Y297" s="36">
        <v>2500</v>
      </c>
      <c r="Z297" s="24">
        <f t="shared" si="11"/>
        <v>270.86532738903446</v>
      </c>
      <c r="AA297" s="19" t="s">
        <v>214</v>
      </c>
      <c r="AB297" s="36"/>
      <c r="AC297" s="35">
        <v>280</v>
      </c>
      <c r="AD297" s="35">
        <v>280</v>
      </c>
      <c r="AE297" s="35" t="s">
        <v>270</v>
      </c>
      <c r="AF297" s="35" t="s">
        <v>383</v>
      </c>
      <c r="AG297" s="35"/>
      <c r="AH297" s="35" t="s">
        <v>234</v>
      </c>
      <c r="AI297" s="35" t="s">
        <v>385</v>
      </c>
      <c r="AJ297" s="35" t="s">
        <v>270</v>
      </c>
      <c r="AK297" s="35" t="s">
        <v>234</v>
      </c>
      <c r="AL297" s="35" t="s">
        <v>90</v>
      </c>
      <c r="AM297" s="35" t="s">
        <v>386</v>
      </c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</row>
    <row r="298" spans="1:78" s="30" customFormat="1" ht="15.95" customHeight="1" x14ac:dyDescent="0.25">
      <c r="A298" s="18"/>
      <c r="B298" s="19">
        <v>194</v>
      </c>
      <c r="C298" s="20"/>
      <c r="D298" s="36">
        <v>20727</v>
      </c>
      <c r="E298" s="36">
        <v>1999</v>
      </c>
      <c r="F298" s="36" t="s">
        <v>1224</v>
      </c>
      <c r="G298" s="35" t="s">
        <v>382</v>
      </c>
      <c r="H298" s="35"/>
      <c r="I298" s="35" t="s">
        <v>41</v>
      </c>
      <c r="J298" s="35" t="s">
        <v>89</v>
      </c>
      <c r="K298" s="35" t="s">
        <v>161</v>
      </c>
      <c r="L298" s="35" t="s">
        <v>82</v>
      </c>
      <c r="M298" s="35" t="s">
        <v>82</v>
      </c>
      <c r="N298" s="35" t="s">
        <v>66</v>
      </c>
      <c r="O298" s="35" t="s">
        <v>292</v>
      </c>
      <c r="P298" s="35" t="s">
        <v>51</v>
      </c>
      <c r="Q298" s="35"/>
      <c r="R298" s="35" t="s">
        <v>237</v>
      </c>
      <c r="S298" s="35" t="s">
        <v>79</v>
      </c>
      <c r="T298" s="35" t="s">
        <v>56</v>
      </c>
      <c r="U298" s="36">
        <v>26</v>
      </c>
      <c r="V298" s="36" t="s">
        <v>231</v>
      </c>
      <c r="W298" s="35" t="s">
        <v>46</v>
      </c>
      <c r="X298" s="29"/>
      <c r="Y298" s="36">
        <v>3400</v>
      </c>
      <c r="Z298" s="24">
        <f t="shared" si="11"/>
        <v>368.3768452490869</v>
      </c>
      <c r="AA298" s="19" t="s">
        <v>214</v>
      </c>
      <c r="AB298" s="36"/>
      <c r="AC298" s="35">
        <v>280</v>
      </c>
      <c r="AD298" s="35">
        <v>280</v>
      </c>
      <c r="AE298" s="35" t="s">
        <v>270</v>
      </c>
      <c r="AF298" s="35" t="s">
        <v>383</v>
      </c>
      <c r="AG298" s="35"/>
      <c r="AH298" s="35" t="s">
        <v>234</v>
      </c>
      <c r="AI298" s="35" t="s">
        <v>385</v>
      </c>
      <c r="AJ298" s="35" t="s">
        <v>270</v>
      </c>
      <c r="AK298" s="35" t="s">
        <v>234</v>
      </c>
      <c r="AL298" s="35" t="s">
        <v>90</v>
      </c>
      <c r="AM298" s="35" t="s">
        <v>386</v>
      </c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</row>
    <row r="299" spans="1:78" s="30" customFormat="1" ht="15.95" customHeight="1" x14ac:dyDescent="0.25">
      <c r="A299" s="18"/>
      <c r="B299" s="19">
        <v>194</v>
      </c>
      <c r="C299" s="20"/>
      <c r="D299" s="36">
        <v>20727</v>
      </c>
      <c r="E299" s="36">
        <v>1999</v>
      </c>
      <c r="F299" s="36" t="s">
        <v>1224</v>
      </c>
      <c r="G299" s="35" t="s">
        <v>382</v>
      </c>
      <c r="H299" s="35"/>
      <c r="I299" s="35" t="s">
        <v>41</v>
      </c>
      <c r="J299" s="35" t="s">
        <v>89</v>
      </c>
      <c r="K299" s="35" t="s">
        <v>161</v>
      </c>
      <c r="L299" s="35" t="s">
        <v>82</v>
      </c>
      <c r="M299" s="35" t="s">
        <v>82</v>
      </c>
      <c r="N299" s="35" t="s">
        <v>66</v>
      </c>
      <c r="O299" s="35" t="s">
        <v>292</v>
      </c>
      <c r="P299" s="35" t="s">
        <v>51</v>
      </c>
      <c r="Q299" s="35"/>
      <c r="R299" s="35" t="s">
        <v>237</v>
      </c>
      <c r="S299" s="35" t="s">
        <v>79</v>
      </c>
      <c r="T299" s="35" t="s">
        <v>56</v>
      </c>
      <c r="U299" s="36">
        <v>26</v>
      </c>
      <c r="V299" s="36" t="s">
        <v>231</v>
      </c>
      <c r="W299" s="35" t="s">
        <v>46</v>
      </c>
      <c r="X299" s="29"/>
      <c r="Y299" s="36">
        <v>3800</v>
      </c>
      <c r="Z299" s="24">
        <f t="shared" si="11"/>
        <v>411.71529763133242</v>
      </c>
      <c r="AA299" s="19" t="s">
        <v>214</v>
      </c>
      <c r="AB299" s="36"/>
      <c r="AC299" s="35">
        <v>280</v>
      </c>
      <c r="AD299" s="35">
        <v>280</v>
      </c>
      <c r="AE299" s="35" t="s">
        <v>270</v>
      </c>
      <c r="AF299" s="35" t="s">
        <v>383</v>
      </c>
      <c r="AG299" s="35"/>
      <c r="AH299" s="35" t="s">
        <v>234</v>
      </c>
      <c r="AI299" s="35" t="s">
        <v>385</v>
      </c>
      <c r="AJ299" s="35" t="s">
        <v>270</v>
      </c>
      <c r="AK299" s="35" t="s">
        <v>234</v>
      </c>
      <c r="AL299" s="35" t="s">
        <v>90</v>
      </c>
      <c r="AM299" s="35" t="s">
        <v>386</v>
      </c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</row>
    <row r="300" spans="1:78" s="30" customFormat="1" ht="15.95" customHeight="1" x14ac:dyDescent="0.25">
      <c r="A300" s="18"/>
      <c r="B300" s="19">
        <v>194</v>
      </c>
      <c r="C300" s="20"/>
      <c r="D300" s="36">
        <v>20727</v>
      </c>
      <c r="E300" s="36">
        <v>1999</v>
      </c>
      <c r="F300" s="36" t="s">
        <v>1224</v>
      </c>
      <c r="G300" s="35" t="s">
        <v>382</v>
      </c>
      <c r="H300" s="35"/>
      <c r="I300" s="35" t="s">
        <v>41</v>
      </c>
      <c r="J300" s="35" t="s">
        <v>89</v>
      </c>
      <c r="K300" s="35" t="s">
        <v>161</v>
      </c>
      <c r="L300" s="35" t="s">
        <v>82</v>
      </c>
      <c r="M300" s="35" t="s">
        <v>82</v>
      </c>
      <c r="N300" s="35" t="s">
        <v>66</v>
      </c>
      <c r="O300" s="35" t="s">
        <v>292</v>
      </c>
      <c r="P300" s="35" t="s">
        <v>51</v>
      </c>
      <c r="Q300" s="35"/>
      <c r="R300" s="35" t="s">
        <v>237</v>
      </c>
      <c r="S300" s="35" t="s">
        <v>79</v>
      </c>
      <c r="T300" s="35" t="s">
        <v>56</v>
      </c>
      <c r="U300" s="36">
        <v>26</v>
      </c>
      <c r="V300" s="36" t="s">
        <v>231</v>
      </c>
      <c r="W300" s="35" t="s">
        <v>46</v>
      </c>
      <c r="X300" s="29"/>
      <c r="Y300" s="36">
        <v>3300</v>
      </c>
      <c r="Z300" s="24">
        <f t="shared" si="11"/>
        <v>357.5422321535255</v>
      </c>
      <c r="AA300" s="19" t="s">
        <v>214</v>
      </c>
      <c r="AB300" s="36"/>
      <c r="AC300" s="35">
        <v>280</v>
      </c>
      <c r="AD300" s="35">
        <v>280</v>
      </c>
      <c r="AE300" s="35" t="s">
        <v>270</v>
      </c>
      <c r="AF300" s="35" t="s">
        <v>383</v>
      </c>
      <c r="AG300" s="35"/>
      <c r="AH300" s="35" t="s">
        <v>234</v>
      </c>
      <c r="AI300" s="35" t="s">
        <v>385</v>
      </c>
      <c r="AJ300" s="35" t="s">
        <v>270</v>
      </c>
      <c r="AK300" s="35" t="s">
        <v>234</v>
      </c>
      <c r="AL300" s="35" t="s">
        <v>90</v>
      </c>
      <c r="AM300" s="35" t="s">
        <v>386</v>
      </c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</row>
    <row r="301" spans="1:78" s="30" customFormat="1" ht="15.95" customHeight="1" x14ac:dyDescent="0.25">
      <c r="A301" s="18"/>
      <c r="B301" s="19">
        <v>194</v>
      </c>
      <c r="C301" s="20"/>
      <c r="D301" s="36">
        <v>20727</v>
      </c>
      <c r="E301" s="36">
        <v>1999</v>
      </c>
      <c r="F301" s="36" t="s">
        <v>1224</v>
      </c>
      <c r="G301" s="35" t="s">
        <v>382</v>
      </c>
      <c r="H301" s="35"/>
      <c r="I301" s="35" t="s">
        <v>41</v>
      </c>
      <c r="J301" s="35" t="s">
        <v>89</v>
      </c>
      <c r="K301" s="35" t="s">
        <v>161</v>
      </c>
      <c r="L301" s="35" t="s">
        <v>82</v>
      </c>
      <c r="M301" s="35" t="s">
        <v>82</v>
      </c>
      <c r="N301" s="35" t="s">
        <v>66</v>
      </c>
      <c r="O301" s="35" t="s">
        <v>292</v>
      </c>
      <c r="P301" s="35" t="s">
        <v>51</v>
      </c>
      <c r="Q301" s="35"/>
      <c r="R301" s="35" t="s">
        <v>237</v>
      </c>
      <c r="S301" s="35" t="s">
        <v>79</v>
      </c>
      <c r="T301" s="35" t="s">
        <v>56</v>
      </c>
      <c r="U301" s="36">
        <v>26</v>
      </c>
      <c r="V301" s="36" t="s">
        <v>231</v>
      </c>
      <c r="W301" s="35" t="s">
        <v>46</v>
      </c>
      <c r="X301" s="29"/>
      <c r="Y301" s="36">
        <v>2600</v>
      </c>
      <c r="Z301" s="24">
        <f t="shared" si="11"/>
        <v>281.69994048459586</v>
      </c>
      <c r="AA301" s="19" t="s">
        <v>214</v>
      </c>
      <c r="AB301" s="36"/>
      <c r="AC301" s="35">
        <v>280</v>
      </c>
      <c r="AD301" s="35">
        <v>280</v>
      </c>
      <c r="AE301" s="35" t="s">
        <v>270</v>
      </c>
      <c r="AF301" s="35" t="s">
        <v>383</v>
      </c>
      <c r="AG301" s="35"/>
      <c r="AH301" s="35" t="s">
        <v>234</v>
      </c>
      <c r="AI301" s="35" t="s">
        <v>385</v>
      </c>
      <c r="AJ301" s="35" t="s">
        <v>270</v>
      </c>
      <c r="AK301" s="35" t="s">
        <v>234</v>
      </c>
      <c r="AL301" s="35" t="s">
        <v>90</v>
      </c>
      <c r="AM301" s="35" t="s">
        <v>386</v>
      </c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</row>
    <row r="302" spans="1:78" s="30" customFormat="1" ht="15.95" customHeight="1" x14ac:dyDescent="0.25">
      <c r="A302" s="18"/>
      <c r="B302" s="19">
        <v>194</v>
      </c>
      <c r="C302" s="20"/>
      <c r="D302" s="36">
        <v>20727</v>
      </c>
      <c r="E302" s="36">
        <v>1999</v>
      </c>
      <c r="F302" s="36" t="s">
        <v>1224</v>
      </c>
      <c r="G302" s="35" t="s">
        <v>382</v>
      </c>
      <c r="H302" s="35"/>
      <c r="I302" s="35" t="s">
        <v>41</v>
      </c>
      <c r="J302" s="35" t="s">
        <v>89</v>
      </c>
      <c r="K302" s="35" t="s">
        <v>161</v>
      </c>
      <c r="L302" s="35" t="s">
        <v>82</v>
      </c>
      <c r="M302" s="35" t="s">
        <v>82</v>
      </c>
      <c r="N302" s="35" t="s">
        <v>66</v>
      </c>
      <c r="O302" s="35" t="s">
        <v>292</v>
      </c>
      <c r="P302" s="35" t="s">
        <v>51</v>
      </c>
      <c r="Q302" s="35"/>
      <c r="R302" s="35" t="s">
        <v>237</v>
      </c>
      <c r="S302" s="35" t="s">
        <v>79</v>
      </c>
      <c r="T302" s="35" t="s">
        <v>56</v>
      </c>
      <c r="U302" s="36">
        <v>26</v>
      </c>
      <c r="V302" s="36" t="s">
        <v>231</v>
      </c>
      <c r="W302" s="35" t="s">
        <v>46</v>
      </c>
      <c r="X302" s="29"/>
      <c r="Y302" s="36">
        <v>2800</v>
      </c>
      <c r="Z302" s="24">
        <f t="shared" si="11"/>
        <v>303.36916667571859</v>
      </c>
      <c r="AA302" s="19" t="s">
        <v>214</v>
      </c>
      <c r="AB302" s="36"/>
      <c r="AC302" s="35">
        <v>280</v>
      </c>
      <c r="AD302" s="35">
        <v>280</v>
      </c>
      <c r="AE302" s="35" t="s">
        <v>270</v>
      </c>
      <c r="AF302" s="35" t="s">
        <v>383</v>
      </c>
      <c r="AG302" s="35"/>
      <c r="AH302" s="35" t="s">
        <v>234</v>
      </c>
      <c r="AI302" s="35" t="s">
        <v>385</v>
      </c>
      <c r="AJ302" s="35" t="s">
        <v>270</v>
      </c>
      <c r="AK302" s="35" t="s">
        <v>234</v>
      </c>
      <c r="AL302" s="35" t="s">
        <v>90</v>
      </c>
      <c r="AM302" s="35" t="s">
        <v>386</v>
      </c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</row>
    <row r="303" spans="1:78" s="30" customFormat="1" ht="15.95" customHeight="1" x14ac:dyDescent="0.25">
      <c r="A303" s="18"/>
      <c r="B303" s="19">
        <v>194</v>
      </c>
      <c r="C303" s="20"/>
      <c r="D303" s="36">
        <v>20727</v>
      </c>
      <c r="E303" s="36">
        <v>1999</v>
      </c>
      <c r="F303" s="36" t="s">
        <v>1224</v>
      </c>
      <c r="G303" s="35" t="s">
        <v>382</v>
      </c>
      <c r="H303" s="35"/>
      <c r="I303" s="35" t="s">
        <v>41</v>
      </c>
      <c r="J303" s="35" t="s">
        <v>89</v>
      </c>
      <c r="K303" s="35" t="s">
        <v>161</v>
      </c>
      <c r="L303" s="35" t="s">
        <v>82</v>
      </c>
      <c r="M303" s="35" t="s">
        <v>82</v>
      </c>
      <c r="N303" s="35" t="s">
        <v>66</v>
      </c>
      <c r="O303" s="35" t="s">
        <v>292</v>
      </c>
      <c r="P303" s="35" t="s">
        <v>51</v>
      </c>
      <c r="Q303" s="35"/>
      <c r="R303" s="35" t="s">
        <v>237</v>
      </c>
      <c r="S303" s="35" t="s">
        <v>79</v>
      </c>
      <c r="T303" s="35" t="s">
        <v>56</v>
      </c>
      <c r="U303" s="36">
        <v>26</v>
      </c>
      <c r="V303" s="36" t="s">
        <v>231</v>
      </c>
      <c r="W303" s="35" t="s">
        <v>46</v>
      </c>
      <c r="X303" s="29"/>
      <c r="Y303" s="36">
        <v>2700</v>
      </c>
      <c r="Z303" s="24">
        <f t="shared" si="11"/>
        <v>292.53455358015725</v>
      </c>
      <c r="AA303" s="19" t="s">
        <v>214</v>
      </c>
      <c r="AB303" s="36"/>
      <c r="AC303" s="35">
        <v>280</v>
      </c>
      <c r="AD303" s="35">
        <v>280</v>
      </c>
      <c r="AE303" s="35" t="s">
        <v>270</v>
      </c>
      <c r="AF303" s="35" t="s">
        <v>383</v>
      </c>
      <c r="AG303" s="35"/>
      <c r="AH303" s="35" t="s">
        <v>234</v>
      </c>
      <c r="AI303" s="35" t="s">
        <v>385</v>
      </c>
      <c r="AJ303" s="35" t="s">
        <v>270</v>
      </c>
      <c r="AK303" s="35" t="s">
        <v>234</v>
      </c>
      <c r="AL303" s="35" t="s">
        <v>90</v>
      </c>
      <c r="AM303" s="35" t="s">
        <v>386</v>
      </c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</row>
    <row r="304" spans="1:78" s="30" customFormat="1" ht="15.95" customHeight="1" x14ac:dyDescent="0.25">
      <c r="A304" s="18"/>
      <c r="B304" s="19">
        <v>194</v>
      </c>
      <c r="C304" s="20"/>
      <c r="D304" s="36">
        <v>20727</v>
      </c>
      <c r="E304" s="36">
        <v>1999</v>
      </c>
      <c r="F304" s="36" t="s">
        <v>1224</v>
      </c>
      <c r="G304" s="35" t="s">
        <v>382</v>
      </c>
      <c r="H304" s="35"/>
      <c r="I304" s="35" t="s">
        <v>41</v>
      </c>
      <c r="J304" s="35" t="s">
        <v>89</v>
      </c>
      <c r="K304" s="35" t="s">
        <v>161</v>
      </c>
      <c r="L304" s="35" t="s">
        <v>82</v>
      </c>
      <c r="M304" s="35" t="s">
        <v>82</v>
      </c>
      <c r="N304" s="35" t="s">
        <v>66</v>
      </c>
      <c r="O304" s="35" t="s">
        <v>292</v>
      </c>
      <c r="P304" s="35" t="s">
        <v>51</v>
      </c>
      <c r="Q304" s="35"/>
      <c r="R304" s="35" t="s">
        <v>237</v>
      </c>
      <c r="S304" s="35" t="s">
        <v>79</v>
      </c>
      <c r="T304" s="35" t="s">
        <v>56</v>
      </c>
      <c r="U304" s="36">
        <v>26</v>
      </c>
      <c r="V304" s="36" t="s">
        <v>231</v>
      </c>
      <c r="W304" s="35" t="s">
        <v>46</v>
      </c>
      <c r="X304" s="29"/>
      <c r="Y304" s="36">
        <v>2700</v>
      </c>
      <c r="Z304" s="24">
        <f t="shared" si="11"/>
        <v>292.53455358015725</v>
      </c>
      <c r="AA304" s="19" t="s">
        <v>214</v>
      </c>
      <c r="AB304" s="36"/>
      <c r="AC304" s="35">
        <v>280</v>
      </c>
      <c r="AD304" s="35">
        <v>280</v>
      </c>
      <c r="AE304" s="35" t="s">
        <v>270</v>
      </c>
      <c r="AF304" s="35" t="s">
        <v>383</v>
      </c>
      <c r="AG304" s="35"/>
      <c r="AH304" s="35" t="s">
        <v>234</v>
      </c>
      <c r="AI304" s="35" t="s">
        <v>385</v>
      </c>
      <c r="AJ304" s="35" t="s">
        <v>270</v>
      </c>
      <c r="AK304" s="35" t="s">
        <v>234</v>
      </c>
      <c r="AL304" s="35" t="s">
        <v>90</v>
      </c>
      <c r="AM304" s="35" t="s">
        <v>386</v>
      </c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</row>
    <row r="305" spans="1:78" s="30" customFormat="1" ht="15.95" customHeight="1" x14ac:dyDescent="0.25">
      <c r="A305" s="18"/>
      <c r="B305" s="19">
        <v>194</v>
      </c>
      <c r="C305" s="20"/>
      <c r="D305" s="36">
        <v>20727</v>
      </c>
      <c r="E305" s="36">
        <v>1999</v>
      </c>
      <c r="F305" s="36" t="s">
        <v>1224</v>
      </c>
      <c r="G305" s="35" t="s">
        <v>382</v>
      </c>
      <c r="H305" s="35"/>
      <c r="I305" s="35" t="s">
        <v>41</v>
      </c>
      <c r="J305" s="35" t="s">
        <v>89</v>
      </c>
      <c r="K305" s="35" t="s">
        <v>161</v>
      </c>
      <c r="L305" s="35" t="s">
        <v>82</v>
      </c>
      <c r="M305" s="35" t="s">
        <v>82</v>
      </c>
      <c r="N305" s="35" t="s">
        <v>66</v>
      </c>
      <c r="O305" s="35" t="s">
        <v>292</v>
      </c>
      <c r="P305" s="35" t="s">
        <v>51</v>
      </c>
      <c r="Q305" s="35"/>
      <c r="R305" s="35" t="s">
        <v>237</v>
      </c>
      <c r="S305" s="35" t="s">
        <v>79</v>
      </c>
      <c r="T305" s="35" t="s">
        <v>56</v>
      </c>
      <c r="U305" s="36">
        <v>26</v>
      </c>
      <c r="V305" s="36" t="s">
        <v>231</v>
      </c>
      <c r="W305" s="35" t="s">
        <v>46</v>
      </c>
      <c r="X305" s="29"/>
      <c r="Y305" s="36">
        <v>2700</v>
      </c>
      <c r="Z305" s="24">
        <f t="shared" si="11"/>
        <v>292.53455358015725</v>
      </c>
      <c r="AA305" s="19" t="s">
        <v>214</v>
      </c>
      <c r="AB305" s="36"/>
      <c r="AC305" s="35">
        <v>280</v>
      </c>
      <c r="AD305" s="35">
        <v>280</v>
      </c>
      <c r="AE305" s="35" t="s">
        <v>270</v>
      </c>
      <c r="AF305" s="35" t="s">
        <v>383</v>
      </c>
      <c r="AG305" s="35"/>
      <c r="AH305" s="35" t="s">
        <v>234</v>
      </c>
      <c r="AI305" s="35" t="s">
        <v>385</v>
      </c>
      <c r="AJ305" s="35" t="s">
        <v>270</v>
      </c>
      <c r="AK305" s="35" t="s">
        <v>234</v>
      </c>
      <c r="AL305" s="35" t="s">
        <v>90</v>
      </c>
      <c r="AM305" s="35" t="s">
        <v>386</v>
      </c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</row>
    <row r="306" spans="1:78" s="30" customFormat="1" ht="15.95" customHeight="1" x14ac:dyDescent="0.25">
      <c r="A306" s="18"/>
      <c r="B306" s="19">
        <v>194</v>
      </c>
      <c r="C306" s="20"/>
      <c r="D306" s="36">
        <v>20727</v>
      </c>
      <c r="E306" s="36">
        <v>1999</v>
      </c>
      <c r="F306" s="36" t="s">
        <v>1224</v>
      </c>
      <c r="G306" s="35" t="s">
        <v>382</v>
      </c>
      <c r="H306" s="35"/>
      <c r="I306" s="35" t="s">
        <v>41</v>
      </c>
      <c r="J306" s="35" t="s">
        <v>89</v>
      </c>
      <c r="K306" s="35" t="s">
        <v>161</v>
      </c>
      <c r="L306" s="35" t="s">
        <v>82</v>
      </c>
      <c r="M306" s="35" t="s">
        <v>82</v>
      </c>
      <c r="N306" s="35" t="s">
        <v>66</v>
      </c>
      <c r="O306" s="35" t="s">
        <v>292</v>
      </c>
      <c r="P306" s="35" t="s">
        <v>51</v>
      </c>
      <c r="Q306" s="35"/>
      <c r="R306" s="35" t="s">
        <v>237</v>
      </c>
      <c r="S306" s="35" t="s">
        <v>79</v>
      </c>
      <c r="T306" s="35" t="s">
        <v>56</v>
      </c>
      <c r="U306" s="36">
        <v>26</v>
      </c>
      <c r="V306" s="36" t="s">
        <v>231</v>
      </c>
      <c r="W306" s="35" t="s">
        <v>46</v>
      </c>
      <c r="X306" s="29"/>
      <c r="Y306" s="36">
        <v>2500</v>
      </c>
      <c r="Z306" s="24">
        <f t="shared" si="11"/>
        <v>270.86532738903446</v>
      </c>
      <c r="AA306" s="19" t="s">
        <v>214</v>
      </c>
      <c r="AB306" s="36"/>
      <c r="AC306" s="35">
        <v>280</v>
      </c>
      <c r="AD306" s="35">
        <v>280</v>
      </c>
      <c r="AE306" s="35" t="s">
        <v>270</v>
      </c>
      <c r="AF306" s="35" t="s">
        <v>383</v>
      </c>
      <c r="AG306" s="35"/>
      <c r="AH306" s="35" t="s">
        <v>234</v>
      </c>
      <c r="AI306" s="35" t="s">
        <v>385</v>
      </c>
      <c r="AJ306" s="35" t="s">
        <v>270</v>
      </c>
      <c r="AK306" s="35" t="s">
        <v>234</v>
      </c>
      <c r="AL306" s="35" t="s">
        <v>90</v>
      </c>
      <c r="AM306" s="35" t="s">
        <v>386</v>
      </c>
    </row>
    <row r="307" spans="1:78" s="30" customFormat="1" ht="15.95" customHeight="1" x14ac:dyDescent="0.25">
      <c r="A307" s="18"/>
      <c r="B307" s="19">
        <v>194</v>
      </c>
      <c r="C307" s="19"/>
      <c r="D307" s="19">
        <v>20727</v>
      </c>
      <c r="E307" s="36">
        <v>1999</v>
      </c>
      <c r="F307" s="19" t="s">
        <v>1224</v>
      </c>
      <c r="G307" s="19" t="s">
        <v>382</v>
      </c>
      <c r="H307" s="19"/>
      <c r="I307" s="35" t="s">
        <v>41</v>
      </c>
      <c r="J307" s="19" t="s">
        <v>89</v>
      </c>
      <c r="K307" s="19" t="s">
        <v>161</v>
      </c>
      <c r="L307" s="19" t="s">
        <v>82</v>
      </c>
      <c r="M307" s="19" t="s">
        <v>82</v>
      </c>
      <c r="N307" s="19" t="s">
        <v>66</v>
      </c>
      <c r="O307" s="19" t="s">
        <v>292</v>
      </c>
      <c r="P307" s="35" t="s">
        <v>51</v>
      </c>
      <c r="Q307" s="19"/>
      <c r="R307" s="19" t="s">
        <v>237</v>
      </c>
      <c r="S307" s="19" t="s">
        <v>79</v>
      </c>
      <c r="T307" s="19" t="s">
        <v>56</v>
      </c>
      <c r="U307" s="36">
        <v>26</v>
      </c>
      <c r="V307" s="19" t="s">
        <v>231</v>
      </c>
      <c r="W307" s="19" t="s">
        <v>46</v>
      </c>
      <c r="X307" s="29"/>
      <c r="Y307" s="19">
        <v>3500</v>
      </c>
      <c r="Z307" s="24">
        <f t="shared" si="11"/>
        <v>379.21145834464824</v>
      </c>
      <c r="AA307" s="19" t="s">
        <v>214</v>
      </c>
      <c r="AB307" s="19"/>
      <c r="AC307" s="35">
        <v>280</v>
      </c>
      <c r="AD307" s="35">
        <v>280</v>
      </c>
      <c r="AE307" s="19" t="s">
        <v>270</v>
      </c>
      <c r="AF307" s="19" t="s">
        <v>383</v>
      </c>
      <c r="AG307" s="19"/>
      <c r="AH307" s="19" t="s">
        <v>234</v>
      </c>
      <c r="AI307" s="19" t="s">
        <v>385</v>
      </c>
      <c r="AJ307" s="19" t="s">
        <v>270</v>
      </c>
      <c r="AK307" s="19" t="s">
        <v>234</v>
      </c>
      <c r="AL307" s="19" t="s">
        <v>90</v>
      </c>
      <c r="AM307" s="19" t="s">
        <v>386</v>
      </c>
    </row>
    <row r="308" spans="1:78" s="30" customFormat="1" ht="15.95" customHeight="1" x14ac:dyDescent="0.25">
      <c r="A308" s="18"/>
      <c r="B308" s="19">
        <v>194</v>
      </c>
      <c r="C308" s="19"/>
      <c r="D308" s="19">
        <v>20727</v>
      </c>
      <c r="E308" s="36">
        <v>1999</v>
      </c>
      <c r="F308" s="19" t="s">
        <v>1224</v>
      </c>
      <c r="G308" s="19" t="s">
        <v>382</v>
      </c>
      <c r="H308" s="19"/>
      <c r="I308" s="35" t="s">
        <v>41</v>
      </c>
      <c r="J308" s="19" t="s">
        <v>89</v>
      </c>
      <c r="K308" s="19" t="s">
        <v>161</v>
      </c>
      <c r="L308" s="19" t="s">
        <v>82</v>
      </c>
      <c r="M308" s="19" t="s">
        <v>82</v>
      </c>
      <c r="N308" s="19" t="s">
        <v>66</v>
      </c>
      <c r="O308" s="19" t="s">
        <v>292</v>
      </c>
      <c r="P308" s="35" t="s">
        <v>51</v>
      </c>
      <c r="Q308" s="19"/>
      <c r="R308" s="19" t="s">
        <v>237</v>
      </c>
      <c r="S308" s="19" t="s">
        <v>79</v>
      </c>
      <c r="T308" s="19" t="s">
        <v>56</v>
      </c>
      <c r="U308" s="36">
        <v>26</v>
      </c>
      <c r="V308" s="19" t="s">
        <v>231</v>
      </c>
      <c r="W308" s="19" t="s">
        <v>46</v>
      </c>
      <c r="X308" s="29"/>
      <c r="Y308" s="19">
        <v>2500</v>
      </c>
      <c r="Z308" s="24">
        <f t="shared" si="11"/>
        <v>270.86532738903446</v>
      </c>
      <c r="AA308" s="19" t="s">
        <v>214</v>
      </c>
      <c r="AB308" s="19"/>
      <c r="AC308" s="35">
        <v>280</v>
      </c>
      <c r="AD308" s="35">
        <v>280</v>
      </c>
      <c r="AE308" s="19" t="s">
        <v>270</v>
      </c>
      <c r="AF308" s="19" t="s">
        <v>383</v>
      </c>
      <c r="AG308" s="19"/>
      <c r="AH308" s="19" t="s">
        <v>234</v>
      </c>
      <c r="AI308" s="19" t="s">
        <v>385</v>
      </c>
      <c r="AJ308" s="19" t="s">
        <v>270</v>
      </c>
      <c r="AK308" s="19" t="s">
        <v>234</v>
      </c>
      <c r="AL308" s="19" t="s">
        <v>90</v>
      </c>
      <c r="AM308" s="19" t="s">
        <v>386</v>
      </c>
    </row>
    <row r="309" spans="1:78" s="30" customFormat="1" ht="15.95" customHeight="1" x14ac:dyDescent="0.25">
      <c r="A309" s="18"/>
      <c r="B309" s="19">
        <v>194</v>
      </c>
      <c r="C309" s="19"/>
      <c r="D309" s="19">
        <v>20727</v>
      </c>
      <c r="E309" s="36">
        <v>1999</v>
      </c>
      <c r="F309" s="19" t="s">
        <v>1224</v>
      </c>
      <c r="G309" s="19" t="s">
        <v>382</v>
      </c>
      <c r="H309" s="19"/>
      <c r="I309" s="35" t="s">
        <v>41</v>
      </c>
      <c r="J309" s="19" t="s">
        <v>89</v>
      </c>
      <c r="K309" s="19" t="s">
        <v>161</v>
      </c>
      <c r="L309" s="19" t="s">
        <v>82</v>
      </c>
      <c r="M309" s="19" t="s">
        <v>82</v>
      </c>
      <c r="N309" s="19" t="s">
        <v>66</v>
      </c>
      <c r="O309" s="19" t="s">
        <v>292</v>
      </c>
      <c r="P309" s="35" t="s">
        <v>51</v>
      </c>
      <c r="Q309" s="19"/>
      <c r="R309" s="19" t="s">
        <v>237</v>
      </c>
      <c r="S309" s="19" t="s">
        <v>79</v>
      </c>
      <c r="T309" s="19" t="s">
        <v>56</v>
      </c>
      <c r="U309" s="36">
        <v>26</v>
      </c>
      <c r="V309" s="19" t="s">
        <v>231</v>
      </c>
      <c r="W309" s="19" t="s">
        <v>46</v>
      </c>
      <c r="X309" s="29"/>
      <c r="Y309" s="19">
        <v>2900</v>
      </c>
      <c r="Z309" s="24">
        <f t="shared" si="11"/>
        <v>314.20377977127998</v>
      </c>
      <c r="AA309" s="19" t="s">
        <v>214</v>
      </c>
      <c r="AB309" s="19"/>
      <c r="AC309" s="35">
        <v>280</v>
      </c>
      <c r="AD309" s="35">
        <v>280</v>
      </c>
      <c r="AE309" s="19" t="s">
        <v>270</v>
      </c>
      <c r="AF309" s="19" t="s">
        <v>383</v>
      </c>
      <c r="AG309" s="19"/>
      <c r="AH309" s="19" t="s">
        <v>234</v>
      </c>
      <c r="AI309" s="19" t="s">
        <v>385</v>
      </c>
      <c r="AJ309" s="19" t="s">
        <v>270</v>
      </c>
      <c r="AK309" s="19" t="s">
        <v>234</v>
      </c>
      <c r="AL309" s="19" t="s">
        <v>90</v>
      </c>
      <c r="AM309" s="19" t="s">
        <v>386</v>
      </c>
    </row>
    <row r="310" spans="1:78" s="30" customFormat="1" ht="15.95" customHeight="1" x14ac:dyDescent="0.25">
      <c r="A310" s="18"/>
      <c r="B310" s="19">
        <v>194</v>
      </c>
      <c r="C310" s="19"/>
      <c r="D310" s="19">
        <v>20727</v>
      </c>
      <c r="E310" s="36">
        <v>1999</v>
      </c>
      <c r="F310" s="19" t="s">
        <v>1224</v>
      </c>
      <c r="G310" s="19" t="s">
        <v>382</v>
      </c>
      <c r="H310" s="19"/>
      <c r="I310" s="35" t="s">
        <v>41</v>
      </c>
      <c r="J310" s="19" t="s">
        <v>89</v>
      </c>
      <c r="K310" s="19" t="s">
        <v>161</v>
      </c>
      <c r="L310" s="19" t="s">
        <v>82</v>
      </c>
      <c r="M310" s="19" t="s">
        <v>82</v>
      </c>
      <c r="N310" s="19" t="s">
        <v>66</v>
      </c>
      <c r="O310" s="19" t="s">
        <v>292</v>
      </c>
      <c r="P310" s="35" t="s">
        <v>51</v>
      </c>
      <c r="Q310" s="19"/>
      <c r="R310" s="19" t="s">
        <v>237</v>
      </c>
      <c r="S310" s="19" t="s">
        <v>79</v>
      </c>
      <c r="T310" s="19" t="s">
        <v>56</v>
      </c>
      <c r="U310" s="19">
        <v>26</v>
      </c>
      <c r="V310" s="19" t="s">
        <v>231</v>
      </c>
      <c r="W310" s="19" t="s">
        <v>46</v>
      </c>
      <c r="X310" s="29"/>
      <c r="Y310" s="19">
        <v>3300</v>
      </c>
      <c r="Z310" s="24">
        <f t="shared" si="11"/>
        <v>357.5422321535255</v>
      </c>
      <c r="AA310" s="19" t="s">
        <v>214</v>
      </c>
      <c r="AB310" s="19"/>
      <c r="AC310" s="35">
        <v>280</v>
      </c>
      <c r="AD310" s="35">
        <v>280</v>
      </c>
      <c r="AE310" s="19" t="s">
        <v>270</v>
      </c>
      <c r="AF310" s="19" t="s">
        <v>383</v>
      </c>
      <c r="AG310" s="19"/>
      <c r="AH310" s="19" t="s">
        <v>234</v>
      </c>
      <c r="AI310" s="19" t="s">
        <v>385</v>
      </c>
      <c r="AJ310" s="19" t="s">
        <v>270</v>
      </c>
      <c r="AK310" s="19" t="s">
        <v>234</v>
      </c>
      <c r="AL310" s="19" t="s">
        <v>90</v>
      </c>
      <c r="AM310" s="19" t="s">
        <v>386</v>
      </c>
    </row>
    <row r="311" spans="1:78" s="30" customFormat="1" ht="15.95" customHeight="1" x14ac:dyDescent="0.25">
      <c r="A311" s="18"/>
      <c r="B311" s="19">
        <v>194</v>
      </c>
      <c r="C311" s="19"/>
      <c r="D311" s="19">
        <v>20727</v>
      </c>
      <c r="E311" s="36">
        <v>1999</v>
      </c>
      <c r="F311" s="19" t="s">
        <v>1224</v>
      </c>
      <c r="G311" s="19" t="s">
        <v>382</v>
      </c>
      <c r="H311" s="19"/>
      <c r="I311" s="35" t="s">
        <v>41</v>
      </c>
      <c r="J311" s="19" t="s">
        <v>89</v>
      </c>
      <c r="K311" s="19" t="s">
        <v>161</v>
      </c>
      <c r="L311" s="19" t="s">
        <v>82</v>
      </c>
      <c r="M311" s="19" t="s">
        <v>82</v>
      </c>
      <c r="N311" s="19" t="s">
        <v>66</v>
      </c>
      <c r="O311" s="19" t="s">
        <v>292</v>
      </c>
      <c r="P311" s="35" t="s">
        <v>51</v>
      </c>
      <c r="Q311" s="19"/>
      <c r="R311" s="19" t="s">
        <v>237</v>
      </c>
      <c r="S311" s="19" t="s">
        <v>79</v>
      </c>
      <c r="T311" s="19" t="s">
        <v>56</v>
      </c>
      <c r="U311" s="19">
        <v>26</v>
      </c>
      <c r="V311" s="19" t="s">
        <v>231</v>
      </c>
      <c r="W311" s="19" t="s">
        <v>46</v>
      </c>
      <c r="X311" s="29"/>
      <c r="Y311" s="19">
        <v>2700</v>
      </c>
      <c r="Z311" s="24">
        <f t="shared" si="11"/>
        <v>292.53455358015725</v>
      </c>
      <c r="AA311" s="19" t="s">
        <v>214</v>
      </c>
      <c r="AB311" s="19"/>
      <c r="AC311" s="35">
        <v>280</v>
      </c>
      <c r="AD311" s="35">
        <v>280</v>
      </c>
      <c r="AE311" s="19" t="s">
        <v>270</v>
      </c>
      <c r="AF311" s="19" t="s">
        <v>383</v>
      </c>
      <c r="AG311" s="19"/>
      <c r="AH311" s="19" t="s">
        <v>234</v>
      </c>
      <c r="AI311" s="19" t="s">
        <v>385</v>
      </c>
      <c r="AJ311" s="19" t="s">
        <v>270</v>
      </c>
      <c r="AK311" s="19" t="s">
        <v>234</v>
      </c>
      <c r="AL311" s="19" t="s">
        <v>90</v>
      </c>
      <c r="AM311" s="19" t="s">
        <v>386</v>
      </c>
    </row>
    <row r="312" spans="1:78" s="30" customFormat="1" ht="15.95" customHeight="1" x14ac:dyDescent="0.25">
      <c r="A312" s="18"/>
      <c r="B312" s="19">
        <v>194</v>
      </c>
      <c r="C312" s="19"/>
      <c r="D312" s="19">
        <v>20727</v>
      </c>
      <c r="E312" s="36">
        <v>1999</v>
      </c>
      <c r="F312" s="19" t="s">
        <v>1224</v>
      </c>
      <c r="G312" s="19" t="s">
        <v>382</v>
      </c>
      <c r="H312" s="19"/>
      <c r="I312" s="35" t="s">
        <v>41</v>
      </c>
      <c r="J312" s="19" t="s">
        <v>89</v>
      </c>
      <c r="K312" s="19" t="s">
        <v>161</v>
      </c>
      <c r="L312" s="19" t="s">
        <v>82</v>
      </c>
      <c r="M312" s="19" t="s">
        <v>82</v>
      </c>
      <c r="N312" s="19" t="s">
        <v>66</v>
      </c>
      <c r="O312" s="19" t="s">
        <v>292</v>
      </c>
      <c r="P312" s="35" t="s">
        <v>51</v>
      </c>
      <c r="Q312" s="19"/>
      <c r="R312" s="19" t="s">
        <v>237</v>
      </c>
      <c r="S312" s="19" t="s">
        <v>79</v>
      </c>
      <c r="T312" s="19" t="s">
        <v>56</v>
      </c>
      <c r="U312" s="19">
        <v>26</v>
      </c>
      <c r="V312" s="19" t="s">
        <v>231</v>
      </c>
      <c r="W312" s="19" t="s">
        <v>46</v>
      </c>
      <c r="X312" s="29"/>
      <c r="Y312" s="19">
        <v>2700</v>
      </c>
      <c r="Z312" s="24">
        <f t="shared" si="11"/>
        <v>292.53455358015725</v>
      </c>
      <c r="AA312" s="19" t="s">
        <v>214</v>
      </c>
      <c r="AB312" s="19"/>
      <c r="AC312" s="35">
        <v>280</v>
      </c>
      <c r="AD312" s="35">
        <v>280</v>
      </c>
      <c r="AE312" s="19" t="s">
        <v>270</v>
      </c>
      <c r="AF312" s="19" t="s">
        <v>383</v>
      </c>
      <c r="AG312" s="19"/>
      <c r="AH312" s="19" t="s">
        <v>234</v>
      </c>
      <c r="AI312" s="19" t="s">
        <v>385</v>
      </c>
      <c r="AJ312" s="19" t="s">
        <v>270</v>
      </c>
      <c r="AK312" s="19" t="s">
        <v>234</v>
      </c>
      <c r="AL312" s="19" t="s">
        <v>90</v>
      </c>
      <c r="AM312" s="19" t="s">
        <v>386</v>
      </c>
    </row>
    <row r="313" spans="1:78" s="30" customFormat="1" ht="15.95" customHeight="1" x14ac:dyDescent="0.25">
      <c r="A313" s="18"/>
      <c r="B313" s="19">
        <v>194</v>
      </c>
      <c r="C313" s="19"/>
      <c r="D313" s="19">
        <v>20727</v>
      </c>
      <c r="E313" s="36">
        <v>1999</v>
      </c>
      <c r="F313" s="19" t="s">
        <v>1224</v>
      </c>
      <c r="G313" s="19" t="s">
        <v>382</v>
      </c>
      <c r="H313" s="19"/>
      <c r="I313" s="35" t="s">
        <v>41</v>
      </c>
      <c r="J313" s="19" t="s">
        <v>89</v>
      </c>
      <c r="K313" s="19" t="s">
        <v>161</v>
      </c>
      <c r="L313" s="19" t="s">
        <v>82</v>
      </c>
      <c r="M313" s="19" t="s">
        <v>82</v>
      </c>
      <c r="N313" s="19" t="s">
        <v>66</v>
      </c>
      <c r="O313" s="19" t="s">
        <v>292</v>
      </c>
      <c r="P313" s="35" t="s">
        <v>51</v>
      </c>
      <c r="Q313" s="19"/>
      <c r="R313" s="19" t="s">
        <v>237</v>
      </c>
      <c r="S313" s="19" t="s">
        <v>79</v>
      </c>
      <c r="T313" s="19" t="s">
        <v>56</v>
      </c>
      <c r="U313" s="19">
        <v>26</v>
      </c>
      <c r="V313" s="19" t="s">
        <v>231</v>
      </c>
      <c r="W313" s="19" t="s">
        <v>46</v>
      </c>
      <c r="X313" s="29"/>
      <c r="Y313" s="19">
        <v>3500</v>
      </c>
      <c r="Z313" s="24">
        <f t="shared" si="11"/>
        <v>379.21145834464824</v>
      </c>
      <c r="AA313" s="19" t="s">
        <v>214</v>
      </c>
      <c r="AB313" s="19"/>
      <c r="AC313" s="35">
        <v>280</v>
      </c>
      <c r="AD313" s="35">
        <v>280</v>
      </c>
      <c r="AE313" s="19" t="s">
        <v>270</v>
      </c>
      <c r="AF313" s="19" t="s">
        <v>383</v>
      </c>
      <c r="AG313" s="19"/>
      <c r="AH313" s="19" t="s">
        <v>234</v>
      </c>
      <c r="AI313" s="19" t="s">
        <v>385</v>
      </c>
      <c r="AJ313" s="19" t="s">
        <v>270</v>
      </c>
      <c r="AK313" s="19" t="s">
        <v>234</v>
      </c>
      <c r="AL313" s="19" t="s">
        <v>90</v>
      </c>
      <c r="AM313" s="19" t="s">
        <v>386</v>
      </c>
    </row>
    <row r="314" spans="1:78" s="30" customFormat="1" ht="15.95" customHeight="1" x14ac:dyDescent="0.25">
      <c r="A314" s="18"/>
      <c r="B314" s="19">
        <v>194</v>
      </c>
      <c r="C314" s="19"/>
      <c r="D314" s="19">
        <v>20727</v>
      </c>
      <c r="E314" s="36">
        <v>1999</v>
      </c>
      <c r="F314" s="19" t="s">
        <v>1224</v>
      </c>
      <c r="G314" s="19" t="s">
        <v>382</v>
      </c>
      <c r="H314" s="19"/>
      <c r="I314" s="35" t="s">
        <v>41</v>
      </c>
      <c r="J314" s="19" t="s">
        <v>89</v>
      </c>
      <c r="K314" s="19" t="s">
        <v>161</v>
      </c>
      <c r="L314" s="19" t="s">
        <v>82</v>
      </c>
      <c r="M314" s="19" t="s">
        <v>82</v>
      </c>
      <c r="N314" s="19" t="s">
        <v>66</v>
      </c>
      <c r="O314" s="19" t="s">
        <v>292</v>
      </c>
      <c r="P314" s="35" t="s">
        <v>51</v>
      </c>
      <c r="Q314" s="19"/>
      <c r="R314" s="19" t="s">
        <v>237</v>
      </c>
      <c r="S314" s="19" t="s">
        <v>79</v>
      </c>
      <c r="T314" s="19" t="s">
        <v>56</v>
      </c>
      <c r="U314" s="19">
        <v>26</v>
      </c>
      <c r="V314" s="19" t="s">
        <v>231</v>
      </c>
      <c r="W314" s="19" t="s">
        <v>46</v>
      </c>
      <c r="X314" s="29"/>
      <c r="Y314" s="19">
        <v>3300</v>
      </c>
      <c r="Z314" s="24">
        <f t="shared" si="11"/>
        <v>357.5422321535255</v>
      </c>
      <c r="AA314" s="19" t="s">
        <v>214</v>
      </c>
      <c r="AB314" s="19"/>
      <c r="AC314" s="35">
        <v>280</v>
      </c>
      <c r="AD314" s="35">
        <v>280</v>
      </c>
      <c r="AE314" s="19" t="s">
        <v>270</v>
      </c>
      <c r="AF314" s="19" t="s">
        <v>383</v>
      </c>
      <c r="AG314" s="19"/>
      <c r="AH314" s="19" t="s">
        <v>234</v>
      </c>
      <c r="AI314" s="19" t="s">
        <v>385</v>
      </c>
      <c r="AJ314" s="19" t="s">
        <v>270</v>
      </c>
      <c r="AK314" s="19" t="s">
        <v>234</v>
      </c>
      <c r="AL314" s="19" t="s">
        <v>90</v>
      </c>
      <c r="AM314" s="19" t="s">
        <v>386</v>
      </c>
    </row>
    <row r="315" spans="1:78" s="30" customFormat="1" ht="15.95" customHeight="1" x14ac:dyDescent="0.25">
      <c r="A315" s="18"/>
      <c r="B315" s="19">
        <v>194</v>
      </c>
      <c r="C315" s="19"/>
      <c r="D315" s="19">
        <v>20727</v>
      </c>
      <c r="E315" s="36">
        <v>1999</v>
      </c>
      <c r="F315" s="19" t="s">
        <v>1224</v>
      </c>
      <c r="G315" s="19" t="s">
        <v>382</v>
      </c>
      <c r="H315" s="19"/>
      <c r="I315" s="35" t="s">
        <v>41</v>
      </c>
      <c r="J315" s="19" t="s">
        <v>89</v>
      </c>
      <c r="K315" s="19" t="s">
        <v>161</v>
      </c>
      <c r="L315" s="19" t="s">
        <v>82</v>
      </c>
      <c r="M315" s="19" t="s">
        <v>82</v>
      </c>
      <c r="N315" s="19" t="s">
        <v>66</v>
      </c>
      <c r="O315" s="19" t="s">
        <v>292</v>
      </c>
      <c r="P315" s="35" t="s">
        <v>51</v>
      </c>
      <c r="Q315" s="19"/>
      <c r="R315" s="19" t="s">
        <v>237</v>
      </c>
      <c r="S315" s="19" t="s">
        <v>79</v>
      </c>
      <c r="T315" s="19" t="s">
        <v>56</v>
      </c>
      <c r="U315" s="19">
        <v>26</v>
      </c>
      <c r="V315" s="19" t="s">
        <v>231</v>
      </c>
      <c r="W315" s="19" t="s">
        <v>46</v>
      </c>
      <c r="X315" s="29"/>
      <c r="Y315" s="19">
        <v>3300</v>
      </c>
      <c r="Z315" s="24">
        <f t="shared" si="11"/>
        <v>357.5422321535255</v>
      </c>
      <c r="AA315" s="19" t="s">
        <v>214</v>
      </c>
      <c r="AB315" s="19"/>
      <c r="AC315" s="35">
        <v>280</v>
      </c>
      <c r="AD315" s="35">
        <v>280</v>
      </c>
      <c r="AE315" s="19" t="s">
        <v>270</v>
      </c>
      <c r="AF315" s="19" t="s">
        <v>383</v>
      </c>
      <c r="AG315" s="19"/>
      <c r="AH315" s="19" t="s">
        <v>234</v>
      </c>
      <c r="AI315" s="19" t="s">
        <v>385</v>
      </c>
      <c r="AJ315" s="19" t="s">
        <v>270</v>
      </c>
      <c r="AK315" s="19" t="s">
        <v>234</v>
      </c>
      <c r="AL315" s="19" t="s">
        <v>90</v>
      </c>
      <c r="AM315" s="19" t="s">
        <v>386</v>
      </c>
    </row>
    <row r="316" spans="1:78" s="30" customFormat="1" ht="15.95" customHeight="1" x14ac:dyDescent="0.25">
      <c r="A316" s="18"/>
      <c r="B316" s="19">
        <v>194</v>
      </c>
      <c r="C316" s="19"/>
      <c r="D316" s="19">
        <v>20727</v>
      </c>
      <c r="E316" s="36">
        <v>1999</v>
      </c>
      <c r="F316" s="19" t="s">
        <v>1224</v>
      </c>
      <c r="G316" s="19" t="s">
        <v>382</v>
      </c>
      <c r="H316" s="19"/>
      <c r="I316" s="35" t="s">
        <v>41</v>
      </c>
      <c r="J316" s="19" t="s">
        <v>89</v>
      </c>
      <c r="K316" s="19" t="s">
        <v>161</v>
      </c>
      <c r="L316" s="19" t="s">
        <v>82</v>
      </c>
      <c r="M316" s="19" t="s">
        <v>82</v>
      </c>
      <c r="N316" s="19" t="s">
        <v>66</v>
      </c>
      <c r="O316" s="19" t="s">
        <v>292</v>
      </c>
      <c r="P316" s="35" t="s">
        <v>51</v>
      </c>
      <c r="Q316" s="19"/>
      <c r="R316" s="19" t="s">
        <v>237</v>
      </c>
      <c r="S316" s="19" t="s">
        <v>79</v>
      </c>
      <c r="T316" s="19" t="s">
        <v>56</v>
      </c>
      <c r="U316" s="19">
        <v>26</v>
      </c>
      <c r="V316" s="19" t="s">
        <v>231</v>
      </c>
      <c r="W316" s="19" t="s">
        <v>46</v>
      </c>
      <c r="X316" s="29"/>
      <c r="Y316" s="19">
        <v>2700</v>
      </c>
      <c r="Z316" s="24">
        <f t="shared" si="11"/>
        <v>292.53455358015725</v>
      </c>
      <c r="AA316" s="19" t="s">
        <v>214</v>
      </c>
      <c r="AB316" s="19"/>
      <c r="AC316" s="35">
        <v>280</v>
      </c>
      <c r="AD316" s="35">
        <v>280</v>
      </c>
      <c r="AE316" s="19" t="s">
        <v>270</v>
      </c>
      <c r="AF316" s="19" t="s">
        <v>383</v>
      </c>
      <c r="AG316" s="19"/>
      <c r="AH316" s="19" t="s">
        <v>234</v>
      </c>
      <c r="AI316" s="19" t="s">
        <v>385</v>
      </c>
      <c r="AJ316" s="19" t="s">
        <v>270</v>
      </c>
      <c r="AK316" s="19" t="s">
        <v>234</v>
      </c>
      <c r="AL316" s="19" t="s">
        <v>90</v>
      </c>
      <c r="AM316" s="19" t="s">
        <v>386</v>
      </c>
    </row>
    <row r="317" spans="1:78" s="30" customFormat="1" ht="15.95" customHeight="1" x14ac:dyDescent="0.25">
      <c r="A317" s="18"/>
      <c r="B317" s="19">
        <v>194</v>
      </c>
      <c r="C317" s="19"/>
      <c r="D317" s="19">
        <v>20727</v>
      </c>
      <c r="E317" s="36">
        <v>1999</v>
      </c>
      <c r="F317" s="19" t="s">
        <v>1224</v>
      </c>
      <c r="G317" s="19" t="s">
        <v>382</v>
      </c>
      <c r="H317" s="19"/>
      <c r="I317" s="35" t="s">
        <v>41</v>
      </c>
      <c r="J317" s="19" t="s">
        <v>89</v>
      </c>
      <c r="K317" s="19" t="s">
        <v>161</v>
      </c>
      <c r="L317" s="19" t="s">
        <v>82</v>
      </c>
      <c r="M317" s="19" t="s">
        <v>82</v>
      </c>
      <c r="N317" s="19" t="s">
        <v>66</v>
      </c>
      <c r="O317" s="19" t="s">
        <v>292</v>
      </c>
      <c r="P317" s="35" t="s">
        <v>51</v>
      </c>
      <c r="Q317" s="19"/>
      <c r="R317" s="19" t="s">
        <v>237</v>
      </c>
      <c r="S317" s="19" t="s">
        <v>79</v>
      </c>
      <c r="T317" s="19" t="s">
        <v>56</v>
      </c>
      <c r="U317" s="19">
        <v>26</v>
      </c>
      <c r="V317" s="19" t="s">
        <v>231</v>
      </c>
      <c r="W317" s="19" t="s">
        <v>46</v>
      </c>
      <c r="X317" s="29"/>
      <c r="Y317" s="19">
        <v>2500</v>
      </c>
      <c r="Z317" s="24">
        <f t="shared" si="11"/>
        <v>270.86532738903446</v>
      </c>
      <c r="AA317" s="19" t="s">
        <v>214</v>
      </c>
      <c r="AB317" s="19"/>
      <c r="AC317" s="35">
        <v>280</v>
      </c>
      <c r="AD317" s="35">
        <v>280</v>
      </c>
      <c r="AE317" s="19" t="s">
        <v>270</v>
      </c>
      <c r="AF317" s="19" t="s">
        <v>383</v>
      </c>
      <c r="AG317" s="19"/>
      <c r="AH317" s="19" t="s">
        <v>234</v>
      </c>
      <c r="AI317" s="19" t="s">
        <v>385</v>
      </c>
      <c r="AJ317" s="19" t="s">
        <v>270</v>
      </c>
      <c r="AK317" s="19" t="s">
        <v>234</v>
      </c>
      <c r="AL317" s="19" t="s">
        <v>90</v>
      </c>
      <c r="AM317" s="19" t="s">
        <v>386</v>
      </c>
    </row>
    <row r="318" spans="1:78" s="30" customFormat="1" ht="15.95" customHeight="1" x14ac:dyDescent="0.25">
      <c r="A318" s="18"/>
      <c r="B318" s="19">
        <v>194</v>
      </c>
      <c r="C318" s="19"/>
      <c r="D318" s="19">
        <v>20727</v>
      </c>
      <c r="E318" s="36">
        <v>1999</v>
      </c>
      <c r="F318" s="19" t="s">
        <v>1224</v>
      </c>
      <c r="G318" s="19" t="s">
        <v>382</v>
      </c>
      <c r="H318" s="19"/>
      <c r="I318" s="35" t="s">
        <v>41</v>
      </c>
      <c r="J318" s="19" t="s">
        <v>89</v>
      </c>
      <c r="K318" s="19" t="s">
        <v>161</v>
      </c>
      <c r="L318" s="19" t="s">
        <v>82</v>
      </c>
      <c r="M318" s="19" t="s">
        <v>82</v>
      </c>
      <c r="N318" s="19" t="s">
        <v>66</v>
      </c>
      <c r="O318" s="19" t="s">
        <v>292</v>
      </c>
      <c r="P318" s="35" t="s">
        <v>51</v>
      </c>
      <c r="Q318" s="19"/>
      <c r="R318" s="19" t="s">
        <v>237</v>
      </c>
      <c r="S318" s="19" t="s">
        <v>79</v>
      </c>
      <c r="T318" s="19" t="s">
        <v>56</v>
      </c>
      <c r="U318" s="19">
        <v>26</v>
      </c>
      <c r="V318" s="19" t="s">
        <v>231</v>
      </c>
      <c r="W318" s="19" t="s">
        <v>46</v>
      </c>
      <c r="X318" s="29"/>
      <c r="Y318" s="19">
        <v>2700</v>
      </c>
      <c r="Z318" s="24">
        <f t="shared" si="11"/>
        <v>292.53455358015725</v>
      </c>
      <c r="AA318" s="19" t="s">
        <v>214</v>
      </c>
      <c r="AB318" s="19"/>
      <c r="AC318" s="35">
        <v>280</v>
      </c>
      <c r="AD318" s="35">
        <v>280</v>
      </c>
      <c r="AE318" s="19" t="s">
        <v>270</v>
      </c>
      <c r="AF318" s="19" t="s">
        <v>383</v>
      </c>
      <c r="AG318" s="19"/>
      <c r="AH318" s="19" t="s">
        <v>234</v>
      </c>
      <c r="AI318" s="19" t="s">
        <v>385</v>
      </c>
      <c r="AJ318" s="19" t="s">
        <v>270</v>
      </c>
      <c r="AK318" s="19" t="s">
        <v>234</v>
      </c>
      <c r="AL318" s="19" t="s">
        <v>90</v>
      </c>
      <c r="AM318" s="19" t="s">
        <v>386</v>
      </c>
    </row>
    <row r="319" spans="1:78" s="30" customFormat="1" ht="15.95" customHeight="1" x14ac:dyDescent="0.25">
      <c r="A319" s="18"/>
      <c r="B319" s="19">
        <v>194</v>
      </c>
      <c r="C319" s="19"/>
      <c r="D319" s="19">
        <v>20727</v>
      </c>
      <c r="E319" s="36">
        <v>1999</v>
      </c>
      <c r="F319" s="19" t="s">
        <v>1224</v>
      </c>
      <c r="G319" s="19" t="s">
        <v>382</v>
      </c>
      <c r="H319" s="19"/>
      <c r="I319" s="35" t="s">
        <v>41</v>
      </c>
      <c r="J319" s="19" t="s">
        <v>89</v>
      </c>
      <c r="K319" s="19" t="s">
        <v>161</v>
      </c>
      <c r="L319" s="19" t="s">
        <v>82</v>
      </c>
      <c r="M319" s="19" t="s">
        <v>82</v>
      </c>
      <c r="N319" s="19" t="s">
        <v>66</v>
      </c>
      <c r="O319" s="19" t="s">
        <v>292</v>
      </c>
      <c r="P319" s="35" t="s">
        <v>51</v>
      </c>
      <c r="Q319" s="19"/>
      <c r="R319" s="19" t="s">
        <v>237</v>
      </c>
      <c r="S319" s="19" t="s">
        <v>79</v>
      </c>
      <c r="T319" s="19" t="s">
        <v>56</v>
      </c>
      <c r="U319" s="19">
        <v>26</v>
      </c>
      <c r="V319" s="19" t="s">
        <v>231</v>
      </c>
      <c r="W319" s="19" t="s">
        <v>46</v>
      </c>
      <c r="X319" s="29"/>
      <c r="Y319" s="19">
        <v>2500</v>
      </c>
      <c r="Z319" s="24">
        <f t="shared" si="11"/>
        <v>270.86532738903446</v>
      </c>
      <c r="AA319" s="19" t="s">
        <v>214</v>
      </c>
      <c r="AB319" s="19"/>
      <c r="AC319" s="35">
        <v>280</v>
      </c>
      <c r="AD319" s="35">
        <v>280</v>
      </c>
      <c r="AE319" s="19" t="s">
        <v>270</v>
      </c>
      <c r="AF319" s="19" t="s">
        <v>383</v>
      </c>
      <c r="AG319" s="19"/>
      <c r="AH319" s="19" t="s">
        <v>234</v>
      </c>
      <c r="AI319" s="19" t="s">
        <v>385</v>
      </c>
      <c r="AJ319" s="19" t="s">
        <v>270</v>
      </c>
      <c r="AK319" s="19" t="s">
        <v>234</v>
      </c>
      <c r="AL319" s="19" t="s">
        <v>90</v>
      </c>
      <c r="AM319" s="19" t="s">
        <v>386</v>
      </c>
    </row>
    <row r="320" spans="1:78" s="53" customFormat="1" ht="15.95" customHeight="1" x14ac:dyDescent="0.25">
      <c r="A320" s="46"/>
      <c r="B320" s="47"/>
      <c r="C320" s="47"/>
      <c r="D320" s="47"/>
      <c r="E320" s="48"/>
      <c r="F320" s="47"/>
      <c r="G320" s="47"/>
      <c r="H320" s="47"/>
      <c r="I320" s="49"/>
      <c r="J320" s="47"/>
      <c r="K320" s="47"/>
      <c r="L320" s="47"/>
      <c r="M320" s="47"/>
      <c r="N320" s="47"/>
      <c r="O320" s="47"/>
      <c r="P320" s="49"/>
      <c r="Q320" s="47"/>
      <c r="R320" s="47"/>
      <c r="S320" s="47"/>
      <c r="T320" s="47"/>
      <c r="U320" s="47"/>
      <c r="V320" s="47"/>
      <c r="W320" s="47"/>
      <c r="X320" s="50"/>
      <c r="Y320" s="47">
        <f>GEOMEAN(Y292:Y319)</f>
        <v>2955.4356742022428</v>
      </c>
      <c r="Z320" s="51"/>
      <c r="AA320" s="47"/>
      <c r="AB320" s="47"/>
      <c r="AC320" s="49"/>
      <c r="AD320" s="49"/>
      <c r="AE320" s="47"/>
      <c r="AF320" s="47"/>
      <c r="AG320" s="47"/>
      <c r="AH320" s="47"/>
      <c r="AI320" s="47"/>
      <c r="AJ320" s="47"/>
      <c r="AK320" s="47"/>
      <c r="AL320" s="47"/>
      <c r="AM320" s="47"/>
      <c r="AN320" s="52"/>
      <c r="AO320" s="52"/>
      <c r="AP320" s="52"/>
      <c r="AQ320" s="52"/>
      <c r="AR320" s="52"/>
      <c r="AS320" s="52"/>
      <c r="AT320" s="52"/>
      <c r="AU320" s="52"/>
      <c r="AV320" s="52"/>
      <c r="AW320" s="52"/>
      <c r="AX320" s="52"/>
      <c r="AY320" s="52"/>
      <c r="AZ320" s="52"/>
      <c r="BA320" s="52"/>
      <c r="BB320" s="52"/>
      <c r="BC320" s="52"/>
      <c r="BD320" s="52"/>
      <c r="BE320" s="52"/>
      <c r="BF320" s="52"/>
      <c r="BG320" s="52"/>
      <c r="BH320" s="52"/>
      <c r="BI320" s="52"/>
      <c r="BJ320" s="52"/>
      <c r="BK320" s="52"/>
      <c r="BL320" s="52"/>
      <c r="BM320" s="52"/>
      <c r="BN320" s="52"/>
      <c r="BO320" s="52"/>
      <c r="BP320" s="52"/>
      <c r="BQ320" s="52"/>
      <c r="BR320" s="52"/>
      <c r="BS320" s="52"/>
      <c r="BT320" s="52"/>
      <c r="BU320" s="52"/>
      <c r="BV320" s="52"/>
      <c r="BW320" s="52"/>
      <c r="BX320" s="52"/>
      <c r="BY320" s="52"/>
      <c r="BZ320" s="52"/>
    </row>
    <row r="321" spans="1:39" s="30" customFormat="1" ht="15.95" customHeight="1" x14ac:dyDescent="0.25">
      <c r="A321" s="18"/>
      <c r="B321" s="19">
        <v>194</v>
      </c>
      <c r="C321" s="19"/>
      <c r="D321" s="19">
        <v>20727</v>
      </c>
      <c r="E321" s="36">
        <v>1999</v>
      </c>
      <c r="F321" s="19" t="s">
        <v>1224</v>
      </c>
      <c r="G321" s="19" t="s">
        <v>382</v>
      </c>
      <c r="H321" s="19"/>
      <c r="I321" s="35" t="s">
        <v>41</v>
      </c>
      <c r="J321" s="19" t="s">
        <v>89</v>
      </c>
      <c r="K321" s="19" t="s">
        <v>161</v>
      </c>
      <c r="L321" s="19" t="s">
        <v>82</v>
      </c>
      <c r="M321" s="19" t="s">
        <v>82</v>
      </c>
      <c r="N321" s="19" t="s">
        <v>66</v>
      </c>
      <c r="O321" s="19" t="s">
        <v>292</v>
      </c>
      <c r="P321" s="35" t="s">
        <v>51</v>
      </c>
      <c r="Q321" s="19"/>
      <c r="R321" s="19" t="s">
        <v>237</v>
      </c>
      <c r="S321" s="19" t="s">
        <v>79</v>
      </c>
      <c r="T321" s="19" t="s">
        <v>56</v>
      </c>
      <c r="U321" s="19">
        <v>27</v>
      </c>
      <c r="V321" s="19" t="s">
        <v>231</v>
      </c>
      <c r="W321" s="19" t="s">
        <v>46</v>
      </c>
      <c r="X321" s="29"/>
      <c r="Y321" s="19">
        <v>2700</v>
      </c>
      <c r="Z321" s="24">
        <f t="shared" ref="Z321:Z357" si="12">Y321/((AC321/30)^0.995)</f>
        <v>292.53455358015725</v>
      </c>
      <c r="AA321" s="19" t="s">
        <v>214</v>
      </c>
      <c r="AB321" s="19"/>
      <c r="AC321" s="35">
        <v>280</v>
      </c>
      <c r="AD321" s="35">
        <v>280</v>
      </c>
      <c r="AE321" s="19" t="s">
        <v>270</v>
      </c>
      <c r="AF321" s="19" t="s">
        <v>383</v>
      </c>
      <c r="AG321" s="19"/>
      <c r="AH321" s="19" t="s">
        <v>234</v>
      </c>
      <c r="AI321" s="19" t="s">
        <v>385</v>
      </c>
      <c r="AJ321" s="19" t="s">
        <v>270</v>
      </c>
      <c r="AK321" s="19" t="s">
        <v>234</v>
      </c>
      <c r="AL321" s="19" t="s">
        <v>90</v>
      </c>
      <c r="AM321" s="19" t="s">
        <v>386</v>
      </c>
    </row>
    <row r="322" spans="1:39" s="30" customFormat="1" ht="15.95" customHeight="1" x14ac:dyDescent="0.25">
      <c r="A322" s="18"/>
      <c r="B322" s="19">
        <v>194</v>
      </c>
      <c r="C322" s="19"/>
      <c r="D322" s="19">
        <v>20727</v>
      </c>
      <c r="E322" s="36">
        <v>1999</v>
      </c>
      <c r="F322" s="19" t="s">
        <v>1224</v>
      </c>
      <c r="G322" s="19" t="s">
        <v>382</v>
      </c>
      <c r="H322" s="19"/>
      <c r="I322" s="35" t="s">
        <v>41</v>
      </c>
      <c r="J322" s="19" t="s">
        <v>89</v>
      </c>
      <c r="K322" s="19" t="s">
        <v>161</v>
      </c>
      <c r="L322" s="19" t="s">
        <v>82</v>
      </c>
      <c r="M322" s="19" t="s">
        <v>82</v>
      </c>
      <c r="N322" s="19" t="s">
        <v>66</v>
      </c>
      <c r="O322" s="19" t="s">
        <v>292</v>
      </c>
      <c r="P322" s="35" t="s">
        <v>51</v>
      </c>
      <c r="Q322" s="19"/>
      <c r="R322" s="19" t="s">
        <v>237</v>
      </c>
      <c r="S322" s="19" t="s">
        <v>79</v>
      </c>
      <c r="T322" s="19" t="s">
        <v>56</v>
      </c>
      <c r="U322" s="19">
        <v>27</v>
      </c>
      <c r="V322" s="19" t="s">
        <v>231</v>
      </c>
      <c r="W322" s="19" t="s">
        <v>46</v>
      </c>
      <c r="X322" s="29"/>
      <c r="Y322" s="19">
        <v>2700</v>
      </c>
      <c r="Z322" s="24">
        <f t="shared" si="12"/>
        <v>292.53455358015725</v>
      </c>
      <c r="AA322" s="19" t="s">
        <v>214</v>
      </c>
      <c r="AB322" s="19"/>
      <c r="AC322" s="35">
        <v>280</v>
      </c>
      <c r="AD322" s="35">
        <v>280</v>
      </c>
      <c r="AE322" s="19" t="s">
        <v>270</v>
      </c>
      <c r="AF322" s="19" t="s">
        <v>383</v>
      </c>
      <c r="AG322" s="19"/>
      <c r="AH322" s="19" t="s">
        <v>234</v>
      </c>
      <c r="AI322" s="19" t="s">
        <v>385</v>
      </c>
      <c r="AJ322" s="19" t="s">
        <v>270</v>
      </c>
      <c r="AK322" s="19" t="s">
        <v>234</v>
      </c>
      <c r="AL322" s="19" t="s">
        <v>90</v>
      </c>
      <c r="AM322" s="19" t="s">
        <v>386</v>
      </c>
    </row>
    <row r="323" spans="1:39" s="30" customFormat="1" ht="15.95" customHeight="1" x14ac:dyDescent="0.25">
      <c r="A323" s="18"/>
      <c r="B323" s="19">
        <v>194</v>
      </c>
      <c r="C323" s="19"/>
      <c r="D323" s="19">
        <v>20727</v>
      </c>
      <c r="E323" s="36">
        <v>1999</v>
      </c>
      <c r="F323" s="19" t="s">
        <v>1224</v>
      </c>
      <c r="G323" s="19" t="s">
        <v>382</v>
      </c>
      <c r="H323" s="19"/>
      <c r="I323" s="35" t="s">
        <v>41</v>
      </c>
      <c r="J323" s="19" t="s">
        <v>89</v>
      </c>
      <c r="K323" s="19" t="s">
        <v>161</v>
      </c>
      <c r="L323" s="19" t="s">
        <v>82</v>
      </c>
      <c r="M323" s="19" t="s">
        <v>82</v>
      </c>
      <c r="N323" s="19" t="s">
        <v>66</v>
      </c>
      <c r="O323" s="19" t="s">
        <v>292</v>
      </c>
      <c r="P323" s="35" t="s">
        <v>51</v>
      </c>
      <c r="Q323" s="19"/>
      <c r="R323" s="19" t="s">
        <v>237</v>
      </c>
      <c r="S323" s="19" t="s">
        <v>79</v>
      </c>
      <c r="T323" s="19" t="s">
        <v>56</v>
      </c>
      <c r="U323" s="19">
        <v>27</v>
      </c>
      <c r="V323" s="19" t="s">
        <v>231</v>
      </c>
      <c r="W323" s="19" t="s">
        <v>46</v>
      </c>
      <c r="X323" s="29"/>
      <c r="Y323" s="19">
        <v>2500</v>
      </c>
      <c r="Z323" s="24">
        <f t="shared" si="12"/>
        <v>270.86532738903446</v>
      </c>
      <c r="AA323" s="19" t="s">
        <v>214</v>
      </c>
      <c r="AB323" s="19"/>
      <c r="AC323" s="35">
        <v>280</v>
      </c>
      <c r="AD323" s="35">
        <v>280</v>
      </c>
      <c r="AE323" s="19" t="s">
        <v>270</v>
      </c>
      <c r="AF323" s="19" t="s">
        <v>383</v>
      </c>
      <c r="AG323" s="19"/>
      <c r="AH323" s="19" t="s">
        <v>234</v>
      </c>
      <c r="AI323" s="19" t="s">
        <v>385</v>
      </c>
      <c r="AJ323" s="19" t="s">
        <v>270</v>
      </c>
      <c r="AK323" s="19" t="s">
        <v>234</v>
      </c>
      <c r="AL323" s="19" t="s">
        <v>90</v>
      </c>
      <c r="AM323" s="19" t="s">
        <v>386</v>
      </c>
    </row>
    <row r="324" spans="1:39" s="30" customFormat="1" ht="15.95" customHeight="1" x14ac:dyDescent="0.25">
      <c r="A324" s="18"/>
      <c r="B324" s="19">
        <v>194</v>
      </c>
      <c r="C324" s="19"/>
      <c r="D324" s="19">
        <v>20727</v>
      </c>
      <c r="E324" s="36">
        <v>1999</v>
      </c>
      <c r="F324" s="19" t="s">
        <v>1224</v>
      </c>
      <c r="G324" s="19" t="s">
        <v>382</v>
      </c>
      <c r="H324" s="19"/>
      <c r="I324" s="35" t="s">
        <v>41</v>
      </c>
      <c r="J324" s="19" t="s">
        <v>89</v>
      </c>
      <c r="K324" s="19" t="s">
        <v>161</v>
      </c>
      <c r="L324" s="19" t="s">
        <v>82</v>
      </c>
      <c r="M324" s="19" t="s">
        <v>82</v>
      </c>
      <c r="N324" s="19" t="s">
        <v>66</v>
      </c>
      <c r="O324" s="19" t="s">
        <v>292</v>
      </c>
      <c r="P324" s="35" t="s">
        <v>51</v>
      </c>
      <c r="Q324" s="19"/>
      <c r="R324" s="19" t="s">
        <v>237</v>
      </c>
      <c r="S324" s="19" t="s">
        <v>79</v>
      </c>
      <c r="T324" s="19" t="s">
        <v>56</v>
      </c>
      <c r="U324" s="19">
        <v>27</v>
      </c>
      <c r="V324" s="19" t="s">
        <v>231</v>
      </c>
      <c r="W324" s="19" t="s">
        <v>46</v>
      </c>
      <c r="X324" s="29"/>
      <c r="Y324" s="19">
        <v>3200</v>
      </c>
      <c r="Z324" s="24">
        <f t="shared" si="12"/>
        <v>346.70761905796411</v>
      </c>
      <c r="AA324" s="19" t="s">
        <v>214</v>
      </c>
      <c r="AB324" s="19"/>
      <c r="AC324" s="35">
        <v>280</v>
      </c>
      <c r="AD324" s="35">
        <v>280</v>
      </c>
      <c r="AE324" s="19" t="s">
        <v>270</v>
      </c>
      <c r="AF324" s="19" t="s">
        <v>383</v>
      </c>
      <c r="AG324" s="19"/>
      <c r="AH324" s="19" t="s">
        <v>234</v>
      </c>
      <c r="AI324" s="19" t="s">
        <v>385</v>
      </c>
      <c r="AJ324" s="19" t="s">
        <v>270</v>
      </c>
      <c r="AK324" s="19" t="s">
        <v>234</v>
      </c>
      <c r="AL324" s="19" t="s">
        <v>90</v>
      </c>
      <c r="AM324" s="19" t="s">
        <v>386</v>
      </c>
    </row>
    <row r="325" spans="1:39" s="30" customFormat="1" ht="15.95" customHeight="1" x14ac:dyDescent="0.25">
      <c r="A325" s="18"/>
      <c r="B325" s="19">
        <v>194</v>
      </c>
      <c r="C325" s="19"/>
      <c r="D325" s="19">
        <v>20727</v>
      </c>
      <c r="E325" s="36">
        <v>1999</v>
      </c>
      <c r="F325" s="19" t="s">
        <v>1224</v>
      </c>
      <c r="G325" s="19" t="s">
        <v>382</v>
      </c>
      <c r="H325" s="19"/>
      <c r="I325" s="35" t="s">
        <v>41</v>
      </c>
      <c r="J325" s="19" t="s">
        <v>89</v>
      </c>
      <c r="K325" s="19" t="s">
        <v>161</v>
      </c>
      <c r="L325" s="19" t="s">
        <v>82</v>
      </c>
      <c r="M325" s="19" t="s">
        <v>82</v>
      </c>
      <c r="N325" s="19" t="s">
        <v>66</v>
      </c>
      <c r="O325" s="19" t="s">
        <v>292</v>
      </c>
      <c r="P325" s="35" t="s">
        <v>51</v>
      </c>
      <c r="Q325" s="19"/>
      <c r="R325" s="19" t="s">
        <v>237</v>
      </c>
      <c r="S325" s="19" t="s">
        <v>79</v>
      </c>
      <c r="T325" s="19" t="s">
        <v>56</v>
      </c>
      <c r="U325" s="19">
        <v>27</v>
      </c>
      <c r="V325" s="19" t="s">
        <v>231</v>
      </c>
      <c r="W325" s="19" t="s">
        <v>46</v>
      </c>
      <c r="X325" s="29"/>
      <c r="Y325" s="19">
        <v>2500</v>
      </c>
      <c r="Z325" s="24">
        <f t="shared" si="12"/>
        <v>270.86532738903446</v>
      </c>
      <c r="AA325" s="19" t="s">
        <v>214</v>
      </c>
      <c r="AB325" s="19"/>
      <c r="AC325" s="35">
        <v>280</v>
      </c>
      <c r="AD325" s="35">
        <v>280</v>
      </c>
      <c r="AE325" s="19" t="s">
        <v>270</v>
      </c>
      <c r="AF325" s="19" t="s">
        <v>383</v>
      </c>
      <c r="AG325" s="19"/>
      <c r="AH325" s="19" t="s">
        <v>234</v>
      </c>
      <c r="AI325" s="19" t="s">
        <v>385</v>
      </c>
      <c r="AJ325" s="19" t="s">
        <v>270</v>
      </c>
      <c r="AK325" s="19" t="s">
        <v>234</v>
      </c>
      <c r="AL325" s="19" t="s">
        <v>90</v>
      </c>
      <c r="AM325" s="19" t="s">
        <v>386</v>
      </c>
    </row>
    <row r="326" spans="1:39" s="30" customFormat="1" ht="15.95" customHeight="1" x14ac:dyDescent="0.25">
      <c r="A326" s="18"/>
      <c r="B326" s="19">
        <v>194</v>
      </c>
      <c r="C326" s="19"/>
      <c r="D326" s="19">
        <v>20727</v>
      </c>
      <c r="E326" s="36">
        <v>1999</v>
      </c>
      <c r="F326" s="19" t="s">
        <v>1224</v>
      </c>
      <c r="G326" s="19" t="s">
        <v>382</v>
      </c>
      <c r="H326" s="19"/>
      <c r="I326" s="35" t="s">
        <v>41</v>
      </c>
      <c r="J326" s="19" t="s">
        <v>89</v>
      </c>
      <c r="K326" s="19" t="s">
        <v>161</v>
      </c>
      <c r="L326" s="19" t="s">
        <v>82</v>
      </c>
      <c r="M326" s="19" t="s">
        <v>82</v>
      </c>
      <c r="N326" s="19" t="s">
        <v>66</v>
      </c>
      <c r="O326" s="19" t="s">
        <v>292</v>
      </c>
      <c r="P326" s="35" t="s">
        <v>51</v>
      </c>
      <c r="Q326" s="19"/>
      <c r="R326" s="19" t="s">
        <v>237</v>
      </c>
      <c r="S326" s="19" t="s">
        <v>79</v>
      </c>
      <c r="T326" s="19" t="s">
        <v>56</v>
      </c>
      <c r="U326" s="19">
        <v>27</v>
      </c>
      <c r="V326" s="19" t="s">
        <v>231</v>
      </c>
      <c r="W326" s="19" t="s">
        <v>46</v>
      </c>
      <c r="X326" s="29"/>
      <c r="Y326" s="19">
        <v>3100</v>
      </c>
      <c r="Z326" s="24">
        <f t="shared" si="12"/>
        <v>335.87300596240277</v>
      </c>
      <c r="AA326" s="19" t="s">
        <v>214</v>
      </c>
      <c r="AB326" s="19"/>
      <c r="AC326" s="35">
        <v>280</v>
      </c>
      <c r="AD326" s="35">
        <v>280</v>
      </c>
      <c r="AE326" s="19" t="s">
        <v>270</v>
      </c>
      <c r="AF326" s="19" t="s">
        <v>383</v>
      </c>
      <c r="AG326" s="19"/>
      <c r="AH326" s="19" t="s">
        <v>234</v>
      </c>
      <c r="AI326" s="19" t="s">
        <v>385</v>
      </c>
      <c r="AJ326" s="19" t="s">
        <v>270</v>
      </c>
      <c r="AK326" s="19" t="s">
        <v>234</v>
      </c>
      <c r="AL326" s="19" t="s">
        <v>90</v>
      </c>
      <c r="AM326" s="19" t="s">
        <v>386</v>
      </c>
    </row>
    <row r="327" spans="1:39" s="30" customFormat="1" ht="15.95" customHeight="1" x14ac:dyDescent="0.25">
      <c r="A327" s="18"/>
      <c r="B327" s="19">
        <v>194</v>
      </c>
      <c r="C327" s="19"/>
      <c r="D327" s="19">
        <v>20727</v>
      </c>
      <c r="E327" s="36">
        <v>1999</v>
      </c>
      <c r="F327" s="19" t="s">
        <v>1224</v>
      </c>
      <c r="G327" s="19" t="s">
        <v>382</v>
      </c>
      <c r="H327" s="19"/>
      <c r="I327" s="35" t="s">
        <v>41</v>
      </c>
      <c r="J327" s="19" t="s">
        <v>89</v>
      </c>
      <c r="K327" s="19" t="s">
        <v>161</v>
      </c>
      <c r="L327" s="19" t="s">
        <v>82</v>
      </c>
      <c r="M327" s="19" t="s">
        <v>82</v>
      </c>
      <c r="N327" s="19" t="s">
        <v>66</v>
      </c>
      <c r="O327" s="19" t="s">
        <v>292</v>
      </c>
      <c r="P327" s="35" t="s">
        <v>51</v>
      </c>
      <c r="Q327" s="19"/>
      <c r="R327" s="19" t="s">
        <v>237</v>
      </c>
      <c r="S327" s="19" t="s">
        <v>79</v>
      </c>
      <c r="T327" s="19" t="s">
        <v>56</v>
      </c>
      <c r="U327" s="19">
        <v>27</v>
      </c>
      <c r="V327" s="19" t="s">
        <v>231</v>
      </c>
      <c r="W327" s="19" t="s">
        <v>46</v>
      </c>
      <c r="X327" s="29"/>
      <c r="Y327" s="19">
        <v>2300</v>
      </c>
      <c r="Z327" s="24">
        <f t="shared" si="12"/>
        <v>249.1961011979117</v>
      </c>
      <c r="AA327" s="19" t="s">
        <v>214</v>
      </c>
      <c r="AB327" s="19"/>
      <c r="AC327" s="35">
        <v>280</v>
      </c>
      <c r="AD327" s="35">
        <v>280</v>
      </c>
      <c r="AE327" s="19" t="s">
        <v>270</v>
      </c>
      <c r="AF327" s="19" t="s">
        <v>383</v>
      </c>
      <c r="AG327" s="19"/>
      <c r="AH327" s="19" t="s">
        <v>234</v>
      </c>
      <c r="AI327" s="19" t="s">
        <v>385</v>
      </c>
      <c r="AJ327" s="19" t="s">
        <v>270</v>
      </c>
      <c r="AK327" s="19" t="s">
        <v>234</v>
      </c>
      <c r="AL327" s="19" t="s">
        <v>90</v>
      </c>
      <c r="AM327" s="19" t="s">
        <v>386</v>
      </c>
    </row>
    <row r="328" spans="1:39" s="30" customFormat="1" ht="15.95" customHeight="1" x14ac:dyDescent="0.25">
      <c r="A328" s="18"/>
      <c r="B328" s="19">
        <v>194</v>
      </c>
      <c r="C328" s="19"/>
      <c r="D328" s="19">
        <v>20727</v>
      </c>
      <c r="E328" s="36">
        <v>1999</v>
      </c>
      <c r="F328" s="19" t="s">
        <v>1224</v>
      </c>
      <c r="G328" s="19" t="s">
        <v>382</v>
      </c>
      <c r="H328" s="19"/>
      <c r="I328" s="35" t="s">
        <v>41</v>
      </c>
      <c r="J328" s="19" t="s">
        <v>89</v>
      </c>
      <c r="K328" s="19" t="s">
        <v>161</v>
      </c>
      <c r="L328" s="19" t="s">
        <v>82</v>
      </c>
      <c r="M328" s="19" t="s">
        <v>82</v>
      </c>
      <c r="N328" s="19" t="s">
        <v>66</v>
      </c>
      <c r="O328" s="19" t="s">
        <v>292</v>
      </c>
      <c r="P328" s="35" t="s">
        <v>51</v>
      </c>
      <c r="Q328" s="19"/>
      <c r="R328" s="19" t="s">
        <v>237</v>
      </c>
      <c r="S328" s="19" t="s">
        <v>79</v>
      </c>
      <c r="T328" s="19" t="s">
        <v>56</v>
      </c>
      <c r="U328" s="19">
        <v>27</v>
      </c>
      <c r="V328" s="19" t="s">
        <v>231</v>
      </c>
      <c r="W328" s="19" t="s">
        <v>46</v>
      </c>
      <c r="X328" s="29"/>
      <c r="Y328" s="19">
        <v>2500</v>
      </c>
      <c r="Z328" s="24">
        <f t="shared" si="12"/>
        <v>270.86532738903446</v>
      </c>
      <c r="AA328" s="19" t="s">
        <v>214</v>
      </c>
      <c r="AB328" s="19"/>
      <c r="AC328" s="35">
        <v>280</v>
      </c>
      <c r="AD328" s="35">
        <v>280</v>
      </c>
      <c r="AE328" s="19" t="s">
        <v>270</v>
      </c>
      <c r="AF328" s="19" t="s">
        <v>383</v>
      </c>
      <c r="AG328" s="19"/>
      <c r="AH328" s="19" t="s">
        <v>234</v>
      </c>
      <c r="AI328" s="19" t="s">
        <v>385</v>
      </c>
      <c r="AJ328" s="19" t="s">
        <v>270</v>
      </c>
      <c r="AK328" s="19" t="s">
        <v>234</v>
      </c>
      <c r="AL328" s="19" t="s">
        <v>90</v>
      </c>
      <c r="AM328" s="19" t="s">
        <v>386</v>
      </c>
    </row>
    <row r="329" spans="1:39" s="30" customFormat="1" ht="15.95" customHeight="1" x14ac:dyDescent="0.25">
      <c r="A329" s="18"/>
      <c r="B329" s="19">
        <v>194</v>
      </c>
      <c r="C329" s="19"/>
      <c r="D329" s="19">
        <v>20727</v>
      </c>
      <c r="E329" s="36">
        <v>1999</v>
      </c>
      <c r="F329" s="19" t="s">
        <v>1224</v>
      </c>
      <c r="G329" s="19" t="s">
        <v>382</v>
      </c>
      <c r="H329" s="19"/>
      <c r="I329" s="35" t="s">
        <v>41</v>
      </c>
      <c r="J329" s="19" t="s">
        <v>89</v>
      </c>
      <c r="K329" s="19" t="s">
        <v>161</v>
      </c>
      <c r="L329" s="19" t="s">
        <v>82</v>
      </c>
      <c r="M329" s="19" t="s">
        <v>82</v>
      </c>
      <c r="N329" s="19" t="s">
        <v>66</v>
      </c>
      <c r="O329" s="19" t="s">
        <v>292</v>
      </c>
      <c r="P329" s="35" t="s">
        <v>51</v>
      </c>
      <c r="Q329" s="19"/>
      <c r="R329" s="19" t="s">
        <v>237</v>
      </c>
      <c r="S329" s="19" t="s">
        <v>79</v>
      </c>
      <c r="T329" s="19" t="s">
        <v>56</v>
      </c>
      <c r="U329" s="19">
        <v>27</v>
      </c>
      <c r="V329" s="19" t="s">
        <v>231</v>
      </c>
      <c r="W329" s="19" t="s">
        <v>46</v>
      </c>
      <c r="X329" s="29"/>
      <c r="Y329" s="19">
        <v>3100</v>
      </c>
      <c r="Z329" s="24">
        <f t="shared" si="12"/>
        <v>335.87300596240277</v>
      </c>
      <c r="AA329" s="19" t="s">
        <v>214</v>
      </c>
      <c r="AB329" s="19"/>
      <c r="AC329" s="35">
        <v>280</v>
      </c>
      <c r="AD329" s="35">
        <v>280</v>
      </c>
      <c r="AE329" s="19" t="s">
        <v>270</v>
      </c>
      <c r="AF329" s="19" t="s">
        <v>383</v>
      </c>
      <c r="AG329" s="19"/>
      <c r="AH329" s="19" t="s">
        <v>234</v>
      </c>
      <c r="AI329" s="19" t="s">
        <v>385</v>
      </c>
      <c r="AJ329" s="19" t="s">
        <v>270</v>
      </c>
      <c r="AK329" s="19" t="s">
        <v>234</v>
      </c>
      <c r="AL329" s="19" t="s">
        <v>90</v>
      </c>
      <c r="AM329" s="19" t="s">
        <v>386</v>
      </c>
    </row>
    <row r="330" spans="1:39" s="30" customFormat="1" ht="15.95" customHeight="1" x14ac:dyDescent="0.25">
      <c r="A330" s="18"/>
      <c r="B330" s="19">
        <v>194</v>
      </c>
      <c r="C330" s="19"/>
      <c r="D330" s="19">
        <v>20727</v>
      </c>
      <c r="E330" s="36">
        <v>1999</v>
      </c>
      <c r="F330" s="19" t="s">
        <v>1224</v>
      </c>
      <c r="G330" s="19" t="s">
        <v>382</v>
      </c>
      <c r="H330" s="19"/>
      <c r="I330" s="35" t="s">
        <v>41</v>
      </c>
      <c r="J330" s="19" t="s">
        <v>89</v>
      </c>
      <c r="K330" s="19" t="s">
        <v>161</v>
      </c>
      <c r="L330" s="19" t="s">
        <v>82</v>
      </c>
      <c r="M330" s="19" t="s">
        <v>82</v>
      </c>
      <c r="N330" s="19" t="s">
        <v>66</v>
      </c>
      <c r="O330" s="19" t="s">
        <v>292</v>
      </c>
      <c r="P330" s="35" t="s">
        <v>51</v>
      </c>
      <c r="Q330" s="19"/>
      <c r="R330" s="19" t="s">
        <v>237</v>
      </c>
      <c r="S330" s="19" t="s">
        <v>79</v>
      </c>
      <c r="T330" s="19" t="s">
        <v>56</v>
      </c>
      <c r="U330" s="19">
        <v>27</v>
      </c>
      <c r="V330" s="19" t="s">
        <v>231</v>
      </c>
      <c r="W330" s="19" t="s">
        <v>46</v>
      </c>
      <c r="X330" s="29"/>
      <c r="Y330" s="19">
        <v>3200</v>
      </c>
      <c r="Z330" s="24">
        <f t="shared" si="12"/>
        <v>346.70761905796411</v>
      </c>
      <c r="AA330" s="19" t="s">
        <v>214</v>
      </c>
      <c r="AB330" s="19"/>
      <c r="AC330" s="35">
        <v>280</v>
      </c>
      <c r="AD330" s="35">
        <v>280</v>
      </c>
      <c r="AE330" s="19" t="s">
        <v>270</v>
      </c>
      <c r="AF330" s="19" t="s">
        <v>383</v>
      </c>
      <c r="AG330" s="19"/>
      <c r="AH330" s="19" t="s">
        <v>234</v>
      </c>
      <c r="AI330" s="19" t="s">
        <v>385</v>
      </c>
      <c r="AJ330" s="19" t="s">
        <v>270</v>
      </c>
      <c r="AK330" s="19" t="s">
        <v>234</v>
      </c>
      <c r="AL330" s="19" t="s">
        <v>90</v>
      </c>
      <c r="AM330" s="19" t="s">
        <v>386</v>
      </c>
    </row>
    <row r="331" spans="1:39" s="30" customFormat="1" ht="15.95" customHeight="1" x14ac:dyDescent="0.25">
      <c r="A331" s="18"/>
      <c r="B331" s="19">
        <v>194</v>
      </c>
      <c r="C331" s="19"/>
      <c r="D331" s="19">
        <v>20727</v>
      </c>
      <c r="E331" s="36">
        <v>1999</v>
      </c>
      <c r="F331" s="19" t="s">
        <v>1224</v>
      </c>
      <c r="G331" s="19" t="s">
        <v>382</v>
      </c>
      <c r="H331" s="19"/>
      <c r="I331" s="35" t="s">
        <v>41</v>
      </c>
      <c r="J331" s="19" t="s">
        <v>89</v>
      </c>
      <c r="K331" s="19" t="s">
        <v>161</v>
      </c>
      <c r="L331" s="19" t="s">
        <v>82</v>
      </c>
      <c r="M331" s="19" t="s">
        <v>82</v>
      </c>
      <c r="N331" s="19" t="s">
        <v>66</v>
      </c>
      <c r="O331" s="19" t="s">
        <v>292</v>
      </c>
      <c r="P331" s="35" t="s">
        <v>51</v>
      </c>
      <c r="Q331" s="19"/>
      <c r="R331" s="19" t="s">
        <v>237</v>
      </c>
      <c r="S331" s="19" t="s">
        <v>79</v>
      </c>
      <c r="T331" s="19" t="s">
        <v>56</v>
      </c>
      <c r="U331" s="19">
        <v>27</v>
      </c>
      <c r="V331" s="19" t="s">
        <v>231</v>
      </c>
      <c r="W331" s="19" t="s">
        <v>46</v>
      </c>
      <c r="X331" s="29"/>
      <c r="Y331" s="19">
        <v>2700</v>
      </c>
      <c r="Z331" s="24">
        <f t="shared" si="12"/>
        <v>292.53455358015725</v>
      </c>
      <c r="AA331" s="19" t="s">
        <v>214</v>
      </c>
      <c r="AB331" s="19"/>
      <c r="AC331" s="35">
        <v>280</v>
      </c>
      <c r="AD331" s="35">
        <v>280</v>
      </c>
      <c r="AE331" s="19" t="s">
        <v>270</v>
      </c>
      <c r="AF331" s="19" t="s">
        <v>383</v>
      </c>
      <c r="AG331" s="19"/>
      <c r="AH331" s="19" t="s">
        <v>234</v>
      </c>
      <c r="AI331" s="19" t="s">
        <v>385</v>
      </c>
      <c r="AJ331" s="19" t="s">
        <v>270</v>
      </c>
      <c r="AK331" s="19" t="s">
        <v>234</v>
      </c>
      <c r="AL331" s="19" t="s">
        <v>90</v>
      </c>
      <c r="AM331" s="19" t="s">
        <v>386</v>
      </c>
    </row>
    <row r="332" spans="1:39" s="30" customFormat="1" ht="15.95" customHeight="1" x14ac:dyDescent="0.25">
      <c r="A332" s="18"/>
      <c r="B332" s="19">
        <v>194</v>
      </c>
      <c r="C332" s="19"/>
      <c r="D332" s="19">
        <v>20727</v>
      </c>
      <c r="E332" s="36">
        <v>1999</v>
      </c>
      <c r="F332" s="19" t="s">
        <v>1224</v>
      </c>
      <c r="G332" s="19" t="s">
        <v>382</v>
      </c>
      <c r="H332" s="19"/>
      <c r="I332" s="35" t="s">
        <v>41</v>
      </c>
      <c r="J332" s="19" t="s">
        <v>89</v>
      </c>
      <c r="K332" s="19" t="s">
        <v>161</v>
      </c>
      <c r="L332" s="19" t="s">
        <v>82</v>
      </c>
      <c r="M332" s="19" t="s">
        <v>82</v>
      </c>
      <c r="N332" s="19" t="s">
        <v>66</v>
      </c>
      <c r="O332" s="19" t="s">
        <v>292</v>
      </c>
      <c r="P332" s="35" t="s">
        <v>51</v>
      </c>
      <c r="Q332" s="19"/>
      <c r="R332" s="19" t="s">
        <v>237</v>
      </c>
      <c r="S332" s="19" t="s">
        <v>79</v>
      </c>
      <c r="T332" s="19" t="s">
        <v>56</v>
      </c>
      <c r="U332" s="19">
        <v>27</v>
      </c>
      <c r="V332" s="19" t="s">
        <v>231</v>
      </c>
      <c r="W332" s="19" t="s">
        <v>46</v>
      </c>
      <c r="X332" s="29"/>
      <c r="Y332" s="19">
        <v>2500</v>
      </c>
      <c r="Z332" s="24">
        <f t="shared" si="12"/>
        <v>270.86532738903446</v>
      </c>
      <c r="AA332" s="19" t="s">
        <v>214</v>
      </c>
      <c r="AB332" s="19"/>
      <c r="AC332" s="35">
        <v>280</v>
      </c>
      <c r="AD332" s="35">
        <v>280</v>
      </c>
      <c r="AE332" s="19" t="s">
        <v>270</v>
      </c>
      <c r="AF332" s="19" t="s">
        <v>383</v>
      </c>
      <c r="AG332" s="19"/>
      <c r="AH332" s="19" t="s">
        <v>234</v>
      </c>
      <c r="AI332" s="19" t="s">
        <v>385</v>
      </c>
      <c r="AJ332" s="19" t="s">
        <v>270</v>
      </c>
      <c r="AK332" s="19" t="s">
        <v>234</v>
      </c>
      <c r="AL332" s="19" t="s">
        <v>90</v>
      </c>
      <c r="AM332" s="19" t="s">
        <v>386</v>
      </c>
    </row>
    <row r="333" spans="1:39" s="30" customFormat="1" ht="15.95" customHeight="1" x14ac:dyDescent="0.25">
      <c r="A333" s="18"/>
      <c r="B333" s="19">
        <v>194</v>
      </c>
      <c r="C333" s="19"/>
      <c r="D333" s="19">
        <v>20727</v>
      </c>
      <c r="E333" s="36">
        <v>1999</v>
      </c>
      <c r="F333" s="19" t="s">
        <v>1224</v>
      </c>
      <c r="G333" s="19" t="s">
        <v>382</v>
      </c>
      <c r="H333" s="19"/>
      <c r="I333" s="35" t="s">
        <v>41</v>
      </c>
      <c r="J333" s="19" t="s">
        <v>89</v>
      </c>
      <c r="K333" s="19" t="s">
        <v>161</v>
      </c>
      <c r="L333" s="19" t="s">
        <v>82</v>
      </c>
      <c r="M333" s="19" t="s">
        <v>82</v>
      </c>
      <c r="N333" s="19" t="s">
        <v>66</v>
      </c>
      <c r="O333" s="19" t="s">
        <v>292</v>
      </c>
      <c r="P333" s="35" t="s">
        <v>51</v>
      </c>
      <c r="Q333" s="19"/>
      <c r="R333" s="19" t="s">
        <v>237</v>
      </c>
      <c r="S333" s="19" t="s">
        <v>79</v>
      </c>
      <c r="T333" s="19" t="s">
        <v>56</v>
      </c>
      <c r="U333" s="19">
        <v>27</v>
      </c>
      <c r="V333" s="19" t="s">
        <v>231</v>
      </c>
      <c r="W333" s="19" t="s">
        <v>46</v>
      </c>
      <c r="X333" s="29"/>
      <c r="Y333" s="19">
        <v>3100</v>
      </c>
      <c r="Z333" s="24">
        <f t="shared" si="12"/>
        <v>335.87300596240277</v>
      </c>
      <c r="AA333" s="19" t="s">
        <v>214</v>
      </c>
      <c r="AB333" s="19"/>
      <c r="AC333" s="35">
        <v>280</v>
      </c>
      <c r="AD333" s="35">
        <v>280</v>
      </c>
      <c r="AE333" s="19" t="s">
        <v>270</v>
      </c>
      <c r="AF333" s="19" t="s">
        <v>383</v>
      </c>
      <c r="AG333" s="19"/>
      <c r="AH333" s="19" t="s">
        <v>234</v>
      </c>
      <c r="AI333" s="19" t="s">
        <v>385</v>
      </c>
      <c r="AJ333" s="19" t="s">
        <v>270</v>
      </c>
      <c r="AK333" s="19" t="s">
        <v>234</v>
      </c>
      <c r="AL333" s="19" t="s">
        <v>90</v>
      </c>
      <c r="AM333" s="19" t="s">
        <v>386</v>
      </c>
    </row>
    <row r="334" spans="1:39" s="30" customFormat="1" ht="15.95" customHeight="1" x14ac:dyDescent="0.25">
      <c r="A334" s="18"/>
      <c r="B334" s="19">
        <v>194</v>
      </c>
      <c r="C334" s="19"/>
      <c r="D334" s="19">
        <v>20727</v>
      </c>
      <c r="E334" s="36">
        <v>1999</v>
      </c>
      <c r="F334" s="19" t="s">
        <v>1224</v>
      </c>
      <c r="G334" s="19" t="s">
        <v>382</v>
      </c>
      <c r="H334" s="19"/>
      <c r="I334" s="35" t="s">
        <v>41</v>
      </c>
      <c r="J334" s="19" t="s">
        <v>89</v>
      </c>
      <c r="K334" s="19" t="s">
        <v>161</v>
      </c>
      <c r="L334" s="19" t="s">
        <v>82</v>
      </c>
      <c r="M334" s="19" t="s">
        <v>82</v>
      </c>
      <c r="N334" s="19" t="s">
        <v>66</v>
      </c>
      <c r="O334" s="19" t="s">
        <v>292</v>
      </c>
      <c r="P334" s="35" t="s">
        <v>51</v>
      </c>
      <c r="Q334" s="19"/>
      <c r="R334" s="19" t="s">
        <v>237</v>
      </c>
      <c r="S334" s="19" t="s">
        <v>79</v>
      </c>
      <c r="T334" s="19" t="s">
        <v>56</v>
      </c>
      <c r="U334" s="19">
        <v>27</v>
      </c>
      <c r="V334" s="19" t="s">
        <v>231</v>
      </c>
      <c r="W334" s="19" t="s">
        <v>46</v>
      </c>
      <c r="X334" s="29"/>
      <c r="Y334" s="19">
        <v>2300</v>
      </c>
      <c r="Z334" s="24">
        <f t="shared" si="12"/>
        <v>249.1961011979117</v>
      </c>
      <c r="AA334" s="19" t="s">
        <v>214</v>
      </c>
      <c r="AB334" s="19"/>
      <c r="AC334" s="35">
        <v>280</v>
      </c>
      <c r="AD334" s="35">
        <v>280</v>
      </c>
      <c r="AE334" s="19" t="s">
        <v>270</v>
      </c>
      <c r="AF334" s="19" t="s">
        <v>383</v>
      </c>
      <c r="AG334" s="19"/>
      <c r="AH334" s="19" t="s">
        <v>234</v>
      </c>
      <c r="AI334" s="19" t="s">
        <v>385</v>
      </c>
      <c r="AJ334" s="19" t="s">
        <v>270</v>
      </c>
      <c r="AK334" s="19" t="s">
        <v>234</v>
      </c>
      <c r="AL334" s="19" t="s">
        <v>90</v>
      </c>
      <c r="AM334" s="19" t="s">
        <v>386</v>
      </c>
    </row>
    <row r="335" spans="1:39" s="30" customFormat="1" ht="15.95" customHeight="1" x14ac:dyDescent="0.25">
      <c r="A335" s="18"/>
      <c r="B335" s="19">
        <v>194</v>
      </c>
      <c r="C335" s="19"/>
      <c r="D335" s="19">
        <v>20727</v>
      </c>
      <c r="E335" s="36">
        <v>1999</v>
      </c>
      <c r="F335" s="19" t="s">
        <v>1224</v>
      </c>
      <c r="G335" s="19" t="s">
        <v>382</v>
      </c>
      <c r="H335" s="19"/>
      <c r="I335" s="35" t="s">
        <v>41</v>
      </c>
      <c r="J335" s="19" t="s">
        <v>89</v>
      </c>
      <c r="K335" s="19" t="s">
        <v>161</v>
      </c>
      <c r="L335" s="19" t="s">
        <v>82</v>
      </c>
      <c r="M335" s="19" t="s">
        <v>82</v>
      </c>
      <c r="N335" s="19" t="s">
        <v>66</v>
      </c>
      <c r="O335" s="19" t="s">
        <v>292</v>
      </c>
      <c r="P335" s="35" t="s">
        <v>51</v>
      </c>
      <c r="Q335" s="19"/>
      <c r="R335" s="19" t="s">
        <v>237</v>
      </c>
      <c r="S335" s="19" t="s">
        <v>79</v>
      </c>
      <c r="T335" s="19" t="s">
        <v>56</v>
      </c>
      <c r="U335" s="19">
        <v>27</v>
      </c>
      <c r="V335" s="19" t="s">
        <v>231</v>
      </c>
      <c r="W335" s="19" t="s">
        <v>46</v>
      </c>
      <c r="X335" s="29"/>
      <c r="Y335" s="19">
        <v>2500</v>
      </c>
      <c r="Z335" s="24">
        <f t="shared" si="12"/>
        <v>270.86532738903446</v>
      </c>
      <c r="AA335" s="19" t="s">
        <v>214</v>
      </c>
      <c r="AB335" s="19"/>
      <c r="AC335" s="35">
        <v>280</v>
      </c>
      <c r="AD335" s="35">
        <v>280</v>
      </c>
      <c r="AE335" s="19" t="s">
        <v>270</v>
      </c>
      <c r="AF335" s="19" t="s">
        <v>383</v>
      </c>
      <c r="AG335" s="19"/>
      <c r="AH335" s="19" t="s">
        <v>234</v>
      </c>
      <c r="AI335" s="19" t="s">
        <v>385</v>
      </c>
      <c r="AJ335" s="19" t="s">
        <v>270</v>
      </c>
      <c r="AK335" s="19" t="s">
        <v>234</v>
      </c>
      <c r="AL335" s="19" t="s">
        <v>90</v>
      </c>
      <c r="AM335" s="19" t="s">
        <v>386</v>
      </c>
    </row>
    <row r="336" spans="1:39" s="30" customFormat="1" ht="15.95" customHeight="1" x14ac:dyDescent="0.25">
      <c r="A336" s="18"/>
      <c r="B336" s="19">
        <v>194</v>
      </c>
      <c r="C336" s="19"/>
      <c r="D336" s="19">
        <v>20727</v>
      </c>
      <c r="E336" s="36">
        <v>1999</v>
      </c>
      <c r="F336" s="19" t="s">
        <v>1224</v>
      </c>
      <c r="G336" s="19" t="s">
        <v>382</v>
      </c>
      <c r="H336" s="19"/>
      <c r="I336" s="35" t="s">
        <v>41</v>
      </c>
      <c r="J336" s="19" t="s">
        <v>89</v>
      </c>
      <c r="K336" s="19" t="s">
        <v>161</v>
      </c>
      <c r="L336" s="19" t="s">
        <v>82</v>
      </c>
      <c r="M336" s="19" t="s">
        <v>82</v>
      </c>
      <c r="N336" s="19" t="s">
        <v>66</v>
      </c>
      <c r="O336" s="19" t="s">
        <v>292</v>
      </c>
      <c r="P336" s="35" t="s">
        <v>51</v>
      </c>
      <c r="Q336" s="19"/>
      <c r="R336" s="19" t="s">
        <v>237</v>
      </c>
      <c r="S336" s="19" t="s">
        <v>79</v>
      </c>
      <c r="T336" s="19" t="s">
        <v>56</v>
      </c>
      <c r="U336" s="19">
        <v>27</v>
      </c>
      <c r="V336" s="19" t="s">
        <v>231</v>
      </c>
      <c r="W336" s="19" t="s">
        <v>46</v>
      </c>
      <c r="X336" s="29"/>
      <c r="Y336" s="19">
        <v>2700</v>
      </c>
      <c r="Z336" s="24">
        <f t="shared" si="12"/>
        <v>292.53455358015725</v>
      </c>
      <c r="AA336" s="19" t="s">
        <v>214</v>
      </c>
      <c r="AB336" s="19"/>
      <c r="AC336" s="35">
        <v>280</v>
      </c>
      <c r="AD336" s="35">
        <v>280</v>
      </c>
      <c r="AE336" s="19" t="s">
        <v>270</v>
      </c>
      <c r="AF336" s="19" t="s">
        <v>383</v>
      </c>
      <c r="AG336" s="19"/>
      <c r="AH336" s="19" t="s">
        <v>234</v>
      </c>
      <c r="AI336" s="19" t="s">
        <v>385</v>
      </c>
      <c r="AJ336" s="19" t="s">
        <v>270</v>
      </c>
      <c r="AK336" s="19" t="s">
        <v>234</v>
      </c>
      <c r="AL336" s="19" t="s">
        <v>90</v>
      </c>
      <c r="AM336" s="19" t="s">
        <v>386</v>
      </c>
    </row>
    <row r="337" spans="1:39" s="30" customFormat="1" ht="15.95" customHeight="1" x14ac:dyDescent="0.25">
      <c r="A337" s="18"/>
      <c r="B337" s="19">
        <v>194</v>
      </c>
      <c r="C337" s="19"/>
      <c r="D337" s="19">
        <v>20727</v>
      </c>
      <c r="E337" s="36">
        <v>1999</v>
      </c>
      <c r="F337" s="19" t="s">
        <v>1224</v>
      </c>
      <c r="G337" s="19" t="s">
        <v>382</v>
      </c>
      <c r="H337" s="19"/>
      <c r="I337" s="35" t="s">
        <v>41</v>
      </c>
      <c r="J337" s="19" t="s">
        <v>89</v>
      </c>
      <c r="K337" s="19" t="s">
        <v>161</v>
      </c>
      <c r="L337" s="19" t="s">
        <v>82</v>
      </c>
      <c r="M337" s="19" t="s">
        <v>82</v>
      </c>
      <c r="N337" s="19" t="s">
        <v>66</v>
      </c>
      <c r="O337" s="19" t="s">
        <v>292</v>
      </c>
      <c r="P337" s="35" t="s">
        <v>51</v>
      </c>
      <c r="Q337" s="19"/>
      <c r="R337" s="19" t="s">
        <v>237</v>
      </c>
      <c r="S337" s="19" t="s">
        <v>79</v>
      </c>
      <c r="T337" s="19" t="s">
        <v>56</v>
      </c>
      <c r="U337" s="19">
        <v>27</v>
      </c>
      <c r="V337" s="19" t="s">
        <v>231</v>
      </c>
      <c r="W337" s="19" t="s">
        <v>46</v>
      </c>
      <c r="X337" s="29"/>
      <c r="Y337" s="19">
        <v>2500</v>
      </c>
      <c r="Z337" s="24">
        <f t="shared" si="12"/>
        <v>270.86532738903446</v>
      </c>
      <c r="AA337" s="19" t="s">
        <v>214</v>
      </c>
      <c r="AB337" s="19"/>
      <c r="AC337" s="35">
        <v>280</v>
      </c>
      <c r="AD337" s="35">
        <v>280</v>
      </c>
      <c r="AE337" s="19" t="s">
        <v>270</v>
      </c>
      <c r="AF337" s="19" t="s">
        <v>383</v>
      </c>
      <c r="AG337" s="19"/>
      <c r="AH337" s="19" t="s">
        <v>234</v>
      </c>
      <c r="AI337" s="19" t="s">
        <v>385</v>
      </c>
      <c r="AJ337" s="19" t="s">
        <v>270</v>
      </c>
      <c r="AK337" s="19" t="s">
        <v>234</v>
      </c>
      <c r="AL337" s="19" t="s">
        <v>90</v>
      </c>
      <c r="AM337" s="19" t="s">
        <v>386</v>
      </c>
    </row>
    <row r="338" spans="1:39" s="30" customFormat="1" ht="15.95" customHeight="1" x14ac:dyDescent="0.25">
      <c r="A338" s="18"/>
      <c r="B338" s="19">
        <v>194</v>
      </c>
      <c r="C338" s="19"/>
      <c r="D338" s="19">
        <v>20727</v>
      </c>
      <c r="E338" s="36">
        <v>1999</v>
      </c>
      <c r="F338" s="19" t="s">
        <v>1224</v>
      </c>
      <c r="G338" s="19" t="s">
        <v>382</v>
      </c>
      <c r="H338" s="19"/>
      <c r="I338" s="35" t="s">
        <v>41</v>
      </c>
      <c r="J338" s="19" t="s">
        <v>89</v>
      </c>
      <c r="K338" s="19" t="s">
        <v>161</v>
      </c>
      <c r="L338" s="19" t="s">
        <v>82</v>
      </c>
      <c r="M338" s="19" t="s">
        <v>82</v>
      </c>
      <c r="N338" s="19" t="s">
        <v>66</v>
      </c>
      <c r="O338" s="19" t="s">
        <v>292</v>
      </c>
      <c r="P338" s="35" t="s">
        <v>51</v>
      </c>
      <c r="Q338" s="19"/>
      <c r="R338" s="19" t="s">
        <v>237</v>
      </c>
      <c r="S338" s="19" t="s">
        <v>79</v>
      </c>
      <c r="T338" s="19" t="s">
        <v>56</v>
      </c>
      <c r="U338" s="19">
        <v>27</v>
      </c>
      <c r="V338" s="19" t="s">
        <v>231</v>
      </c>
      <c r="W338" s="19" t="s">
        <v>46</v>
      </c>
      <c r="X338" s="29"/>
      <c r="Y338" s="19">
        <v>3100</v>
      </c>
      <c r="Z338" s="24">
        <f t="shared" si="12"/>
        <v>335.87300596240277</v>
      </c>
      <c r="AA338" s="19" t="s">
        <v>214</v>
      </c>
      <c r="AB338" s="19"/>
      <c r="AC338" s="35">
        <v>280</v>
      </c>
      <c r="AD338" s="35">
        <v>280</v>
      </c>
      <c r="AE338" s="19" t="s">
        <v>270</v>
      </c>
      <c r="AF338" s="19" t="s">
        <v>383</v>
      </c>
      <c r="AG338" s="19"/>
      <c r="AH338" s="19" t="s">
        <v>234</v>
      </c>
      <c r="AI338" s="19" t="s">
        <v>385</v>
      </c>
      <c r="AJ338" s="19" t="s">
        <v>270</v>
      </c>
      <c r="AK338" s="19" t="s">
        <v>234</v>
      </c>
      <c r="AL338" s="19" t="s">
        <v>90</v>
      </c>
      <c r="AM338" s="19" t="s">
        <v>386</v>
      </c>
    </row>
    <row r="339" spans="1:39" s="30" customFormat="1" ht="15.95" customHeight="1" x14ac:dyDescent="0.25">
      <c r="A339" s="18"/>
      <c r="B339" s="19">
        <v>194</v>
      </c>
      <c r="C339" s="19"/>
      <c r="D339" s="19">
        <v>20727</v>
      </c>
      <c r="E339" s="36">
        <v>1999</v>
      </c>
      <c r="F339" s="19" t="s">
        <v>1224</v>
      </c>
      <c r="G339" s="19" t="s">
        <v>382</v>
      </c>
      <c r="H339" s="19"/>
      <c r="I339" s="35" t="s">
        <v>41</v>
      </c>
      <c r="J339" s="19" t="s">
        <v>89</v>
      </c>
      <c r="K339" s="19" t="s">
        <v>161</v>
      </c>
      <c r="L339" s="19" t="s">
        <v>82</v>
      </c>
      <c r="M339" s="19" t="s">
        <v>82</v>
      </c>
      <c r="N339" s="19" t="s">
        <v>66</v>
      </c>
      <c r="O339" s="19" t="s">
        <v>292</v>
      </c>
      <c r="P339" s="35" t="s">
        <v>51</v>
      </c>
      <c r="Q339" s="19"/>
      <c r="R339" s="19" t="s">
        <v>237</v>
      </c>
      <c r="S339" s="19" t="s">
        <v>79</v>
      </c>
      <c r="T339" s="19" t="s">
        <v>56</v>
      </c>
      <c r="U339" s="19">
        <v>27</v>
      </c>
      <c r="V339" s="19" t="s">
        <v>231</v>
      </c>
      <c r="W339" s="19" t="s">
        <v>46</v>
      </c>
      <c r="X339" s="29"/>
      <c r="Y339" s="19">
        <v>3100</v>
      </c>
      <c r="Z339" s="24">
        <f t="shared" si="12"/>
        <v>335.87300596240277</v>
      </c>
      <c r="AA339" s="19" t="s">
        <v>214</v>
      </c>
      <c r="AB339" s="19"/>
      <c r="AC339" s="35">
        <v>280</v>
      </c>
      <c r="AD339" s="35">
        <v>280</v>
      </c>
      <c r="AE339" s="19" t="s">
        <v>270</v>
      </c>
      <c r="AF339" s="19" t="s">
        <v>383</v>
      </c>
      <c r="AG339" s="19"/>
      <c r="AH339" s="19" t="s">
        <v>234</v>
      </c>
      <c r="AI339" s="19" t="s">
        <v>385</v>
      </c>
      <c r="AJ339" s="19" t="s">
        <v>270</v>
      </c>
      <c r="AK339" s="19" t="s">
        <v>234</v>
      </c>
      <c r="AL339" s="19" t="s">
        <v>90</v>
      </c>
      <c r="AM339" s="19" t="s">
        <v>386</v>
      </c>
    </row>
    <row r="340" spans="1:39" s="30" customFormat="1" ht="15.95" customHeight="1" x14ac:dyDescent="0.25">
      <c r="A340" s="18"/>
      <c r="B340" s="19">
        <v>194</v>
      </c>
      <c r="C340" s="19"/>
      <c r="D340" s="19">
        <v>20727</v>
      </c>
      <c r="E340" s="36">
        <v>1999</v>
      </c>
      <c r="F340" s="19" t="s">
        <v>1224</v>
      </c>
      <c r="G340" s="19" t="s">
        <v>382</v>
      </c>
      <c r="H340" s="19"/>
      <c r="I340" s="35" t="s">
        <v>41</v>
      </c>
      <c r="J340" s="19" t="s">
        <v>89</v>
      </c>
      <c r="K340" s="19" t="s">
        <v>161</v>
      </c>
      <c r="L340" s="19" t="s">
        <v>82</v>
      </c>
      <c r="M340" s="19" t="s">
        <v>82</v>
      </c>
      <c r="N340" s="19" t="s">
        <v>66</v>
      </c>
      <c r="O340" s="19" t="s">
        <v>292</v>
      </c>
      <c r="P340" s="35" t="s">
        <v>51</v>
      </c>
      <c r="Q340" s="19"/>
      <c r="R340" s="19" t="s">
        <v>237</v>
      </c>
      <c r="S340" s="19" t="s">
        <v>79</v>
      </c>
      <c r="T340" s="19" t="s">
        <v>56</v>
      </c>
      <c r="U340" s="19">
        <v>27</v>
      </c>
      <c r="V340" s="19" t="s">
        <v>231</v>
      </c>
      <c r="W340" s="19" t="s">
        <v>46</v>
      </c>
      <c r="X340" s="29"/>
      <c r="Y340" s="19">
        <v>2300</v>
      </c>
      <c r="Z340" s="24">
        <f t="shared" si="12"/>
        <v>249.1961011979117</v>
      </c>
      <c r="AA340" s="19" t="s">
        <v>214</v>
      </c>
      <c r="AB340" s="19"/>
      <c r="AC340" s="35">
        <v>280</v>
      </c>
      <c r="AD340" s="35">
        <v>280</v>
      </c>
      <c r="AE340" s="19" t="s">
        <v>270</v>
      </c>
      <c r="AF340" s="19" t="s">
        <v>383</v>
      </c>
      <c r="AG340" s="19"/>
      <c r="AH340" s="19" t="s">
        <v>234</v>
      </c>
      <c r="AI340" s="19" t="s">
        <v>385</v>
      </c>
      <c r="AJ340" s="19" t="s">
        <v>270</v>
      </c>
      <c r="AK340" s="19" t="s">
        <v>234</v>
      </c>
      <c r="AL340" s="19" t="s">
        <v>90</v>
      </c>
      <c r="AM340" s="19" t="s">
        <v>386</v>
      </c>
    </row>
    <row r="341" spans="1:39" s="30" customFormat="1" ht="15.95" customHeight="1" x14ac:dyDescent="0.25">
      <c r="A341" s="18"/>
      <c r="B341" s="19">
        <v>194</v>
      </c>
      <c r="C341" s="19"/>
      <c r="D341" s="19">
        <v>20727</v>
      </c>
      <c r="E341" s="36">
        <v>1999</v>
      </c>
      <c r="F341" s="19" t="s">
        <v>1224</v>
      </c>
      <c r="G341" s="19" t="s">
        <v>382</v>
      </c>
      <c r="H341" s="19"/>
      <c r="I341" s="35" t="s">
        <v>41</v>
      </c>
      <c r="J341" s="19" t="s">
        <v>89</v>
      </c>
      <c r="K341" s="19" t="s">
        <v>161</v>
      </c>
      <c r="L341" s="19" t="s">
        <v>82</v>
      </c>
      <c r="M341" s="19" t="s">
        <v>82</v>
      </c>
      <c r="N341" s="19" t="s">
        <v>66</v>
      </c>
      <c r="O341" s="19" t="s">
        <v>292</v>
      </c>
      <c r="P341" s="35" t="s">
        <v>51</v>
      </c>
      <c r="Q341" s="19"/>
      <c r="R341" s="19" t="s">
        <v>237</v>
      </c>
      <c r="S341" s="19" t="s">
        <v>79</v>
      </c>
      <c r="T341" s="19" t="s">
        <v>56</v>
      </c>
      <c r="U341" s="19">
        <v>27</v>
      </c>
      <c r="V341" s="19" t="s">
        <v>231</v>
      </c>
      <c r="W341" s="19" t="s">
        <v>46</v>
      </c>
      <c r="X341" s="29"/>
      <c r="Y341" s="19">
        <v>2700</v>
      </c>
      <c r="Z341" s="24">
        <f t="shared" si="12"/>
        <v>292.53455358015725</v>
      </c>
      <c r="AA341" s="19" t="s">
        <v>214</v>
      </c>
      <c r="AB341" s="19"/>
      <c r="AC341" s="35">
        <v>280</v>
      </c>
      <c r="AD341" s="35">
        <v>280</v>
      </c>
      <c r="AE341" s="19" t="s">
        <v>270</v>
      </c>
      <c r="AF341" s="19" t="s">
        <v>383</v>
      </c>
      <c r="AG341" s="19"/>
      <c r="AH341" s="19" t="s">
        <v>234</v>
      </c>
      <c r="AI341" s="19" t="s">
        <v>385</v>
      </c>
      <c r="AJ341" s="19" t="s">
        <v>270</v>
      </c>
      <c r="AK341" s="19" t="s">
        <v>234</v>
      </c>
      <c r="AL341" s="19" t="s">
        <v>90</v>
      </c>
      <c r="AM341" s="19" t="s">
        <v>386</v>
      </c>
    </row>
    <row r="342" spans="1:39" s="30" customFormat="1" ht="15.95" customHeight="1" x14ac:dyDescent="0.25">
      <c r="A342" s="18"/>
      <c r="B342" s="19">
        <v>194</v>
      </c>
      <c r="C342" s="19"/>
      <c r="D342" s="19">
        <v>20727</v>
      </c>
      <c r="E342" s="36">
        <v>1999</v>
      </c>
      <c r="F342" s="19" t="s">
        <v>1224</v>
      </c>
      <c r="G342" s="19" t="s">
        <v>382</v>
      </c>
      <c r="H342" s="19"/>
      <c r="I342" s="35" t="s">
        <v>41</v>
      </c>
      <c r="J342" s="19" t="s">
        <v>89</v>
      </c>
      <c r="K342" s="19" t="s">
        <v>161</v>
      </c>
      <c r="L342" s="19" t="s">
        <v>82</v>
      </c>
      <c r="M342" s="19" t="s">
        <v>82</v>
      </c>
      <c r="N342" s="19" t="s">
        <v>66</v>
      </c>
      <c r="O342" s="19" t="s">
        <v>292</v>
      </c>
      <c r="P342" s="35" t="s">
        <v>51</v>
      </c>
      <c r="Q342" s="19"/>
      <c r="R342" s="19" t="s">
        <v>237</v>
      </c>
      <c r="S342" s="19" t="s">
        <v>79</v>
      </c>
      <c r="T342" s="19" t="s">
        <v>56</v>
      </c>
      <c r="U342" s="19">
        <v>27</v>
      </c>
      <c r="V342" s="19" t="s">
        <v>231</v>
      </c>
      <c r="W342" s="19" t="s">
        <v>46</v>
      </c>
      <c r="X342" s="29"/>
      <c r="Y342" s="19">
        <v>3100</v>
      </c>
      <c r="Z342" s="24">
        <f t="shared" si="12"/>
        <v>335.87300596240277</v>
      </c>
      <c r="AA342" s="19" t="s">
        <v>214</v>
      </c>
      <c r="AB342" s="19"/>
      <c r="AC342" s="35">
        <v>280</v>
      </c>
      <c r="AD342" s="35">
        <v>280</v>
      </c>
      <c r="AE342" s="19" t="s">
        <v>270</v>
      </c>
      <c r="AF342" s="19" t="s">
        <v>383</v>
      </c>
      <c r="AG342" s="19"/>
      <c r="AH342" s="19" t="s">
        <v>234</v>
      </c>
      <c r="AI342" s="19" t="s">
        <v>385</v>
      </c>
      <c r="AJ342" s="19" t="s">
        <v>270</v>
      </c>
      <c r="AK342" s="19" t="s">
        <v>234</v>
      </c>
      <c r="AL342" s="19" t="s">
        <v>90</v>
      </c>
      <c r="AM342" s="19" t="s">
        <v>386</v>
      </c>
    </row>
    <row r="343" spans="1:39" s="30" customFormat="1" ht="15.95" customHeight="1" x14ac:dyDescent="0.25">
      <c r="A343" s="18"/>
      <c r="B343" s="19">
        <v>194</v>
      </c>
      <c r="C343" s="19"/>
      <c r="D343" s="19">
        <v>20727</v>
      </c>
      <c r="E343" s="36">
        <v>1999</v>
      </c>
      <c r="F343" s="19" t="s">
        <v>1224</v>
      </c>
      <c r="G343" s="19" t="s">
        <v>382</v>
      </c>
      <c r="H343" s="19"/>
      <c r="I343" s="35" t="s">
        <v>41</v>
      </c>
      <c r="J343" s="19" t="s">
        <v>89</v>
      </c>
      <c r="K343" s="19" t="s">
        <v>161</v>
      </c>
      <c r="L343" s="19" t="s">
        <v>82</v>
      </c>
      <c r="M343" s="19" t="s">
        <v>82</v>
      </c>
      <c r="N343" s="19" t="s">
        <v>66</v>
      </c>
      <c r="O343" s="19" t="s">
        <v>292</v>
      </c>
      <c r="P343" s="35" t="s">
        <v>51</v>
      </c>
      <c r="Q343" s="19"/>
      <c r="R343" s="19" t="s">
        <v>237</v>
      </c>
      <c r="S343" s="19" t="s">
        <v>79</v>
      </c>
      <c r="T343" s="19" t="s">
        <v>56</v>
      </c>
      <c r="U343" s="19">
        <v>27</v>
      </c>
      <c r="V343" s="19" t="s">
        <v>231</v>
      </c>
      <c r="W343" s="19" t="s">
        <v>46</v>
      </c>
      <c r="X343" s="29"/>
      <c r="Y343" s="19">
        <v>3100</v>
      </c>
      <c r="Z343" s="24">
        <f t="shared" si="12"/>
        <v>335.87300596240277</v>
      </c>
      <c r="AA343" s="19" t="s">
        <v>214</v>
      </c>
      <c r="AB343" s="19"/>
      <c r="AC343" s="35">
        <v>280</v>
      </c>
      <c r="AD343" s="35">
        <v>280</v>
      </c>
      <c r="AE343" s="19" t="s">
        <v>270</v>
      </c>
      <c r="AF343" s="19" t="s">
        <v>383</v>
      </c>
      <c r="AG343" s="19"/>
      <c r="AH343" s="19" t="s">
        <v>234</v>
      </c>
      <c r="AI343" s="19" t="s">
        <v>385</v>
      </c>
      <c r="AJ343" s="19" t="s">
        <v>270</v>
      </c>
      <c r="AK343" s="19" t="s">
        <v>234</v>
      </c>
      <c r="AL343" s="19" t="s">
        <v>90</v>
      </c>
      <c r="AM343" s="19" t="s">
        <v>386</v>
      </c>
    </row>
    <row r="344" spans="1:39" s="30" customFormat="1" ht="15.95" customHeight="1" x14ac:dyDescent="0.25">
      <c r="A344" s="18"/>
      <c r="B344" s="19">
        <v>194</v>
      </c>
      <c r="C344" s="19"/>
      <c r="D344" s="19">
        <v>20727</v>
      </c>
      <c r="E344" s="36">
        <v>1999</v>
      </c>
      <c r="F344" s="19" t="s">
        <v>1224</v>
      </c>
      <c r="G344" s="19" t="s">
        <v>382</v>
      </c>
      <c r="H344" s="19"/>
      <c r="I344" s="35" t="s">
        <v>41</v>
      </c>
      <c r="J344" s="19" t="s">
        <v>89</v>
      </c>
      <c r="K344" s="19" t="s">
        <v>161</v>
      </c>
      <c r="L344" s="19" t="s">
        <v>82</v>
      </c>
      <c r="M344" s="19" t="s">
        <v>82</v>
      </c>
      <c r="N344" s="19" t="s">
        <v>66</v>
      </c>
      <c r="O344" s="19" t="s">
        <v>292</v>
      </c>
      <c r="P344" s="35" t="s">
        <v>51</v>
      </c>
      <c r="Q344" s="19"/>
      <c r="R344" s="19" t="s">
        <v>237</v>
      </c>
      <c r="S344" s="19" t="s">
        <v>79</v>
      </c>
      <c r="T344" s="19" t="s">
        <v>56</v>
      </c>
      <c r="U344" s="19">
        <v>27</v>
      </c>
      <c r="V344" s="19" t="s">
        <v>231</v>
      </c>
      <c r="W344" s="19" t="s">
        <v>46</v>
      </c>
      <c r="X344" s="29"/>
      <c r="Y344" s="19">
        <v>2300</v>
      </c>
      <c r="Z344" s="24">
        <f t="shared" si="12"/>
        <v>249.1961011979117</v>
      </c>
      <c r="AA344" s="19" t="s">
        <v>214</v>
      </c>
      <c r="AB344" s="19"/>
      <c r="AC344" s="35">
        <v>280</v>
      </c>
      <c r="AD344" s="35">
        <v>280</v>
      </c>
      <c r="AE344" s="19" t="s">
        <v>270</v>
      </c>
      <c r="AF344" s="19" t="s">
        <v>383</v>
      </c>
      <c r="AG344" s="19"/>
      <c r="AH344" s="19" t="s">
        <v>234</v>
      </c>
      <c r="AI344" s="19" t="s">
        <v>385</v>
      </c>
      <c r="AJ344" s="19" t="s">
        <v>270</v>
      </c>
      <c r="AK344" s="19" t="s">
        <v>234</v>
      </c>
      <c r="AL344" s="19" t="s">
        <v>90</v>
      </c>
      <c r="AM344" s="19" t="s">
        <v>386</v>
      </c>
    </row>
    <row r="345" spans="1:39" s="30" customFormat="1" ht="15.95" customHeight="1" x14ac:dyDescent="0.25">
      <c r="A345" s="18"/>
      <c r="B345" s="19">
        <v>194</v>
      </c>
      <c r="C345" s="19"/>
      <c r="D345" s="19">
        <v>20727</v>
      </c>
      <c r="E345" s="36">
        <v>1999</v>
      </c>
      <c r="F345" s="19" t="s">
        <v>1224</v>
      </c>
      <c r="G345" s="19" t="s">
        <v>382</v>
      </c>
      <c r="H345" s="19"/>
      <c r="I345" s="35" t="s">
        <v>41</v>
      </c>
      <c r="J345" s="19" t="s">
        <v>89</v>
      </c>
      <c r="K345" s="19" t="s">
        <v>161</v>
      </c>
      <c r="L345" s="19" t="s">
        <v>82</v>
      </c>
      <c r="M345" s="19" t="s">
        <v>82</v>
      </c>
      <c r="N345" s="19" t="s">
        <v>66</v>
      </c>
      <c r="O345" s="19" t="s">
        <v>292</v>
      </c>
      <c r="P345" s="35" t="s">
        <v>51</v>
      </c>
      <c r="Q345" s="19"/>
      <c r="R345" s="19" t="s">
        <v>237</v>
      </c>
      <c r="S345" s="19" t="s">
        <v>79</v>
      </c>
      <c r="T345" s="19" t="s">
        <v>56</v>
      </c>
      <c r="U345" s="19">
        <v>27</v>
      </c>
      <c r="V345" s="19" t="s">
        <v>231</v>
      </c>
      <c r="W345" s="19" t="s">
        <v>46</v>
      </c>
      <c r="X345" s="29"/>
      <c r="Y345" s="19">
        <v>3000</v>
      </c>
      <c r="Z345" s="24">
        <f t="shared" si="12"/>
        <v>325.03839286684138</v>
      </c>
      <c r="AA345" s="19" t="s">
        <v>214</v>
      </c>
      <c r="AB345" s="19"/>
      <c r="AC345" s="35">
        <v>280</v>
      </c>
      <c r="AD345" s="35">
        <v>280</v>
      </c>
      <c r="AE345" s="19" t="s">
        <v>270</v>
      </c>
      <c r="AF345" s="19" t="s">
        <v>383</v>
      </c>
      <c r="AG345" s="19"/>
      <c r="AH345" s="19" t="s">
        <v>234</v>
      </c>
      <c r="AI345" s="19" t="s">
        <v>385</v>
      </c>
      <c r="AJ345" s="19" t="s">
        <v>270</v>
      </c>
      <c r="AK345" s="19" t="s">
        <v>234</v>
      </c>
      <c r="AL345" s="19" t="s">
        <v>90</v>
      </c>
      <c r="AM345" s="19" t="s">
        <v>386</v>
      </c>
    </row>
    <row r="346" spans="1:39" s="30" customFormat="1" ht="15.95" customHeight="1" x14ac:dyDescent="0.25">
      <c r="A346" s="18"/>
      <c r="B346" s="19">
        <v>194</v>
      </c>
      <c r="C346" s="19"/>
      <c r="D346" s="19">
        <v>20727</v>
      </c>
      <c r="E346" s="36">
        <v>1999</v>
      </c>
      <c r="F346" s="19" t="s">
        <v>1224</v>
      </c>
      <c r="G346" s="19" t="s">
        <v>382</v>
      </c>
      <c r="H346" s="19"/>
      <c r="I346" s="35" t="s">
        <v>41</v>
      </c>
      <c r="J346" s="19" t="s">
        <v>89</v>
      </c>
      <c r="K346" s="19" t="s">
        <v>161</v>
      </c>
      <c r="L346" s="19" t="s">
        <v>82</v>
      </c>
      <c r="M346" s="19" t="s">
        <v>82</v>
      </c>
      <c r="N346" s="19" t="s">
        <v>66</v>
      </c>
      <c r="O346" s="19" t="s">
        <v>292</v>
      </c>
      <c r="P346" s="35" t="s">
        <v>51</v>
      </c>
      <c r="Q346" s="19"/>
      <c r="R346" s="19" t="s">
        <v>237</v>
      </c>
      <c r="S346" s="19" t="s">
        <v>79</v>
      </c>
      <c r="T346" s="19" t="s">
        <v>56</v>
      </c>
      <c r="U346" s="19">
        <v>27</v>
      </c>
      <c r="V346" s="19" t="s">
        <v>231</v>
      </c>
      <c r="W346" s="19" t="s">
        <v>46</v>
      </c>
      <c r="X346" s="29"/>
      <c r="Y346" s="19">
        <v>2500</v>
      </c>
      <c r="Z346" s="24">
        <f t="shared" si="12"/>
        <v>270.86532738903446</v>
      </c>
      <c r="AA346" s="19" t="s">
        <v>214</v>
      </c>
      <c r="AB346" s="19"/>
      <c r="AC346" s="35">
        <v>280</v>
      </c>
      <c r="AD346" s="35">
        <v>280</v>
      </c>
      <c r="AE346" s="19" t="s">
        <v>270</v>
      </c>
      <c r="AF346" s="19" t="s">
        <v>383</v>
      </c>
      <c r="AG346" s="19"/>
      <c r="AH346" s="19" t="s">
        <v>234</v>
      </c>
      <c r="AI346" s="19" t="s">
        <v>385</v>
      </c>
      <c r="AJ346" s="19" t="s">
        <v>270</v>
      </c>
      <c r="AK346" s="19" t="s">
        <v>234</v>
      </c>
      <c r="AL346" s="19" t="s">
        <v>90</v>
      </c>
      <c r="AM346" s="19" t="s">
        <v>386</v>
      </c>
    </row>
    <row r="347" spans="1:39" s="30" customFormat="1" ht="15.95" customHeight="1" x14ac:dyDescent="0.25">
      <c r="A347" s="18"/>
      <c r="B347" s="19">
        <v>194</v>
      </c>
      <c r="C347" s="19"/>
      <c r="D347" s="19">
        <v>20727</v>
      </c>
      <c r="E347" s="36">
        <v>1999</v>
      </c>
      <c r="F347" s="19" t="s">
        <v>1224</v>
      </c>
      <c r="G347" s="19" t="s">
        <v>382</v>
      </c>
      <c r="H347" s="19"/>
      <c r="I347" s="35" t="s">
        <v>41</v>
      </c>
      <c r="J347" s="19" t="s">
        <v>89</v>
      </c>
      <c r="K347" s="19" t="s">
        <v>161</v>
      </c>
      <c r="L347" s="19" t="s">
        <v>82</v>
      </c>
      <c r="M347" s="19" t="s">
        <v>82</v>
      </c>
      <c r="N347" s="19" t="s">
        <v>66</v>
      </c>
      <c r="O347" s="19" t="s">
        <v>292</v>
      </c>
      <c r="P347" s="35" t="s">
        <v>51</v>
      </c>
      <c r="Q347" s="19"/>
      <c r="R347" s="19" t="s">
        <v>237</v>
      </c>
      <c r="S347" s="19" t="s">
        <v>79</v>
      </c>
      <c r="T347" s="19" t="s">
        <v>56</v>
      </c>
      <c r="U347" s="19">
        <v>27</v>
      </c>
      <c r="V347" s="19" t="s">
        <v>231</v>
      </c>
      <c r="W347" s="19" t="s">
        <v>46</v>
      </c>
      <c r="X347" s="29"/>
      <c r="Y347" s="19">
        <v>2300</v>
      </c>
      <c r="Z347" s="24">
        <f t="shared" si="12"/>
        <v>249.1961011979117</v>
      </c>
      <c r="AA347" s="19" t="s">
        <v>214</v>
      </c>
      <c r="AB347" s="19"/>
      <c r="AC347" s="35">
        <v>280</v>
      </c>
      <c r="AD347" s="35">
        <v>280</v>
      </c>
      <c r="AE347" s="19" t="s">
        <v>270</v>
      </c>
      <c r="AF347" s="19" t="s">
        <v>383</v>
      </c>
      <c r="AG347" s="19"/>
      <c r="AH347" s="19" t="s">
        <v>234</v>
      </c>
      <c r="AI347" s="19" t="s">
        <v>385</v>
      </c>
      <c r="AJ347" s="19" t="s">
        <v>270</v>
      </c>
      <c r="AK347" s="19" t="s">
        <v>234</v>
      </c>
      <c r="AL347" s="19" t="s">
        <v>90</v>
      </c>
      <c r="AM347" s="19" t="s">
        <v>386</v>
      </c>
    </row>
    <row r="348" spans="1:39" s="30" customFormat="1" ht="15.95" customHeight="1" x14ac:dyDescent="0.25">
      <c r="A348" s="18"/>
      <c r="B348" s="19">
        <v>194</v>
      </c>
      <c r="C348" s="19"/>
      <c r="D348" s="19">
        <v>20727</v>
      </c>
      <c r="E348" s="36">
        <v>1999</v>
      </c>
      <c r="F348" s="19" t="s">
        <v>1224</v>
      </c>
      <c r="G348" s="19" t="s">
        <v>382</v>
      </c>
      <c r="H348" s="19"/>
      <c r="I348" s="35" t="s">
        <v>41</v>
      </c>
      <c r="J348" s="19" t="s">
        <v>89</v>
      </c>
      <c r="K348" s="19" t="s">
        <v>161</v>
      </c>
      <c r="L348" s="19" t="s">
        <v>82</v>
      </c>
      <c r="M348" s="19" t="s">
        <v>82</v>
      </c>
      <c r="N348" s="19" t="s">
        <v>66</v>
      </c>
      <c r="O348" s="19" t="s">
        <v>292</v>
      </c>
      <c r="P348" s="35" t="s">
        <v>51</v>
      </c>
      <c r="Q348" s="19"/>
      <c r="R348" s="19" t="s">
        <v>237</v>
      </c>
      <c r="S348" s="19" t="s">
        <v>79</v>
      </c>
      <c r="T348" s="19" t="s">
        <v>56</v>
      </c>
      <c r="U348" s="19">
        <v>27</v>
      </c>
      <c r="V348" s="19" t="s">
        <v>231</v>
      </c>
      <c r="W348" s="19" t="s">
        <v>46</v>
      </c>
      <c r="X348" s="29"/>
      <c r="Y348" s="19">
        <v>2500</v>
      </c>
      <c r="Z348" s="24">
        <f t="shared" si="12"/>
        <v>270.86532738903446</v>
      </c>
      <c r="AA348" s="19" t="s">
        <v>214</v>
      </c>
      <c r="AB348" s="19"/>
      <c r="AC348" s="35">
        <v>280</v>
      </c>
      <c r="AD348" s="35">
        <v>280</v>
      </c>
      <c r="AE348" s="19" t="s">
        <v>270</v>
      </c>
      <c r="AF348" s="19" t="s">
        <v>383</v>
      </c>
      <c r="AG348" s="19"/>
      <c r="AH348" s="19" t="s">
        <v>234</v>
      </c>
      <c r="AI348" s="19" t="s">
        <v>385</v>
      </c>
      <c r="AJ348" s="19" t="s">
        <v>270</v>
      </c>
      <c r="AK348" s="19" t="s">
        <v>234</v>
      </c>
      <c r="AL348" s="19" t="s">
        <v>90</v>
      </c>
      <c r="AM348" s="19" t="s">
        <v>386</v>
      </c>
    </row>
    <row r="349" spans="1:39" s="30" customFormat="1" ht="15.95" customHeight="1" x14ac:dyDescent="0.25">
      <c r="A349" s="18"/>
      <c r="B349" s="19">
        <v>194</v>
      </c>
      <c r="C349" s="19"/>
      <c r="D349" s="19">
        <v>20727</v>
      </c>
      <c r="E349" s="36">
        <v>1999</v>
      </c>
      <c r="F349" s="19" t="s">
        <v>1224</v>
      </c>
      <c r="G349" s="19" t="s">
        <v>382</v>
      </c>
      <c r="H349" s="19"/>
      <c r="I349" s="35" t="s">
        <v>41</v>
      </c>
      <c r="J349" s="19" t="s">
        <v>89</v>
      </c>
      <c r="K349" s="19" t="s">
        <v>161</v>
      </c>
      <c r="L349" s="19" t="s">
        <v>82</v>
      </c>
      <c r="M349" s="19" t="s">
        <v>82</v>
      </c>
      <c r="N349" s="19" t="s">
        <v>66</v>
      </c>
      <c r="O349" s="19" t="s">
        <v>292</v>
      </c>
      <c r="P349" s="35" t="s">
        <v>51</v>
      </c>
      <c r="Q349" s="19"/>
      <c r="R349" s="19" t="s">
        <v>237</v>
      </c>
      <c r="S349" s="19" t="s">
        <v>79</v>
      </c>
      <c r="T349" s="19" t="s">
        <v>56</v>
      </c>
      <c r="U349" s="19">
        <v>27</v>
      </c>
      <c r="V349" s="19" t="s">
        <v>231</v>
      </c>
      <c r="W349" s="19" t="s">
        <v>46</v>
      </c>
      <c r="X349" s="29"/>
      <c r="Y349" s="19">
        <v>3100</v>
      </c>
      <c r="Z349" s="24">
        <f t="shared" si="12"/>
        <v>335.87300596240277</v>
      </c>
      <c r="AA349" s="19" t="s">
        <v>214</v>
      </c>
      <c r="AB349" s="19"/>
      <c r="AC349" s="35">
        <v>280</v>
      </c>
      <c r="AD349" s="35">
        <v>280</v>
      </c>
      <c r="AE349" s="19" t="s">
        <v>270</v>
      </c>
      <c r="AF349" s="19" t="s">
        <v>383</v>
      </c>
      <c r="AG349" s="19"/>
      <c r="AH349" s="19" t="s">
        <v>234</v>
      </c>
      <c r="AI349" s="19" t="s">
        <v>385</v>
      </c>
      <c r="AJ349" s="19" t="s">
        <v>270</v>
      </c>
      <c r="AK349" s="19" t="s">
        <v>234</v>
      </c>
      <c r="AL349" s="19" t="s">
        <v>90</v>
      </c>
      <c r="AM349" s="19" t="s">
        <v>386</v>
      </c>
    </row>
    <row r="350" spans="1:39" s="30" customFormat="1" ht="15.95" customHeight="1" x14ac:dyDescent="0.25">
      <c r="A350" s="18"/>
      <c r="B350" s="19">
        <v>194</v>
      </c>
      <c r="C350" s="19"/>
      <c r="D350" s="19">
        <v>20727</v>
      </c>
      <c r="E350" s="36">
        <v>1999</v>
      </c>
      <c r="F350" s="19" t="s">
        <v>1224</v>
      </c>
      <c r="G350" s="19" t="s">
        <v>382</v>
      </c>
      <c r="H350" s="19"/>
      <c r="I350" s="35" t="s">
        <v>41</v>
      </c>
      <c r="J350" s="19" t="s">
        <v>89</v>
      </c>
      <c r="K350" s="19" t="s">
        <v>161</v>
      </c>
      <c r="L350" s="19" t="s">
        <v>82</v>
      </c>
      <c r="M350" s="19" t="s">
        <v>82</v>
      </c>
      <c r="N350" s="19" t="s">
        <v>66</v>
      </c>
      <c r="O350" s="19" t="s">
        <v>292</v>
      </c>
      <c r="P350" s="35" t="s">
        <v>51</v>
      </c>
      <c r="Q350" s="19"/>
      <c r="R350" s="19" t="s">
        <v>237</v>
      </c>
      <c r="S350" s="19" t="s">
        <v>79</v>
      </c>
      <c r="T350" s="19" t="s">
        <v>56</v>
      </c>
      <c r="U350" s="19">
        <v>27</v>
      </c>
      <c r="V350" s="19" t="s">
        <v>231</v>
      </c>
      <c r="W350" s="19" t="s">
        <v>46</v>
      </c>
      <c r="X350" s="29"/>
      <c r="Y350" s="19">
        <v>3100</v>
      </c>
      <c r="Z350" s="24">
        <f t="shared" si="12"/>
        <v>335.87300596240277</v>
      </c>
      <c r="AA350" s="19" t="s">
        <v>214</v>
      </c>
      <c r="AB350" s="19"/>
      <c r="AC350" s="35">
        <v>280</v>
      </c>
      <c r="AD350" s="35">
        <v>280</v>
      </c>
      <c r="AE350" s="19" t="s">
        <v>270</v>
      </c>
      <c r="AF350" s="19" t="s">
        <v>383</v>
      </c>
      <c r="AG350" s="19"/>
      <c r="AH350" s="19" t="s">
        <v>234</v>
      </c>
      <c r="AI350" s="19" t="s">
        <v>385</v>
      </c>
      <c r="AJ350" s="19" t="s">
        <v>270</v>
      </c>
      <c r="AK350" s="19" t="s">
        <v>234</v>
      </c>
      <c r="AL350" s="19" t="s">
        <v>90</v>
      </c>
      <c r="AM350" s="19" t="s">
        <v>386</v>
      </c>
    </row>
    <row r="351" spans="1:39" s="30" customFormat="1" ht="15.95" customHeight="1" x14ac:dyDescent="0.25">
      <c r="A351" s="18"/>
      <c r="B351" s="19">
        <v>194</v>
      </c>
      <c r="C351" s="19"/>
      <c r="D351" s="19">
        <v>20727</v>
      </c>
      <c r="E351" s="36">
        <v>1999</v>
      </c>
      <c r="F351" s="19" t="s">
        <v>1224</v>
      </c>
      <c r="G351" s="19" t="s">
        <v>382</v>
      </c>
      <c r="H351" s="19"/>
      <c r="I351" s="35" t="s">
        <v>41</v>
      </c>
      <c r="J351" s="19" t="s">
        <v>89</v>
      </c>
      <c r="K351" s="19" t="s">
        <v>161</v>
      </c>
      <c r="L351" s="19" t="s">
        <v>82</v>
      </c>
      <c r="M351" s="19" t="s">
        <v>82</v>
      </c>
      <c r="N351" s="19" t="s">
        <v>66</v>
      </c>
      <c r="O351" s="19" t="s">
        <v>292</v>
      </c>
      <c r="P351" s="35" t="s">
        <v>51</v>
      </c>
      <c r="Q351" s="19"/>
      <c r="R351" s="19" t="s">
        <v>237</v>
      </c>
      <c r="S351" s="19" t="s">
        <v>79</v>
      </c>
      <c r="T351" s="19" t="s">
        <v>56</v>
      </c>
      <c r="U351" s="19">
        <v>27</v>
      </c>
      <c r="V351" s="19" t="s">
        <v>231</v>
      </c>
      <c r="W351" s="19" t="s">
        <v>46</v>
      </c>
      <c r="X351" s="29"/>
      <c r="Y351" s="19">
        <v>2500</v>
      </c>
      <c r="Z351" s="24">
        <f t="shared" si="12"/>
        <v>270.86532738903446</v>
      </c>
      <c r="AA351" s="19" t="s">
        <v>214</v>
      </c>
      <c r="AB351" s="19"/>
      <c r="AC351" s="35">
        <v>280</v>
      </c>
      <c r="AD351" s="35">
        <v>280</v>
      </c>
      <c r="AE351" s="19" t="s">
        <v>270</v>
      </c>
      <c r="AF351" s="19" t="s">
        <v>383</v>
      </c>
      <c r="AG351" s="19"/>
      <c r="AH351" s="19" t="s">
        <v>234</v>
      </c>
      <c r="AI351" s="19" t="s">
        <v>385</v>
      </c>
      <c r="AJ351" s="19" t="s">
        <v>270</v>
      </c>
      <c r="AK351" s="19" t="s">
        <v>234</v>
      </c>
      <c r="AL351" s="19" t="s">
        <v>90</v>
      </c>
      <c r="AM351" s="19" t="s">
        <v>386</v>
      </c>
    </row>
    <row r="352" spans="1:39" s="30" customFormat="1" ht="15.95" customHeight="1" x14ac:dyDescent="0.25">
      <c r="A352" s="18"/>
      <c r="B352" s="19">
        <v>194</v>
      </c>
      <c r="C352" s="19"/>
      <c r="D352" s="19">
        <v>20727</v>
      </c>
      <c r="E352" s="36">
        <v>1999</v>
      </c>
      <c r="F352" s="19" t="s">
        <v>1224</v>
      </c>
      <c r="G352" s="19" t="s">
        <v>382</v>
      </c>
      <c r="H352" s="19"/>
      <c r="I352" s="35" t="s">
        <v>41</v>
      </c>
      <c r="J352" s="19" t="s">
        <v>89</v>
      </c>
      <c r="K352" s="19" t="s">
        <v>161</v>
      </c>
      <c r="L352" s="19" t="s">
        <v>82</v>
      </c>
      <c r="M352" s="19" t="s">
        <v>82</v>
      </c>
      <c r="N352" s="19" t="s">
        <v>66</v>
      </c>
      <c r="O352" s="19" t="s">
        <v>292</v>
      </c>
      <c r="P352" s="35" t="s">
        <v>51</v>
      </c>
      <c r="Q352" s="19"/>
      <c r="R352" s="19" t="s">
        <v>237</v>
      </c>
      <c r="S352" s="19" t="s">
        <v>79</v>
      </c>
      <c r="T352" s="19" t="s">
        <v>56</v>
      </c>
      <c r="U352" s="19">
        <v>27</v>
      </c>
      <c r="V352" s="19" t="s">
        <v>231</v>
      </c>
      <c r="W352" s="19" t="s">
        <v>46</v>
      </c>
      <c r="X352" s="29"/>
      <c r="Y352" s="19">
        <v>3100</v>
      </c>
      <c r="Z352" s="24">
        <f t="shared" si="12"/>
        <v>335.87300596240277</v>
      </c>
      <c r="AA352" s="19" t="s">
        <v>214</v>
      </c>
      <c r="AB352" s="19"/>
      <c r="AC352" s="35">
        <v>280</v>
      </c>
      <c r="AD352" s="35">
        <v>280</v>
      </c>
      <c r="AE352" s="19" t="s">
        <v>270</v>
      </c>
      <c r="AF352" s="19" t="s">
        <v>383</v>
      </c>
      <c r="AG352" s="19"/>
      <c r="AH352" s="19" t="s">
        <v>234</v>
      </c>
      <c r="AI352" s="19" t="s">
        <v>385</v>
      </c>
      <c r="AJ352" s="19" t="s">
        <v>270</v>
      </c>
      <c r="AK352" s="19" t="s">
        <v>234</v>
      </c>
      <c r="AL352" s="19" t="s">
        <v>90</v>
      </c>
      <c r="AM352" s="19" t="s">
        <v>386</v>
      </c>
    </row>
    <row r="353" spans="1:78" s="30" customFormat="1" ht="15.95" customHeight="1" x14ac:dyDescent="0.25">
      <c r="A353" s="18"/>
      <c r="B353" s="19">
        <v>194</v>
      </c>
      <c r="C353" s="19"/>
      <c r="D353" s="19">
        <v>20727</v>
      </c>
      <c r="E353" s="36">
        <v>1999</v>
      </c>
      <c r="F353" s="19" t="s">
        <v>1224</v>
      </c>
      <c r="G353" s="19" t="s">
        <v>382</v>
      </c>
      <c r="H353" s="19"/>
      <c r="I353" s="35" t="s">
        <v>41</v>
      </c>
      <c r="J353" s="19" t="s">
        <v>89</v>
      </c>
      <c r="K353" s="19" t="s">
        <v>161</v>
      </c>
      <c r="L353" s="19" t="s">
        <v>82</v>
      </c>
      <c r="M353" s="19" t="s">
        <v>82</v>
      </c>
      <c r="N353" s="19" t="s">
        <v>66</v>
      </c>
      <c r="O353" s="19" t="s">
        <v>292</v>
      </c>
      <c r="P353" s="35" t="s">
        <v>51</v>
      </c>
      <c r="Q353" s="19"/>
      <c r="R353" s="19" t="s">
        <v>237</v>
      </c>
      <c r="S353" s="19" t="s">
        <v>79</v>
      </c>
      <c r="T353" s="19" t="s">
        <v>56</v>
      </c>
      <c r="U353" s="19">
        <v>27</v>
      </c>
      <c r="V353" s="19" t="s">
        <v>231</v>
      </c>
      <c r="W353" s="19" t="s">
        <v>46</v>
      </c>
      <c r="X353" s="29"/>
      <c r="Y353" s="19">
        <v>2700</v>
      </c>
      <c r="Z353" s="24">
        <f t="shared" si="12"/>
        <v>292.53455358015725</v>
      </c>
      <c r="AA353" s="19" t="s">
        <v>214</v>
      </c>
      <c r="AB353" s="19"/>
      <c r="AC353" s="35">
        <v>280</v>
      </c>
      <c r="AD353" s="35">
        <v>280</v>
      </c>
      <c r="AE353" s="19" t="s">
        <v>270</v>
      </c>
      <c r="AF353" s="19" t="s">
        <v>383</v>
      </c>
      <c r="AG353" s="19"/>
      <c r="AH353" s="19" t="s">
        <v>234</v>
      </c>
      <c r="AI353" s="19" t="s">
        <v>385</v>
      </c>
      <c r="AJ353" s="19" t="s">
        <v>270</v>
      </c>
      <c r="AK353" s="19" t="s">
        <v>234</v>
      </c>
      <c r="AL353" s="19" t="s">
        <v>90</v>
      </c>
      <c r="AM353" s="19" t="s">
        <v>386</v>
      </c>
    </row>
    <row r="354" spans="1:78" s="30" customFormat="1" ht="15.95" customHeight="1" x14ac:dyDescent="0.25">
      <c r="A354" s="18"/>
      <c r="B354" s="19">
        <v>194</v>
      </c>
      <c r="C354" s="19"/>
      <c r="D354" s="19">
        <v>20727</v>
      </c>
      <c r="E354" s="36">
        <v>1999</v>
      </c>
      <c r="F354" s="19" t="s">
        <v>1224</v>
      </c>
      <c r="G354" s="19" t="s">
        <v>382</v>
      </c>
      <c r="H354" s="19"/>
      <c r="I354" s="35" t="s">
        <v>41</v>
      </c>
      <c r="J354" s="19" t="s">
        <v>89</v>
      </c>
      <c r="K354" s="19" t="s">
        <v>161</v>
      </c>
      <c r="L354" s="19" t="s">
        <v>82</v>
      </c>
      <c r="M354" s="19" t="s">
        <v>82</v>
      </c>
      <c r="N354" s="19" t="s">
        <v>66</v>
      </c>
      <c r="O354" s="19" t="s">
        <v>292</v>
      </c>
      <c r="P354" s="35" t="s">
        <v>51</v>
      </c>
      <c r="Q354" s="19"/>
      <c r="R354" s="19" t="s">
        <v>237</v>
      </c>
      <c r="S354" s="19" t="s">
        <v>79</v>
      </c>
      <c r="T354" s="19" t="s">
        <v>56</v>
      </c>
      <c r="U354" s="19">
        <v>27</v>
      </c>
      <c r="V354" s="19" t="s">
        <v>231</v>
      </c>
      <c r="W354" s="19" t="s">
        <v>46</v>
      </c>
      <c r="X354" s="29"/>
      <c r="Y354" s="19">
        <v>2700</v>
      </c>
      <c r="Z354" s="24">
        <f t="shared" si="12"/>
        <v>292.53455358015725</v>
      </c>
      <c r="AA354" s="19" t="s">
        <v>214</v>
      </c>
      <c r="AB354" s="19"/>
      <c r="AC354" s="35">
        <v>280</v>
      </c>
      <c r="AD354" s="35">
        <v>280</v>
      </c>
      <c r="AE354" s="19" t="s">
        <v>270</v>
      </c>
      <c r="AF354" s="19" t="s">
        <v>383</v>
      </c>
      <c r="AG354" s="19"/>
      <c r="AH354" s="19" t="s">
        <v>234</v>
      </c>
      <c r="AI354" s="19" t="s">
        <v>385</v>
      </c>
      <c r="AJ354" s="19" t="s">
        <v>270</v>
      </c>
      <c r="AK354" s="19" t="s">
        <v>234</v>
      </c>
      <c r="AL354" s="19" t="s">
        <v>90</v>
      </c>
      <c r="AM354" s="19" t="s">
        <v>386</v>
      </c>
    </row>
    <row r="355" spans="1:78" s="30" customFormat="1" ht="15.95" customHeight="1" x14ac:dyDescent="0.25">
      <c r="A355" s="18"/>
      <c r="B355" s="19">
        <v>194</v>
      </c>
      <c r="C355" s="19"/>
      <c r="D355" s="19">
        <v>20727</v>
      </c>
      <c r="E355" s="36">
        <v>1999</v>
      </c>
      <c r="F355" s="19" t="s">
        <v>1224</v>
      </c>
      <c r="G355" s="19" t="s">
        <v>382</v>
      </c>
      <c r="H355" s="19"/>
      <c r="I355" s="35" t="s">
        <v>41</v>
      </c>
      <c r="J355" s="19" t="s">
        <v>89</v>
      </c>
      <c r="K355" s="19" t="s">
        <v>161</v>
      </c>
      <c r="L355" s="19" t="s">
        <v>82</v>
      </c>
      <c r="M355" s="19" t="s">
        <v>82</v>
      </c>
      <c r="N355" s="19" t="s">
        <v>66</v>
      </c>
      <c r="O355" s="19" t="s">
        <v>292</v>
      </c>
      <c r="P355" s="35" t="s">
        <v>51</v>
      </c>
      <c r="Q355" s="19"/>
      <c r="R355" s="19" t="s">
        <v>237</v>
      </c>
      <c r="S355" s="19" t="s">
        <v>79</v>
      </c>
      <c r="T355" s="19" t="s">
        <v>56</v>
      </c>
      <c r="U355" s="19">
        <v>27</v>
      </c>
      <c r="V355" s="19" t="s">
        <v>231</v>
      </c>
      <c r="W355" s="19" t="s">
        <v>46</v>
      </c>
      <c r="X355" s="29"/>
      <c r="Y355" s="19">
        <v>2900</v>
      </c>
      <c r="Z355" s="24">
        <f t="shared" si="12"/>
        <v>314.20377977127998</v>
      </c>
      <c r="AA355" s="19" t="s">
        <v>214</v>
      </c>
      <c r="AB355" s="19"/>
      <c r="AC355" s="35">
        <v>280</v>
      </c>
      <c r="AD355" s="35">
        <v>280</v>
      </c>
      <c r="AE355" s="19" t="s">
        <v>270</v>
      </c>
      <c r="AF355" s="19" t="s">
        <v>383</v>
      </c>
      <c r="AG355" s="19"/>
      <c r="AH355" s="19" t="s">
        <v>234</v>
      </c>
      <c r="AI355" s="19" t="s">
        <v>385</v>
      </c>
      <c r="AJ355" s="19" t="s">
        <v>270</v>
      </c>
      <c r="AK355" s="19" t="s">
        <v>234</v>
      </c>
      <c r="AL355" s="19" t="s">
        <v>90</v>
      </c>
      <c r="AM355" s="19" t="s">
        <v>386</v>
      </c>
    </row>
    <row r="356" spans="1:78" s="30" customFormat="1" ht="15.95" customHeight="1" x14ac:dyDescent="0.25">
      <c r="A356" s="18"/>
      <c r="B356" s="19">
        <v>194</v>
      </c>
      <c r="C356" s="19"/>
      <c r="D356" s="19">
        <v>20727</v>
      </c>
      <c r="E356" s="36">
        <v>1999</v>
      </c>
      <c r="F356" s="19" t="s">
        <v>1224</v>
      </c>
      <c r="G356" s="19" t="s">
        <v>382</v>
      </c>
      <c r="H356" s="19"/>
      <c r="I356" s="35" t="s">
        <v>41</v>
      </c>
      <c r="J356" s="19" t="s">
        <v>89</v>
      </c>
      <c r="K356" s="19" t="s">
        <v>161</v>
      </c>
      <c r="L356" s="19" t="s">
        <v>82</v>
      </c>
      <c r="M356" s="19" t="s">
        <v>82</v>
      </c>
      <c r="N356" s="19" t="s">
        <v>66</v>
      </c>
      <c r="O356" s="19" t="s">
        <v>292</v>
      </c>
      <c r="P356" s="35" t="s">
        <v>51</v>
      </c>
      <c r="Q356" s="19"/>
      <c r="R356" s="19" t="s">
        <v>237</v>
      </c>
      <c r="S356" s="19" t="s">
        <v>79</v>
      </c>
      <c r="T356" s="19" t="s">
        <v>56</v>
      </c>
      <c r="U356" s="19">
        <v>27</v>
      </c>
      <c r="V356" s="19" t="s">
        <v>231</v>
      </c>
      <c r="W356" s="19" t="s">
        <v>46</v>
      </c>
      <c r="X356" s="29"/>
      <c r="Y356" s="19">
        <v>2700</v>
      </c>
      <c r="Z356" s="24">
        <f t="shared" si="12"/>
        <v>292.53455358015725</v>
      </c>
      <c r="AA356" s="19" t="s">
        <v>214</v>
      </c>
      <c r="AB356" s="19"/>
      <c r="AC356" s="35">
        <v>280</v>
      </c>
      <c r="AD356" s="35">
        <v>280</v>
      </c>
      <c r="AE356" s="19" t="s">
        <v>270</v>
      </c>
      <c r="AF356" s="19" t="s">
        <v>383</v>
      </c>
      <c r="AG356" s="19"/>
      <c r="AH356" s="19" t="s">
        <v>234</v>
      </c>
      <c r="AI356" s="19" t="s">
        <v>385</v>
      </c>
      <c r="AJ356" s="19" t="s">
        <v>270</v>
      </c>
      <c r="AK356" s="19" t="s">
        <v>234</v>
      </c>
      <c r="AL356" s="19" t="s">
        <v>90</v>
      </c>
      <c r="AM356" s="19" t="s">
        <v>386</v>
      </c>
    </row>
    <row r="357" spans="1:78" s="30" customFormat="1" ht="15.95" customHeight="1" x14ac:dyDescent="0.25">
      <c r="A357" s="18"/>
      <c r="B357" s="19">
        <v>194</v>
      </c>
      <c r="C357" s="19"/>
      <c r="D357" s="19">
        <v>20727</v>
      </c>
      <c r="E357" s="36">
        <v>1999</v>
      </c>
      <c r="F357" s="19" t="s">
        <v>1224</v>
      </c>
      <c r="G357" s="19" t="s">
        <v>382</v>
      </c>
      <c r="H357" s="19"/>
      <c r="I357" s="35" t="s">
        <v>41</v>
      </c>
      <c r="J357" s="19" t="s">
        <v>89</v>
      </c>
      <c r="K357" s="19" t="s">
        <v>161</v>
      </c>
      <c r="L357" s="19" t="s">
        <v>82</v>
      </c>
      <c r="M357" s="19" t="s">
        <v>82</v>
      </c>
      <c r="N357" s="19" t="s">
        <v>66</v>
      </c>
      <c r="O357" s="19" t="s">
        <v>292</v>
      </c>
      <c r="P357" s="35" t="s">
        <v>51</v>
      </c>
      <c r="Q357" s="19"/>
      <c r="R357" s="19" t="s">
        <v>237</v>
      </c>
      <c r="S357" s="19" t="s">
        <v>79</v>
      </c>
      <c r="T357" s="19" t="s">
        <v>56</v>
      </c>
      <c r="U357" s="19">
        <v>27</v>
      </c>
      <c r="V357" s="19" t="s">
        <v>231</v>
      </c>
      <c r="W357" s="19" t="s">
        <v>46</v>
      </c>
      <c r="X357" s="29"/>
      <c r="Y357" s="19">
        <v>2300</v>
      </c>
      <c r="Z357" s="24">
        <f t="shared" si="12"/>
        <v>249.1961011979117</v>
      </c>
      <c r="AA357" s="19" t="s">
        <v>214</v>
      </c>
      <c r="AB357" s="19"/>
      <c r="AC357" s="35">
        <v>280</v>
      </c>
      <c r="AD357" s="35">
        <v>280</v>
      </c>
      <c r="AE357" s="19" t="s">
        <v>270</v>
      </c>
      <c r="AF357" s="19" t="s">
        <v>383</v>
      </c>
      <c r="AG357" s="19"/>
      <c r="AH357" s="19" t="s">
        <v>234</v>
      </c>
      <c r="AI357" s="19" t="s">
        <v>385</v>
      </c>
      <c r="AJ357" s="19" t="s">
        <v>270</v>
      </c>
      <c r="AK357" s="19" t="s">
        <v>234</v>
      </c>
      <c r="AL357" s="19" t="s">
        <v>90</v>
      </c>
      <c r="AM357" s="19" t="s">
        <v>386</v>
      </c>
    </row>
    <row r="358" spans="1:78" s="53" customFormat="1" ht="15.95" customHeight="1" x14ac:dyDescent="0.25">
      <c r="A358" s="46"/>
      <c r="B358" s="47"/>
      <c r="C358" s="47"/>
      <c r="D358" s="47"/>
      <c r="E358" s="48"/>
      <c r="F358" s="47"/>
      <c r="G358" s="47"/>
      <c r="H358" s="47"/>
      <c r="I358" s="49"/>
      <c r="J358" s="47"/>
      <c r="K358" s="47"/>
      <c r="L358" s="47"/>
      <c r="M358" s="47"/>
      <c r="N358" s="47"/>
      <c r="O358" s="47"/>
      <c r="P358" s="49"/>
      <c r="Q358" s="47"/>
      <c r="R358" s="47"/>
      <c r="S358" s="47"/>
      <c r="T358" s="47"/>
      <c r="U358" s="47"/>
      <c r="V358" s="47"/>
      <c r="W358" s="47"/>
      <c r="X358" s="50"/>
      <c r="Y358" s="47">
        <f>GEOMEAN(Y321:Y357)</f>
        <v>2717.8213221123733</v>
      </c>
      <c r="Z358" s="51"/>
      <c r="AA358" s="47"/>
      <c r="AB358" s="47"/>
      <c r="AC358" s="49"/>
      <c r="AD358" s="49"/>
      <c r="AE358" s="47"/>
      <c r="AF358" s="47"/>
      <c r="AG358" s="47"/>
      <c r="AH358" s="47"/>
      <c r="AI358" s="47"/>
      <c r="AJ358" s="47"/>
      <c r="AK358" s="47"/>
      <c r="AL358" s="47"/>
      <c r="AM358" s="47"/>
      <c r="AN358" s="52"/>
      <c r="AO358" s="52"/>
      <c r="AP358" s="52"/>
      <c r="AQ358" s="52"/>
      <c r="AR358" s="52"/>
      <c r="AS358" s="52"/>
      <c r="AT358" s="52"/>
      <c r="AU358" s="52"/>
      <c r="AV358" s="52"/>
      <c r="AW358" s="52"/>
      <c r="AX358" s="52"/>
      <c r="AY358" s="52"/>
      <c r="AZ358" s="52"/>
      <c r="BA358" s="52"/>
      <c r="BB358" s="52"/>
      <c r="BC358" s="52"/>
      <c r="BD358" s="52"/>
      <c r="BE358" s="52"/>
      <c r="BF358" s="52"/>
      <c r="BG358" s="52"/>
      <c r="BH358" s="52"/>
      <c r="BI358" s="52"/>
      <c r="BJ358" s="52"/>
      <c r="BK358" s="52"/>
      <c r="BL358" s="52"/>
      <c r="BM358" s="52"/>
      <c r="BN358" s="52"/>
      <c r="BO358" s="52"/>
      <c r="BP358" s="52"/>
      <c r="BQ358" s="52"/>
      <c r="BR358" s="52"/>
      <c r="BS358" s="52"/>
      <c r="BT358" s="52"/>
      <c r="BU358" s="52"/>
      <c r="BV358" s="52"/>
      <c r="BW358" s="52"/>
      <c r="BX358" s="52"/>
      <c r="BY358" s="52"/>
      <c r="BZ358" s="52"/>
    </row>
    <row r="359" spans="1:78" s="30" customFormat="1" ht="15.95" customHeight="1" x14ac:dyDescent="0.25">
      <c r="A359" s="18"/>
      <c r="B359" s="19">
        <v>194</v>
      </c>
      <c r="C359" s="20"/>
      <c r="D359" s="36">
        <v>20727</v>
      </c>
      <c r="E359" s="36">
        <v>1999</v>
      </c>
      <c r="F359" s="36" t="s">
        <v>1224</v>
      </c>
      <c r="G359" s="35" t="s">
        <v>382</v>
      </c>
      <c r="H359" s="35"/>
      <c r="I359" s="35" t="s">
        <v>41</v>
      </c>
      <c r="J359" s="35" t="s">
        <v>89</v>
      </c>
      <c r="K359" s="35" t="s">
        <v>161</v>
      </c>
      <c r="L359" s="35" t="s">
        <v>82</v>
      </c>
      <c r="M359" s="35" t="s">
        <v>82</v>
      </c>
      <c r="N359" s="35" t="s">
        <v>66</v>
      </c>
      <c r="O359" s="35" t="s">
        <v>292</v>
      </c>
      <c r="P359" s="35" t="s">
        <v>51</v>
      </c>
      <c r="Q359" s="35"/>
      <c r="R359" s="35" t="s">
        <v>237</v>
      </c>
      <c r="S359" s="35" t="s">
        <v>79</v>
      </c>
      <c r="T359" s="35" t="s">
        <v>56</v>
      </c>
      <c r="U359" s="36">
        <v>28</v>
      </c>
      <c r="V359" s="36" t="s">
        <v>231</v>
      </c>
      <c r="W359" s="35" t="s">
        <v>46</v>
      </c>
      <c r="X359" s="29"/>
      <c r="Y359" s="36">
        <v>3100</v>
      </c>
      <c r="Z359" s="24">
        <f t="shared" ref="Z359:Z378" si="13">Y359/((AC359/30)^0.995)</f>
        <v>335.87300596240277</v>
      </c>
      <c r="AA359" s="19" t="s">
        <v>214</v>
      </c>
      <c r="AB359" s="36"/>
      <c r="AC359" s="35">
        <v>280</v>
      </c>
      <c r="AD359" s="35">
        <v>280</v>
      </c>
      <c r="AE359" s="35" t="s">
        <v>270</v>
      </c>
      <c r="AF359" s="35" t="s">
        <v>383</v>
      </c>
      <c r="AG359" s="35"/>
      <c r="AH359" s="35" t="s">
        <v>234</v>
      </c>
      <c r="AI359" s="35" t="s">
        <v>385</v>
      </c>
      <c r="AJ359" s="35" t="s">
        <v>270</v>
      </c>
      <c r="AK359" s="35" t="s">
        <v>234</v>
      </c>
      <c r="AL359" s="35" t="s">
        <v>90</v>
      </c>
      <c r="AM359" s="35" t="s">
        <v>386</v>
      </c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</row>
    <row r="360" spans="1:78" s="30" customFormat="1" ht="15.95" customHeight="1" x14ac:dyDescent="0.25">
      <c r="A360" s="18"/>
      <c r="B360" s="19">
        <v>194</v>
      </c>
      <c r="C360" s="19"/>
      <c r="D360" s="19">
        <v>20727</v>
      </c>
      <c r="E360" s="36">
        <v>1999</v>
      </c>
      <c r="F360" s="19" t="s">
        <v>1224</v>
      </c>
      <c r="G360" s="19" t="s">
        <v>382</v>
      </c>
      <c r="H360" s="19"/>
      <c r="I360" s="35" t="s">
        <v>41</v>
      </c>
      <c r="J360" s="19" t="s">
        <v>89</v>
      </c>
      <c r="K360" s="19" t="s">
        <v>161</v>
      </c>
      <c r="L360" s="19" t="s">
        <v>82</v>
      </c>
      <c r="M360" s="19" t="s">
        <v>82</v>
      </c>
      <c r="N360" s="19" t="s">
        <v>66</v>
      </c>
      <c r="O360" s="19" t="s">
        <v>292</v>
      </c>
      <c r="P360" s="35" t="s">
        <v>51</v>
      </c>
      <c r="Q360" s="19"/>
      <c r="R360" s="19" t="s">
        <v>237</v>
      </c>
      <c r="S360" s="19" t="s">
        <v>79</v>
      </c>
      <c r="T360" s="19" t="s">
        <v>56</v>
      </c>
      <c r="U360" s="19">
        <v>28</v>
      </c>
      <c r="V360" s="19" t="s">
        <v>231</v>
      </c>
      <c r="W360" s="19" t="s">
        <v>46</v>
      </c>
      <c r="X360" s="29"/>
      <c r="Y360" s="19">
        <v>2500</v>
      </c>
      <c r="Z360" s="24">
        <f t="shared" si="13"/>
        <v>270.86532738903446</v>
      </c>
      <c r="AA360" s="19" t="s">
        <v>214</v>
      </c>
      <c r="AB360" s="19"/>
      <c r="AC360" s="35">
        <v>280</v>
      </c>
      <c r="AD360" s="35">
        <v>280</v>
      </c>
      <c r="AE360" s="19" t="s">
        <v>270</v>
      </c>
      <c r="AF360" s="19" t="s">
        <v>383</v>
      </c>
      <c r="AG360" s="19"/>
      <c r="AH360" s="19" t="s">
        <v>234</v>
      </c>
      <c r="AI360" s="19" t="s">
        <v>385</v>
      </c>
      <c r="AJ360" s="19" t="s">
        <v>270</v>
      </c>
      <c r="AK360" s="19" t="s">
        <v>234</v>
      </c>
      <c r="AL360" s="19" t="s">
        <v>90</v>
      </c>
      <c r="AM360" s="19" t="s">
        <v>386</v>
      </c>
    </row>
    <row r="361" spans="1:78" s="30" customFormat="1" ht="15.95" customHeight="1" x14ac:dyDescent="0.25">
      <c r="A361" s="18"/>
      <c r="B361" s="19">
        <v>194</v>
      </c>
      <c r="C361" s="19"/>
      <c r="D361" s="19">
        <v>20727</v>
      </c>
      <c r="E361" s="36">
        <v>1999</v>
      </c>
      <c r="F361" s="19" t="s">
        <v>1224</v>
      </c>
      <c r="G361" s="19" t="s">
        <v>382</v>
      </c>
      <c r="H361" s="19"/>
      <c r="I361" s="35" t="s">
        <v>41</v>
      </c>
      <c r="J361" s="19" t="s">
        <v>89</v>
      </c>
      <c r="K361" s="19" t="s">
        <v>161</v>
      </c>
      <c r="L361" s="19" t="s">
        <v>82</v>
      </c>
      <c r="M361" s="19" t="s">
        <v>82</v>
      </c>
      <c r="N361" s="19" t="s">
        <v>66</v>
      </c>
      <c r="O361" s="19" t="s">
        <v>292</v>
      </c>
      <c r="P361" s="35" t="s">
        <v>51</v>
      </c>
      <c r="Q361" s="19"/>
      <c r="R361" s="19" t="s">
        <v>237</v>
      </c>
      <c r="S361" s="19" t="s">
        <v>79</v>
      </c>
      <c r="T361" s="19" t="s">
        <v>56</v>
      </c>
      <c r="U361" s="19">
        <v>28</v>
      </c>
      <c r="V361" s="19" t="s">
        <v>231</v>
      </c>
      <c r="W361" s="19" t="s">
        <v>46</v>
      </c>
      <c r="X361" s="29"/>
      <c r="Y361" s="19">
        <v>3100</v>
      </c>
      <c r="Z361" s="24">
        <f t="shared" si="13"/>
        <v>335.87300596240277</v>
      </c>
      <c r="AA361" s="19" t="s">
        <v>214</v>
      </c>
      <c r="AB361" s="19"/>
      <c r="AC361" s="35">
        <v>280</v>
      </c>
      <c r="AD361" s="35">
        <v>280</v>
      </c>
      <c r="AE361" s="19" t="s">
        <v>270</v>
      </c>
      <c r="AF361" s="19" t="s">
        <v>383</v>
      </c>
      <c r="AG361" s="19"/>
      <c r="AH361" s="19" t="s">
        <v>234</v>
      </c>
      <c r="AI361" s="19" t="s">
        <v>385</v>
      </c>
      <c r="AJ361" s="19" t="s">
        <v>270</v>
      </c>
      <c r="AK361" s="19" t="s">
        <v>234</v>
      </c>
      <c r="AL361" s="19" t="s">
        <v>90</v>
      </c>
      <c r="AM361" s="19" t="s">
        <v>386</v>
      </c>
    </row>
    <row r="362" spans="1:78" s="30" customFormat="1" ht="15.95" customHeight="1" x14ac:dyDescent="0.25">
      <c r="A362" s="18"/>
      <c r="B362" s="19">
        <v>194</v>
      </c>
      <c r="C362" s="19"/>
      <c r="D362" s="19">
        <v>20727</v>
      </c>
      <c r="E362" s="36">
        <v>1999</v>
      </c>
      <c r="F362" s="19" t="s">
        <v>1224</v>
      </c>
      <c r="G362" s="19" t="s">
        <v>382</v>
      </c>
      <c r="H362" s="19"/>
      <c r="I362" s="35" t="s">
        <v>41</v>
      </c>
      <c r="J362" s="19" t="s">
        <v>89</v>
      </c>
      <c r="K362" s="19" t="s">
        <v>161</v>
      </c>
      <c r="L362" s="19" t="s">
        <v>82</v>
      </c>
      <c r="M362" s="19" t="s">
        <v>82</v>
      </c>
      <c r="N362" s="19" t="s">
        <v>66</v>
      </c>
      <c r="O362" s="19" t="s">
        <v>292</v>
      </c>
      <c r="P362" s="35" t="s">
        <v>51</v>
      </c>
      <c r="Q362" s="19"/>
      <c r="R362" s="19" t="s">
        <v>237</v>
      </c>
      <c r="S362" s="19" t="s">
        <v>79</v>
      </c>
      <c r="T362" s="19" t="s">
        <v>56</v>
      </c>
      <c r="U362" s="19">
        <v>28</v>
      </c>
      <c r="V362" s="19" t="s">
        <v>231</v>
      </c>
      <c r="W362" s="19" t="s">
        <v>46</v>
      </c>
      <c r="X362" s="29"/>
      <c r="Y362" s="19">
        <v>2900</v>
      </c>
      <c r="Z362" s="24">
        <f t="shared" si="13"/>
        <v>314.20377977127998</v>
      </c>
      <c r="AA362" s="19" t="s">
        <v>214</v>
      </c>
      <c r="AB362" s="19"/>
      <c r="AC362" s="35">
        <v>280</v>
      </c>
      <c r="AD362" s="35">
        <v>280</v>
      </c>
      <c r="AE362" s="19" t="s">
        <v>270</v>
      </c>
      <c r="AF362" s="19" t="s">
        <v>383</v>
      </c>
      <c r="AG362" s="19"/>
      <c r="AH362" s="19" t="s">
        <v>234</v>
      </c>
      <c r="AI362" s="19" t="s">
        <v>385</v>
      </c>
      <c r="AJ362" s="19" t="s">
        <v>270</v>
      </c>
      <c r="AK362" s="19" t="s">
        <v>234</v>
      </c>
      <c r="AL362" s="19" t="s">
        <v>90</v>
      </c>
      <c r="AM362" s="19" t="s">
        <v>386</v>
      </c>
    </row>
    <row r="363" spans="1:78" s="30" customFormat="1" ht="15.95" customHeight="1" x14ac:dyDescent="0.25">
      <c r="A363" s="18"/>
      <c r="B363" s="19">
        <v>194</v>
      </c>
      <c r="C363" s="19"/>
      <c r="D363" s="19">
        <v>20727</v>
      </c>
      <c r="E363" s="36">
        <v>1999</v>
      </c>
      <c r="F363" s="19" t="s">
        <v>1224</v>
      </c>
      <c r="G363" s="19" t="s">
        <v>382</v>
      </c>
      <c r="H363" s="19"/>
      <c r="I363" s="35" t="s">
        <v>41</v>
      </c>
      <c r="J363" s="19" t="s">
        <v>89</v>
      </c>
      <c r="K363" s="19" t="s">
        <v>161</v>
      </c>
      <c r="L363" s="19" t="s">
        <v>82</v>
      </c>
      <c r="M363" s="19" t="s">
        <v>82</v>
      </c>
      <c r="N363" s="19" t="s">
        <v>66</v>
      </c>
      <c r="O363" s="19" t="s">
        <v>292</v>
      </c>
      <c r="P363" s="35" t="s">
        <v>51</v>
      </c>
      <c r="Q363" s="19"/>
      <c r="R363" s="19" t="s">
        <v>237</v>
      </c>
      <c r="S363" s="19" t="s">
        <v>79</v>
      </c>
      <c r="T363" s="19" t="s">
        <v>56</v>
      </c>
      <c r="U363" s="19">
        <v>28</v>
      </c>
      <c r="V363" s="19" t="s">
        <v>231</v>
      </c>
      <c r="W363" s="19" t="s">
        <v>46</v>
      </c>
      <c r="X363" s="29"/>
      <c r="Y363" s="19">
        <v>2200</v>
      </c>
      <c r="Z363" s="24">
        <f t="shared" si="13"/>
        <v>238.36148810235034</v>
      </c>
      <c r="AA363" s="19" t="s">
        <v>214</v>
      </c>
      <c r="AB363" s="19"/>
      <c r="AC363" s="35">
        <v>280</v>
      </c>
      <c r="AD363" s="35">
        <v>280</v>
      </c>
      <c r="AE363" s="19" t="s">
        <v>270</v>
      </c>
      <c r="AF363" s="19" t="s">
        <v>383</v>
      </c>
      <c r="AG363" s="19"/>
      <c r="AH363" s="19" t="s">
        <v>234</v>
      </c>
      <c r="AI363" s="19" t="s">
        <v>385</v>
      </c>
      <c r="AJ363" s="19" t="s">
        <v>270</v>
      </c>
      <c r="AK363" s="19" t="s">
        <v>234</v>
      </c>
      <c r="AL363" s="19" t="s">
        <v>90</v>
      </c>
      <c r="AM363" s="19" t="s">
        <v>386</v>
      </c>
    </row>
    <row r="364" spans="1:78" s="30" customFormat="1" ht="15.95" customHeight="1" x14ac:dyDescent="0.25">
      <c r="A364" s="18"/>
      <c r="B364" s="19">
        <v>194</v>
      </c>
      <c r="C364" s="19"/>
      <c r="D364" s="19">
        <v>20727</v>
      </c>
      <c r="E364" s="36">
        <v>1999</v>
      </c>
      <c r="F364" s="19" t="s">
        <v>1224</v>
      </c>
      <c r="G364" s="19" t="s">
        <v>382</v>
      </c>
      <c r="H364" s="19"/>
      <c r="I364" s="35" t="s">
        <v>41</v>
      </c>
      <c r="J364" s="19" t="s">
        <v>89</v>
      </c>
      <c r="K364" s="19" t="s">
        <v>161</v>
      </c>
      <c r="L364" s="19" t="s">
        <v>82</v>
      </c>
      <c r="M364" s="19" t="s">
        <v>82</v>
      </c>
      <c r="N364" s="19" t="s">
        <v>66</v>
      </c>
      <c r="O364" s="19" t="s">
        <v>292</v>
      </c>
      <c r="P364" s="35" t="s">
        <v>51</v>
      </c>
      <c r="Q364" s="19"/>
      <c r="R364" s="19" t="s">
        <v>237</v>
      </c>
      <c r="S364" s="19" t="s">
        <v>79</v>
      </c>
      <c r="T364" s="19" t="s">
        <v>56</v>
      </c>
      <c r="U364" s="19">
        <v>28</v>
      </c>
      <c r="V364" s="19" t="s">
        <v>231</v>
      </c>
      <c r="W364" s="19" t="s">
        <v>46</v>
      </c>
      <c r="X364" s="29"/>
      <c r="Y364" s="19">
        <v>2500</v>
      </c>
      <c r="Z364" s="24">
        <f t="shared" si="13"/>
        <v>270.86532738903446</v>
      </c>
      <c r="AA364" s="19" t="s">
        <v>214</v>
      </c>
      <c r="AB364" s="19"/>
      <c r="AC364" s="35">
        <v>280</v>
      </c>
      <c r="AD364" s="35">
        <v>280</v>
      </c>
      <c r="AE364" s="19" t="s">
        <v>270</v>
      </c>
      <c r="AF364" s="19" t="s">
        <v>383</v>
      </c>
      <c r="AG364" s="19"/>
      <c r="AH364" s="19" t="s">
        <v>234</v>
      </c>
      <c r="AI364" s="19" t="s">
        <v>385</v>
      </c>
      <c r="AJ364" s="19" t="s">
        <v>270</v>
      </c>
      <c r="AK364" s="19" t="s">
        <v>234</v>
      </c>
      <c r="AL364" s="19" t="s">
        <v>90</v>
      </c>
      <c r="AM364" s="19" t="s">
        <v>386</v>
      </c>
    </row>
    <row r="365" spans="1:78" s="30" customFormat="1" ht="15.95" customHeight="1" x14ac:dyDescent="0.25">
      <c r="A365" s="18"/>
      <c r="B365" s="19">
        <v>194</v>
      </c>
      <c r="C365" s="19"/>
      <c r="D365" s="19">
        <v>20727</v>
      </c>
      <c r="E365" s="36">
        <v>1999</v>
      </c>
      <c r="F365" s="19" t="s">
        <v>1224</v>
      </c>
      <c r="G365" s="19" t="s">
        <v>382</v>
      </c>
      <c r="H365" s="19"/>
      <c r="I365" s="35" t="s">
        <v>41</v>
      </c>
      <c r="J365" s="19" t="s">
        <v>89</v>
      </c>
      <c r="K365" s="19" t="s">
        <v>161</v>
      </c>
      <c r="L365" s="19" t="s">
        <v>82</v>
      </c>
      <c r="M365" s="19" t="s">
        <v>82</v>
      </c>
      <c r="N365" s="19" t="s">
        <v>66</v>
      </c>
      <c r="O365" s="19" t="s">
        <v>292</v>
      </c>
      <c r="P365" s="35" t="s">
        <v>51</v>
      </c>
      <c r="Q365" s="19"/>
      <c r="R365" s="19" t="s">
        <v>237</v>
      </c>
      <c r="S365" s="19" t="s">
        <v>79</v>
      </c>
      <c r="T365" s="19" t="s">
        <v>56</v>
      </c>
      <c r="U365" s="19">
        <v>28</v>
      </c>
      <c r="V365" s="19" t="s">
        <v>231</v>
      </c>
      <c r="W365" s="19" t="s">
        <v>46</v>
      </c>
      <c r="X365" s="29"/>
      <c r="Y365" s="19">
        <v>3000</v>
      </c>
      <c r="Z365" s="24">
        <f t="shared" si="13"/>
        <v>325.03839286684138</v>
      </c>
      <c r="AA365" s="19" t="s">
        <v>214</v>
      </c>
      <c r="AB365" s="19"/>
      <c r="AC365" s="35">
        <v>280</v>
      </c>
      <c r="AD365" s="35">
        <v>280</v>
      </c>
      <c r="AE365" s="19" t="s">
        <v>270</v>
      </c>
      <c r="AF365" s="19" t="s">
        <v>383</v>
      </c>
      <c r="AG365" s="19"/>
      <c r="AH365" s="19" t="s">
        <v>234</v>
      </c>
      <c r="AI365" s="19" t="s">
        <v>385</v>
      </c>
      <c r="AJ365" s="19" t="s">
        <v>270</v>
      </c>
      <c r="AK365" s="19" t="s">
        <v>234</v>
      </c>
      <c r="AL365" s="19" t="s">
        <v>90</v>
      </c>
      <c r="AM365" s="19" t="s">
        <v>386</v>
      </c>
    </row>
    <row r="366" spans="1:78" s="30" customFormat="1" ht="15.95" customHeight="1" x14ac:dyDescent="0.25">
      <c r="A366" s="18"/>
      <c r="B366" s="19">
        <v>194</v>
      </c>
      <c r="C366" s="19"/>
      <c r="D366" s="19">
        <v>20727</v>
      </c>
      <c r="E366" s="36">
        <v>1999</v>
      </c>
      <c r="F366" s="19" t="s">
        <v>1224</v>
      </c>
      <c r="G366" s="19" t="s">
        <v>382</v>
      </c>
      <c r="H366" s="19"/>
      <c r="I366" s="35" t="s">
        <v>41</v>
      </c>
      <c r="J366" s="19" t="s">
        <v>89</v>
      </c>
      <c r="K366" s="19" t="s">
        <v>161</v>
      </c>
      <c r="L366" s="19" t="s">
        <v>82</v>
      </c>
      <c r="M366" s="19" t="s">
        <v>82</v>
      </c>
      <c r="N366" s="19" t="s">
        <v>66</v>
      </c>
      <c r="O366" s="19" t="s">
        <v>292</v>
      </c>
      <c r="P366" s="35" t="s">
        <v>51</v>
      </c>
      <c r="Q366" s="19"/>
      <c r="R366" s="19" t="s">
        <v>237</v>
      </c>
      <c r="S366" s="19" t="s">
        <v>79</v>
      </c>
      <c r="T366" s="19" t="s">
        <v>56</v>
      </c>
      <c r="U366" s="19">
        <v>28</v>
      </c>
      <c r="V366" s="19" t="s">
        <v>231</v>
      </c>
      <c r="W366" s="19" t="s">
        <v>46</v>
      </c>
      <c r="X366" s="29"/>
      <c r="Y366" s="19">
        <v>2200</v>
      </c>
      <c r="Z366" s="24">
        <f t="shared" si="13"/>
        <v>238.36148810235034</v>
      </c>
      <c r="AA366" s="19" t="s">
        <v>214</v>
      </c>
      <c r="AB366" s="19"/>
      <c r="AC366" s="35">
        <v>280</v>
      </c>
      <c r="AD366" s="35">
        <v>280</v>
      </c>
      <c r="AE366" s="19" t="s">
        <v>270</v>
      </c>
      <c r="AF366" s="19" t="s">
        <v>383</v>
      </c>
      <c r="AG366" s="19"/>
      <c r="AH366" s="19" t="s">
        <v>234</v>
      </c>
      <c r="AI366" s="19" t="s">
        <v>385</v>
      </c>
      <c r="AJ366" s="19" t="s">
        <v>270</v>
      </c>
      <c r="AK366" s="19" t="s">
        <v>234</v>
      </c>
      <c r="AL366" s="19" t="s">
        <v>90</v>
      </c>
      <c r="AM366" s="19" t="s">
        <v>386</v>
      </c>
    </row>
    <row r="367" spans="1:78" s="30" customFormat="1" ht="15.95" customHeight="1" x14ac:dyDescent="0.25">
      <c r="A367" s="18"/>
      <c r="B367" s="19">
        <v>194</v>
      </c>
      <c r="C367" s="19"/>
      <c r="D367" s="19">
        <v>20727</v>
      </c>
      <c r="E367" s="36">
        <v>1999</v>
      </c>
      <c r="F367" s="19" t="s">
        <v>1224</v>
      </c>
      <c r="G367" s="19" t="s">
        <v>382</v>
      </c>
      <c r="H367" s="19"/>
      <c r="I367" s="35" t="s">
        <v>41</v>
      </c>
      <c r="J367" s="19" t="s">
        <v>89</v>
      </c>
      <c r="K367" s="19" t="s">
        <v>161</v>
      </c>
      <c r="L367" s="19" t="s">
        <v>82</v>
      </c>
      <c r="M367" s="19" t="s">
        <v>82</v>
      </c>
      <c r="N367" s="19" t="s">
        <v>66</v>
      </c>
      <c r="O367" s="19" t="s">
        <v>292</v>
      </c>
      <c r="P367" s="35" t="s">
        <v>51</v>
      </c>
      <c r="Q367" s="19"/>
      <c r="R367" s="19" t="s">
        <v>237</v>
      </c>
      <c r="S367" s="19" t="s">
        <v>79</v>
      </c>
      <c r="T367" s="19" t="s">
        <v>56</v>
      </c>
      <c r="U367" s="19">
        <v>28</v>
      </c>
      <c r="V367" s="19" t="s">
        <v>231</v>
      </c>
      <c r="W367" s="19" t="s">
        <v>46</v>
      </c>
      <c r="X367" s="29"/>
      <c r="Y367" s="19">
        <v>2700</v>
      </c>
      <c r="Z367" s="24">
        <f t="shared" si="13"/>
        <v>292.53455358015725</v>
      </c>
      <c r="AA367" s="19" t="s">
        <v>214</v>
      </c>
      <c r="AB367" s="19"/>
      <c r="AC367" s="35">
        <v>280</v>
      </c>
      <c r="AD367" s="35">
        <v>280</v>
      </c>
      <c r="AE367" s="19" t="s">
        <v>270</v>
      </c>
      <c r="AF367" s="19" t="s">
        <v>383</v>
      </c>
      <c r="AG367" s="19"/>
      <c r="AH367" s="19" t="s">
        <v>234</v>
      </c>
      <c r="AI367" s="19" t="s">
        <v>385</v>
      </c>
      <c r="AJ367" s="19" t="s">
        <v>270</v>
      </c>
      <c r="AK367" s="19" t="s">
        <v>234</v>
      </c>
      <c r="AL367" s="19" t="s">
        <v>90</v>
      </c>
      <c r="AM367" s="19" t="s">
        <v>386</v>
      </c>
    </row>
    <row r="368" spans="1:78" s="30" customFormat="1" ht="15.95" customHeight="1" x14ac:dyDescent="0.25">
      <c r="A368" s="18"/>
      <c r="B368" s="19">
        <v>194</v>
      </c>
      <c r="C368" s="19"/>
      <c r="D368" s="19">
        <v>20727</v>
      </c>
      <c r="E368" s="36">
        <v>1999</v>
      </c>
      <c r="F368" s="19" t="s">
        <v>1224</v>
      </c>
      <c r="G368" s="19" t="s">
        <v>382</v>
      </c>
      <c r="H368" s="19"/>
      <c r="I368" s="35" t="s">
        <v>41</v>
      </c>
      <c r="J368" s="19" t="s">
        <v>89</v>
      </c>
      <c r="K368" s="19" t="s">
        <v>161</v>
      </c>
      <c r="L368" s="19" t="s">
        <v>82</v>
      </c>
      <c r="M368" s="19" t="s">
        <v>82</v>
      </c>
      <c r="N368" s="19" t="s">
        <v>66</v>
      </c>
      <c r="O368" s="19" t="s">
        <v>292</v>
      </c>
      <c r="P368" s="35" t="s">
        <v>51</v>
      </c>
      <c r="Q368" s="19"/>
      <c r="R368" s="19" t="s">
        <v>237</v>
      </c>
      <c r="S368" s="19" t="s">
        <v>79</v>
      </c>
      <c r="T368" s="19" t="s">
        <v>56</v>
      </c>
      <c r="U368" s="19">
        <v>28</v>
      </c>
      <c r="V368" s="19" t="s">
        <v>231</v>
      </c>
      <c r="W368" s="19" t="s">
        <v>46</v>
      </c>
      <c r="X368" s="29"/>
      <c r="Y368" s="19">
        <v>2700</v>
      </c>
      <c r="Z368" s="24">
        <f t="shared" si="13"/>
        <v>292.53455358015725</v>
      </c>
      <c r="AA368" s="19" t="s">
        <v>214</v>
      </c>
      <c r="AB368" s="19"/>
      <c r="AC368" s="35">
        <v>280</v>
      </c>
      <c r="AD368" s="35">
        <v>280</v>
      </c>
      <c r="AE368" s="19" t="s">
        <v>270</v>
      </c>
      <c r="AF368" s="19" t="s">
        <v>383</v>
      </c>
      <c r="AG368" s="19"/>
      <c r="AH368" s="19" t="s">
        <v>234</v>
      </c>
      <c r="AI368" s="19" t="s">
        <v>385</v>
      </c>
      <c r="AJ368" s="19" t="s">
        <v>270</v>
      </c>
      <c r="AK368" s="19" t="s">
        <v>234</v>
      </c>
      <c r="AL368" s="19" t="s">
        <v>90</v>
      </c>
      <c r="AM368" s="19" t="s">
        <v>386</v>
      </c>
    </row>
    <row r="369" spans="1:78" s="30" customFormat="1" ht="15.95" customHeight="1" x14ac:dyDescent="0.25">
      <c r="A369" s="18"/>
      <c r="B369" s="19">
        <v>194</v>
      </c>
      <c r="C369" s="19"/>
      <c r="D369" s="19">
        <v>20727</v>
      </c>
      <c r="E369" s="36">
        <v>1999</v>
      </c>
      <c r="F369" s="19" t="s">
        <v>1224</v>
      </c>
      <c r="G369" s="19" t="s">
        <v>382</v>
      </c>
      <c r="H369" s="19"/>
      <c r="I369" s="35" t="s">
        <v>41</v>
      </c>
      <c r="J369" s="19" t="s">
        <v>89</v>
      </c>
      <c r="K369" s="19" t="s">
        <v>161</v>
      </c>
      <c r="L369" s="19" t="s">
        <v>82</v>
      </c>
      <c r="M369" s="19" t="s">
        <v>82</v>
      </c>
      <c r="N369" s="19" t="s">
        <v>66</v>
      </c>
      <c r="O369" s="19" t="s">
        <v>292</v>
      </c>
      <c r="P369" s="35" t="s">
        <v>51</v>
      </c>
      <c r="Q369" s="19"/>
      <c r="R369" s="19" t="s">
        <v>237</v>
      </c>
      <c r="S369" s="19" t="s">
        <v>79</v>
      </c>
      <c r="T369" s="19" t="s">
        <v>56</v>
      </c>
      <c r="U369" s="19">
        <v>28</v>
      </c>
      <c r="V369" s="19" t="s">
        <v>231</v>
      </c>
      <c r="W369" s="19" t="s">
        <v>46</v>
      </c>
      <c r="X369" s="29"/>
      <c r="Y369" s="19">
        <v>3100</v>
      </c>
      <c r="Z369" s="24">
        <f t="shared" si="13"/>
        <v>335.87300596240277</v>
      </c>
      <c r="AA369" s="19" t="s">
        <v>214</v>
      </c>
      <c r="AB369" s="19"/>
      <c r="AC369" s="35">
        <v>280</v>
      </c>
      <c r="AD369" s="35">
        <v>280</v>
      </c>
      <c r="AE369" s="19" t="s">
        <v>270</v>
      </c>
      <c r="AF369" s="19" t="s">
        <v>383</v>
      </c>
      <c r="AG369" s="19"/>
      <c r="AH369" s="19" t="s">
        <v>234</v>
      </c>
      <c r="AI369" s="19" t="s">
        <v>385</v>
      </c>
      <c r="AJ369" s="19" t="s">
        <v>270</v>
      </c>
      <c r="AK369" s="19" t="s">
        <v>234</v>
      </c>
      <c r="AL369" s="19" t="s">
        <v>90</v>
      </c>
      <c r="AM369" s="19" t="s">
        <v>386</v>
      </c>
    </row>
    <row r="370" spans="1:78" s="30" customFormat="1" ht="15.95" customHeight="1" x14ac:dyDescent="0.25">
      <c r="A370" s="18"/>
      <c r="B370" s="19">
        <v>194</v>
      </c>
      <c r="C370" s="19"/>
      <c r="D370" s="19">
        <v>20727</v>
      </c>
      <c r="E370" s="36">
        <v>1999</v>
      </c>
      <c r="F370" s="19" t="s">
        <v>1224</v>
      </c>
      <c r="G370" s="19" t="s">
        <v>382</v>
      </c>
      <c r="H370" s="19"/>
      <c r="I370" s="35" t="s">
        <v>41</v>
      </c>
      <c r="J370" s="19" t="s">
        <v>89</v>
      </c>
      <c r="K370" s="19" t="s">
        <v>161</v>
      </c>
      <c r="L370" s="19" t="s">
        <v>82</v>
      </c>
      <c r="M370" s="19" t="s">
        <v>82</v>
      </c>
      <c r="N370" s="19" t="s">
        <v>66</v>
      </c>
      <c r="O370" s="19" t="s">
        <v>292</v>
      </c>
      <c r="P370" s="35" t="s">
        <v>51</v>
      </c>
      <c r="Q370" s="19"/>
      <c r="R370" s="19" t="s">
        <v>237</v>
      </c>
      <c r="S370" s="19" t="s">
        <v>79</v>
      </c>
      <c r="T370" s="19" t="s">
        <v>56</v>
      </c>
      <c r="U370" s="19">
        <v>28</v>
      </c>
      <c r="V370" s="19" t="s">
        <v>231</v>
      </c>
      <c r="W370" s="19" t="s">
        <v>46</v>
      </c>
      <c r="X370" s="29"/>
      <c r="Y370" s="19">
        <v>2700</v>
      </c>
      <c r="Z370" s="24">
        <f t="shared" si="13"/>
        <v>292.53455358015725</v>
      </c>
      <c r="AA370" s="19" t="s">
        <v>214</v>
      </c>
      <c r="AB370" s="19"/>
      <c r="AC370" s="35">
        <v>280</v>
      </c>
      <c r="AD370" s="35">
        <v>280</v>
      </c>
      <c r="AE370" s="19" t="s">
        <v>270</v>
      </c>
      <c r="AF370" s="19" t="s">
        <v>383</v>
      </c>
      <c r="AG370" s="19"/>
      <c r="AH370" s="19" t="s">
        <v>234</v>
      </c>
      <c r="AI370" s="19" t="s">
        <v>385</v>
      </c>
      <c r="AJ370" s="19" t="s">
        <v>270</v>
      </c>
      <c r="AK370" s="19" t="s">
        <v>234</v>
      </c>
      <c r="AL370" s="19" t="s">
        <v>90</v>
      </c>
      <c r="AM370" s="19" t="s">
        <v>386</v>
      </c>
    </row>
    <row r="371" spans="1:78" s="30" customFormat="1" ht="15.95" customHeight="1" x14ac:dyDescent="0.25">
      <c r="A371" s="18"/>
      <c r="B371" s="19">
        <v>194</v>
      </c>
      <c r="C371" s="19"/>
      <c r="D371" s="19">
        <v>20727</v>
      </c>
      <c r="E371" s="36">
        <v>1999</v>
      </c>
      <c r="F371" s="19" t="s">
        <v>1224</v>
      </c>
      <c r="G371" s="19" t="s">
        <v>382</v>
      </c>
      <c r="H371" s="19"/>
      <c r="I371" s="35" t="s">
        <v>41</v>
      </c>
      <c r="J371" s="19" t="s">
        <v>89</v>
      </c>
      <c r="K371" s="19" t="s">
        <v>161</v>
      </c>
      <c r="L371" s="19" t="s">
        <v>82</v>
      </c>
      <c r="M371" s="19" t="s">
        <v>82</v>
      </c>
      <c r="N371" s="19" t="s">
        <v>66</v>
      </c>
      <c r="O371" s="19" t="s">
        <v>292</v>
      </c>
      <c r="P371" s="35" t="s">
        <v>51</v>
      </c>
      <c r="Q371" s="19"/>
      <c r="R371" s="19" t="s">
        <v>237</v>
      </c>
      <c r="S371" s="19" t="s">
        <v>79</v>
      </c>
      <c r="T371" s="19" t="s">
        <v>56</v>
      </c>
      <c r="U371" s="19">
        <v>28</v>
      </c>
      <c r="V371" s="19" t="s">
        <v>231</v>
      </c>
      <c r="W371" s="19" t="s">
        <v>46</v>
      </c>
      <c r="X371" s="29"/>
      <c r="Y371" s="19">
        <v>2500</v>
      </c>
      <c r="Z371" s="24">
        <f t="shared" si="13"/>
        <v>270.86532738903446</v>
      </c>
      <c r="AA371" s="19" t="s">
        <v>214</v>
      </c>
      <c r="AB371" s="19"/>
      <c r="AC371" s="35">
        <v>280</v>
      </c>
      <c r="AD371" s="35">
        <v>280</v>
      </c>
      <c r="AE371" s="19" t="s">
        <v>270</v>
      </c>
      <c r="AF371" s="19" t="s">
        <v>383</v>
      </c>
      <c r="AG371" s="19"/>
      <c r="AH371" s="19" t="s">
        <v>234</v>
      </c>
      <c r="AI371" s="19" t="s">
        <v>385</v>
      </c>
      <c r="AJ371" s="19" t="s">
        <v>270</v>
      </c>
      <c r="AK371" s="19" t="s">
        <v>234</v>
      </c>
      <c r="AL371" s="19" t="s">
        <v>90</v>
      </c>
      <c r="AM371" s="19" t="s">
        <v>386</v>
      </c>
    </row>
    <row r="372" spans="1:78" s="30" customFormat="1" ht="15.95" customHeight="1" x14ac:dyDescent="0.25">
      <c r="A372" s="18"/>
      <c r="B372" s="19">
        <v>194</v>
      </c>
      <c r="C372" s="19"/>
      <c r="D372" s="19">
        <v>20727</v>
      </c>
      <c r="E372" s="36">
        <v>1999</v>
      </c>
      <c r="F372" s="19" t="s">
        <v>1224</v>
      </c>
      <c r="G372" s="19" t="s">
        <v>382</v>
      </c>
      <c r="H372" s="19"/>
      <c r="I372" s="35" t="s">
        <v>41</v>
      </c>
      <c r="J372" s="19" t="s">
        <v>89</v>
      </c>
      <c r="K372" s="19" t="s">
        <v>161</v>
      </c>
      <c r="L372" s="19" t="s">
        <v>82</v>
      </c>
      <c r="M372" s="19" t="s">
        <v>82</v>
      </c>
      <c r="N372" s="19" t="s">
        <v>66</v>
      </c>
      <c r="O372" s="19" t="s">
        <v>292</v>
      </c>
      <c r="P372" s="35" t="s">
        <v>51</v>
      </c>
      <c r="Q372" s="19"/>
      <c r="R372" s="19" t="s">
        <v>237</v>
      </c>
      <c r="S372" s="19" t="s">
        <v>79</v>
      </c>
      <c r="T372" s="19" t="s">
        <v>56</v>
      </c>
      <c r="U372" s="19">
        <v>28</v>
      </c>
      <c r="V372" s="19" t="s">
        <v>231</v>
      </c>
      <c r="W372" s="19" t="s">
        <v>46</v>
      </c>
      <c r="X372" s="29"/>
      <c r="Y372" s="19">
        <v>2500</v>
      </c>
      <c r="Z372" s="24">
        <f t="shared" si="13"/>
        <v>270.86532738903446</v>
      </c>
      <c r="AA372" s="19" t="s">
        <v>214</v>
      </c>
      <c r="AB372" s="19"/>
      <c r="AC372" s="35">
        <v>280</v>
      </c>
      <c r="AD372" s="35">
        <v>280</v>
      </c>
      <c r="AE372" s="19" t="s">
        <v>270</v>
      </c>
      <c r="AF372" s="19" t="s">
        <v>383</v>
      </c>
      <c r="AG372" s="19"/>
      <c r="AH372" s="19" t="s">
        <v>234</v>
      </c>
      <c r="AI372" s="19" t="s">
        <v>385</v>
      </c>
      <c r="AJ372" s="19" t="s">
        <v>270</v>
      </c>
      <c r="AK372" s="19" t="s">
        <v>234</v>
      </c>
      <c r="AL372" s="19" t="s">
        <v>90</v>
      </c>
      <c r="AM372" s="19" t="s">
        <v>386</v>
      </c>
    </row>
    <row r="373" spans="1:78" s="30" customFormat="1" ht="15.95" customHeight="1" x14ac:dyDescent="0.25">
      <c r="A373" s="18"/>
      <c r="B373" s="19">
        <v>194</v>
      </c>
      <c r="C373" s="19"/>
      <c r="D373" s="19">
        <v>20727</v>
      </c>
      <c r="E373" s="36">
        <v>1999</v>
      </c>
      <c r="F373" s="19" t="s">
        <v>1224</v>
      </c>
      <c r="G373" s="19" t="s">
        <v>382</v>
      </c>
      <c r="H373" s="19"/>
      <c r="I373" s="35" t="s">
        <v>41</v>
      </c>
      <c r="J373" s="19" t="s">
        <v>89</v>
      </c>
      <c r="K373" s="19" t="s">
        <v>161</v>
      </c>
      <c r="L373" s="19" t="s">
        <v>82</v>
      </c>
      <c r="M373" s="19" t="s">
        <v>82</v>
      </c>
      <c r="N373" s="19" t="s">
        <v>66</v>
      </c>
      <c r="O373" s="19" t="s">
        <v>292</v>
      </c>
      <c r="P373" s="35" t="s">
        <v>51</v>
      </c>
      <c r="Q373" s="19"/>
      <c r="R373" s="19" t="s">
        <v>237</v>
      </c>
      <c r="S373" s="19" t="s">
        <v>79</v>
      </c>
      <c r="T373" s="19" t="s">
        <v>56</v>
      </c>
      <c r="U373" s="19">
        <v>28</v>
      </c>
      <c r="V373" s="19" t="s">
        <v>231</v>
      </c>
      <c r="W373" s="19" t="s">
        <v>46</v>
      </c>
      <c r="X373" s="29"/>
      <c r="Y373" s="19">
        <v>2900</v>
      </c>
      <c r="Z373" s="24">
        <f t="shared" si="13"/>
        <v>314.20377977127998</v>
      </c>
      <c r="AA373" s="19" t="s">
        <v>214</v>
      </c>
      <c r="AB373" s="19"/>
      <c r="AC373" s="35">
        <v>280</v>
      </c>
      <c r="AD373" s="35">
        <v>280</v>
      </c>
      <c r="AE373" s="19" t="s">
        <v>270</v>
      </c>
      <c r="AF373" s="19" t="s">
        <v>383</v>
      </c>
      <c r="AG373" s="19"/>
      <c r="AH373" s="19" t="s">
        <v>234</v>
      </c>
      <c r="AI373" s="19" t="s">
        <v>385</v>
      </c>
      <c r="AJ373" s="19" t="s">
        <v>270</v>
      </c>
      <c r="AK373" s="19" t="s">
        <v>234</v>
      </c>
      <c r="AL373" s="19" t="s">
        <v>90</v>
      </c>
      <c r="AM373" s="19" t="s">
        <v>386</v>
      </c>
    </row>
    <row r="374" spans="1:78" s="30" customFormat="1" ht="15.95" customHeight="1" x14ac:dyDescent="0.25">
      <c r="A374" s="18"/>
      <c r="B374" s="19">
        <v>194</v>
      </c>
      <c r="C374" s="19"/>
      <c r="D374" s="19">
        <v>20727</v>
      </c>
      <c r="E374" s="36">
        <v>1999</v>
      </c>
      <c r="F374" s="19" t="s">
        <v>1224</v>
      </c>
      <c r="G374" s="19" t="s">
        <v>382</v>
      </c>
      <c r="H374" s="19"/>
      <c r="I374" s="35" t="s">
        <v>41</v>
      </c>
      <c r="J374" s="19" t="s">
        <v>89</v>
      </c>
      <c r="K374" s="19" t="s">
        <v>161</v>
      </c>
      <c r="L374" s="19" t="s">
        <v>82</v>
      </c>
      <c r="M374" s="19" t="s">
        <v>82</v>
      </c>
      <c r="N374" s="19" t="s">
        <v>66</v>
      </c>
      <c r="O374" s="19" t="s">
        <v>292</v>
      </c>
      <c r="P374" s="35" t="s">
        <v>51</v>
      </c>
      <c r="Q374" s="19"/>
      <c r="R374" s="19" t="s">
        <v>237</v>
      </c>
      <c r="S374" s="19" t="s">
        <v>79</v>
      </c>
      <c r="T374" s="19" t="s">
        <v>56</v>
      </c>
      <c r="U374" s="19">
        <v>28</v>
      </c>
      <c r="V374" s="19" t="s">
        <v>231</v>
      </c>
      <c r="W374" s="19" t="s">
        <v>46</v>
      </c>
      <c r="X374" s="29"/>
      <c r="Y374" s="19">
        <v>2200</v>
      </c>
      <c r="Z374" s="24">
        <f t="shared" si="13"/>
        <v>238.36148810235034</v>
      </c>
      <c r="AA374" s="19" t="s">
        <v>214</v>
      </c>
      <c r="AB374" s="19"/>
      <c r="AC374" s="35">
        <v>280</v>
      </c>
      <c r="AD374" s="35">
        <v>280</v>
      </c>
      <c r="AE374" s="19" t="s">
        <v>270</v>
      </c>
      <c r="AF374" s="19" t="s">
        <v>383</v>
      </c>
      <c r="AG374" s="19"/>
      <c r="AH374" s="19" t="s">
        <v>234</v>
      </c>
      <c r="AI374" s="19" t="s">
        <v>385</v>
      </c>
      <c r="AJ374" s="19" t="s">
        <v>270</v>
      </c>
      <c r="AK374" s="19" t="s">
        <v>234</v>
      </c>
      <c r="AL374" s="19" t="s">
        <v>90</v>
      </c>
      <c r="AM374" s="19" t="s">
        <v>386</v>
      </c>
    </row>
    <row r="375" spans="1:78" s="30" customFormat="1" ht="15.95" customHeight="1" x14ac:dyDescent="0.25">
      <c r="A375" s="18"/>
      <c r="B375" s="19">
        <v>194</v>
      </c>
      <c r="C375" s="19"/>
      <c r="D375" s="19">
        <v>20727</v>
      </c>
      <c r="E375" s="36">
        <v>1999</v>
      </c>
      <c r="F375" s="19" t="s">
        <v>1224</v>
      </c>
      <c r="G375" s="19" t="s">
        <v>382</v>
      </c>
      <c r="H375" s="19"/>
      <c r="I375" s="35" t="s">
        <v>41</v>
      </c>
      <c r="J375" s="19" t="s">
        <v>89</v>
      </c>
      <c r="K375" s="19" t="s">
        <v>161</v>
      </c>
      <c r="L375" s="19" t="s">
        <v>82</v>
      </c>
      <c r="M375" s="19" t="s">
        <v>82</v>
      </c>
      <c r="N375" s="19" t="s">
        <v>66</v>
      </c>
      <c r="O375" s="19" t="s">
        <v>292</v>
      </c>
      <c r="P375" s="35" t="s">
        <v>51</v>
      </c>
      <c r="Q375" s="19"/>
      <c r="R375" s="19" t="s">
        <v>237</v>
      </c>
      <c r="S375" s="19" t="s">
        <v>79</v>
      </c>
      <c r="T375" s="19" t="s">
        <v>56</v>
      </c>
      <c r="U375" s="19">
        <v>28</v>
      </c>
      <c r="V375" s="19" t="s">
        <v>231</v>
      </c>
      <c r="W375" s="19" t="s">
        <v>46</v>
      </c>
      <c r="X375" s="29"/>
      <c r="Y375" s="19">
        <v>2200</v>
      </c>
      <c r="Z375" s="24">
        <f t="shared" si="13"/>
        <v>238.36148810235034</v>
      </c>
      <c r="AA375" s="19" t="s">
        <v>214</v>
      </c>
      <c r="AB375" s="19"/>
      <c r="AC375" s="35">
        <v>280</v>
      </c>
      <c r="AD375" s="35">
        <v>280</v>
      </c>
      <c r="AE375" s="19" t="s">
        <v>270</v>
      </c>
      <c r="AF375" s="19" t="s">
        <v>383</v>
      </c>
      <c r="AG375" s="19"/>
      <c r="AH375" s="19" t="s">
        <v>234</v>
      </c>
      <c r="AI375" s="19" t="s">
        <v>385</v>
      </c>
      <c r="AJ375" s="19" t="s">
        <v>270</v>
      </c>
      <c r="AK375" s="19" t="s">
        <v>234</v>
      </c>
      <c r="AL375" s="19" t="s">
        <v>90</v>
      </c>
      <c r="AM375" s="19" t="s">
        <v>386</v>
      </c>
    </row>
    <row r="376" spans="1:78" s="30" customFormat="1" ht="15.95" customHeight="1" x14ac:dyDescent="0.25">
      <c r="A376" s="18"/>
      <c r="B376" s="19">
        <v>194</v>
      </c>
      <c r="C376" s="19"/>
      <c r="D376" s="19">
        <v>20727</v>
      </c>
      <c r="E376" s="36">
        <v>1999</v>
      </c>
      <c r="F376" s="19" t="s">
        <v>1224</v>
      </c>
      <c r="G376" s="19" t="s">
        <v>382</v>
      </c>
      <c r="H376" s="19"/>
      <c r="I376" s="35" t="s">
        <v>41</v>
      </c>
      <c r="J376" s="19" t="s">
        <v>89</v>
      </c>
      <c r="K376" s="19" t="s">
        <v>161</v>
      </c>
      <c r="L376" s="19" t="s">
        <v>82</v>
      </c>
      <c r="M376" s="19" t="s">
        <v>82</v>
      </c>
      <c r="N376" s="19" t="s">
        <v>66</v>
      </c>
      <c r="O376" s="19" t="s">
        <v>292</v>
      </c>
      <c r="P376" s="35" t="s">
        <v>51</v>
      </c>
      <c r="Q376" s="19"/>
      <c r="R376" s="19" t="s">
        <v>237</v>
      </c>
      <c r="S376" s="19" t="s">
        <v>79</v>
      </c>
      <c r="T376" s="19" t="s">
        <v>56</v>
      </c>
      <c r="U376" s="19">
        <v>28</v>
      </c>
      <c r="V376" s="19" t="s">
        <v>231</v>
      </c>
      <c r="W376" s="19" t="s">
        <v>46</v>
      </c>
      <c r="X376" s="29"/>
      <c r="Y376" s="19">
        <v>2900</v>
      </c>
      <c r="Z376" s="24">
        <f t="shared" si="13"/>
        <v>314.20377977127998</v>
      </c>
      <c r="AA376" s="19" t="s">
        <v>214</v>
      </c>
      <c r="AB376" s="19"/>
      <c r="AC376" s="35">
        <v>280</v>
      </c>
      <c r="AD376" s="35">
        <v>280</v>
      </c>
      <c r="AE376" s="19" t="s">
        <v>270</v>
      </c>
      <c r="AF376" s="19" t="s">
        <v>383</v>
      </c>
      <c r="AG376" s="19"/>
      <c r="AH376" s="19" t="s">
        <v>234</v>
      </c>
      <c r="AI376" s="19" t="s">
        <v>385</v>
      </c>
      <c r="AJ376" s="19" t="s">
        <v>270</v>
      </c>
      <c r="AK376" s="19" t="s">
        <v>234</v>
      </c>
      <c r="AL376" s="19" t="s">
        <v>90</v>
      </c>
      <c r="AM376" s="19" t="s">
        <v>386</v>
      </c>
    </row>
    <row r="377" spans="1:78" s="30" customFormat="1" ht="15.95" customHeight="1" x14ac:dyDescent="0.25">
      <c r="A377" s="18"/>
      <c r="B377" s="19">
        <v>194</v>
      </c>
      <c r="C377" s="19"/>
      <c r="D377" s="19">
        <v>20727</v>
      </c>
      <c r="E377" s="36">
        <v>1999</v>
      </c>
      <c r="F377" s="19" t="s">
        <v>1224</v>
      </c>
      <c r="G377" s="19" t="s">
        <v>382</v>
      </c>
      <c r="H377" s="19"/>
      <c r="I377" s="35" t="s">
        <v>41</v>
      </c>
      <c r="J377" s="19" t="s">
        <v>89</v>
      </c>
      <c r="K377" s="19" t="s">
        <v>161</v>
      </c>
      <c r="L377" s="19" t="s">
        <v>82</v>
      </c>
      <c r="M377" s="19" t="s">
        <v>82</v>
      </c>
      <c r="N377" s="19" t="s">
        <v>66</v>
      </c>
      <c r="O377" s="19" t="s">
        <v>292</v>
      </c>
      <c r="P377" s="35" t="s">
        <v>51</v>
      </c>
      <c r="Q377" s="19"/>
      <c r="R377" s="19" t="s">
        <v>237</v>
      </c>
      <c r="S377" s="19" t="s">
        <v>79</v>
      </c>
      <c r="T377" s="19" t="s">
        <v>56</v>
      </c>
      <c r="U377" s="19">
        <v>28</v>
      </c>
      <c r="V377" s="19" t="s">
        <v>231</v>
      </c>
      <c r="W377" s="19" t="s">
        <v>46</v>
      </c>
      <c r="X377" s="29"/>
      <c r="Y377" s="19">
        <v>3100</v>
      </c>
      <c r="Z377" s="24">
        <f t="shared" si="13"/>
        <v>335.87300596240277</v>
      </c>
      <c r="AA377" s="19" t="s">
        <v>214</v>
      </c>
      <c r="AB377" s="19"/>
      <c r="AC377" s="35">
        <v>280</v>
      </c>
      <c r="AD377" s="35">
        <v>280</v>
      </c>
      <c r="AE377" s="19" t="s">
        <v>270</v>
      </c>
      <c r="AF377" s="19" t="s">
        <v>383</v>
      </c>
      <c r="AG377" s="19"/>
      <c r="AH377" s="19" t="s">
        <v>234</v>
      </c>
      <c r="AI377" s="19" t="s">
        <v>385</v>
      </c>
      <c r="AJ377" s="19" t="s">
        <v>270</v>
      </c>
      <c r="AK377" s="19" t="s">
        <v>234</v>
      </c>
      <c r="AL377" s="19" t="s">
        <v>90</v>
      </c>
      <c r="AM377" s="19" t="s">
        <v>386</v>
      </c>
    </row>
    <row r="378" spans="1:78" s="30" customFormat="1" ht="15.95" customHeight="1" x14ac:dyDescent="0.25">
      <c r="A378" s="18"/>
      <c r="B378" s="19">
        <v>194</v>
      </c>
      <c r="C378" s="19"/>
      <c r="D378" s="19">
        <v>20727</v>
      </c>
      <c r="E378" s="36">
        <v>1999</v>
      </c>
      <c r="F378" s="19" t="s">
        <v>1224</v>
      </c>
      <c r="G378" s="19" t="s">
        <v>382</v>
      </c>
      <c r="H378" s="19"/>
      <c r="I378" s="35" t="s">
        <v>41</v>
      </c>
      <c r="J378" s="19" t="s">
        <v>89</v>
      </c>
      <c r="K378" s="19" t="s">
        <v>161</v>
      </c>
      <c r="L378" s="19" t="s">
        <v>82</v>
      </c>
      <c r="M378" s="19" t="s">
        <v>82</v>
      </c>
      <c r="N378" s="19" t="s">
        <v>66</v>
      </c>
      <c r="O378" s="19" t="s">
        <v>292</v>
      </c>
      <c r="P378" s="35" t="s">
        <v>51</v>
      </c>
      <c r="Q378" s="19"/>
      <c r="R378" s="19" t="s">
        <v>237</v>
      </c>
      <c r="S378" s="19" t="s">
        <v>79</v>
      </c>
      <c r="T378" s="19" t="s">
        <v>56</v>
      </c>
      <c r="U378" s="19">
        <v>28</v>
      </c>
      <c r="V378" s="19" t="s">
        <v>231</v>
      </c>
      <c r="W378" s="19" t="s">
        <v>46</v>
      </c>
      <c r="X378" s="29"/>
      <c r="Y378" s="19">
        <v>2700</v>
      </c>
      <c r="Z378" s="24">
        <f t="shared" si="13"/>
        <v>292.53455358015725</v>
      </c>
      <c r="AA378" s="19" t="s">
        <v>214</v>
      </c>
      <c r="AB378" s="19"/>
      <c r="AC378" s="35">
        <v>280</v>
      </c>
      <c r="AD378" s="35">
        <v>280</v>
      </c>
      <c r="AE378" s="19" t="s">
        <v>270</v>
      </c>
      <c r="AF378" s="19" t="s">
        <v>383</v>
      </c>
      <c r="AG378" s="19"/>
      <c r="AH378" s="19" t="s">
        <v>234</v>
      </c>
      <c r="AI378" s="19" t="s">
        <v>385</v>
      </c>
      <c r="AJ378" s="19" t="s">
        <v>270</v>
      </c>
      <c r="AK378" s="19" t="s">
        <v>234</v>
      </c>
      <c r="AL378" s="19" t="s">
        <v>90</v>
      </c>
      <c r="AM378" s="19" t="s">
        <v>386</v>
      </c>
    </row>
    <row r="379" spans="1:78" s="53" customFormat="1" ht="15.95" customHeight="1" x14ac:dyDescent="0.25">
      <c r="A379" s="46"/>
      <c r="B379" s="47"/>
      <c r="C379" s="47"/>
      <c r="D379" s="47"/>
      <c r="E379" s="48"/>
      <c r="F379" s="47"/>
      <c r="G379" s="47"/>
      <c r="H379" s="47"/>
      <c r="I379" s="49"/>
      <c r="J379" s="47"/>
      <c r="K379" s="47"/>
      <c r="L379" s="47"/>
      <c r="M379" s="47"/>
      <c r="N379" s="47"/>
      <c r="O379" s="47"/>
      <c r="P379" s="49"/>
      <c r="Q379" s="47"/>
      <c r="R379" s="47"/>
      <c r="S379" s="47"/>
      <c r="T379" s="47"/>
      <c r="U379" s="47"/>
      <c r="V379" s="47"/>
      <c r="W379" s="47"/>
      <c r="X379" s="50"/>
      <c r="Y379" s="47">
        <f>GEOMEAN(Y359:Y378)</f>
        <v>2665.8357756558021</v>
      </c>
      <c r="Z379" s="51"/>
      <c r="AA379" s="47"/>
      <c r="AB379" s="47"/>
      <c r="AC379" s="49"/>
      <c r="AD379" s="49"/>
      <c r="AE379" s="47"/>
      <c r="AF379" s="47"/>
      <c r="AG379" s="47"/>
      <c r="AH379" s="47"/>
      <c r="AI379" s="47"/>
      <c r="AJ379" s="47"/>
      <c r="AK379" s="47"/>
      <c r="AL379" s="47"/>
      <c r="AM379" s="47"/>
      <c r="AN379" s="52"/>
      <c r="AO379" s="52"/>
      <c r="AP379" s="52"/>
      <c r="AQ379" s="52"/>
      <c r="AR379" s="52"/>
      <c r="AS379" s="52"/>
      <c r="AT379" s="52"/>
      <c r="AU379" s="52"/>
      <c r="AV379" s="52"/>
      <c r="AW379" s="52"/>
      <c r="AX379" s="52"/>
      <c r="AY379" s="52"/>
      <c r="AZ379" s="52"/>
      <c r="BA379" s="52"/>
      <c r="BB379" s="52"/>
      <c r="BC379" s="52"/>
      <c r="BD379" s="52"/>
      <c r="BE379" s="52"/>
      <c r="BF379" s="52"/>
      <c r="BG379" s="52"/>
      <c r="BH379" s="52"/>
      <c r="BI379" s="52"/>
      <c r="BJ379" s="52"/>
      <c r="BK379" s="52"/>
      <c r="BL379" s="52"/>
      <c r="BM379" s="52"/>
      <c r="BN379" s="52"/>
      <c r="BO379" s="52"/>
      <c r="BP379" s="52"/>
      <c r="BQ379" s="52"/>
      <c r="BR379" s="52"/>
      <c r="BS379" s="52"/>
      <c r="BT379" s="52"/>
      <c r="BU379" s="52"/>
      <c r="BV379" s="52"/>
      <c r="BW379" s="52"/>
      <c r="BX379" s="52"/>
      <c r="BY379" s="52"/>
      <c r="BZ379" s="52"/>
    </row>
    <row r="380" spans="1:78" s="30" customFormat="1" ht="15.95" customHeight="1" x14ac:dyDescent="0.25">
      <c r="A380" s="18"/>
      <c r="B380" s="19">
        <v>194</v>
      </c>
      <c r="C380" s="20"/>
      <c r="D380" s="36">
        <v>20727</v>
      </c>
      <c r="E380" s="36">
        <v>1999</v>
      </c>
      <c r="F380" s="36" t="s">
        <v>1224</v>
      </c>
      <c r="G380" s="35" t="s">
        <v>382</v>
      </c>
      <c r="H380" s="35"/>
      <c r="I380" s="35" t="s">
        <v>41</v>
      </c>
      <c r="J380" s="35" t="s">
        <v>89</v>
      </c>
      <c r="K380" s="35" t="s">
        <v>161</v>
      </c>
      <c r="L380" s="35" t="s">
        <v>82</v>
      </c>
      <c r="M380" s="35" t="s">
        <v>82</v>
      </c>
      <c r="N380" s="35" t="s">
        <v>66</v>
      </c>
      <c r="O380" s="35" t="s">
        <v>292</v>
      </c>
      <c r="P380" s="35" t="s">
        <v>51</v>
      </c>
      <c r="Q380" s="35"/>
      <c r="R380" s="35" t="s">
        <v>237</v>
      </c>
      <c r="S380" s="35" t="s">
        <v>79</v>
      </c>
      <c r="T380" s="35" t="s">
        <v>56</v>
      </c>
      <c r="U380" s="36">
        <v>29</v>
      </c>
      <c r="V380" s="36" t="s">
        <v>231</v>
      </c>
      <c r="W380" s="35" t="s">
        <v>46</v>
      </c>
      <c r="X380" s="29"/>
      <c r="Y380" s="36">
        <v>2700</v>
      </c>
      <c r="Z380" s="24">
        <f t="shared" ref="Z380:Z394" si="14">Y380/((AC380/30)^0.995)</f>
        <v>292.53455358015725</v>
      </c>
      <c r="AA380" s="19" t="s">
        <v>214</v>
      </c>
      <c r="AB380" s="36"/>
      <c r="AC380" s="35">
        <v>280</v>
      </c>
      <c r="AD380" s="35">
        <v>280</v>
      </c>
      <c r="AE380" s="35" t="s">
        <v>270</v>
      </c>
      <c r="AF380" s="35" t="s">
        <v>383</v>
      </c>
      <c r="AG380" s="35"/>
      <c r="AH380" s="35" t="s">
        <v>234</v>
      </c>
      <c r="AI380" s="35" t="s">
        <v>385</v>
      </c>
      <c r="AJ380" s="35" t="s">
        <v>270</v>
      </c>
      <c r="AK380" s="35" t="s">
        <v>234</v>
      </c>
      <c r="AL380" s="35" t="s">
        <v>90</v>
      </c>
      <c r="AM380" s="35" t="s">
        <v>386</v>
      </c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</row>
    <row r="381" spans="1:78" s="30" customFormat="1" ht="15.95" customHeight="1" x14ac:dyDescent="0.25">
      <c r="A381" s="18"/>
      <c r="B381" s="19">
        <v>194</v>
      </c>
      <c r="C381" s="20"/>
      <c r="D381" s="36">
        <v>20727</v>
      </c>
      <c r="E381" s="36">
        <v>1999</v>
      </c>
      <c r="F381" s="36" t="s">
        <v>1224</v>
      </c>
      <c r="G381" s="35" t="s">
        <v>382</v>
      </c>
      <c r="H381" s="35"/>
      <c r="I381" s="35" t="s">
        <v>41</v>
      </c>
      <c r="J381" s="35" t="s">
        <v>89</v>
      </c>
      <c r="K381" s="35" t="s">
        <v>161</v>
      </c>
      <c r="L381" s="35" t="s">
        <v>82</v>
      </c>
      <c r="M381" s="35" t="s">
        <v>82</v>
      </c>
      <c r="N381" s="35" t="s">
        <v>66</v>
      </c>
      <c r="O381" s="35" t="s">
        <v>292</v>
      </c>
      <c r="P381" s="35" t="s">
        <v>51</v>
      </c>
      <c r="Q381" s="35"/>
      <c r="R381" s="35" t="s">
        <v>237</v>
      </c>
      <c r="S381" s="35" t="s">
        <v>79</v>
      </c>
      <c r="T381" s="35" t="s">
        <v>56</v>
      </c>
      <c r="U381" s="36">
        <v>29</v>
      </c>
      <c r="V381" s="36" t="s">
        <v>231</v>
      </c>
      <c r="W381" s="35" t="s">
        <v>46</v>
      </c>
      <c r="X381" s="29"/>
      <c r="Y381" s="36">
        <v>3100</v>
      </c>
      <c r="Z381" s="24">
        <f t="shared" si="14"/>
        <v>335.87300596240277</v>
      </c>
      <c r="AA381" s="19" t="s">
        <v>214</v>
      </c>
      <c r="AB381" s="36"/>
      <c r="AC381" s="35">
        <v>280</v>
      </c>
      <c r="AD381" s="35">
        <v>280</v>
      </c>
      <c r="AE381" s="35" t="s">
        <v>270</v>
      </c>
      <c r="AF381" s="35" t="s">
        <v>383</v>
      </c>
      <c r="AG381" s="35"/>
      <c r="AH381" s="35" t="s">
        <v>234</v>
      </c>
      <c r="AI381" s="35" t="s">
        <v>385</v>
      </c>
      <c r="AJ381" s="35" t="s">
        <v>270</v>
      </c>
      <c r="AK381" s="35" t="s">
        <v>234</v>
      </c>
      <c r="AL381" s="35" t="s">
        <v>90</v>
      </c>
      <c r="AM381" s="35" t="s">
        <v>386</v>
      </c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</row>
    <row r="382" spans="1:78" s="30" customFormat="1" ht="15.95" customHeight="1" x14ac:dyDescent="0.25">
      <c r="A382" s="18"/>
      <c r="B382" s="19">
        <v>194</v>
      </c>
      <c r="C382" s="19"/>
      <c r="D382" s="19">
        <v>20727</v>
      </c>
      <c r="E382" s="36">
        <v>1999</v>
      </c>
      <c r="F382" s="19" t="s">
        <v>1224</v>
      </c>
      <c r="G382" s="19" t="s">
        <v>382</v>
      </c>
      <c r="H382" s="19"/>
      <c r="I382" s="35" t="s">
        <v>41</v>
      </c>
      <c r="J382" s="19" t="s">
        <v>89</v>
      </c>
      <c r="K382" s="19" t="s">
        <v>161</v>
      </c>
      <c r="L382" s="19" t="s">
        <v>82</v>
      </c>
      <c r="M382" s="19" t="s">
        <v>82</v>
      </c>
      <c r="N382" s="19" t="s">
        <v>66</v>
      </c>
      <c r="O382" s="19" t="s">
        <v>292</v>
      </c>
      <c r="P382" s="35" t="s">
        <v>51</v>
      </c>
      <c r="Q382" s="19"/>
      <c r="R382" s="19" t="s">
        <v>237</v>
      </c>
      <c r="S382" s="19" t="s">
        <v>79</v>
      </c>
      <c r="T382" s="19" t="s">
        <v>56</v>
      </c>
      <c r="U382" s="19">
        <v>29</v>
      </c>
      <c r="V382" s="19" t="s">
        <v>231</v>
      </c>
      <c r="W382" s="19" t="s">
        <v>46</v>
      </c>
      <c r="X382" s="29"/>
      <c r="Y382" s="19">
        <v>2200</v>
      </c>
      <c r="Z382" s="24">
        <f t="shared" si="14"/>
        <v>238.36148810235034</v>
      </c>
      <c r="AA382" s="19" t="s">
        <v>214</v>
      </c>
      <c r="AB382" s="19"/>
      <c r="AC382" s="35">
        <v>280</v>
      </c>
      <c r="AD382" s="35">
        <v>280</v>
      </c>
      <c r="AE382" s="19" t="s">
        <v>270</v>
      </c>
      <c r="AF382" s="19" t="s">
        <v>383</v>
      </c>
      <c r="AG382" s="19"/>
      <c r="AH382" s="19" t="s">
        <v>234</v>
      </c>
      <c r="AI382" s="19" t="s">
        <v>385</v>
      </c>
      <c r="AJ382" s="19" t="s">
        <v>270</v>
      </c>
      <c r="AK382" s="19" t="s">
        <v>234</v>
      </c>
      <c r="AL382" s="19" t="s">
        <v>90</v>
      </c>
      <c r="AM382" s="19" t="s">
        <v>386</v>
      </c>
    </row>
    <row r="383" spans="1:78" s="30" customFormat="1" ht="15.95" customHeight="1" x14ac:dyDescent="0.25">
      <c r="A383" s="18"/>
      <c r="B383" s="19">
        <v>194</v>
      </c>
      <c r="C383" s="19"/>
      <c r="D383" s="19">
        <v>20727</v>
      </c>
      <c r="E383" s="36">
        <v>1999</v>
      </c>
      <c r="F383" s="19" t="s">
        <v>1224</v>
      </c>
      <c r="G383" s="19" t="s">
        <v>382</v>
      </c>
      <c r="H383" s="19"/>
      <c r="I383" s="35" t="s">
        <v>41</v>
      </c>
      <c r="J383" s="19" t="s">
        <v>89</v>
      </c>
      <c r="K383" s="19" t="s">
        <v>161</v>
      </c>
      <c r="L383" s="19" t="s">
        <v>82</v>
      </c>
      <c r="M383" s="19" t="s">
        <v>82</v>
      </c>
      <c r="N383" s="19" t="s">
        <v>66</v>
      </c>
      <c r="O383" s="19" t="s">
        <v>292</v>
      </c>
      <c r="P383" s="35" t="s">
        <v>51</v>
      </c>
      <c r="Q383" s="19"/>
      <c r="R383" s="19" t="s">
        <v>237</v>
      </c>
      <c r="S383" s="19" t="s">
        <v>79</v>
      </c>
      <c r="T383" s="19" t="s">
        <v>56</v>
      </c>
      <c r="U383" s="19">
        <v>29</v>
      </c>
      <c r="V383" s="19" t="s">
        <v>231</v>
      </c>
      <c r="W383" s="19" t="s">
        <v>46</v>
      </c>
      <c r="X383" s="29"/>
      <c r="Y383" s="19">
        <v>2500</v>
      </c>
      <c r="Z383" s="24">
        <f t="shared" si="14"/>
        <v>270.86532738903446</v>
      </c>
      <c r="AA383" s="19" t="s">
        <v>214</v>
      </c>
      <c r="AB383" s="19"/>
      <c r="AC383" s="35">
        <v>280</v>
      </c>
      <c r="AD383" s="35">
        <v>280</v>
      </c>
      <c r="AE383" s="19" t="s">
        <v>270</v>
      </c>
      <c r="AF383" s="19" t="s">
        <v>383</v>
      </c>
      <c r="AG383" s="19"/>
      <c r="AH383" s="19" t="s">
        <v>234</v>
      </c>
      <c r="AI383" s="19" t="s">
        <v>385</v>
      </c>
      <c r="AJ383" s="19" t="s">
        <v>270</v>
      </c>
      <c r="AK383" s="19" t="s">
        <v>234</v>
      </c>
      <c r="AL383" s="19" t="s">
        <v>90</v>
      </c>
      <c r="AM383" s="19" t="s">
        <v>386</v>
      </c>
    </row>
    <row r="384" spans="1:78" s="30" customFormat="1" ht="15.95" customHeight="1" x14ac:dyDescent="0.25">
      <c r="A384" s="18"/>
      <c r="B384" s="19">
        <v>194</v>
      </c>
      <c r="C384" s="19"/>
      <c r="D384" s="19">
        <v>20727</v>
      </c>
      <c r="E384" s="36">
        <v>1999</v>
      </c>
      <c r="F384" s="19" t="s">
        <v>1224</v>
      </c>
      <c r="G384" s="19" t="s">
        <v>382</v>
      </c>
      <c r="H384" s="19"/>
      <c r="I384" s="35" t="s">
        <v>41</v>
      </c>
      <c r="J384" s="19" t="s">
        <v>89</v>
      </c>
      <c r="K384" s="19" t="s">
        <v>161</v>
      </c>
      <c r="L384" s="19" t="s">
        <v>82</v>
      </c>
      <c r="M384" s="19" t="s">
        <v>82</v>
      </c>
      <c r="N384" s="19" t="s">
        <v>66</v>
      </c>
      <c r="O384" s="19" t="s">
        <v>292</v>
      </c>
      <c r="P384" s="35" t="s">
        <v>51</v>
      </c>
      <c r="Q384" s="19"/>
      <c r="R384" s="19" t="s">
        <v>237</v>
      </c>
      <c r="S384" s="19" t="s">
        <v>79</v>
      </c>
      <c r="T384" s="19" t="s">
        <v>56</v>
      </c>
      <c r="U384" s="19">
        <v>29</v>
      </c>
      <c r="V384" s="19" t="s">
        <v>231</v>
      </c>
      <c r="W384" s="19" t="s">
        <v>46</v>
      </c>
      <c r="X384" s="29"/>
      <c r="Y384" s="19">
        <v>2900</v>
      </c>
      <c r="Z384" s="24">
        <f t="shared" si="14"/>
        <v>314.20377977127998</v>
      </c>
      <c r="AA384" s="19" t="s">
        <v>214</v>
      </c>
      <c r="AB384" s="19"/>
      <c r="AC384" s="35">
        <v>280</v>
      </c>
      <c r="AD384" s="35">
        <v>280</v>
      </c>
      <c r="AE384" s="19" t="s">
        <v>270</v>
      </c>
      <c r="AF384" s="19" t="s">
        <v>383</v>
      </c>
      <c r="AG384" s="19"/>
      <c r="AH384" s="19" t="s">
        <v>234</v>
      </c>
      <c r="AI384" s="19" t="s">
        <v>385</v>
      </c>
      <c r="AJ384" s="19" t="s">
        <v>270</v>
      </c>
      <c r="AK384" s="19" t="s">
        <v>234</v>
      </c>
      <c r="AL384" s="19" t="s">
        <v>90</v>
      </c>
      <c r="AM384" s="19" t="s">
        <v>386</v>
      </c>
    </row>
    <row r="385" spans="1:78" s="30" customFormat="1" ht="15.95" customHeight="1" x14ac:dyDescent="0.25">
      <c r="A385" s="18"/>
      <c r="B385" s="19">
        <v>194</v>
      </c>
      <c r="C385" s="19"/>
      <c r="D385" s="19">
        <v>20727</v>
      </c>
      <c r="E385" s="36">
        <v>1999</v>
      </c>
      <c r="F385" s="19" t="s">
        <v>1224</v>
      </c>
      <c r="G385" s="19" t="s">
        <v>382</v>
      </c>
      <c r="H385" s="19"/>
      <c r="I385" s="35" t="s">
        <v>41</v>
      </c>
      <c r="J385" s="19" t="s">
        <v>89</v>
      </c>
      <c r="K385" s="19" t="s">
        <v>161</v>
      </c>
      <c r="L385" s="19" t="s">
        <v>82</v>
      </c>
      <c r="M385" s="19" t="s">
        <v>82</v>
      </c>
      <c r="N385" s="19" t="s">
        <v>66</v>
      </c>
      <c r="O385" s="19" t="s">
        <v>292</v>
      </c>
      <c r="P385" s="35" t="s">
        <v>51</v>
      </c>
      <c r="Q385" s="19"/>
      <c r="R385" s="19" t="s">
        <v>237</v>
      </c>
      <c r="S385" s="19" t="s">
        <v>79</v>
      </c>
      <c r="T385" s="19" t="s">
        <v>56</v>
      </c>
      <c r="U385" s="19">
        <v>29</v>
      </c>
      <c r="V385" s="19" t="s">
        <v>231</v>
      </c>
      <c r="W385" s="19" t="s">
        <v>46</v>
      </c>
      <c r="X385" s="29"/>
      <c r="Y385" s="19">
        <v>2200</v>
      </c>
      <c r="Z385" s="24">
        <f t="shared" si="14"/>
        <v>238.36148810235034</v>
      </c>
      <c r="AA385" s="19" t="s">
        <v>214</v>
      </c>
      <c r="AB385" s="19"/>
      <c r="AC385" s="35">
        <v>280</v>
      </c>
      <c r="AD385" s="35">
        <v>280</v>
      </c>
      <c r="AE385" s="19" t="s">
        <v>270</v>
      </c>
      <c r="AF385" s="19" t="s">
        <v>383</v>
      </c>
      <c r="AG385" s="19"/>
      <c r="AH385" s="19" t="s">
        <v>234</v>
      </c>
      <c r="AI385" s="19" t="s">
        <v>385</v>
      </c>
      <c r="AJ385" s="19" t="s">
        <v>270</v>
      </c>
      <c r="AK385" s="19" t="s">
        <v>234</v>
      </c>
      <c r="AL385" s="19" t="s">
        <v>90</v>
      </c>
      <c r="AM385" s="19" t="s">
        <v>386</v>
      </c>
    </row>
    <row r="386" spans="1:78" s="30" customFormat="1" ht="15.95" customHeight="1" x14ac:dyDescent="0.25">
      <c r="A386" s="18"/>
      <c r="B386" s="19">
        <v>194</v>
      </c>
      <c r="C386" s="19"/>
      <c r="D386" s="19">
        <v>20727</v>
      </c>
      <c r="E386" s="36">
        <v>1999</v>
      </c>
      <c r="F386" s="19" t="s">
        <v>1224</v>
      </c>
      <c r="G386" s="19" t="s">
        <v>382</v>
      </c>
      <c r="H386" s="19"/>
      <c r="I386" s="35" t="s">
        <v>41</v>
      </c>
      <c r="J386" s="19" t="s">
        <v>89</v>
      </c>
      <c r="K386" s="19" t="s">
        <v>161</v>
      </c>
      <c r="L386" s="19" t="s">
        <v>82</v>
      </c>
      <c r="M386" s="19" t="s">
        <v>82</v>
      </c>
      <c r="N386" s="19" t="s">
        <v>66</v>
      </c>
      <c r="O386" s="19" t="s">
        <v>292</v>
      </c>
      <c r="P386" s="35" t="s">
        <v>51</v>
      </c>
      <c r="Q386" s="19"/>
      <c r="R386" s="19" t="s">
        <v>237</v>
      </c>
      <c r="S386" s="19" t="s">
        <v>79</v>
      </c>
      <c r="T386" s="19" t="s">
        <v>56</v>
      </c>
      <c r="U386" s="19">
        <v>29</v>
      </c>
      <c r="V386" s="19" t="s">
        <v>231</v>
      </c>
      <c r="W386" s="19" t="s">
        <v>46</v>
      </c>
      <c r="X386" s="29"/>
      <c r="Y386" s="19">
        <v>2900</v>
      </c>
      <c r="Z386" s="24">
        <f t="shared" si="14"/>
        <v>314.20377977127998</v>
      </c>
      <c r="AA386" s="19" t="s">
        <v>214</v>
      </c>
      <c r="AB386" s="19"/>
      <c r="AC386" s="35">
        <v>280</v>
      </c>
      <c r="AD386" s="35">
        <v>280</v>
      </c>
      <c r="AE386" s="19" t="s">
        <v>270</v>
      </c>
      <c r="AF386" s="19" t="s">
        <v>383</v>
      </c>
      <c r="AG386" s="19"/>
      <c r="AH386" s="19" t="s">
        <v>234</v>
      </c>
      <c r="AI386" s="19" t="s">
        <v>385</v>
      </c>
      <c r="AJ386" s="19" t="s">
        <v>270</v>
      </c>
      <c r="AK386" s="19" t="s">
        <v>234</v>
      </c>
      <c r="AL386" s="19" t="s">
        <v>90</v>
      </c>
      <c r="AM386" s="19" t="s">
        <v>386</v>
      </c>
    </row>
    <row r="387" spans="1:78" s="30" customFormat="1" ht="15.95" customHeight="1" x14ac:dyDescent="0.25">
      <c r="A387" s="18"/>
      <c r="B387" s="19">
        <v>194</v>
      </c>
      <c r="C387" s="19"/>
      <c r="D387" s="19">
        <v>20727</v>
      </c>
      <c r="E387" s="36">
        <v>1999</v>
      </c>
      <c r="F387" s="19" t="s">
        <v>1224</v>
      </c>
      <c r="G387" s="19" t="s">
        <v>382</v>
      </c>
      <c r="H387" s="19"/>
      <c r="I387" s="35" t="s">
        <v>41</v>
      </c>
      <c r="J387" s="19" t="s">
        <v>89</v>
      </c>
      <c r="K387" s="19" t="s">
        <v>161</v>
      </c>
      <c r="L387" s="19" t="s">
        <v>82</v>
      </c>
      <c r="M387" s="19" t="s">
        <v>82</v>
      </c>
      <c r="N387" s="19" t="s">
        <v>66</v>
      </c>
      <c r="O387" s="19" t="s">
        <v>292</v>
      </c>
      <c r="P387" s="35" t="s">
        <v>51</v>
      </c>
      <c r="Q387" s="19"/>
      <c r="R387" s="19" t="s">
        <v>237</v>
      </c>
      <c r="S387" s="19" t="s">
        <v>79</v>
      </c>
      <c r="T387" s="19" t="s">
        <v>56</v>
      </c>
      <c r="U387" s="19">
        <v>29</v>
      </c>
      <c r="V387" s="19" t="s">
        <v>231</v>
      </c>
      <c r="W387" s="19" t="s">
        <v>46</v>
      </c>
      <c r="X387" s="29"/>
      <c r="Y387" s="19">
        <v>2500</v>
      </c>
      <c r="Z387" s="24">
        <f t="shared" si="14"/>
        <v>270.86532738903446</v>
      </c>
      <c r="AA387" s="19" t="s">
        <v>214</v>
      </c>
      <c r="AB387" s="19"/>
      <c r="AC387" s="35">
        <v>280</v>
      </c>
      <c r="AD387" s="35">
        <v>280</v>
      </c>
      <c r="AE387" s="19" t="s">
        <v>270</v>
      </c>
      <c r="AF387" s="19" t="s">
        <v>383</v>
      </c>
      <c r="AG387" s="19"/>
      <c r="AH387" s="19" t="s">
        <v>234</v>
      </c>
      <c r="AI387" s="19" t="s">
        <v>385</v>
      </c>
      <c r="AJ387" s="19" t="s">
        <v>270</v>
      </c>
      <c r="AK387" s="19" t="s">
        <v>234</v>
      </c>
      <c r="AL387" s="19" t="s">
        <v>90</v>
      </c>
      <c r="AM387" s="19" t="s">
        <v>386</v>
      </c>
    </row>
    <row r="388" spans="1:78" s="30" customFormat="1" ht="15.95" customHeight="1" x14ac:dyDescent="0.25">
      <c r="A388" s="18"/>
      <c r="B388" s="19">
        <v>194</v>
      </c>
      <c r="C388" s="19"/>
      <c r="D388" s="19">
        <v>20727</v>
      </c>
      <c r="E388" s="36">
        <v>1999</v>
      </c>
      <c r="F388" s="19" t="s">
        <v>1224</v>
      </c>
      <c r="G388" s="19" t="s">
        <v>382</v>
      </c>
      <c r="H388" s="19"/>
      <c r="I388" s="35" t="s">
        <v>41</v>
      </c>
      <c r="J388" s="19" t="s">
        <v>89</v>
      </c>
      <c r="K388" s="19" t="s">
        <v>161</v>
      </c>
      <c r="L388" s="19" t="s">
        <v>82</v>
      </c>
      <c r="M388" s="19" t="s">
        <v>82</v>
      </c>
      <c r="N388" s="19" t="s">
        <v>66</v>
      </c>
      <c r="O388" s="19" t="s">
        <v>292</v>
      </c>
      <c r="P388" s="35" t="s">
        <v>51</v>
      </c>
      <c r="Q388" s="19"/>
      <c r="R388" s="19" t="s">
        <v>237</v>
      </c>
      <c r="S388" s="19" t="s">
        <v>79</v>
      </c>
      <c r="T388" s="19" t="s">
        <v>56</v>
      </c>
      <c r="U388" s="19">
        <v>29</v>
      </c>
      <c r="V388" s="19" t="s">
        <v>231</v>
      </c>
      <c r="W388" s="19" t="s">
        <v>46</v>
      </c>
      <c r="X388" s="29"/>
      <c r="Y388" s="19">
        <v>3100</v>
      </c>
      <c r="Z388" s="24">
        <f t="shared" si="14"/>
        <v>335.87300596240277</v>
      </c>
      <c r="AA388" s="19" t="s">
        <v>214</v>
      </c>
      <c r="AB388" s="19"/>
      <c r="AC388" s="35">
        <v>280</v>
      </c>
      <c r="AD388" s="35">
        <v>280</v>
      </c>
      <c r="AE388" s="19" t="s">
        <v>270</v>
      </c>
      <c r="AF388" s="19" t="s">
        <v>383</v>
      </c>
      <c r="AG388" s="19"/>
      <c r="AH388" s="19" t="s">
        <v>234</v>
      </c>
      <c r="AI388" s="19" t="s">
        <v>385</v>
      </c>
      <c r="AJ388" s="19" t="s">
        <v>270</v>
      </c>
      <c r="AK388" s="19" t="s">
        <v>234</v>
      </c>
      <c r="AL388" s="19" t="s">
        <v>90</v>
      </c>
      <c r="AM388" s="19" t="s">
        <v>386</v>
      </c>
    </row>
    <row r="389" spans="1:78" s="30" customFormat="1" ht="15.95" customHeight="1" x14ac:dyDescent="0.25">
      <c r="A389" s="18"/>
      <c r="B389" s="19">
        <v>194</v>
      </c>
      <c r="C389" s="19"/>
      <c r="D389" s="19">
        <v>20727</v>
      </c>
      <c r="E389" s="36">
        <v>1999</v>
      </c>
      <c r="F389" s="19" t="s">
        <v>1224</v>
      </c>
      <c r="G389" s="19" t="s">
        <v>382</v>
      </c>
      <c r="H389" s="19"/>
      <c r="I389" s="35" t="s">
        <v>41</v>
      </c>
      <c r="J389" s="19" t="s">
        <v>89</v>
      </c>
      <c r="K389" s="19" t="s">
        <v>161</v>
      </c>
      <c r="L389" s="19" t="s">
        <v>82</v>
      </c>
      <c r="M389" s="19" t="s">
        <v>82</v>
      </c>
      <c r="N389" s="19" t="s">
        <v>66</v>
      </c>
      <c r="O389" s="19" t="s">
        <v>292</v>
      </c>
      <c r="P389" s="35" t="s">
        <v>51</v>
      </c>
      <c r="Q389" s="19"/>
      <c r="R389" s="19" t="s">
        <v>237</v>
      </c>
      <c r="S389" s="19" t="s">
        <v>79</v>
      </c>
      <c r="T389" s="19" t="s">
        <v>56</v>
      </c>
      <c r="U389" s="19">
        <v>29</v>
      </c>
      <c r="V389" s="19" t="s">
        <v>231</v>
      </c>
      <c r="W389" s="19" t="s">
        <v>46</v>
      </c>
      <c r="X389" s="29"/>
      <c r="Y389" s="19">
        <v>2700</v>
      </c>
      <c r="Z389" s="24">
        <f t="shared" si="14"/>
        <v>292.53455358015725</v>
      </c>
      <c r="AA389" s="19" t="s">
        <v>214</v>
      </c>
      <c r="AB389" s="19"/>
      <c r="AC389" s="35">
        <v>280</v>
      </c>
      <c r="AD389" s="35">
        <v>280</v>
      </c>
      <c r="AE389" s="19" t="s">
        <v>270</v>
      </c>
      <c r="AF389" s="19" t="s">
        <v>383</v>
      </c>
      <c r="AG389" s="19"/>
      <c r="AH389" s="19" t="s">
        <v>234</v>
      </c>
      <c r="AI389" s="19" t="s">
        <v>385</v>
      </c>
      <c r="AJ389" s="19" t="s">
        <v>270</v>
      </c>
      <c r="AK389" s="19" t="s">
        <v>234</v>
      </c>
      <c r="AL389" s="19" t="s">
        <v>90</v>
      </c>
      <c r="AM389" s="19" t="s">
        <v>386</v>
      </c>
    </row>
    <row r="390" spans="1:78" s="30" customFormat="1" ht="15.95" customHeight="1" x14ac:dyDescent="0.25">
      <c r="A390" s="18"/>
      <c r="B390" s="19">
        <v>194</v>
      </c>
      <c r="C390" s="19"/>
      <c r="D390" s="19">
        <v>20727</v>
      </c>
      <c r="E390" s="36">
        <v>1999</v>
      </c>
      <c r="F390" s="19" t="s">
        <v>1224</v>
      </c>
      <c r="G390" s="19" t="s">
        <v>382</v>
      </c>
      <c r="H390" s="19"/>
      <c r="I390" s="35" t="s">
        <v>41</v>
      </c>
      <c r="J390" s="19" t="s">
        <v>89</v>
      </c>
      <c r="K390" s="19" t="s">
        <v>161</v>
      </c>
      <c r="L390" s="19" t="s">
        <v>82</v>
      </c>
      <c r="M390" s="19" t="s">
        <v>82</v>
      </c>
      <c r="N390" s="19" t="s">
        <v>66</v>
      </c>
      <c r="O390" s="19" t="s">
        <v>292</v>
      </c>
      <c r="P390" s="35" t="s">
        <v>51</v>
      </c>
      <c r="Q390" s="19"/>
      <c r="R390" s="19" t="s">
        <v>237</v>
      </c>
      <c r="S390" s="19" t="s">
        <v>79</v>
      </c>
      <c r="T390" s="19" t="s">
        <v>56</v>
      </c>
      <c r="U390" s="19">
        <v>29</v>
      </c>
      <c r="V390" s="19" t="s">
        <v>231</v>
      </c>
      <c r="W390" s="19" t="s">
        <v>46</v>
      </c>
      <c r="X390" s="29"/>
      <c r="Y390" s="19">
        <v>2200</v>
      </c>
      <c r="Z390" s="24">
        <f t="shared" si="14"/>
        <v>238.36148810235034</v>
      </c>
      <c r="AA390" s="19" t="s">
        <v>214</v>
      </c>
      <c r="AB390" s="19"/>
      <c r="AC390" s="35">
        <v>280</v>
      </c>
      <c r="AD390" s="35">
        <v>280</v>
      </c>
      <c r="AE390" s="19" t="s">
        <v>270</v>
      </c>
      <c r="AF390" s="19" t="s">
        <v>383</v>
      </c>
      <c r="AG390" s="19"/>
      <c r="AH390" s="19" t="s">
        <v>234</v>
      </c>
      <c r="AI390" s="19" t="s">
        <v>385</v>
      </c>
      <c r="AJ390" s="19" t="s">
        <v>270</v>
      </c>
      <c r="AK390" s="19" t="s">
        <v>234</v>
      </c>
      <c r="AL390" s="19" t="s">
        <v>90</v>
      </c>
      <c r="AM390" s="19" t="s">
        <v>386</v>
      </c>
    </row>
    <row r="391" spans="1:78" s="30" customFormat="1" ht="15.95" customHeight="1" x14ac:dyDescent="0.25">
      <c r="A391" s="18"/>
      <c r="B391" s="19">
        <v>194</v>
      </c>
      <c r="C391" s="19"/>
      <c r="D391" s="19">
        <v>20727</v>
      </c>
      <c r="E391" s="36">
        <v>1999</v>
      </c>
      <c r="F391" s="19" t="s">
        <v>1224</v>
      </c>
      <c r="G391" s="19" t="s">
        <v>382</v>
      </c>
      <c r="H391" s="19"/>
      <c r="I391" s="35" t="s">
        <v>41</v>
      </c>
      <c r="J391" s="19" t="s">
        <v>89</v>
      </c>
      <c r="K391" s="19" t="s">
        <v>161</v>
      </c>
      <c r="L391" s="19" t="s">
        <v>82</v>
      </c>
      <c r="M391" s="19" t="s">
        <v>82</v>
      </c>
      <c r="N391" s="19" t="s">
        <v>66</v>
      </c>
      <c r="O391" s="19" t="s">
        <v>292</v>
      </c>
      <c r="P391" s="35" t="s">
        <v>51</v>
      </c>
      <c r="Q391" s="19"/>
      <c r="R391" s="19" t="s">
        <v>237</v>
      </c>
      <c r="S391" s="19" t="s">
        <v>79</v>
      </c>
      <c r="T391" s="19" t="s">
        <v>56</v>
      </c>
      <c r="U391" s="19">
        <v>29</v>
      </c>
      <c r="V391" s="19" t="s">
        <v>231</v>
      </c>
      <c r="W391" s="19" t="s">
        <v>46</v>
      </c>
      <c r="X391" s="29"/>
      <c r="Y391" s="19">
        <v>2500</v>
      </c>
      <c r="Z391" s="24">
        <f t="shared" si="14"/>
        <v>270.86532738903446</v>
      </c>
      <c r="AA391" s="19" t="s">
        <v>214</v>
      </c>
      <c r="AB391" s="19"/>
      <c r="AC391" s="35">
        <v>280</v>
      </c>
      <c r="AD391" s="35">
        <v>280</v>
      </c>
      <c r="AE391" s="19" t="s">
        <v>270</v>
      </c>
      <c r="AF391" s="19" t="s">
        <v>383</v>
      </c>
      <c r="AG391" s="19"/>
      <c r="AH391" s="19" t="s">
        <v>234</v>
      </c>
      <c r="AI391" s="19" t="s">
        <v>385</v>
      </c>
      <c r="AJ391" s="19" t="s">
        <v>270</v>
      </c>
      <c r="AK391" s="19" t="s">
        <v>234</v>
      </c>
      <c r="AL391" s="19" t="s">
        <v>90</v>
      </c>
      <c r="AM391" s="19" t="s">
        <v>386</v>
      </c>
    </row>
    <row r="392" spans="1:78" s="30" customFormat="1" ht="15.95" customHeight="1" x14ac:dyDescent="0.25">
      <c r="A392" s="18"/>
      <c r="B392" s="19">
        <v>194</v>
      </c>
      <c r="C392" s="19"/>
      <c r="D392" s="19">
        <v>20727</v>
      </c>
      <c r="E392" s="36">
        <v>1999</v>
      </c>
      <c r="F392" s="19" t="s">
        <v>1224</v>
      </c>
      <c r="G392" s="19" t="s">
        <v>382</v>
      </c>
      <c r="H392" s="19"/>
      <c r="I392" s="35" t="s">
        <v>41</v>
      </c>
      <c r="J392" s="19" t="s">
        <v>89</v>
      </c>
      <c r="K392" s="19" t="s">
        <v>161</v>
      </c>
      <c r="L392" s="19" t="s">
        <v>82</v>
      </c>
      <c r="M392" s="19" t="s">
        <v>82</v>
      </c>
      <c r="N392" s="19" t="s">
        <v>66</v>
      </c>
      <c r="O392" s="19" t="s">
        <v>292</v>
      </c>
      <c r="P392" s="35" t="s">
        <v>51</v>
      </c>
      <c r="Q392" s="19"/>
      <c r="R392" s="19" t="s">
        <v>237</v>
      </c>
      <c r="S392" s="19" t="s">
        <v>79</v>
      </c>
      <c r="T392" s="19" t="s">
        <v>56</v>
      </c>
      <c r="U392" s="19">
        <v>29</v>
      </c>
      <c r="V392" s="19" t="s">
        <v>231</v>
      </c>
      <c r="W392" s="19" t="s">
        <v>46</v>
      </c>
      <c r="X392" s="29"/>
      <c r="Y392" s="19">
        <v>2500</v>
      </c>
      <c r="Z392" s="24">
        <f t="shared" si="14"/>
        <v>270.86532738903446</v>
      </c>
      <c r="AA392" s="19" t="s">
        <v>214</v>
      </c>
      <c r="AB392" s="19"/>
      <c r="AC392" s="35">
        <v>280</v>
      </c>
      <c r="AD392" s="35">
        <v>280</v>
      </c>
      <c r="AE392" s="19" t="s">
        <v>270</v>
      </c>
      <c r="AF392" s="19" t="s">
        <v>383</v>
      </c>
      <c r="AG392" s="19"/>
      <c r="AH392" s="19" t="s">
        <v>234</v>
      </c>
      <c r="AI392" s="19" t="s">
        <v>385</v>
      </c>
      <c r="AJ392" s="19" t="s">
        <v>270</v>
      </c>
      <c r="AK392" s="19" t="s">
        <v>234</v>
      </c>
      <c r="AL392" s="19" t="s">
        <v>90</v>
      </c>
      <c r="AM392" s="19" t="s">
        <v>386</v>
      </c>
    </row>
    <row r="393" spans="1:78" s="30" customFormat="1" ht="15.95" customHeight="1" x14ac:dyDescent="0.25">
      <c r="A393" s="18"/>
      <c r="B393" s="19">
        <v>194</v>
      </c>
      <c r="C393" s="19"/>
      <c r="D393" s="19">
        <v>20727</v>
      </c>
      <c r="E393" s="36">
        <v>1999</v>
      </c>
      <c r="F393" s="19" t="s">
        <v>1224</v>
      </c>
      <c r="G393" s="19" t="s">
        <v>382</v>
      </c>
      <c r="H393" s="19"/>
      <c r="I393" s="35" t="s">
        <v>41</v>
      </c>
      <c r="J393" s="19" t="s">
        <v>89</v>
      </c>
      <c r="K393" s="19" t="s">
        <v>161</v>
      </c>
      <c r="L393" s="19" t="s">
        <v>82</v>
      </c>
      <c r="M393" s="19" t="s">
        <v>82</v>
      </c>
      <c r="N393" s="19" t="s">
        <v>66</v>
      </c>
      <c r="O393" s="19" t="s">
        <v>292</v>
      </c>
      <c r="P393" s="35" t="s">
        <v>51</v>
      </c>
      <c r="Q393" s="19"/>
      <c r="R393" s="19" t="s">
        <v>237</v>
      </c>
      <c r="S393" s="19" t="s">
        <v>79</v>
      </c>
      <c r="T393" s="19" t="s">
        <v>56</v>
      </c>
      <c r="U393" s="19">
        <v>29</v>
      </c>
      <c r="V393" s="19" t="s">
        <v>231</v>
      </c>
      <c r="W393" s="19" t="s">
        <v>46</v>
      </c>
      <c r="X393" s="29"/>
      <c r="Y393" s="19">
        <v>3100</v>
      </c>
      <c r="Z393" s="24">
        <f t="shared" si="14"/>
        <v>335.87300596240277</v>
      </c>
      <c r="AA393" s="19" t="s">
        <v>214</v>
      </c>
      <c r="AB393" s="19"/>
      <c r="AC393" s="35">
        <v>280</v>
      </c>
      <c r="AD393" s="35">
        <v>280</v>
      </c>
      <c r="AE393" s="19" t="s">
        <v>270</v>
      </c>
      <c r="AF393" s="19" t="s">
        <v>383</v>
      </c>
      <c r="AG393" s="19"/>
      <c r="AH393" s="19" t="s">
        <v>234</v>
      </c>
      <c r="AI393" s="19" t="s">
        <v>385</v>
      </c>
      <c r="AJ393" s="19" t="s">
        <v>270</v>
      </c>
      <c r="AK393" s="19" t="s">
        <v>234</v>
      </c>
      <c r="AL393" s="19" t="s">
        <v>90</v>
      </c>
      <c r="AM393" s="19" t="s">
        <v>386</v>
      </c>
    </row>
    <row r="394" spans="1:78" s="30" customFormat="1" ht="15.95" customHeight="1" x14ac:dyDescent="0.25">
      <c r="A394" s="18"/>
      <c r="B394" s="19">
        <v>194</v>
      </c>
      <c r="C394" s="19"/>
      <c r="D394" s="19">
        <v>20727</v>
      </c>
      <c r="E394" s="36">
        <v>1999</v>
      </c>
      <c r="F394" s="19" t="s">
        <v>1224</v>
      </c>
      <c r="G394" s="19" t="s">
        <v>382</v>
      </c>
      <c r="H394" s="19"/>
      <c r="I394" s="35" t="s">
        <v>41</v>
      </c>
      <c r="J394" s="19" t="s">
        <v>89</v>
      </c>
      <c r="K394" s="19" t="s">
        <v>161</v>
      </c>
      <c r="L394" s="19" t="s">
        <v>82</v>
      </c>
      <c r="M394" s="19" t="s">
        <v>82</v>
      </c>
      <c r="N394" s="19" t="s">
        <v>66</v>
      </c>
      <c r="O394" s="19" t="s">
        <v>292</v>
      </c>
      <c r="P394" s="35" t="s">
        <v>51</v>
      </c>
      <c r="Q394" s="19"/>
      <c r="R394" s="19" t="s">
        <v>237</v>
      </c>
      <c r="S394" s="19" t="s">
        <v>79</v>
      </c>
      <c r="T394" s="19" t="s">
        <v>56</v>
      </c>
      <c r="U394" s="19">
        <v>29</v>
      </c>
      <c r="V394" s="19" t="s">
        <v>231</v>
      </c>
      <c r="W394" s="19" t="s">
        <v>46</v>
      </c>
      <c r="X394" s="29"/>
      <c r="Y394" s="19">
        <v>2900</v>
      </c>
      <c r="Z394" s="24">
        <f t="shared" si="14"/>
        <v>314.20377977127998</v>
      </c>
      <c r="AA394" s="19" t="s">
        <v>214</v>
      </c>
      <c r="AB394" s="19"/>
      <c r="AC394" s="35">
        <v>280</v>
      </c>
      <c r="AD394" s="35">
        <v>280</v>
      </c>
      <c r="AE394" s="19" t="s">
        <v>270</v>
      </c>
      <c r="AF394" s="19" t="s">
        <v>383</v>
      </c>
      <c r="AG394" s="19"/>
      <c r="AH394" s="19" t="s">
        <v>234</v>
      </c>
      <c r="AI394" s="19" t="s">
        <v>385</v>
      </c>
      <c r="AJ394" s="19" t="s">
        <v>270</v>
      </c>
      <c r="AK394" s="19" t="s">
        <v>234</v>
      </c>
      <c r="AL394" s="19" t="s">
        <v>90</v>
      </c>
      <c r="AM394" s="19" t="s">
        <v>386</v>
      </c>
    </row>
    <row r="395" spans="1:78" s="53" customFormat="1" ht="15.95" customHeight="1" x14ac:dyDescent="0.25">
      <c r="A395" s="46"/>
      <c r="B395" s="47"/>
      <c r="C395" s="47"/>
      <c r="D395" s="47"/>
      <c r="E395" s="48"/>
      <c r="F395" s="47"/>
      <c r="G395" s="47"/>
      <c r="H395" s="47"/>
      <c r="I395" s="49"/>
      <c r="J395" s="47"/>
      <c r="K395" s="47"/>
      <c r="L395" s="47"/>
      <c r="M395" s="47"/>
      <c r="N395" s="47"/>
      <c r="O395" s="47"/>
      <c r="P395" s="49"/>
      <c r="Q395" s="47"/>
      <c r="R395" s="47"/>
      <c r="S395" s="47"/>
      <c r="T395" s="47"/>
      <c r="U395" s="47"/>
      <c r="V395" s="47"/>
      <c r="W395" s="47"/>
      <c r="X395" s="50"/>
      <c r="Y395" s="47">
        <f>GEOMEAN(Y380:Y394)</f>
        <v>2647.701239297171</v>
      </c>
      <c r="Z395" s="51"/>
      <c r="AA395" s="47"/>
      <c r="AB395" s="47"/>
      <c r="AC395" s="49"/>
      <c r="AD395" s="49"/>
      <c r="AE395" s="47"/>
      <c r="AF395" s="47"/>
      <c r="AG395" s="47"/>
      <c r="AH395" s="47"/>
      <c r="AI395" s="47"/>
      <c r="AJ395" s="47"/>
      <c r="AK395" s="47"/>
      <c r="AL395" s="47"/>
      <c r="AM395" s="47"/>
      <c r="AN395" s="52"/>
      <c r="AO395" s="52"/>
      <c r="AP395" s="52"/>
      <c r="AQ395" s="52"/>
      <c r="AR395" s="52"/>
      <c r="AS395" s="52"/>
      <c r="AT395" s="52"/>
      <c r="AU395" s="52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2"/>
      <c r="BI395" s="52"/>
      <c r="BJ395" s="52"/>
      <c r="BK395" s="52"/>
      <c r="BL395" s="52"/>
      <c r="BM395" s="52"/>
      <c r="BN395" s="52"/>
      <c r="BO395" s="52"/>
      <c r="BP395" s="52"/>
      <c r="BQ395" s="52"/>
      <c r="BR395" s="52"/>
      <c r="BS395" s="52"/>
      <c r="BT395" s="52"/>
      <c r="BU395" s="52"/>
      <c r="BV395" s="52"/>
      <c r="BW395" s="52"/>
      <c r="BX395" s="52"/>
      <c r="BY395" s="52"/>
      <c r="BZ395" s="52"/>
    </row>
    <row r="396" spans="1:78" s="30" customFormat="1" ht="15.95" customHeight="1" x14ac:dyDescent="0.25">
      <c r="A396" s="18"/>
      <c r="B396" s="19">
        <v>194</v>
      </c>
      <c r="C396" s="20"/>
      <c r="D396" s="36">
        <v>20727</v>
      </c>
      <c r="E396" s="36">
        <v>1999</v>
      </c>
      <c r="F396" s="36" t="s">
        <v>1224</v>
      </c>
      <c r="G396" s="35" t="s">
        <v>382</v>
      </c>
      <c r="H396" s="35"/>
      <c r="I396" s="35" t="s">
        <v>41</v>
      </c>
      <c r="J396" s="35" t="s">
        <v>89</v>
      </c>
      <c r="K396" s="35" t="s">
        <v>161</v>
      </c>
      <c r="L396" s="35" t="s">
        <v>82</v>
      </c>
      <c r="M396" s="35" t="s">
        <v>82</v>
      </c>
      <c r="N396" s="35" t="s">
        <v>66</v>
      </c>
      <c r="O396" s="35" t="s">
        <v>292</v>
      </c>
      <c r="P396" s="35" t="s">
        <v>51</v>
      </c>
      <c r="Q396" s="35"/>
      <c r="R396" s="35" t="s">
        <v>237</v>
      </c>
      <c r="S396" s="35" t="s">
        <v>79</v>
      </c>
      <c r="T396" s="35" t="s">
        <v>56</v>
      </c>
      <c r="U396" s="36">
        <v>30</v>
      </c>
      <c r="V396" s="36" t="s">
        <v>231</v>
      </c>
      <c r="W396" s="35" t="s">
        <v>46</v>
      </c>
      <c r="X396" s="29"/>
      <c r="Y396" s="36">
        <v>3100</v>
      </c>
      <c r="Z396" s="24">
        <f t="shared" ref="Z396:Z410" si="15">Y396/((AC396/30)^0.995)</f>
        <v>335.87300596240277</v>
      </c>
      <c r="AA396" s="19" t="s">
        <v>214</v>
      </c>
      <c r="AB396" s="36"/>
      <c r="AC396" s="35">
        <v>280</v>
      </c>
      <c r="AD396" s="35">
        <v>280</v>
      </c>
      <c r="AE396" s="35" t="s">
        <v>270</v>
      </c>
      <c r="AF396" s="35" t="s">
        <v>383</v>
      </c>
      <c r="AG396" s="35"/>
      <c r="AH396" s="35" t="s">
        <v>234</v>
      </c>
      <c r="AI396" s="35" t="s">
        <v>385</v>
      </c>
      <c r="AJ396" s="35" t="s">
        <v>270</v>
      </c>
      <c r="AK396" s="35" t="s">
        <v>234</v>
      </c>
      <c r="AL396" s="35" t="s">
        <v>90</v>
      </c>
      <c r="AM396" s="35" t="s">
        <v>386</v>
      </c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</row>
    <row r="397" spans="1:78" s="30" customFormat="1" ht="15.95" customHeight="1" x14ac:dyDescent="0.25">
      <c r="A397" s="18"/>
      <c r="B397" s="19">
        <v>194</v>
      </c>
      <c r="C397" s="19"/>
      <c r="D397" s="19">
        <v>20727</v>
      </c>
      <c r="E397" s="36">
        <v>1999</v>
      </c>
      <c r="F397" s="19" t="s">
        <v>1224</v>
      </c>
      <c r="G397" s="19" t="s">
        <v>382</v>
      </c>
      <c r="H397" s="19"/>
      <c r="I397" s="35" t="s">
        <v>41</v>
      </c>
      <c r="J397" s="19" t="s">
        <v>89</v>
      </c>
      <c r="K397" s="19" t="s">
        <v>161</v>
      </c>
      <c r="L397" s="19" t="s">
        <v>82</v>
      </c>
      <c r="M397" s="19" t="s">
        <v>82</v>
      </c>
      <c r="N397" s="19" t="s">
        <v>66</v>
      </c>
      <c r="O397" s="19" t="s">
        <v>292</v>
      </c>
      <c r="P397" s="35" t="s">
        <v>51</v>
      </c>
      <c r="Q397" s="19"/>
      <c r="R397" s="19" t="s">
        <v>237</v>
      </c>
      <c r="S397" s="19" t="s">
        <v>79</v>
      </c>
      <c r="T397" s="19" t="s">
        <v>56</v>
      </c>
      <c r="U397" s="19">
        <v>30</v>
      </c>
      <c r="V397" s="19" t="s">
        <v>231</v>
      </c>
      <c r="W397" s="19" t="s">
        <v>46</v>
      </c>
      <c r="X397" s="29"/>
      <c r="Y397" s="19">
        <v>2200</v>
      </c>
      <c r="Z397" s="24">
        <f t="shared" si="15"/>
        <v>238.36148810235034</v>
      </c>
      <c r="AA397" s="19" t="s">
        <v>214</v>
      </c>
      <c r="AB397" s="19"/>
      <c r="AC397" s="35">
        <v>280</v>
      </c>
      <c r="AD397" s="35">
        <v>280</v>
      </c>
      <c r="AE397" s="19" t="s">
        <v>270</v>
      </c>
      <c r="AF397" s="19" t="s">
        <v>383</v>
      </c>
      <c r="AG397" s="19"/>
      <c r="AH397" s="19" t="s">
        <v>234</v>
      </c>
      <c r="AI397" s="19" t="s">
        <v>385</v>
      </c>
      <c r="AJ397" s="19" t="s">
        <v>270</v>
      </c>
      <c r="AK397" s="19" t="s">
        <v>234</v>
      </c>
      <c r="AL397" s="19" t="s">
        <v>90</v>
      </c>
      <c r="AM397" s="19" t="s">
        <v>386</v>
      </c>
    </row>
    <row r="398" spans="1:78" s="30" customFormat="1" ht="15.95" customHeight="1" x14ac:dyDescent="0.25">
      <c r="A398" s="18"/>
      <c r="B398" s="19">
        <v>194</v>
      </c>
      <c r="C398" s="19"/>
      <c r="D398" s="19">
        <v>20727</v>
      </c>
      <c r="E398" s="36">
        <v>1999</v>
      </c>
      <c r="F398" s="19" t="s">
        <v>1224</v>
      </c>
      <c r="G398" s="19" t="s">
        <v>382</v>
      </c>
      <c r="H398" s="19"/>
      <c r="I398" s="35" t="s">
        <v>41</v>
      </c>
      <c r="J398" s="19" t="s">
        <v>89</v>
      </c>
      <c r="K398" s="19" t="s">
        <v>161</v>
      </c>
      <c r="L398" s="19" t="s">
        <v>82</v>
      </c>
      <c r="M398" s="19" t="s">
        <v>82</v>
      </c>
      <c r="N398" s="19" t="s">
        <v>66</v>
      </c>
      <c r="O398" s="19" t="s">
        <v>292</v>
      </c>
      <c r="P398" s="35" t="s">
        <v>51</v>
      </c>
      <c r="Q398" s="19"/>
      <c r="R398" s="19" t="s">
        <v>237</v>
      </c>
      <c r="S398" s="19" t="s">
        <v>79</v>
      </c>
      <c r="T398" s="19" t="s">
        <v>56</v>
      </c>
      <c r="U398" s="19">
        <v>30</v>
      </c>
      <c r="V398" s="19" t="s">
        <v>231</v>
      </c>
      <c r="W398" s="19" t="s">
        <v>46</v>
      </c>
      <c r="X398" s="29"/>
      <c r="Y398" s="19">
        <v>2500</v>
      </c>
      <c r="Z398" s="24">
        <f t="shared" si="15"/>
        <v>270.86532738903446</v>
      </c>
      <c r="AA398" s="19" t="s">
        <v>214</v>
      </c>
      <c r="AB398" s="19"/>
      <c r="AC398" s="35">
        <v>280</v>
      </c>
      <c r="AD398" s="35">
        <v>280</v>
      </c>
      <c r="AE398" s="19" t="s">
        <v>270</v>
      </c>
      <c r="AF398" s="19" t="s">
        <v>383</v>
      </c>
      <c r="AG398" s="19"/>
      <c r="AH398" s="19" t="s">
        <v>234</v>
      </c>
      <c r="AI398" s="19" t="s">
        <v>385</v>
      </c>
      <c r="AJ398" s="19" t="s">
        <v>270</v>
      </c>
      <c r="AK398" s="19" t="s">
        <v>234</v>
      </c>
      <c r="AL398" s="19" t="s">
        <v>90</v>
      </c>
      <c r="AM398" s="19" t="s">
        <v>386</v>
      </c>
    </row>
    <row r="399" spans="1:78" s="30" customFormat="1" ht="15.95" customHeight="1" x14ac:dyDescent="0.25">
      <c r="A399" s="18"/>
      <c r="B399" s="19">
        <v>194</v>
      </c>
      <c r="C399" s="19"/>
      <c r="D399" s="19">
        <v>20727</v>
      </c>
      <c r="E399" s="36">
        <v>1999</v>
      </c>
      <c r="F399" s="19" t="s">
        <v>1224</v>
      </c>
      <c r="G399" s="19" t="s">
        <v>382</v>
      </c>
      <c r="H399" s="19"/>
      <c r="I399" s="35" t="s">
        <v>41</v>
      </c>
      <c r="J399" s="19" t="s">
        <v>89</v>
      </c>
      <c r="K399" s="19" t="s">
        <v>161</v>
      </c>
      <c r="L399" s="19" t="s">
        <v>82</v>
      </c>
      <c r="M399" s="19" t="s">
        <v>82</v>
      </c>
      <c r="N399" s="19" t="s">
        <v>66</v>
      </c>
      <c r="O399" s="19" t="s">
        <v>292</v>
      </c>
      <c r="P399" s="35" t="s">
        <v>51</v>
      </c>
      <c r="Q399" s="19"/>
      <c r="R399" s="19" t="s">
        <v>237</v>
      </c>
      <c r="S399" s="19" t="s">
        <v>79</v>
      </c>
      <c r="T399" s="19" t="s">
        <v>56</v>
      </c>
      <c r="U399" s="19">
        <v>30</v>
      </c>
      <c r="V399" s="19" t="s">
        <v>231</v>
      </c>
      <c r="W399" s="19" t="s">
        <v>46</v>
      </c>
      <c r="X399" s="29"/>
      <c r="Y399" s="19">
        <v>2500</v>
      </c>
      <c r="Z399" s="24">
        <f t="shared" si="15"/>
        <v>270.86532738903446</v>
      </c>
      <c r="AA399" s="19" t="s">
        <v>214</v>
      </c>
      <c r="AB399" s="19"/>
      <c r="AC399" s="35">
        <v>280</v>
      </c>
      <c r="AD399" s="35">
        <v>280</v>
      </c>
      <c r="AE399" s="19" t="s">
        <v>270</v>
      </c>
      <c r="AF399" s="19" t="s">
        <v>383</v>
      </c>
      <c r="AG399" s="19"/>
      <c r="AH399" s="19" t="s">
        <v>234</v>
      </c>
      <c r="AI399" s="19" t="s">
        <v>385</v>
      </c>
      <c r="AJ399" s="19" t="s">
        <v>270</v>
      </c>
      <c r="AK399" s="19" t="s">
        <v>234</v>
      </c>
      <c r="AL399" s="19" t="s">
        <v>90</v>
      </c>
      <c r="AM399" s="19" t="s">
        <v>386</v>
      </c>
    </row>
    <row r="400" spans="1:78" s="30" customFormat="1" ht="15.95" customHeight="1" x14ac:dyDescent="0.25">
      <c r="A400" s="18"/>
      <c r="B400" s="19">
        <v>194</v>
      </c>
      <c r="C400" s="19"/>
      <c r="D400" s="19">
        <v>20727</v>
      </c>
      <c r="E400" s="36">
        <v>1999</v>
      </c>
      <c r="F400" s="19" t="s">
        <v>1224</v>
      </c>
      <c r="G400" s="19" t="s">
        <v>382</v>
      </c>
      <c r="H400" s="19"/>
      <c r="I400" s="35" t="s">
        <v>41</v>
      </c>
      <c r="J400" s="19" t="s">
        <v>89</v>
      </c>
      <c r="K400" s="19" t="s">
        <v>161</v>
      </c>
      <c r="L400" s="19" t="s">
        <v>82</v>
      </c>
      <c r="M400" s="19" t="s">
        <v>82</v>
      </c>
      <c r="N400" s="19" t="s">
        <v>66</v>
      </c>
      <c r="O400" s="19" t="s">
        <v>292</v>
      </c>
      <c r="P400" s="35" t="s">
        <v>51</v>
      </c>
      <c r="Q400" s="19"/>
      <c r="R400" s="19" t="s">
        <v>237</v>
      </c>
      <c r="S400" s="19" t="s">
        <v>79</v>
      </c>
      <c r="T400" s="19" t="s">
        <v>56</v>
      </c>
      <c r="U400" s="19">
        <v>30</v>
      </c>
      <c r="V400" s="19" t="s">
        <v>231</v>
      </c>
      <c r="W400" s="19" t="s">
        <v>46</v>
      </c>
      <c r="X400" s="29"/>
      <c r="Y400" s="19">
        <v>2800</v>
      </c>
      <c r="Z400" s="24">
        <f t="shared" si="15"/>
        <v>303.36916667571859</v>
      </c>
      <c r="AA400" s="19" t="s">
        <v>214</v>
      </c>
      <c r="AB400" s="19"/>
      <c r="AC400" s="35">
        <v>280</v>
      </c>
      <c r="AD400" s="35">
        <v>280</v>
      </c>
      <c r="AE400" s="19" t="s">
        <v>270</v>
      </c>
      <c r="AF400" s="19" t="s">
        <v>383</v>
      </c>
      <c r="AG400" s="19"/>
      <c r="AH400" s="19" t="s">
        <v>234</v>
      </c>
      <c r="AI400" s="19" t="s">
        <v>385</v>
      </c>
      <c r="AJ400" s="19" t="s">
        <v>270</v>
      </c>
      <c r="AK400" s="19" t="s">
        <v>234</v>
      </c>
      <c r="AL400" s="19" t="s">
        <v>90</v>
      </c>
      <c r="AM400" s="19" t="s">
        <v>386</v>
      </c>
    </row>
    <row r="401" spans="1:78" s="30" customFormat="1" ht="15.95" customHeight="1" x14ac:dyDescent="0.25">
      <c r="A401" s="18"/>
      <c r="B401" s="19">
        <v>194</v>
      </c>
      <c r="C401" s="19"/>
      <c r="D401" s="19">
        <v>20727</v>
      </c>
      <c r="E401" s="36">
        <v>1999</v>
      </c>
      <c r="F401" s="19" t="s">
        <v>1224</v>
      </c>
      <c r="G401" s="19" t="s">
        <v>382</v>
      </c>
      <c r="H401" s="19"/>
      <c r="I401" s="35" t="s">
        <v>41</v>
      </c>
      <c r="J401" s="19" t="s">
        <v>89</v>
      </c>
      <c r="K401" s="19" t="s">
        <v>161</v>
      </c>
      <c r="L401" s="19" t="s">
        <v>82</v>
      </c>
      <c r="M401" s="19" t="s">
        <v>82</v>
      </c>
      <c r="N401" s="19" t="s">
        <v>66</v>
      </c>
      <c r="O401" s="19" t="s">
        <v>292</v>
      </c>
      <c r="P401" s="35" t="s">
        <v>51</v>
      </c>
      <c r="Q401" s="19"/>
      <c r="R401" s="19" t="s">
        <v>237</v>
      </c>
      <c r="S401" s="19" t="s">
        <v>79</v>
      </c>
      <c r="T401" s="19" t="s">
        <v>56</v>
      </c>
      <c r="U401" s="19">
        <v>30</v>
      </c>
      <c r="V401" s="19" t="s">
        <v>231</v>
      </c>
      <c r="W401" s="19" t="s">
        <v>46</v>
      </c>
      <c r="X401" s="29"/>
      <c r="Y401" s="19">
        <v>3100</v>
      </c>
      <c r="Z401" s="24">
        <f t="shared" si="15"/>
        <v>335.87300596240277</v>
      </c>
      <c r="AA401" s="19" t="s">
        <v>214</v>
      </c>
      <c r="AB401" s="19"/>
      <c r="AC401" s="35">
        <v>280</v>
      </c>
      <c r="AD401" s="35">
        <v>280</v>
      </c>
      <c r="AE401" s="19" t="s">
        <v>270</v>
      </c>
      <c r="AF401" s="19" t="s">
        <v>383</v>
      </c>
      <c r="AG401" s="19"/>
      <c r="AH401" s="19" t="s">
        <v>234</v>
      </c>
      <c r="AI401" s="19" t="s">
        <v>385</v>
      </c>
      <c r="AJ401" s="19" t="s">
        <v>270</v>
      </c>
      <c r="AK401" s="19" t="s">
        <v>234</v>
      </c>
      <c r="AL401" s="19" t="s">
        <v>90</v>
      </c>
      <c r="AM401" s="19" t="s">
        <v>386</v>
      </c>
    </row>
    <row r="402" spans="1:78" s="30" customFormat="1" ht="15.95" customHeight="1" x14ac:dyDescent="0.25">
      <c r="A402" s="18"/>
      <c r="B402" s="19">
        <v>194</v>
      </c>
      <c r="C402" s="19"/>
      <c r="D402" s="19">
        <v>20727</v>
      </c>
      <c r="E402" s="36">
        <v>1999</v>
      </c>
      <c r="F402" s="19" t="s">
        <v>1224</v>
      </c>
      <c r="G402" s="19" t="s">
        <v>382</v>
      </c>
      <c r="H402" s="19"/>
      <c r="I402" s="35" t="s">
        <v>41</v>
      </c>
      <c r="J402" s="19" t="s">
        <v>89</v>
      </c>
      <c r="K402" s="19" t="s">
        <v>161</v>
      </c>
      <c r="L402" s="19" t="s">
        <v>82</v>
      </c>
      <c r="M402" s="19" t="s">
        <v>82</v>
      </c>
      <c r="N402" s="19" t="s">
        <v>66</v>
      </c>
      <c r="O402" s="19" t="s">
        <v>292</v>
      </c>
      <c r="P402" s="35" t="s">
        <v>51</v>
      </c>
      <c r="Q402" s="19"/>
      <c r="R402" s="19" t="s">
        <v>237</v>
      </c>
      <c r="S402" s="19" t="s">
        <v>79</v>
      </c>
      <c r="T402" s="19" t="s">
        <v>56</v>
      </c>
      <c r="U402" s="19">
        <v>30</v>
      </c>
      <c r="V402" s="19" t="s">
        <v>231</v>
      </c>
      <c r="W402" s="19" t="s">
        <v>46</v>
      </c>
      <c r="X402" s="29"/>
      <c r="Y402" s="19">
        <v>2200</v>
      </c>
      <c r="Z402" s="24">
        <f t="shared" si="15"/>
        <v>238.36148810235034</v>
      </c>
      <c r="AA402" s="19" t="s">
        <v>214</v>
      </c>
      <c r="AB402" s="19"/>
      <c r="AC402" s="35">
        <v>280</v>
      </c>
      <c r="AD402" s="35">
        <v>280</v>
      </c>
      <c r="AE402" s="19" t="s">
        <v>270</v>
      </c>
      <c r="AF402" s="19" t="s">
        <v>383</v>
      </c>
      <c r="AG402" s="19"/>
      <c r="AH402" s="19" t="s">
        <v>234</v>
      </c>
      <c r="AI402" s="19" t="s">
        <v>385</v>
      </c>
      <c r="AJ402" s="19" t="s">
        <v>270</v>
      </c>
      <c r="AK402" s="19" t="s">
        <v>234</v>
      </c>
      <c r="AL402" s="19" t="s">
        <v>90</v>
      </c>
      <c r="AM402" s="19" t="s">
        <v>386</v>
      </c>
    </row>
    <row r="403" spans="1:78" s="30" customFormat="1" ht="15.95" customHeight="1" x14ac:dyDescent="0.25">
      <c r="A403" s="18"/>
      <c r="B403" s="19">
        <v>194</v>
      </c>
      <c r="C403" s="19"/>
      <c r="D403" s="19">
        <v>20727</v>
      </c>
      <c r="E403" s="36">
        <v>1999</v>
      </c>
      <c r="F403" s="19" t="s">
        <v>1224</v>
      </c>
      <c r="G403" s="19" t="s">
        <v>382</v>
      </c>
      <c r="H403" s="19"/>
      <c r="I403" s="35" t="s">
        <v>41</v>
      </c>
      <c r="J403" s="19" t="s">
        <v>89</v>
      </c>
      <c r="K403" s="19" t="s">
        <v>161</v>
      </c>
      <c r="L403" s="19" t="s">
        <v>82</v>
      </c>
      <c r="M403" s="19" t="s">
        <v>82</v>
      </c>
      <c r="N403" s="19" t="s">
        <v>66</v>
      </c>
      <c r="O403" s="19" t="s">
        <v>292</v>
      </c>
      <c r="P403" s="35" t="s">
        <v>51</v>
      </c>
      <c r="Q403" s="19"/>
      <c r="R403" s="19" t="s">
        <v>237</v>
      </c>
      <c r="S403" s="19" t="s">
        <v>79</v>
      </c>
      <c r="T403" s="19" t="s">
        <v>56</v>
      </c>
      <c r="U403" s="19">
        <v>30</v>
      </c>
      <c r="V403" s="19" t="s">
        <v>231</v>
      </c>
      <c r="W403" s="19" t="s">
        <v>46</v>
      </c>
      <c r="X403" s="29"/>
      <c r="Y403" s="19">
        <v>2500</v>
      </c>
      <c r="Z403" s="24">
        <f t="shared" si="15"/>
        <v>270.86532738903446</v>
      </c>
      <c r="AA403" s="19" t="s">
        <v>214</v>
      </c>
      <c r="AB403" s="19"/>
      <c r="AC403" s="35">
        <v>280</v>
      </c>
      <c r="AD403" s="35">
        <v>280</v>
      </c>
      <c r="AE403" s="19" t="s">
        <v>270</v>
      </c>
      <c r="AF403" s="19" t="s">
        <v>383</v>
      </c>
      <c r="AG403" s="19"/>
      <c r="AH403" s="19" t="s">
        <v>234</v>
      </c>
      <c r="AI403" s="19" t="s">
        <v>385</v>
      </c>
      <c r="AJ403" s="19" t="s">
        <v>270</v>
      </c>
      <c r="AK403" s="19" t="s">
        <v>234</v>
      </c>
      <c r="AL403" s="19" t="s">
        <v>90</v>
      </c>
      <c r="AM403" s="19" t="s">
        <v>386</v>
      </c>
    </row>
    <row r="404" spans="1:78" s="30" customFormat="1" ht="15.95" customHeight="1" x14ac:dyDescent="0.25">
      <c r="A404" s="18"/>
      <c r="B404" s="19">
        <v>194</v>
      </c>
      <c r="C404" s="19"/>
      <c r="D404" s="19">
        <v>20727</v>
      </c>
      <c r="E404" s="36">
        <v>1999</v>
      </c>
      <c r="F404" s="19" t="s">
        <v>1224</v>
      </c>
      <c r="G404" s="19" t="s">
        <v>382</v>
      </c>
      <c r="H404" s="19"/>
      <c r="I404" s="35" t="s">
        <v>41</v>
      </c>
      <c r="J404" s="19" t="s">
        <v>89</v>
      </c>
      <c r="K404" s="19" t="s">
        <v>161</v>
      </c>
      <c r="L404" s="19" t="s">
        <v>82</v>
      </c>
      <c r="M404" s="19" t="s">
        <v>82</v>
      </c>
      <c r="N404" s="19" t="s">
        <v>66</v>
      </c>
      <c r="O404" s="19" t="s">
        <v>292</v>
      </c>
      <c r="P404" s="35" t="s">
        <v>51</v>
      </c>
      <c r="Q404" s="19"/>
      <c r="R404" s="19" t="s">
        <v>237</v>
      </c>
      <c r="S404" s="19" t="s">
        <v>79</v>
      </c>
      <c r="T404" s="19" t="s">
        <v>56</v>
      </c>
      <c r="U404" s="19">
        <v>30</v>
      </c>
      <c r="V404" s="19" t="s">
        <v>231</v>
      </c>
      <c r="W404" s="19" t="s">
        <v>46</v>
      </c>
      <c r="X404" s="29"/>
      <c r="Y404" s="19">
        <v>2800</v>
      </c>
      <c r="Z404" s="24">
        <f t="shared" si="15"/>
        <v>303.36916667571859</v>
      </c>
      <c r="AA404" s="19" t="s">
        <v>214</v>
      </c>
      <c r="AB404" s="19"/>
      <c r="AC404" s="35">
        <v>280</v>
      </c>
      <c r="AD404" s="35">
        <v>280</v>
      </c>
      <c r="AE404" s="19" t="s">
        <v>270</v>
      </c>
      <c r="AF404" s="19" t="s">
        <v>383</v>
      </c>
      <c r="AG404" s="19"/>
      <c r="AH404" s="19" t="s">
        <v>234</v>
      </c>
      <c r="AI404" s="19" t="s">
        <v>385</v>
      </c>
      <c r="AJ404" s="19" t="s">
        <v>270</v>
      </c>
      <c r="AK404" s="19" t="s">
        <v>234</v>
      </c>
      <c r="AL404" s="19" t="s">
        <v>90</v>
      </c>
      <c r="AM404" s="19" t="s">
        <v>386</v>
      </c>
    </row>
    <row r="405" spans="1:78" s="30" customFormat="1" ht="15.95" customHeight="1" x14ac:dyDescent="0.25">
      <c r="A405" s="18"/>
      <c r="B405" s="19">
        <v>194</v>
      </c>
      <c r="C405" s="19"/>
      <c r="D405" s="19">
        <v>20727</v>
      </c>
      <c r="E405" s="36">
        <v>1999</v>
      </c>
      <c r="F405" s="19" t="s">
        <v>1224</v>
      </c>
      <c r="G405" s="19" t="s">
        <v>382</v>
      </c>
      <c r="H405" s="19"/>
      <c r="I405" s="35" t="s">
        <v>41</v>
      </c>
      <c r="J405" s="19" t="s">
        <v>89</v>
      </c>
      <c r="K405" s="19" t="s">
        <v>161</v>
      </c>
      <c r="L405" s="19" t="s">
        <v>82</v>
      </c>
      <c r="M405" s="19" t="s">
        <v>82</v>
      </c>
      <c r="N405" s="19" t="s">
        <v>66</v>
      </c>
      <c r="O405" s="19" t="s">
        <v>292</v>
      </c>
      <c r="P405" s="35" t="s">
        <v>51</v>
      </c>
      <c r="Q405" s="19"/>
      <c r="R405" s="19" t="s">
        <v>237</v>
      </c>
      <c r="S405" s="19" t="s">
        <v>79</v>
      </c>
      <c r="T405" s="19" t="s">
        <v>56</v>
      </c>
      <c r="U405" s="19">
        <v>30</v>
      </c>
      <c r="V405" s="19" t="s">
        <v>231</v>
      </c>
      <c r="W405" s="19" t="s">
        <v>46</v>
      </c>
      <c r="X405" s="29"/>
      <c r="Y405" s="19">
        <v>3100</v>
      </c>
      <c r="Z405" s="24">
        <f t="shared" si="15"/>
        <v>335.87300596240277</v>
      </c>
      <c r="AA405" s="19" t="s">
        <v>214</v>
      </c>
      <c r="AB405" s="19"/>
      <c r="AC405" s="35">
        <v>280</v>
      </c>
      <c r="AD405" s="35">
        <v>280</v>
      </c>
      <c r="AE405" s="19" t="s">
        <v>270</v>
      </c>
      <c r="AF405" s="19" t="s">
        <v>383</v>
      </c>
      <c r="AG405" s="19"/>
      <c r="AH405" s="19" t="s">
        <v>234</v>
      </c>
      <c r="AI405" s="19" t="s">
        <v>385</v>
      </c>
      <c r="AJ405" s="19" t="s">
        <v>270</v>
      </c>
      <c r="AK405" s="19" t="s">
        <v>234</v>
      </c>
      <c r="AL405" s="19" t="s">
        <v>90</v>
      </c>
      <c r="AM405" s="19" t="s">
        <v>386</v>
      </c>
    </row>
    <row r="406" spans="1:78" s="30" customFormat="1" ht="15.95" customHeight="1" x14ac:dyDescent="0.25">
      <c r="A406" s="18"/>
      <c r="B406" s="19">
        <v>194</v>
      </c>
      <c r="C406" s="19"/>
      <c r="D406" s="19">
        <v>20727</v>
      </c>
      <c r="E406" s="36">
        <v>1999</v>
      </c>
      <c r="F406" s="19" t="s">
        <v>1224</v>
      </c>
      <c r="G406" s="19" t="s">
        <v>382</v>
      </c>
      <c r="H406" s="19"/>
      <c r="I406" s="35" t="s">
        <v>41</v>
      </c>
      <c r="J406" s="19" t="s">
        <v>89</v>
      </c>
      <c r="K406" s="19" t="s">
        <v>161</v>
      </c>
      <c r="L406" s="19" t="s">
        <v>82</v>
      </c>
      <c r="M406" s="19" t="s">
        <v>82</v>
      </c>
      <c r="N406" s="19" t="s">
        <v>66</v>
      </c>
      <c r="O406" s="19" t="s">
        <v>292</v>
      </c>
      <c r="P406" s="35" t="s">
        <v>51</v>
      </c>
      <c r="Q406" s="19"/>
      <c r="R406" s="19" t="s">
        <v>237</v>
      </c>
      <c r="S406" s="19" t="s">
        <v>79</v>
      </c>
      <c r="T406" s="19" t="s">
        <v>56</v>
      </c>
      <c r="U406" s="19">
        <v>30</v>
      </c>
      <c r="V406" s="19" t="s">
        <v>231</v>
      </c>
      <c r="W406" s="19" t="s">
        <v>46</v>
      </c>
      <c r="X406" s="29"/>
      <c r="Y406" s="19">
        <v>2500</v>
      </c>
      <c r="Z406" s="24">
        <f t="shared" si="15"/>
        <v>270.86532738903446</v>
      </c>
      <c r="AA406" s="19" t="s">
        <v>214</v>
      </c>
      <c r="AB406" s="19"/>
      <c r="AC406" s="35">
        <v>280</v>
      </c>
      <c r="AD406" s="35">
        <v>280</v>
      </c>
      <c r="AE406" s="19" t="s">
        <v>270</v>
      </c>
      <c r="AF406" s="19" t="s">
        <v>383</v>
      </c>
      <c r="AG406" s="19"/>
      <c r="AH406" s="19" t="s">
        <v>234</v>
      </c>
      <c r="AI406" s="19" t="s">
        <v>385</v>
      </c>
      <c r="AJ406" s="19" t="s">
        <v>270</v>
      </c>
      <c r="AK406" s="19" t="s">
        <v>234</v>
      </c>
      <c r="AL406" s="19" t="s">
        <v>90</v>
      </c>
      <c r="AM406" s="19" t="s">
        <v>386</v>
      </c>
    </row>
    <row r="407" spans="1:78" s="30" customFormat="1" ht="15.95" customHeight="1" x14ac:dyDescent="0.25">
      <c r="A407" s="18"/>
      <c r="B407" s="19">
        <v>194</v>
      </c>
      <c r="C407" s="19"/>
      <c r="D407" s="19">
        <v>20727</v>
      </c>
      <c r="E407" s="36">
        <v>1999</v>
      </c>
      <c r="F407" s="19" t="s">
        <v>1224</v>
      </c>
      <c r="G407" s="19" t="s">
        <v>382</v>
      </c>
      <c r="H407" s="19"/>
      <c r="I407" s="35" t="s">
        <v>41</v>
      </c>
      <c r="J407" s="19" t="s">
        <v>89</v>
      </c>
      <c r="K407" s="19" t="s">
        <v>161</v>
      </c>
      <c r="L407" s="19" t="s">
        <v>82</v>
      </c>
      <c r="M407" s="19" t="s">
        <v>82</v>
      </c>
      <c r="N407" s="19" t="s">
        <v>66</v>
      </c>
      <c r="O407" s="19" t="s">
        <v>292</v>
      </c>
      <c r="P407" s="35" t="s">
        <v>51</v>
      </c>
      <c r="Q407" s="19"/>
      <c r="R407" s="19" t="s">
        <v>237</v>
      </c>
      <c r="S407" s="19" t="s">
        <v>79</v>
      </c>
      <c r="T407" s="19" t="s">
        <v>56</v>
      </c>
      <c r="U407" s="19">
        <v>30</v>
      </c>
      <c r="V407" s="19" t="s">
        <v>231</v>
      </c>
      <c r="W407" s="19" t="s">
        <v>46</v>
      </c>
      <c r="X407" s="29"/>
      <c r="Y407" s="19">
        <v>2800</v>
      </c>
      <c r="Z407" s="24">
        <f t="shared" si="15"/>
        <v>303.36916667571859</v>
      </c>
      <c r="AA407" s="19" t="s">
        <v>214</v>
      </c>
      <c r="AB407" s="19"/>
      <c r="AC407" s="35">
        <v>280</v>
      </c>
      <c r="AD407" s="35">
        <v>280</v>
      </c>
      <c r="AE407" s="19" t="s">
        <v>270</v>
      </c>
      <c r="AF407" s="19" t="s">
        <v>383</v>
      </c>
      <c r="AG407" s="19"/>
      <c r="AH407" s="19" t="s">
        <v>234</v>
      </c>
      <c r="AI407" s="19" t="s">
        <v>385</v>
      </c>
      <c r="AJ407" s="19" t="s">
        <v>270</v>
      </c>
      <c r="AK407" s="19" t="s">
        <v>234</v>
      </c>
      <c r="AL407" s="19" t="s">
        <v>90</v>
      </c>
      <c r="AM407" s="19" t="s">
        <v>386</v>
      </c>
    </row>
    <row r="408" spans="1:78" s="30" customFormat="1" ht="15.95" customHeight="1" x14ac:dyDescent="0.25">
      <c r="A408" s="18"/>
      <c r="B408" s="19">
        <v>194</v>
      </c>
      <c r="C408" s="19"/>
      <c r="D408" s="19">
        <v>20727</v>
      </c>
      <c r="E408" s="36">
        <v>1999</v>
      </c>
      <c r="F408" s="19" t="s">
        <v>1224</v>
      </c>
      <c r="G408" s="19" t="s">
        <v>382</v>
      </c>
      <c r="H408" s="19"/>
      <c r="I408" s="35" t="s">
        <v>41</v>
      </c>
      <c r="J408" s="19" t="s">
        <v>89</v>
      </c>
      <c r="K408" s="19" t="s">
        <v>161</v>
      </c>
      <c r="L408" s="19" t="s">
        <v>82</v>
      </c>
      <c r="M408" s="19" t="s">
        <v>82</v>
      </c>
      <c r="N408" s="19" t="s">
        <v>66</v>
      </c>
      <c r="O408" s="19" t="s">
        <v>292</v>
      </c>
      <c r="P408" s="35" t="s">
        <v>51</v>
      </c>
      <c r="Q408" s="19"/>
      <c r="R408" s="19" t="s">
        <v>237</v>
      </c>
      <c r="S408" s="19" t="s">
        <v>79</v>
      </c>
      <c r="T408" s="19" t="s">
        <v>56</v>
      </c>
      <c r="U408" s="19">
        <v>30</v>
      </c>
      <c r="V408" s="19" t="s">
        <v>231</v>
      </c>
      <c r="W408" s="19" t="s">
        <v>46</v>
      </c>
      <c r="X408" s="29"/>
      <c r="Y408" s="19">
        <v>2500</v>
      </c>
      <c r="Z408" s="24">
        <f t="shared" si="15"/>
        <v>270.86532738903446</v>
      </c>
      <c r="AA408" s="19" t="s">
        <v>214</v>
      </c>
      <c r="AB408" s="19"/>
      <c r="AC408" s="35">
        <v>280</v>
      </c>
      <c r="AD408" s="35">
        <v>280</v>
      </c>
      <c r="AE408" s="19" t="s">
        <v>270</v>
      </c>
      <c r="AF408" s="19" t="s">
        <v>383</v>
      </c>
      <c r="AG408" s="19"/>
      <c r="AH408" s="19" t="s">
        <v>234</v>
      </c>
      <c r="AI408" s="19" t="s">
        <v>385</v>
      </c>
      <c r="AJ408" s="19" t="s">
        <v>270</v>
      </c>
      <c r="AK408" s="19" t="s">
        <v>234</v>
      </c>
      <c r="AL408" s="19" t="s">
        <v>90</v>
      </c>
      <c r="AM408" s="19" t="s">
        <v>386</v>
      </c>
    </row>
    <row r="409" spans="1:78" s="30" customFormat="1" ht="15.95" customHeight="1" x14ac:dyDescent="0.25">
      <c r="A409" s="18"/>
      <c r="B409" s="19">
        <v>194</v>
      </c>
      <c r="C409" s="19"/>
      <c r="D409" s="19">
        <v>20727</v>
      </c>
      <c r="E409" s="36">
        <v>1999</v>
      </c>
      <c r="F409" s="19" t="s">
        <v>1224</v>
      </c>
      <c r="G409" s="19" t="s">
        <v>382</v>
      </c>
      <c r="H409" s="19"/>
      <c r="I409" s="35" t="s">
        <v>41</v>
      </c>
      <c r="J409" s="19" t="s">
        <v>89</v>
      </c>
      <c r="K409" s="19" t="s">
        <v>161</v>
      </c>
      <c r="L409" s="19" t="s">
        <v>82</v>
      </c>
      <c r="M409" s="19" t="s">
        <v>82</v>
      </c>
      <c r="N409" s="19" t="s">
        <v>66</v>
      </c>
      <c r="O409" s="19" t="s">
        <v>292</v>
      </c>
      <c r="P409" s="35" t="s">
        <v>51</v>
      </c>
      <c r="Q409" s="19"/>
      <c r="R409" s="19" t="s">
        <v>237</v>
      </c>
      <c r="S409" s="19" t="s">
        <v>79</v>
      </c>
      <c r="T409" s="19" t="s">
        <v>56</v>
      </c>
      <c r="U409" s="19">
        <v>30</v>
      </c>
      <c r="V409" s="19" t="s">
        <v>231</v>
      </c>
      <c r="W409" s="19" t="s">
        <v>46</v>
      </c>
      <c r="X409" s="29"/>
      <c r="Y409" s="19">
        <v>2100</v>
      </c>
      <c r="Z409" s="24">
        <f t="shared" si="15"/>
        <v>227.52687500678897</v>
      </c>
      <c r="AA409" s="19" t="s">
        <v>214</v>
      </c>
      <c r="AB409" s="19"/>
      <c r="AC409" s="35">
        <v>280</v>
      </c>
      <c r="AD409" s="35">
        <v>280</v>
      </c>
      <c r="AE409" s="19" t="s">
        <v>270</v>
      </c>
      <c r="AF409" s="19" t="s">
        <v>383</v>
      </c>
      <c r="AG409" s="19"/>
      <c r="AH409" s="19" t="s">
        <v>234</v>
      </c>
      <c r="AI409" s="19" t="s">
        <v>385</v>
      </c>
      <c r="AJ409" s="19" t="s">
        <v>270</v>
      </c>
      <c r="AK409" s="19" t="s">
        <v>234</v>
      </c>
      <c r="AL409" s="19" t="s">
        <v>90</v>
      </c>
      <c r="AM409" s="19" t="s">
        <v>386</v>
      </c>
    </row>
    <row r="410" spans="1:78" s="30" customFormat="1" ht="15.95" customHeight="1" x14ac:dyDescent="0.25">
      <c r="A410" s="18"/>
      <c r="B410" s="19">
        <v>194</v>
      </c>
      <c r="C410" s="19"/>
      <c r="D410" s="19">
        <v>20727</v>
      </c>
      <c r="E410" s="36">
        <v>1999</v>
      </c>
      <c r="F410" s="19" t="s">
        <v>1224</v>
      </c>
      <c r="G410" s="19" t="s">
        <v>382</v>
      </c>
      <c r="H410" s="19"/>
      <c r="I410" s="35" t="s">
        <v>41</v>
      </c>
      <c r="J410" s="19" t="s">
        <v>89</v>
      </c>
      <c r="K410" s="19" t="s">
        <v>161</v>
      </c>
      <c r="L410" s="19" t="s">
        <v>82</v>
      </c>
      <c r="M410" s="19" t="s">
        <v>82</v>
      </c>
      <c r="N410" s="19" t="s">
        <v>66</v>
      </c>
      <c r="O410" s="19" t="s">
        <v>292</v>
      </c>
      <c r="P410" s="35" t="s">
        <v>51</v>
      </c>
      <c r="Q410" s="19"/>
      <c r="R410" s="19" t="s">
        <v>237</v>
      </c>
      <c r="S410" s="19" t="s">
        <v>79</v>
      </c>
      <c r="T410" s="19" t="s">
        <v>56</v>
      </c>
      <c r="U410" s="19">
        <v>30</v>
      </c>
      <c r="V410" s="19" t="s">
        <v>231</v>
      </c>
      <c r="W410" s="19" t="s">
        <v>46</v>
      </c>
      <c r="X410" s="29"/>
      <c r="Y410" s="19">
        <v>2300</v>
      </c>
      <c r="Z410" s="24">
        <f t="shared" si="15"/>
        <v>249.1961011979117</v>
      </c>
      <c r="AA410" s="19" t="s">
        <v>214</v>
      </c>
      <c r="AB410" s="19"/>
      <c r="AC410" s="35">
        <v>280</v>
      </c>
      <c r="AD410" s="35">
        <v>280</v>
      </c>
      <c r="AE410" s="19" t="s">
        <v>270</v>
      </c>
      <c r="AF410" s="19" t="s">
        <v>383</v>
      </c>
      <c r="AG410" s="19"/>
      <c r="AH410" s="19" t="s">
        <v>234</v>
      </c>
      <c r="AI410" s="19" t="s">
        <v>385</v>
      </c>
      <c r="AJ410" s="19" t="s">
        <v>270</v>
      </c>
      <c r="AK410" s="19" t="s">
        <v>234</v>
      </c>
      <c r="AL410" s="19" t="s">
        <v>90</v>
      </c>
      <c r="AM410" s="19" t="s">
        <v>386</v>
      </c>
    </row>
    <row r="411" spans="1:78" s="53" customFormat="1" ht="15.95" customHeight="1" x14ac:dyDescent="0.25">
      <c r="A411" s="46"/>
      <c r="B411" s="47"/>
      <c r="C411" s="47"/>
      <c r="D411" s="47"/>
      <c r="E411" s="48"/>
      <c r="F411" s="47"/>
      <c r="G411" s="47"/>
      <c r="H411" s="47"/>
      <c r="I411" s="49"/>
      <c r="J411" s="47"/>
      <c r="K411" s="47"/>
      <c r="L411" s="47"/>
      <c r="M411" s="47"/>
      <c r="N411" s="47"/>
      <c r="O411" s="47"/>
      <c r="P411" s="49"/>
      <c r="Q411" s="47"/>
      <c r="R411" s="47"/>
      <c r="S411" s="47"/>
      <c r="T411" s="47"/>
      <c r="U411" s="47"/>
      <c r="V411" s="47"/>
      <c r="W411" s="47"/>
      <c r="X411" s="50"/>
      <c r="Y411" s="47">
        <f>GEOMEAN(Y396:Y410)</f>
        <v>2579.9034151696806</v>
      </c>
      <c r="Z411" s="51"/>
      <c r="AA411" s="47"/>
      <c r="AB411" s="47"/>
      <c r="AC411" s="49"/>
      <c r="AD411" s="49"/>
      <c r="AE411" s="47"/>
      <c r="AF411" s="47"/>
      <c r="AG411" s="47"/>
      <c r="AH411" s="47"/>
      <c r="AI411" s="47"/>
      <c r="AJ411" s="47"/>
      <c r="AK411" s="47"/>
      <c r="AL411" s="47"/>
      <c r="AM411" s="47"/>
      <c r="AN411" s="52"/>
      <c r="AO411" s="52"/>
      <c r="AP411" s="52"/>
      <c r="AQ411" s="52"/>
      <c r="AR411" s="52"/>
      <c r="AS411" s="52"/>
      <c r="AT411" s="52"/>
      <c r="AU411" s="52"/>
      <c r="AV411" s="52"/>
      <c r="AW411" s="52"/>
      <c r="AX411" s="52"/>
      <c r="AY411" s="52"/>
      <c r="AZ411" s="52"/>
      <c r="BA411" s="52"/>
      <c r="BB411" s="52"/>
      <c r="BC411" s="52"/>
      <c r="BD411" s="52"/>
      <c r="BE411" s="52"/>
      <c r="BF411" s="52"/>
      <c r="BG411" s="52"/>
      <c r="BH411" s="52"/>
      <c r="BI411" s="52"/>
      <c r="BJ411" s="52"/>
      <c r="BK411" s="52"/>
      <c r="BL411" s="52"/>
      <c r="BM411" s="52"/>
      <c r="BN411" s="52"/>
      <c r="BO411" s="52"/>
      <c r="BP411" s="52"/>
      <c r="BQ411" s="52"/>
      <c r="BR411" s="52"/>
      <c r="BS411" s="52"/>
      <c r="BT411" s="52"/>
      <c r="BU411" s="52"/>
      <c r="BV411" s="52"/>
      <c r="BW411" s="52"/>
      <c r="BX411" s="52"/>
      <c r="BY411" s="52"/>
      <c r="BZ411" s="52"/>
    </row>
  </sheetData>
  <sortState xmlns:xlrd2="http://schemas.microsoft.com/office/spreadsheetml/2017/richdata2" ref="A4:BZ392">
    <sortCondition ref="O4:O392"/>
    <sortCondition ref="U4:U392"/>
  </sortState>
  <conditionalFormatting sqref="W4:W211">
    <cfRule type="containsText" dxfId="8" priority="9" operator="containsText" text="Acute">
      <formula>NOT(ISERROR(SEARCH("Acute",W4)))</formula>
    </cfRule>
  </conditionalFormatting>
  <conditionalFormatting sqref="W229">
    <cfRule type="containsText" dxfId="7" priority="8" operator="containsText" text="Acute">
      <formula>NOT(ISERROR(SEARCH("Acute",W229)))</formula>
    </cfRule>
  </conditionalFormatting>
  <conditionalFormatting sqref="W255">
    <cfRule type="containsText" dxfId="6" priority="7" operator="containsText" text="Acute">
      <formula>NOT(ISERROR(SEARCH("Acute",W255)))</formula>
    </cfRule>
  </conditionalFormatting>
  <conditionalFormatting sqref="W291">
    <cfRule type="containsText" dxfId="5" priority="6" operator="containsText" text="Acute">
      <formula>NOT(ISERROR(SEARCH("Acute",W291)))</formula>
    </cfRule>
  </conditionalFormatting>
  <conditionalFormatting sqref="W320">
    <cfRule type="containsText" dxfId="4" priority="5" operator="containsText" text="Acute">
      <formula>NOT(ISERROR(SEARCH("Acute",W320)))</formula>
    </cfRule>
  </conditionalFormatting>
  <conditionalFormatting sqref="W358">
    <cfRule type="containsText" dxfId="3" priority="4" operator="containsText" text="Acute">
      <formula>NOT(ISERROR(SEARCH("Acute",W358)))</formula>
    </cfRule>
  </conditionalFormatting>
  <conditionalFormatting sqref="W379">
    <cfRule type="containsText" dxfId="2" priority="3" operator="containsText" text="Acute">
      <formula>NOT(ISERROR(SEARCH("Acute",W379)))</formula>
    </cfRule>
  </conditionalFormatting>
  <conditionalFormatting sqref="W395">
    <cfRule type="containsText" dxfId="1" priority="2" operator="containsText" text="Acute">
      <formula>NOT(ISERROR(SEARCH("Acute",W395)))</formula>
    </cfRule>
  </conditionalFormatting>
  <conditionalFormatting sqref="W411">
    <cfRule type="containsText" dxfId="0" priority="1" operator="containsText" text="Acute">
      <formula>NOT(ISERROR(SEARCH("Acute",W411)))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2:A224"/>
  <sheetViews>
    <sheetView workbookViewId="0"/>
  </sheetViews>
  <sheetFormatPr defaultColWidth="8.85546875" defaultRowHeight="15" x14ac:dyDescent="0.25"/>
  <sheetData>
    <row r="2" spans="1:1" x14ac:dyDescent="0.25">
      <c r="A2" s="21" t="s">
        <v>1265</v>
      </c>
    </row>
    <row r="3" spans="1:1" x14ac:dyDescent="0.25">
      <c r="A3" s="21" t="s">
        <v>1266</v>
      </c>
    </row>
    <row r="4" spans="1:1" x14ac:dyDescent="0.25">
      <c r="A4" s="21" t="s">
        <v>1267</v>
      </c>
    </row>
    <row r="5" spans="1:1" x14ac:dyDescent="0.25">
      <c r="A5" s="21" t="s">
        <v>1268</v>
      </c>
    </row>
    <row r="6" spans="1:1" x14ac:dyDescent="0.25">
      <c r="A6" s="21" t="s">
        <v>1269</v>
      </c>
    </row>
    <row r="7" spans="1:1" x14ac:dyDescent="0.25">
      <c r="A7" s="21" t="s">
        <v>1270</v>
      </c>
    </row>
    <row r="8" spans="1:1" x14ac:dyDescent="0.25">
      <c r="A8" s="21" t="s">
        <v>1271</v>
      </c>
    </row>
    <row r="9" spans="1:1" x14ac:dyDescent="0.25">
      <c r="A9" s="21" t="s">
        <v>1272</v>
      </c>
    </row>
    <row r="10" spans="1:1" x14ac:dyDescent="0.25">
      <c r="A10" s="21" t="s">
        <v>1273</v>
      </c>
    </row>
    <row r="11" spans="1:1" x14ac:dyDescent="0.25">
      <c r="A11" s="21" t="s">
        <v>1274</v>
      </c>
    </row>
    <row r="12" spans="1:1" x14ac:dyDescent="0.25">
      <c r="A12" s="21" t="s">
        <v>1275</v>
      </c>
    </row>
    <row r="13" spans="1:1" x14ac:dyDescent="0.25">
      <c r="A13" s="21" t="s">
        <v>1276</v>
      </c>
    </row>
    <row r="14" spans="1:1" x14ac:dyDescent="0.25">
      <c r="A14" s="21" t="s">
        <v>1277</v>
      </c>
    </row>
    <row r="15" spans="1:1" x14ac:dyDescent="0.25">
      <c r="A15" s="21" t="s">
        <v>1278</v>
      </c>
    </row>
    <row r="16" spans="1:1" x14ac:dyDescent="0.25">
      <c r="A16" s="21" t="s">
        <v>1279</v>
      </c>
    </row>
    <row r="17" spans="1:1" x14ac:dyDescent="0.25">
      <c r="A17" s="21" t="s">
        <v>1280</v>
      </c>
    </row>
    <row r="18" spans="1:1" x14ac:dyDescent="0.25">
      <c r="A18" s="21" t="s">
        <v>1281</v>
      </c>
    </row>
    <row r="19" spans="1:1" x14ac:dyDescent="0.25">
      <c r="A19" s="21" t="s">
        <v>1282</v>
      </c>
    </row>
    <row r="20" spans="1:1" x14ac:dyDescent="0.25">
      <c r="A20" s="21"/>
    </row>
    <row r="21" spans="1:1" x14ac:dyDescent="0.25">
      <c r="A21" s="21">
        <v>2852</v>
      </c>
    </row>
    <row r="22" spans="1:1" x14ac:dyDescent="0.25">
      <c r="A22" s="21">
        <v>3265</v>
      </c>
    </row>
    <row r="23" spans="1:1" x14ac:dyDescent="0.25">
      <c r="A23" s="21">
        <v>3977</v>
      </c>
    </row>
    <row r="24" spans="1:1" x14ac:dyDescent="0.25">
      <c r="A24" s="21">
        <v>4512</v>
      </c>
    </row>
    <row r="25" spans="1:1" x14ac:dyDescent="0.25">
      <c r="A25" s="21">
        <v>6973</v>
      </c>
    </row>
    <row r="26" spans="1:1" x14ac:dyDescent="0.25">
      <c r="A26" s="21">
        <v>7568</v>
      </c>
    </row>
    <row r="27" spans="1:1" x14ac:dyDescent="0.25">
      <c r="A27" s="21">
        <v>8695</v>
      </c>
    </row>
    <row r="28" spans="1:1" x14ac:dyDescent="0.25">
      <c r="A28" s="21">
        <v>10515</v>
      </c>
    </row>
    <row r="29" spans="1:1" x14ac:dyDescent="0.25">
      <c r="A29" s="21">
        <v>14043</v>
      </c>
    </row>
    <row r="30" spans="1:1" x14ac:dyDescent="0.25">
      <c r="A30" s="21">
        <v>14907</v>
      </c>
    </row>
    <row r="31" spans="1:1" x14ac:dyDescent="0.25">
      <c r="A31" s="21">
        <v>16488</v>
      </c>
    </row>
    <row r="32" spans="1:1" x14ac:dyDescent="0.25">
      <c r="A32" s="21">
        <v>16506</v>
      </c>
    </row>
    <row r="33" spans="1:1" x14ac:dyDescent="0.25">
      <c r="A33" s="21">
        <v>16698</v>
      </c>
    </row>
    <row r="34" spans="1:1" x14ac:dyDescent="0.25">
      <c r="A34" s="21">
        <v>16945</v>
      </c>
    </row>
    <row r="35" spans="1:1" x14ac:dyDescent="0.25">
      <c r="A35" s="21">
        <v>17334</v>
      </c>
    </row>
    <row r="36" spans="1:1" x14ac:dyDescent="0.25">
      <c r="A36" s="21">
        <v>17365</v>
      </c>
    </row>
    <row r="37" spans="1:1" x14ac:dyDescent="0.25">
      <c r="A37" s="21">
        <v>17743</v>
      </c>
    </row>
    <row r="38" spans="1:1" x14ac:dyDescent="0.25">
      <c r="A38" s="21">
        <v>18008</v>
      </c>
    </row>
    <row r="39" spans="1:1" x14ac:dyDescent="0.25">
      <c r="A39" s="21">
        <v>18392</v>
      </c>
    </row>
    <row r="40" spans="1:1" x14ac:dyDescent="0.25">
      <c r="A40" s="21">
        <v>18447</v>
      </c>
    </row>
    <row r="41" spans="1:1" x14ac:dyDescent="0.25">
      <c r="A41" s="21">
        <v>18646</v>
      </c>
    </row>
    <row r="42" spans="1:1" x14ac:dyDescent="0.25">
      <c r="A42" s="21">
        <v>19367</v>
      </c>
    </row>
    <row r="43" spans="1:1" x14ac:dyDescent="0.25">
      <c r="A43" s="21">
        <v>19649</v>
      </c>
    </row>
    <row r="44" spans="1:1" x14ac:dyDescent="0.25">
      <c r="A44" s="21">
        <v>19809</v>
      </c>
    </row>
    <row r="45" spans="1:1" x14ac:dyDescent="0.25">
      <c r="A45" s="21">
        <v>19852</v>
      </c>
    </row>
    <row r="46" spans="1:1" x14ac:dyDescent="0.25">
      <c r="A46" s="21">
        <v>20435</v>
      </c>
    </row>
    <row r="47" spans="1:1" x14ac:dyDescent="0.25">
      <c r="A47" s="21">
        <v>20727</v>
      </c>
    </row>
    <row r="48" spans="1:1" x14ac:dyDescent="0.25">
      <c r="A48" s="21">
        <v>45063</v>
      </c>
    </row>
    <row r="49" spans="1:1" x14ac:dyDescent="0.25">
      <c r="A49" s="21">
        <v>45196</v>
      </c>
    </row>
    <row r="50" spans="1:1" x14ac:dyDescent="0.25">
      <c r="A50" s="21">
        <v>45211</v>
      </c>
    </row>
    <row r="51" spans="1:1" x14ac:dyDescent="0.25">
      <c r="A51" s="21">
        <v>45212</v>
      </c>
    </row>
    <row r="52" spans="1:1" x14ac:dyDescent="0.25">
      <c r="A52" s="21">
        <v>46947</v>
      </c>
    </row>
    <row r="53" spans="1:1" x14ac:dyDescent="0.25">
      <c r="A53" s="21">
        <v>48134</v>
      </c>
    </row>
    <row r="54" spans="1:1" x14ac:dyDescent="0.25">
      <c r="A54" s="21">
        <v>50470</v>
      </c>
    </row>
    <row r="55" spans="1:1" x14ac:dyDescent="0.25">
      <c r="A55" s="21">
        <v>52981</v>
      </c>
    </row>
    <row r="56" spans="1:1" x14ac:dyDescent="0.25">
      <c r="A56" s="21">
        <v>53032</v>
      </c>
    </row>
    <row r="57" spans="1:1" x14ac:dyDescent="0.25">
      <c r="A57" s="21">
        <v>54608</v>
      </c>
    </row>
    <row r="58" spans="1:1" x14ac:dyDescent="0.25">
      <c r="A58" s="21">
        <v>55838</v>
      </c>
    </row>
    <row r="59" spans="1:1" x14ac:dyDescent="0.25">
      <c r="A59" s="21">
        <v>59235</v>
      </c>
    </row>
    <row r="60" spans="1:1" x14ac:dyDescent="0.25">
      <c r="A60" s="21">
        <v>59263</v>
      </c>
    </row>
    <row r="61" spans="1:1" x14ac:dyDescent="0.25">
      <c r="A61" s="21">
        <v>59272</v>
      </c>
    </row>
    <row r="62" spans="1:1" x14ac:dyDescent="0.25">
      <c r="A62" s="21">
        <v>59931</v>
      </c>
    </row>
    <row r="63" spans="1:1" x14ac:dyDescent="0.25">
      <c r="A63" s="21">
        <v>60073</v>
      </c>
    </row>
    <row r="64" spans="1:1" x14ac:dyDescent="0.25">
      <c r="A64" s="21">
        <v>60097</v>
      </c>
    </row>
    <row r="65" spans="1:1" x14ac:dyDescent="0.25">
      <c r="A65" s="21">
        <v>60114</v>
      </c>
    </row>
    <row r="66" spans="1:1" x14ac:dyDescent="0.25">
      <c r="A66" s="21">
        <v>61029</v>
      </c>
    </row>
    <row r="67" spans="1:1" x14ac:dyDescent="0.25">
      <c r="A67" s="21">
        <v>61447</v>
      </c>
    </row>
    <row r="68" spans="1:1" x14ac:dyDescent="0.25">
      <c r="A68" s="21">
        <v>61874</v>
      </c>
    </row>
    <row r="69" spans="1:1" x14ac:dyDescent="0.25">
      <c r="A69" s="21">
        <v>61964</v>
      </c>
    </row>
    <row r="70" spans="1:1" x14ac:dyDescent="0.25">
      <c r="A70" s="21">
        <v>62146</v>
      </c>
    </row>
    <row r="71" spans="1:1" x14ac:dyDescent="0.25">
      <c r="A71" s="21">
        <v>62308</v>
      </c>
    </row>
    <row r="72" spans="1:1" x14ac:dyDescent="0.25">
      <c r="A72" s="21">
        <v>62311</v>
      </c>
    </row>
    <row r="73" spans="1:1" x14ac:dyDescent="0.25">
      <c r="A73" s="21">
        <v>62445</v>
      </c>
    </row>
    <row r="74" spans="1:1" x14ac:dyDescent="0.25">
      <c r="A74" s="21">
        <v>62445</v>
      </c>
    </row>
    <row r="75" spans="1:1" x14ac:dyDescent="0.25">
      <c r="A75" s="21">
        <v>62469</v>
      </c>
    </row>
    <row r="76" spans="1:1" x14ac:dyDescent="0.25">
      <c r="A76" s="21">
        <v>62491</v>
      </c>
    </row>
    <row r="77" spans="1:1" x14ac:dyDescent="0.25">
      <c r="A77" s="21">
        <v>65745</v>
      </c>
    </row>
    <row r="78" spans="1:1" x14ac:dyDescent="0.25">
      <c r="A78" s="21">
        <v>65745</v>
      </c>
    </row>
    <row r="79" spans="1:1" x14ac:dyDescent="0.25">
      <c r="A79" s="21">
        <v>66305</v>
      </c>
    </row>
    <row r="80" spans="1:1" x14ac:dyDescent="0.25">
      <c r="A80" s="21">
        <v>67044</v>
      </c>
    </row>
    <row r="81" spans="1:1" x14ac:dyDescent="0.25">
      <c r="A81" s="21">
        <v>67484</v>
      </c>
    </row>
    <row r="82" spans="1:1" x14ac:dyDescent="0.25">
      <c r="A82" s="21">
        <v>67484</v>
      </c>
    </row>
    <row r="83" spans="1:1" x14ac:dyDescent="0.25">
      <c r="A83" s="21">
        <v>67700</v>
      </c>
    </row>
    <row r="84" spans="1:1" x14ac:dyDescent="0.25">
      <c r="A84" s="21">
        <v>68220</v>
      </c>
    </row>
    <row r="85" spans="1:1" x14ac:dyDescent="0.25">
      <c r="A85" s="21">
        <v>68304</v>
      </c>
    </row>
    <row r="86" spans="1:1" x14ac:dyDescent="0.25">
      <c r="A86" s="21">
        <v>68928</v>
      </c>
    </row>
    <row r="87" spans="1:1" x14ac:dyDescent="0.25">
      <c r="A87" s="21">
        <v>69554</v>
      </c>
    </row>
    <row r="88" spans="1:1" x14ac:dyDescent="0.25">
      <c r="A88" s="21">
        <v>71724</v>
      </c>
    </row>
    <row r="89" spans="1:1" x14ac:dyDescent="0.25">
      <c r="A89" s="21">
        <v>71839</v>
      </c>
    </row>
    <row r="90" spans="1:1" x14ac:dyDescent="0.25">
      <c r="A90" s="21">
        <v>71981</v>
      </c>
    </row>
    <row r="91" spans="1:1" x14ac:dyDescent="0.25">
      <c r="A91" s="21">
        <v>72600</v>
      </c>
    </row>
    <row r="92" spans="1:1" x14ac:dyDescent="0.25">
      <c r="A92" s="21">
        <v>72990</v>
      </c>
    </row>
    <row r="93" spans="1:1" x14ac:dyDescent="0.25">
      <c r="A93" s="21">
        <v>74316</v>
      </c>
    </row>
    <row r="94" spans="1:1" x14ac:dyDescent="0.25">
      <c r="A94" s="21">
        <v>74985</v>
      </c>
    </row>
    <row r="95" spans="1:1" x14ac:dyDescent="0.25">
      <c r="A95" s="21">
        <v>75379</v>
      </c>
    </row>
    <row r="96" spans="1:1" x14ac:dyDescent="0.25">
      <c r="A96" s="21">
        <v>75850</v>
      </c>
    </row>
    <row r="97" spans="1:1" x14ac:dyDescent="0.25">
      <c r="A97" s="21">
        <v>76336</v>
      </c>
    </row>
    <row r="98" spans="1:1" x14ac:dyDescent="0.25">
      <c r="A98" s="21">
        <v>76336</v>
      </c>
    </row>
    <row r="99" spans="1:1" x14ac:dyDescent="0.25">
      <c r="A99" s="21">
        <v>76355</v>
      </c>
    </row>
    <row r="100" spans="1:1" x14ac:dyDescent="0.25">
      <c r="A100" s="21">
        <v>77563</v>
      </c>
    </row>
    <row r="101" spans="1:1" x14ac:dyDescent="0.25">
      <c r="A101" s="21">
        <v>77767</v>
      </c>
    </row>
    <row r="102" spans="1:1" x14ac:dyDescent="0.25">
      <c r="A102" s="21">
        <v>80006</v>
      </c>
    </row>
    <row r="103" spans="1:1" x14ac:dyDescent="0.25">
      <c r="A103" s="21">
        <v>80818</v>
      </c>
    </row>
    <row r="104" spans="1:1" x14ac:dyDescent="0.25">
      <c r="A104" s="21">
        <v>80935</v>
      </c>
    </row>
    <row r="105" spans="1:1" x14ac:dyDescent="0.25">
      <c r="A105" s="21">
        <v>82986</v>
      </c>
    </row>
    <row r="106" spans="1:1" x14ac:dyDescent="0.25">
      <c r="A106" s="21">
        <v>83022</v>
      </c>
    </row>
    <row r="107" spans="1:1" x14ac:dyDescent="0.25">
      <c r="A107" s="21">
        <v>83888</v>
      </c>
    </row>
    <row r="108" spans="1:1" x14ac:dyDescent="0.25">
      <c r="A108" s="21">
        <v>84040</v>
      </c>
    </row>
    <row r="109" spans="1:1" x14ac:dyDescent="0.25">
      <c r="A109" s="21">
        <v>84045</v>
      </c>
    </row>
    <row r="110" spans="1:1" x14ac:dyDescent="0.25">
      <c r="A110" s="21">
        <v>84051</v>
      </c>
    </row>
    <row r="111" spans="1:1" x14ac:dyDescent="0.25">
      <c r="A111" s="21">
        <v>84052</v>
      </c>
    </row>
    <row r="112" spans="1:1" x14ac:dyDescent="0.25">
      <c r="A112" s="21">
        <v>84053</v>
      </c>
    </row>
    <row r="113" spans="1:1" x14ac:dyDescent="0.25">
      <c r="A113" s="21">
        <v>84071</v>
      </c>
    </row>
    <row r="114" spans="1:1" x14ac:dyDescent="0.25">
      <c r="A114" s="21">
        <v>84082</v>
      </c>
    </row>
    <row r="115" spans="1:1" x14ac:dyDescent="0.25">
      <c r="A115" s="21">
        <v>84088</v>
      </c>
    </row>
    <row r="116" spans="1:1" x14ac:dyDescent="0.25">
      <c r="A116" s="21">
        <v>84089</v>
      </c>
    </row>
    <row r="117" spans="1:1" x14ac:dyDescent="0.25">
      <c r="A117" s="21">
        <v>84090</v>
      </c>
    </row>
    <row r="118" spans="1:1" x14ac:dyDescent="0.25">
      <c r="A118" s="21">
        <v>84097</v>
      </c>
    </row>
    <row r="119" spans="1:1" x14ac:dyDescent="0.25">
      <c r="A119" s="21">
        <v>84103</v>
      </c>
    </row>
    <row r="120" spans="1:1" x14ac:dyDescent="0.25">
      <c r="A120" s="21">
        <v>84113</v>
      </c>
    </row>
    <row r="121" spans="1:1" x14ac:dyDescent="0.25">
      <c r="A121" s="21">
        <v>84115</v>
      </c>
    </row>
    <row r="122" spans="1:1" x14ac:dyDescent="0.25">
      <c r="A122" s="21">
        <v>84119</v>
      </c>
    </row>
    <row r="123" spans="1:1" x14ac:dyDescent="0.25">
      <c r="A123" s="21">
        <v>87919</v>
      </c>
    </row>
    <row r="124" spans="1:1" x14ac:dyDescent="0.25">
      <c r="A124" s="21">
        <v>90601</v>
      </c>
    </row>
    <row r="125" spans="1:1" x14ac:dyDescent="0.25">
      <c r="A125" s="21">
        <v>96513</v>
      </c>
    </row>
    <row r="126" spans="1:1" x14ac:dyDescent="0.25">
      <c r="A126" s="21">
        <v>97671</v>
      </c>
    </row>
    <row r="127" spans="1:1" x14ac:dyDescent="0.25">
      <c r="A127" s="21">
        <v>97672</v>
      </c>
    </row>
    <row r="128" spans="1:1" x14ac:dyDescent="0.25">
      <c r="A128" s="21">
        <v>99981</v>
      </c>
    </row>
    <row r="129" spans="1:1" x14ac:dyDescent="0.25">
      <c r="A129" s="21">
        <v>100006</v>
      </c>
    </row>
    <row r="130" spans="1:1" x14ac:dyDescent="0.25">
      <c r="A130" s="21">
        <v>100026</v>
      </c>
    </row>
    <row r="131" spans="1:1" x14ac:dyDescent="0.25">
      <c r="A131" s="21">
        <v>100037</v>
      </c>
    </row>
    <row r="132" spans="1:1" x14ac:dyDescent="0.25">
      <c r="A132" s="21">
        <v>100038</v>
      </c>
    </row>
    <row r="133" spans="1:1" x14ac:dyDescent="0.25">
      <c r="A133" s="21">
        <v>100042</v>
      </c>
    </row>
    <row r="134" spans="1:1" x14ac:dyDescent="0.25">
      <c r="A134" s="21">
        <v>100042</v>
      </c>
    </row>
    <row r="135" spans="1:1" x14ac:dyDescent="0.25">
      <c r="A135" s="21">
        <v>100816</v>
      </c>
    </row>
    <row r="136" spans="1:1" x14ac:dyDescent="0.25">
      <c r="A136" s="21">
        <v>100816</v>
      </c>
    </row>
    <row r="137" spans="1:1" x14ac:dyDescent="0.25">
      <c r="A137" s="21">
        <v>101709</v>
      </c>
    </row>
    <row r="138" spans="1:1" x14ac:dyDescent="0.25">
      <c r="A138" s="21">
        <v>101773</v>
      </c>
    </row>
    <row r="139" spans="1:1" x14ac:dyDescent="0.25">
      <c r="A139" s="21">
        <v>101775</v>
      </c>
    </row>
    <row r="140" spans="1:1" x14ac:dyDescent="0.25">
      <c r="A140" s="21">
        <v>101775</v>
      </c>
    </row>
    <row r="141" spans="1:1" x14ac:dyDescent="0.25">
      <c r="A141" s="21">
        <v>101779</v>
      </c>
    </row>
    <row r="142" spans="1:1" x14ac:dyDescent="0.25">
      <c r="A142" s="21">
        <v>101779</v>
      </c>
    </row>
    <row r="143" spans="1:1" x14ac:dyDescent="0.25">
      <c r="A143" s="21">
        <v>101782</v>
      </c>
    </row>
    <row r="144" spans="1:1" x14ac:dyDescent="0.25">
      <c r="A144" s="21">
        <v>101817</v>
      </c>
    </row>
    <row r="145" spans="1:1" x14ac:dyDescent="0.25">
      <c r="A145" s="21">
        <v>101818</v>
      </c>
    </row>
    <row r="146" spans="1:1" x14ac:dyDescent="0.25">
      <c r="A146" s="21">
        <v>101818</v>
      </c>
    </row>
    <row r="147" spans="1:1" x14ac:dyDescent="0.25">
      <c r="A147" s="21">
        <v>101819</v>
      </c>
    </row>
    <row r="148" spans="1:1" x14ac:dyDescent="0.25">
      <c r="A148" s="21">
        <v>101819</v>
      </c>
    </row>
    <row r="149" spans="1:1" x14ac:dyDescent="0.25">
      <c r="A149" s="21">
        <v>101821</v>
      </c>
    </row>
    <row r="150" spans="1:1" x14ac:dyDescent="0.25">
      <c r="A150" s="21">
        <v>101821</v>
      </c>
    </row>
    <row r="151" spans="1:1" x14ac:dyDescent="0.25">
      <c r="A151" s="21">
        <v>101827</v>
      </c>
    </row>
    <row r="152" spans="1:1" x14ac:dyDescent="0.25">
      <c r="A152" s="21">
        <v>101832</v>
      </c>
    </row>
    <row r="153" spans="1:1" x14ac:dyDescent="0.25">
      <c r="A153" s="21">
        <v>101840</v>
      </c>
    </row>
    <row r="154" spans="1:1" x14ac:dyDescent="0.25">
      <c r="A154" s="21">
        <v>101846</v>
      </c>
    </row>
    <row r="155" spans="1:1" x14ac:dyDescent="0.25">
      <c r="A155" s="21">
        <v>101846</v>
      </c>
    </row>
    <row r="156" spans="1:1" x14ac:dyDescent="0.25">
      <c r="A156" s="21">
        <v>101878</v>
      </c>
    </row>
    <row r="157" spans="1:1" x14ac:dyDescent="0.25">
      <c r="A157" s="21">
        <v>101880</v>
      </c>
    </row>
    <row r="158" spans="1:1" x14ac:dyDescent="0.25">
      <c r="A158" s="21">
        <v>101880</v>
      </c>
    </row>
    <row r="159" spans="1:1" x14ac:dyDescent="0.25">
      <c r="A159" s="21">
        <v>101885</v>
      </c>
    </row>
    <row r="160" spans="1:1" x14ac:dyDescent="0.25">
      <c r="A160" s="21">
        <v>102216</v>
      </c>
    </row>
    <row r="161" spans="1:1" x14ac:dyDescent="0.25">
      <c r="A161" s="21">
        <v>104269</v>
      </c>
    </row>
    <row r="162" spans="1:1" x14ac:dyDescent="0.25">
      <c r="A162" s="21">
        <v>104269</v>
      </c>
    </row>
    <row r="163" spans="1:1" x14ac:dyDescent="0.25">
      <c r="A163" s="21">
        <v>104760</v>
      </c>
    </row>
    <row r="164" spans="1:1" x14ac:dyDescent="0.25">
      <c r="A164" s="21">
        <v>104819</v>
      </c>
    </row>
    <row r="165" spans="1:1" x14ac:dyDescent="0.25">
      <c r="A165" s="21">
        <v>104860</v>
      </c>
    </row>
    <row r="166" spans="1:1" x14ac:dyDescent="0.25">
      <c r="A166" s="21">
        <v>106851</v>
      </c>
    </row>
    <row r="167" spans="1:1" x14ac:dyDescent="0.25">
      <c r="A167" s="21">
        <v>106851</v>
      </c>
    </row>
    <row r="168" spans="1:1" x14ac:dyDescent="0.25">
      <c r="A168" s="21">
        <v>110332</v>
      </c>
    </row>
    <row r="169" spans="1:1" x14ac:dyDescent="0.25">
      <c r="A169" s="21">
        <v>111296</v>
      </c>
    </row>
    <row r="170" spans="1:1" x14ac:dyDescent="0.25">
      <c r="A170" s="21">
        <v>111766</v>
      </c>
    </row>
    <row r="171" spans="1:1" x14ac:dyDescent="0.25">
      <c r="A171" s="21">
        <v>111766</v>
      </c>
    </row>
    <row r="172" spans="1:1" x14ac:dyDescent="0.25">
      <c r="A172" s="21">
        <v>112714</v>
      </c>
    </row>
    <row r="173" spans="1:1" x14ac:dyDescent="0.25">
      <c r="A173" s="21">
        <v>112781</v>
      </c>
    </row>
    <row r="174" spans="1:1" x14ac:dyDescent="0.25">
      <c r="A174" s="21">
        <v>112781</v>
      </c>
    </row>
    <row r="175" spans="1:1" x14ac:dyDescent="0.25">
      <c r="A175" s="21">
        <v>113000</v>
      </c>
    </row>
    <row r="176" spans="1:1" x14ac:dyDescent="0.25">
      <c r="A176" s="21">
        <v>113000</v>
      </c>
    </row>
    <row r="177" spans="1:1" x14ac:dyDescent="0.25">
      <c r="A177" s="21">
        <v>113958</v>
      </c>
    </row>
    <row r="178" spans="1:1" x14ac:dyDescent="0.25">
      <c r="A178" s="21">
        <v>113958</v>
      </c>
    </row>
    <row r="179" spans="1:1" x14ac:dyDescent="0.25">
      <c r="A179" s="21">
        <v>115303</v>
      </c>
    </row>
    <row r="180" spans="1:1" x14ac:dyDescent="0.25">
      <c r="A180" s="21">
        <v>115303</v>
      </c>
    </row>
    <row r="181" spans="1:1" x14ac:dyDescent="0.25">
      <c r="A181" s="21">
        <v>115699</v>
      </c>
    </row>
    <row r="182" spans="1:1" x14ac:dyDescent="0.25">
      <c r="A182" s="21">
        <v>115699</v>
      </c>
    </row>
    <row r="183" spans="1:1" x14ac:dyDescent="0.25">
      <c r="A183" s="21">
        <v>115778</v>
      </c>
    </row>
    <row r="184" spans="1:1" x14ac:dyDescent="0.25">
      <c r="A184" s="21">
        <v>115778</v>
      </c>
    </row>
    <row r="185" spans="1:1" x14ac:dyDescent="0.25">
      <c r="A185" s="21">
        <v>116292</v>
      </c>
    </row>
    <row r="186" spans="1:1" x14ac:dyDescent="0.25">
      <c r="A186" s="21">
        <v>116292</v>
      </c>
    </row>
    <row r="187" spans="1:1" x14ac:dyDescent="0.25">
      <c r="A187" s="21">
        <v>116817</v>
      </c>
    </row>
    <row r="188" spans="1:1" x14ac:dyDescent="0.25">
      <c r="A188" s="21">
        <v>116817</v>
      </c>
    </row>
    <row r="189" spans="1:1" x14ac:dyDescent="0.25">
      <c r="A189" s="21">
        <v>117667</v>
      </c>
    </row>
    <row r="190" spans="1:1" x14ac:dyDescent="0.25">
      <c r="A190" s="21">
        <v>117667</v>
      </c>
    </row>
    <row r="191" spans="1:1" x14ac:dyDescent="0.25">
      <c r="A191" s="21">
        <v>117718</v>
      </c>
    </row>
    <row r="192" spans="1:1" x14ac:dyDescent="0.25">
      <c r="A192" s="21">
        <v>117718</v>
      </c>
    </row>
    <row r="193" spans="1:1" x14ac:dyDescent="0.25">
      <c r="A193" s="21">
        <v>118322</v>
      </c>
    </row>
    <row r="194" spans="1:1" x14ac:dyDescent="0.25">
      <c r="A194" s="21">
        <v>118322</v>
      </c>
    </row>
    <row r="195" spans="1:1" x14ac:dyDescent="0.25">
      <c r="A195" s="21">
        <v>155026</v>
      </c>
    </row>
    <row r="196" spans="1:1" x14ac:dyDescent="0.25">
      <c r="A196" s="21">
        <v>155026</v>
      </c>
    </row>
    <row r="197" spans="1:1" x14ac:dyDescent="0.25">
      <c r="A197" s="21">
        <v>156324</v>
      </c>
    </row>
    <row r="198" spans="1:1" x14ac:dyDescent="0.25">
      <c r="A198" s="21">
        <v>156324</v>
      </c>
    </row>
    <row r="199" spans="1:1" x14ac:dyDescent="0.25">
      <c r="A199" s="21">
        <v>158439</v>
      </c>
    </row>
    <row r="200" spans="1:1" x14ac:dyDescent="0.25">
      <c r="A200" s="21">
        <v>159422</v>
      </c>
    </row>
    <row r="201" spans="1:1" x14ac:dyDescent="0.25">
      <c r="A201" s="21">
        <v>160820</v>
      </c>
    </row>
    <row r="202" spans="1:1" x14ac:dyDescent="0.25">
      <c r="A202" s="21">
        <v>160820</v>
      </c>
    </row>
    <row r="203" spans="1:1" x14ac:dyDescent="0.25">
      <c r="A203" s="21">
        <v>161189</v>
      </c>
    </row>
    <row r="204" spans="1:1" x14ac:dyDescent="0.25">
      <c r="A204" s="21">
        <v>161189</v>
      </c>
    </row>
    <row r="205" spans="1:1" x14ac:dyDescent="0.25">
      <c r="A205" s="21">
        <v>161496</v>
      </c>
    </row>
    <row r="206" spans="1:1" x14ac:dyDescent="0.25">
      <c r="A206" s="21">
        <v>161496</v>
      </c>
    </row>
    <row r="207" spans="1:1" x14ac:dyDescent="0.25">
      <c r="A207" s="21">
        <v>163332</v>
      </c>
    </row>
    <row r="208" spans="1:1" x14ac:dyDescent="0.25">
      <c r="A208" s="21">
        <v>163332</v>
      </c>
    </row>
    <row r="209" spans="1:1" x14ac:dyDescent="0.25">
      <c r="A209" s="21">
        <v>164647</v>
      </c>
    </row>
    <row r="210" spans="1:1" x14ac:dyDescent="0.25">
      <c r="A210" s="21">
        <v>164647</v>
      </c>
    </row>
    <row r="211" spans="1:1" x14ac:dyDescent="0.25">
      <c r="A211" s="21">
        <v>165080</v>
      </c>
    </row>
    <row r="212" spans="1:1" x14ac:dyDescent="0.25">
      <c r="A212" s="21">
        <v>165080</v>
      </c>
    </row>
    <row r="213" spans="1:1" x14ac:dyDescent="0.25">
      <c r="A213" s="21">
        <v>165793</v>
      </c>
    </row>
    <row r="214" spans="1:1" x14ac:dyDescent="0.25">
      <c r="A214" s="21">
        <v>166615</v>
      </c>
    </row>
    <row r="215" spans="1:1" x14ac:dyDescent="0.25">
      <c r="A215" s="21">
        <v>166615</v>
      </c>
    </row>
    <row r="216" spans="1:1" x14ac:dyDescent="0.25">
      <c r="A216" s="21">
        <v>169176</v>
      </c>
    </row>
    <row r="217" spans="1:1" x14ac:dyDescent="0.25">
      <c r="A217" s="21">
        <v>169219</v>
      </c>
    </row>
    <row r="218" spans="1:1" x14ac:dyDescent="0.25">
      <c r="A218" s="21">
        <v>169219</v>
      </c>
    </row>
    <row r="219" spans="1:1" x14ac:dyDescent="0.25">
      <c r="A219" s="21">
        <v>169502</v>
      </c>
    </row>
    <row r="220" spans="1:1" x14ac:dyDescent="0.25">
      <c r="A220" s="21">
        <v>169502</v>
      </c>
    </row>
    <row r="221" spans="1:1" x14ac:dyDescent="0.25">
      <c r="A221" s="21">
        <v>169735</v>
      </c>
    </row>
    <row r="222" spans="1:1" x14ac:dyDescent="0.25">
      <c r="A222" s="21">
        <v>169735</v>
      </c>
    </row>
    <row r="223" spans="1:1" x14ac:dyDescent="0.25">
      <c r="A223" s="21">
        <v>169998</v>
      </c>
    </row>
    <row r="224" spans="1:1" x14ac:dyDescent="0.25">
      <c r="A224" s="21">
        <v>169998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A4F77836BB3D4E8942C3BA8310D952" ma:contentTypeVersion="15" ma:contentTypeDescription="Create a new document." ma:contentTypeScope="" ma:versionID="6e48aec5def834d40ec44ff6c92fbf08">
  <xsd:schema xmlns:xsd="http://www.w3.org/2001/XMLSchema" xmlns:xs="http://www.w3.org/2001/XMLSchema" xmlns:p="http://schemas.microsoft.com/office/2006/metadata/properties" xmlns:ns2="b98728ac-f998-415c-abee-6b046fb1441e" xmlns:ns3="81c01dc6-2c49-4730-b140-874c95cac377" xmlns:ns4="d869c146-c82e-4435-92e4-da91542262fd" targetNamespace="http://schemas.microsoft.com/office/2006/metadata/properties" ma:root="true" ma:fieldsID="987a2097c9261067d7968c54a9b0e15b" ns2:_="" ns3:_="" ns4:_="">
    <xsd:import namespace="b98728ac-f998-415c-abee-6b046fb1441e"/>
    <xsd:import namespace="81c01dc6-2c49-4730-b140-874c95cac377"/>
    <xsd:import namespace="d869c146-c82e-4435-92e4-da91542262f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4:SharedWithUsers" minOccurs="0"/>
                <xsd:element ref="ns4:SharedWithDetails" minOccurs="0"/>
                <xsd:element ref="ns2:MediaServiceLocation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8728ac-f998-415c-abee-6b046fb1441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7881b4ab-c2b0-4b32-8bb7-29fb05a8de7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c01dc6-2c49-4730-b140-874c95cac377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636b5be2-cf4e-43ec-8734-a0fb5251e776}" ma:internalName="TaxCatchAll" ma:showField="CatchAllData" ma:web="d869c146-c82e-4435-92e4-da91542262f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69c146-c82e-4435-92e4-da91542262f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98728ac-f998-415c-abee-6b046fb1441e">
      <Terms xmlns="http://schemas.microsoft.com/office/infopath/2007/PartnerControls"/>
    </lcf76f155ced4ddcb4097134ff3c332f>
    <TaxCatchAll xmlns="81c01dc6-2c49-4730-b140-874c95cac377" xsi:nil="true"/>
  </documentManagement>
</p:properties>
</file>

<file path=customXml/itemProps1.xml><?xml version="1.0" encoding="utf-8"?>
<ds:datastoreItem xmlns:ds="http://schemas.openxmlformats.org/officeDocument/2006/customXml" ds:itemID="{505E1682-C4F1-4FCA-8987-C6AA5EEE137B}"/>
</file>

<file path=customXml/itemProps2.xml><?xml version="1.0" encoding="utf-8"?>
<ds:datastoreItem xmlns:ds="http://schemas.openxmlformats.org/officeDocument/2006/customXml" ds:itemID="{EC0D7FF1-AE08-4712-9342-8EC85535AB0C}"/>
</file>

<file path=customXml/itemProps3.xml><?xml version="1.0" encoding="utf-8"?>
<ds:datastoreItem xmlns:ds="http://schemas.openxmlformats.org/officeDocument/2006/customXml" ds:itemID="{C9C02170-52A5-4366-BFEC-2C3F2BBF53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READ THIS</vt:lpstr>
      <vt:lpstr>Database_All</vt:lpstr>
      <vt:lpstr>Screened_EC10_NOECs</vt:lpstr>
      <vt:lpstr>PassedQA+MeetsMLRrange</vt:lpstr>
      <vt:lpstr>PreferredStat</vt:lpstr>
      <vt:lpstr>Conversion factors</vt:lpstr>
      <vt:lpstr>ForWordDoc</vt:lpstr>
      <vt:lpstr>Stubblefield data</vt:lpstr>
      <vt:lpstr>Sheet1</vt:lpstr>
      <vt:lpstr>Zn conversion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Zinc in freshwater, Toxicant default guideline values for protecting aquatic ecosystems, data table</dc:title>
  <dc:creator>Australian and New Zealand Guidelines for Fresh and Marine Water Quality</dc:creator>
  <cp:lastModifiedBy>Durack, Bec</cp:lastModifiedBy>
  <dcterms:created xsi:type="dcterms:W3CDTF">2016-03-22T02:07:19Z</dcterms:created>
  <dcterms:modified xsi:type="dcterms:W3CDTF">2024-05-30T01:01:31Z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0x010100E3A4F77836BB3D4E8942C3BA8310D952</vt:lpwstr>
  </property>
</Properties>
</file>